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filterPrivacy="1" codeName="ThisWorkbook" hidePivotFieldList="1" defaultThemeVersion="124226"/>
  <xr:revisionPtr revIDLastSave="0" documentId="8_{DD8ED019-EA8E-47F8-8D07-320D8CB12D11}" xr6:coauthVersionLast="45" xr6:coauthVersionMax="45" xr10:uidLastSave="{00000000-0000-0000-0000-000000000000}"/>
  <bookViews>
    <workbookView xWindow="-120" yWindow="-120" windowWidth="29040" windowHeight="15840" tabRatio="811" xr2:uid="{00000000-000D-0000-FFFF-FFFF00000000}"/>
  </bookViews>
  <sheets>
    <sheet name="2007-2020 Metadata" sheetId="27" r:id="rId1"/>
    <sheet name="Monthly Summary 2020" sheetId="39" r:id="rId2"/>
    <sheet name="Monthly Summary 2019" sheetId="38" r:id="rId3"/>
    <sheet name="Monthly Summary 2018" sheetId="37" r:id="rId4"/>
    <sheet name="Monthly Summary 2017" sheetId="35" r:id="rId5"/>
    <sheet name="Monthly Summary 2016" sheetId="33" r:id="rId6"/>
    <sheet name="Monthly Summary 2015" sheetId="32" r:id="rId7"/>
    <sheet name="Monthly Summary 2014" sheetId="31" r:id="rId8"/>
    <sheet name="Monthly Summary 2013" sheetId="29" r:id="rId9"/>
    <sheet name="Monthly Summary 2012" sheetId="25" r:id="rId10"/>
    <sheet name="Monthly Summary 2011" sheetId="14" r:id="rId11"/>
    <sheet name="Monthly Summary 2010" sheetId="9" r:id="rId12"/>
    <sheet name="Monthly Summary 2009" sheetId="10" r:id="rId13"/>
    <sheet name="Monthly Summary 2008" sheetId="12" r:id="rId14"/>
    <sheet name="Monthly Summary 2007" sheetId="11" r:id="rId15"/>
  </sheets>
  <definedNames>
    <definedName name="_xlnm._FilterDatabase" localSheetId="0" hidden="1">'2007-2020 Metadata'!$A$4:$S$214</definedName>
    <definedName name="_xlnm._FilterDatabase" localSheetId="14" hidden="1">'Monthly Summary 2007'!$A$6:$AA$62</definedName>
    <definedName name="_xlnm._FilterDatabase" localSheetId="13" hidden="1">'Monthly Summary 2008'!$A$6:$AA$62</definedName>
    <definedName name="_xlnm._FilterDatabase" localSheetId="12" hidden="1">'Monthly Summary 2009'!$A$6:$AA$105</definedName>
    <definedName name="_xlnm._FilterDatabase" localSheetId="11" hidden="1">'Monthly Summary 2010'!$A$6:$AA$156</definedName>
    <definedName name="_xlnm._FilterDatabase" localSheetId="10" hidden="1">'Monthly Summary 2011'!$W$6:$AG$156</definedName>
    <definedName name="_xlnm._FilterDatabase" localSheetId="9" hidden="1">'Monthly Summary 2012'!$AB$6:$AI$154</definedName>
    <definedName name="_xlnm._FilterDatabase" localSheetId="8" hidden="1">'Monthly Summary 2013'!$B$1:$AI$152</definedName>
    <definedName name="_xlnm._FilterDatabase" localSheetId="7" hidden="1">'Monthly Summary 2014'!$AC$6:$AJ$149</definedName>
    <definedName name="_xlnm._FilterDatabase" localSheetId="6" hidden="1">'Monthly Summary 2015'!$B$1:$AI$156</definedName>
    <definedName name="_xlnm._FilterDatabase" localSheetId="5" hidden="1">'Monthly Summary 2016'!$B$1:$AI$129</definedName>
    <definedName name="_xlnm._FilterDatabase" localSheetId="4" hidden="1">'Monthly Summary 2017'!$B$6:$Q$162</definedName>
    <definedName name="_xlnm._FilterDatabase" localSheetId="2" hidden="1">'Monthly Summary 2019'!$B$6:$Q$169</definedName>
    <definedName name="_xlnm._FilterDatabase" localSheetId="1" hidden="1">'Monthly Summary 2020'!$B$6:$Q$169</definedName>
    <definedName name="_xlnm.Print_Area" localSheetId="12">'Monthly Summary 2009'!$A$1:$Q$114</definedName>
    <definedName name="_xlnm.Print_Area" localSheetId="11">'Monthly Summary 2010'!$B$1:$Q$163</definedName>
    <definedName name="_xlnm.Print_Area" localSheetId="10">'Monthly Summary 2011'!$A$1:$Q$163</definedName>
    <definedName name="_xlnm.Print_Area" localSheetId="9">'Monthly Summary 2012'!$A$1:$Q$161</definedName>
    <definedName name="_xlnm.Print_Area" localSheetId="8">'Monthly Summary 2013'!$A$1:$Q$159</definedName>
    <definedName name="_xlnm.Print_Area" localSheetId="6">'Monthly Summary 2015'!$A$1:$Q$166</definedName>
    <definedName name="_xlnm.Print_Area" localSheetId="5">'Monthly Summary 2016'!$A$1:$Q$139</definedName>
    <definedName name="_xlnm.Print_Area" localSheetId="4">'Monthly Summary 2017'!$A$1:$Q$172</definedName>
    <definedName name="_xlnm.Print_Area" localSheetId="2">'Monthly Summary 2019'!$A$1:$Q$179</definedName>
    <definedName name="_xlnm.Print_Area" localSheetId="1">'Monthly Summary 2020'!$A$1:$Q$179</definedName>
    <definedName name="_xlnm.Print_Titles" localSheetId="12">'Monthly Summary 2009'!$1:$6</definedName>
    <definedName name="_xlnm.Print_Titles" localSheetId="11">'Monthly Summary 2010'!$1:$6</definedName>
    <definedName name="_xlnm.Print_Titles" localSheetId="10">'Monthly Summary 2011'!$1:$6</definedName>
    <definedName name="_xlnm.Print_Titles" localSheetId="9">'Monthly Summary 2012'!$1:$6</definedName>
    <definedName name="_xlnm.Print_Titles" localSheetId="8">'Monthly Summary 2013'!$1:$6</definedName>
    <definedName name="_xlnm.Print_Titles" localSheetId="6">'Monthly Summary 2015'!$1:$6</definedName>
    <definedName name="_xlnm.Print_Titles" localSheetId="5">'Monthly Summary 2016'!$1:$6</definedName>
    <definedName name="_xlnm.Print_Titles" localSheetId="4">'Monthly Summary 2017'!$1:$6</definedName>
    <definedName name="_xlnm.Print_Titles" localSheetId="2">'Monthly Summary 2019'!$1:$6</definedName>
    <definedName name="_xlnm.Print_Titles" localSheetId="1">'Monthly Summary 2020'!$1:$6</definedName>
    <definedName name="template" localSheetId="9">#REF!</definedName>
    <definedName name="template" localSheetId="7">#REF!</definedName>
    <definedName name="template" localSheetId="4">#REF!</definedName>
    <definedName name="template" localSheetId="2">#REF!</definedName>
    <definedName name="template" localSheetId="1">#REF!</definedName>
    <definedName name="templat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141" i="38" l="1"/>
  <c r="O22" i="39"/>
  <c r="AH169" i="39"/>
  <c r="AG169" i="39"/>
  <c r="AF169" i="39"/>
  <c r="AC169" i="39"/>
  <c r="AE169" i="39" s="1"/>
  <c r="AB169" i="39"/>
  <c r="U169" i="39"/>
  <c r="T169" i="39" s="1"/>
  <c r="S169" i="39"/>
  <c r="Q169" i="39"/>
  <c r="W169" i="39" s="1"/>
  <c r="O169" i="39"/>
  <c r="P169" i="39" s="1"/>
  <c r="AH168" i="39"/>
  <c r="AG168" i="39"/>
  <c r="AF168" i="39"/>
  <c r="AC168" i="39"/>
  <c r="AE168" i="39" s="1"/>
  <c r="AB168" i="39"/>
  <c r="U168" i="39"/>
  <c r="T168" i="39" s="1"/>
  <c r="S168" i="39"/>
  <c r="Q168" i="39"/>
  <c r="W168" i="39" s="1"/>
  <c r="O168" i="39"/>
  <c r="P168" i="39" s="1"/>
  <c r="AH167" i="39"/>
  <c r="AG167" i="39"/>
  <c r="AF167" i="39"/>
  <c r="AC167" i="39"/>
  <c r="AE167" i="39" s="1"/>
  <c r="AB167" i="39"/>
  <c r="U167" i="39"/>
  <c r="T167" i="39" s="1"/>
  <c r="S167" i="39"/>
  <c r="Q167" i="39"/>
  <c r="W167" i="39" s="1"/>
  <c r="O167" i="39"/>
  <c r="P167" i="39" s="1"/>
  <c r="AH166" i="39"/>
  <c r="AG166" i="39"/>
  <c r="AF166" i="39"/>
  <c r="AC166" i="39"/>
  <c r="AB166" i="39"/>
  <c r="U166" i="39"/>
  <c r="T166" i="39" s="1"/>
  <c r="S166" i="39"/>
  <c r="Q166" i="39"/>
  <c r="W166" i="39" s="1"/>
  <c r="O166" i="39"/>
  <c r="P166" i="39" s="1"/>
  <c r="AH165" i="39"/>
  <c r="AG165" i="39"/>
  <c r="AF165" i="39"/>
  <c r="AC165" i="39"/>
  <c r="AB165" i="39"/>
  <c r="U165" i="39"/>
  <c r="T165" i="39" s="1"/>
  <c r="S165" i="39"/>
  <c r="Q165" i="39"/>
  <c r="W165" i="39" s="1"/>
  <c r="O165" i="39"/>
  <c r="P165" i="39" s="1"/>
  <c r="AH164" i="39"/>
  <c r="AG164" i="39"/>
  <c r="AF164" i="39"/>
  <c r="AC164" i="39"/>
  <c r="AB164" i="39"/>
  <c r="U164" i="39"/>
  <c r="T164" i="39" s="1"/>
  <c r="S164" i="39"/>
  <c r="Q164" i="39"/>
  <c r="W164" i="39" s="1"/>
  <c r="O164" i="39"/>
  <c r="P164" i="39" s="1"/>
  <c r="AH163" i="39"/>
  <c r="AG163" i="39"/>
  <c r="AF163" i="39"/>
  <c r="AC163" i="39"/>
  <c r="AB163" i="39"/>
  <c r="U163" i="39"/>
  <c r="T163" i="39" s="1"/>
  <c r="S163" i="39"/>
  <c r="Q163" i="39"/>
  <c r="W163" i="39" s="1"/>
  <c r="O163" i="39"/>
  <c r="P163" i="39" s="1"/>
  <c r="AH162" i="39"/>
  <c r="AG162" i="39"/>
  <c r="AF162" i="39"/>
  <c r="AC162" i="39"/>
  <c r="AB162" i="39"/>
  <c r="U162" i="39"/>
  <c r="T162" i="39" s="1"/>
  <c r="S162" i="39"/>
  <c r="Q162" i="39"/>
  <c r="W162" i="39" s="1"/>
  <c r="O162" i="39"/>
  <c r="P162" i="39" s="1"/>
  <c r="AH161" i="39"/>
  <c r="AG161" i="39"/>
  <c r="AF161" i="39"/>
  <c r="AC161" i="39"/>
  <c r="AB161" i="39"/>
  <c r="U161" i="39"/>
  <c r="T161" i="39" s="1"/>
  <c r="S161" i="39"/>
  <c r="Q161" i="39"/>
  <c r="W161" i="39" s="1"/>
  <c r="O161" i="39"/>
  <c r="P161" i="39" s="1"/>
  <c r="AH160" i="39"/>
  <c r="AG160" i="39"/>
  <c r="AF160" i="39"/>
  <c r="AC160" i="39"/>
  <c r="AB160" i="39"/>
  <c r="U160" i="39"/>
  <c r="T160" i="39" s="1"/>
  <c r="S160" i="39"/>
  <c r="Q160" i="39"/>
  <c r="W160" i="39" s="1"/>
  <c r="O160" i="39"/>
  <c r="P160" i="39" s="1"/>
  <c r="AH159" i="39"/>
  <c r="AG159" i="39"/>
  <c r="AF159" i="39"/>
  <c r="AC159" i="39"/>
  <c r="AB159" i="39"/>
  <c r="U159" i="39"/>
  <c r="T159" i="39" s="1"/>
  <c r="S159" i="39"/>
  <c r="Q159" i="39"/>
  <c r="W159" i="39" s="1"/>
  <c r="O159" i="39"/>
  <c r="P159" i="39" s="1"/>
  <c r="AH158" i="39"/>
  <c r="AG158" i="39"/>
  <c r="AF158" i="39"/>
  <c r="AC158" i="39"/>
  <c r="AE158" i="39" s="1"/>
  <c r="AB158" i="39"/>
  <c r="U158" i="39"/>
  <c r="T158" i="39" s="1"/>
  <c r="S158" i="39"/>
  <c r="Q158" i="39"/>
  <c r="W158" i="39" s="1"/>
  <c r="O158" i="39"/>
  <c r="P158" i="39" s="1"/>
  <c r="AH157" i="39"/>
  <c r="AG157" i="39"/>
  <c r="AF157" i="39"/>
  <c r="AC157" i="39"/>
  <c r="AB157" i="39"/>
  <c r="U157" i="39"/>
  <c r="T157" i="39" s="1"/>
  <c r="S157" i="39"/>
  <c r="Q157" i="39"/>
  <c r="W157" i="39" s="1"/>
  <c r="O157" i="39"/>
  <c r="P157" i="39" s="1"/>
  <c r="AH156" i="39"/>
  <c r="AG156" i="39"/>
  <c r="AF156" i="39"/>
  <c r="AC156" i="39"/>
  <c r="AE156" i="39" s="1"/>
  <c r="AB156" i="39"/>
  <c r="U156" i="39"/>
  <c r="T156" i="39" s="1"/>
  <c r="S156" i="39"/>
  <c r="Q156" i="39"/>
  <c r="W156" i="39" s="1"/>
  <c r="O156" i="39"/>
  <c r="P156" i="39" s="1"/>
  <c r="AH155" i="39"/>
  <c r="AG155" i="39"/>
  <c r="AF155" i="39"/>
  <c r="AC155" i="39"/>
  <c r="AE155" i="39" s="1"/>
  <c r="AB155" i="39"/>
  <c r="U155" i="39"/>
  <c r="T155" i="39" s="1"/>
  <c r="S155" i="39"/>
  <c r="Q155" i="39"/>
  <c r="W155" i="39" s="1"/>
  <c r="O155" i="39"/>
  <c r="P155" i="39" s="1"/>
  <c r="AH154" i="39"/>
  <c r="AG154" i="39"/>
  <c r="AF154" i="39"/>
  <c r="AC154" i="39"/>
  <c r="AE154" i="39" s="1"/>
  <c r="AB154" i="39"/>
  <c r="U154" i="39"/>
  <c r="T154" i="39" s="1"/>
  <c r="S154" i="39"/>
  <c r="Q154" i="39"/>
  <c r="W154" i="39" s="1"/>
  <c r="O154" i="39"/>
  <c r="P154" i="39" s="1"/>
  <c r="AH153" i="39"/>
  <c r="AG153" i="39"/>
  <c r="AF153" i="39"/>
  <c r="AC153" i="39"/>
  <c r="AE153" i="39" s="1"/>
  <c r="AB153" i="39"/>
  <c r="U153" i="39"/>
  <c r="T153" i="39" s="1"/>
  <c r="S153" i="39"/>
  <c r="Q153" i="39"/>
  <c r="W153" i="39" s="1"/>
  <c r="O153" i="39"/>
  <c r="P153" i="39" s="1"/>
  <c r="AH152" i="39"/>
  <c r="AG152" i="39"/>
  <c r="AF152" i="39"/>
  <c r="AC152" i="39"/>
  <c r="AE152" i="39" s="1"/>
  <c r="AB152" i="39"/>
  <c r="U152" i="39"/>
  <c r="T152" i="39" s="1"/>
  <c r="S152" i="39"/>
  <c r="Q152" i="39"/>
  <c r="W152" i="39" s="1"/>
  <c r="O152" i="39"/>
  <c r="P152" i="39" s="1"/>
  <c r="AH151" i="39"/>
  <c r="AG151" i="39"/>
  <c r="AF151" i="39"/>
  <c r="AC151" i="39"/>
  <c r="AE151" i="39" s="1"/>
  <c r="AB151" i="39"/>
  <c r="U151" i="39"/>
  <c r="T151" i="39" s="1"/>
  <c r="S151" i="39"/>
  <c r="Q151" i="39"/>
  <c r="W151" i="39" s="1"/>
  <c r="O151" i="39"/>
  <c r="P151" i="39" s="1"/>
  <c r="AH150" i="39"/>
  <c r="AG150" i="39"/>
  <c r="AF150" i="39"/>
  <c r="AC150" i="39"/>
  <c r="AE150" i="39" s="1"/>
  <c r="AB150" i="39"/>
  <c r="U150" i="39"/>
  <c r="T150" i="39" s="1"/>
  <c r="S150" i="39"/>
  <c r="Q150" i="39"/>
  <c r="W150" i="39" s="1"/>
  <c r="O150" i="39"/>
  <c r="P150" i="39" s="1"/>
  <c r="AH149" i="39"/>
  <c r="AG149" i="39"/>
  <c r="AF149" i="39"/>
  <c r="AC149" i="39"/>
  <c r="AE149" i="39" s="1"/>
  <c r="AB149" i="39"/>
  <c r="U149" i="39"/>
  <c r="T149" i="39" s="1"/>
  <c r="S149" i="39"/>
  <c r="Q149" i="39"/>
  <c r="W149" i="39" s="1"/>
  <c r="O149" i="39"/>
  <c r="P149" i="39" s="1"/>
  <c r="AH148" i="39"/>
  <c r="AG148" i="39"/>
  <c r="AF148" i="39"/>
  <c r="AC148" i="39"/>
  <c r="AE148" i="39" s="1"/>
  <c r="AB148" i="39"/>
  <c r="U148" i="39"/>
  <c r="T148" i="39" s="1"/>
  <c r="S148" i="39"/>
  <c r="Q148" i="39"/>
  <c r="W148" i="39" s="1"/>
  <c r="O148" i="39"/>
  <c r="P148" i="39" s="1"/>
  <c r="AH147" i="39"/>
  <c r="AG147" i="39"/>
  <c r="AF147" i="39"/>
  <c r="AC147" i="39"/>
  <c r="AE147" i="39" s="1"/>
  <c r="AB147" i="39"/>
  <c r="U147" i="39"/>
  <c r="T147" i="39" s="1"/>
  <c r="S147" i="39"/>
  <c r="Q147" i="39"/>
  <c r="W147" i="39" s="1"/>
  <c r="O147" i="39"/>
  <c r="P147" i="39" s="1"/>
  <c r="AH146" i="39"/>
  <c r="AG146" i="39"/>
  <c r="AF146" i="39"/>
  <c r="AC146" i="39"/>
  <c r="AE146" i="39" s="1"/>
  <c r="AB146" i="39"/>
  <c r="U146" i="39"/>
  <c r="T146" i="39" s="1"/>
  <c r="S146" i="39"/>
  <c r="Q146" i="39"/>
  <c r="W146" i="39" s="1"/>
  <c r="O146" i="39"/>
  <c r="P146" i="39" s="1"/>
  <c r="AH145" i="39"/>
  <c r="AG145" i="39"/>
  <c r="AF145" i="39"/>
  <c r="AC145" i="39"/>
  <c r="AE145" i="39" s="1"/>
  <c r="AB145" i="39"/>
  <c r="U145" i="39"/>
  <c r="T145" i="39" s="1"/>
  <c r="S145" i="39"/>
  <c r="Q145" i="39"/>
  <c r="W145" i="39" s="1"/>
  <c r="O145" i="39"/>
  <c r="P145" i="39" s="1"/>
  <c r="AH144" i="39"/>
  <c r="AG144" i="39"/>
  <c r="AF144" i="39"/>
  <c r="AC144" i="39"/>
  <c r="AE144" i="39" s="1"/>
  <c r="AB144" i="39"/>
  <c r="U144" i="39"/>
  <c r="T144" i="39" s="1"/>
  <c r="S144" i="39"/>
  <c r="Q144" i="39"/>
  <c r="W144" i="39" s="1"/>
  <c r="O144" i="39"/>
  <c r="P144" i="39" s="1"/>
  <c r="AH143" i="39"/>
  <c r="AG143" i="39"/>
  <c r="AF143" i="39"/>
  <c r="AC143" i="39"/>
  <c r="AE143" i="39" s="1"/>
  <c r="AB143" i="39"/>
  <c r="U143" i="39"/>
  <c r="T143" i="39" s="1"/>
  <c r="S143" i="39"/>
  <c r="Q143" i="39"/>
  <c r="W143" i="39" s="1"/>
  <c r="O143" i="39"/>
  <c r="P143" i="39" s="1"/>
  <c r="AH142" i="39"/>
  <c r="AG142" i="39"/>
  <c r="AF142" i="39"/>
  <c r="AC142" i="39"/>
  <c r="AE142" i="39" s="1"/>
  <c r="AB142" i="39"/>
  <c r="U142" i="39"/>
  <c r="T142" i="39" s="1"/>
  <c r="S142" i="39"/>
  <c r="Q142" i="39"/>
  <c r="W142" i="39" s="1"/>
  <c r="O142" i="39"/>
  <c r="P142" i="39" s="1"/>
  <c r="AH141" i="39"/>
  <c r="AG141" i="39"/>
  <c r="AF141" i="39"/>
  <c r="AC141" i="39"/>
  <c r="AE141" i="39" s="1"/>
  <c r="AB141" i="39"/>
  <c r="U141" i="39"/>
  <c r="T141" i="39" s="1"/>
  <c r="S141" i="39"/>
  <c r="Q141" i="39"/>
  <c r="W141" i="39" s="1"/>
  <c r="O141" i="39"/>
  <c r="P141" i="39" s="1"/>
  <c r="AH140" i="39"/>
  <c r="AG140" i="39"/>
  <c r="AF140" i="39"/>
  <c r="AC140" i="39"/>
  <c r="AE140" i="39" s="1"/>
  <c r="AB140" i="39"/>
  <c r="U140" i="39"/>
  <c r="T140" i="39" s="1"/>
  <c r="S140" i="39"/>
  <c r="Q140" i="39"/>
  <c r="W140" i="39" s="1"/>
  <c r="O140" i="39"/>
  <c r="P140" i="39" s="1"/>
  <c r="AH139" i="39"/>
  <c r="AG139" i="39"/>
  <c r="AF139" i="39"/>
  <c r="AC139" i="39"/>
  <c r="AE139" i="39" s="1"/>
  <c r="AB139" i="39"/>
  <c r="U139" i="39"/>
  <c r="T139" i="39" s="1"/>
  <c r="S139" i="39"/>
  <c r="R139" i="39" s="1"/>
  <c r="Q139" i="39"/>
  <c r="W139" i="39" s="1"/>
  <c r="O139" i="39"/>
  <c r="P139" i="39" s="1"/>
  <c r="AH138" i="39"/>
  <c r="AG138" i="39"/>
  <c r="AF138" i="39"/>
  <c r="AC138" i="39"/>
  <c r="AE138" i="39" s="1"/>
  <c r="AB138" i="39"/>
  <c r="U138" i="39"/>
  <c r="T138" i="39" s="1"/>
  <c r="S138" i="39"/>
  <c r="R138" i="39" s="1"/>
  <c r="Q138" i="39"/>
  <c r="W138" i="39" s="1"/>
  <c r="O138" i="39"/>
  <c r="P138" i="39" s="1"/>
  <c r="AH137" i="39"/>
  <c r="AG137" i="39"/>
  <c r="AF137" i="39"/>
  <c r="AC137" i="39"/>
  <c r="AE137" i="39" s="1"/>
  <c r="AB137" i="39"/>
  <c r="U137" i="39"/>
  <c r="T137" i="39" s="1"/>
  <c r="S137" i="39"/>
  <c r="R137" i="39" s="1"/>
  <c r="Q137" i="39"/>
  <c r="W137" i="39" s="1"/>
  <c r="O137" i="39"/>
  <c r="P137" i="39" s="1"/>
  <c r="AH136" i="39"/>
  <c r="AG136" i="39"/>
  <c r="AF136" i="39"/>
  <c r="AC136" i="39"/>
  <c r="AE136" i="39" s="1"/>
  <c r="AB136" i="39"/>
  <c r="U136" i="39"/>
  <c r="T136" i="39" s="1"/>
  <c r="S136" i="39"/>
  <c r="Q136" i="39"/>
  <c r="W136" i="39" s="1"/>
  <c r="O136" i="39"/>
  <c r="P136" i="39" s="1"/>
  <c r="AH135" i="39"/>
  <c r="AG135" i="39"/>
  <c r="AF135" i="39"/>
  <c r="AC135" i="39"/>
  <c r="AE135" i="39" s="1"/>
  <c r="AB135" i="39"/>
  <c r="U135" i="39"/>
  <c r="T135" i="39" s="1"/>
  <c r="S135" i="39"/>
  <c r="R135" i="39" s="1"/>
  <c r="Q135" i="39"/>
  <c r="W135" i="39" s="1"/>
  <c r="O135" i="39"/>
  <c r="P135" i="39" s="1"/>
  <c r="AH134" i="39"/>
  <c r="AG134" i="39"/>
  <c r="AF134" i="39"/>
  <c r="AC134" i="39"/>
  <c r="AE134" i="39" s="1"/>
  <c r="AB134" i="39"/>
  <c r="U134" i="39"/>
  <c r="T134" i="39" s="1"/>
  <c r="S134" i="39"/>
  <c r="R134" i="39"/>
  <c r="Q134" i="39"/>
  <c r="W134" i="39" s="1"/>
  <c r="O134" i="39"/>
  <c r="P134" i="39" s="1"/>
  <c r="AH133" i="39"/>
  <c r="AG133" i="39"/>
  <c r="AF133" i="39"/>
  <c r="AC133" i="39"/>
  <c r="AE133" i="39" s="1"/>
  <c r="AB133" i="39"/>
  <c r="U133" i="39"/>
  <c r="T133" i="39" s="1"/>
  <c r="S133" i="39"/>
  <c r="Q133" i="39"/>
  <c r="W133" i="39" s="1"/>
  <c r="O133" i="39"/>
  <c r="P133" i="39" s="1"/>
  <c r="AH132" i="39"/>
  <c r="AG132" i="39"/>
  <c r="AF132" i="39"/>
  <c r="AC132" i="39"/>
  <c r="AE132" i="39" s="1"/>
  <c r="AB132" i="39"/>
  <c r="U132" i="39"/>
  <c r="T132" i="39" s="1"/>
  <c r="S132" i="39"/>
  <c r="R132" i="39" s="1"/>
  <c r="Q132" i="39"/>
  <c r="W132" i="39" s="1"/>
  <c r="O132" i="39"/>
  <c r="P132" i="39" s="1"/>
  <c r="AH131" i="39"/>
  <c r="AG131" i="39"/>
  <c r="AF131" i="39"/>
  <c r="AC131" i="39"/>
  <c r="AE131" i="39" s="1"/>
  <c r="AB131" i="39"/>
  <c r="U131" i="39"/>
  <c r="T131" i="39" s="1"/>
  <c r="S131" i="39"/>
  <c r="R131" i="39" s="1"/>
  <c r="Q131" i="39"/>
  <c r="W131" i="39" s="1"/>
  <c r="O131" i="39"/>
  <c r="P131" i="39" s="1"/>
  <c r="AH130" i="39"/>
  <c r="AG130" i="39"/>
  <c r="AF130" i="39"/>
  <c r="AC130" i="39"/>
  <c r="AE130" i="39" s="1"/>
  <c r="AB130" i="39"/>
  <c r="U130" i="39"/>
  <c r="T130" i="39" s="1"/>
  <c r="S130" i="39"/>
  <c r="R130" i="39" s="1"/>
  <c r="Q130" i="39"/>
  <c r="W130" i="39" s="1"/>
  <c r="O130" i="39"/>
  <c r="P130" i="39" s="1"/>
  <c r="AH129" i="39"/>
  <c r="AG129" i="39"/>
  <c r="AF129" i="39"/>
  <c r="AC129" i="39"/>
  <c r="AE129" i="39" s="1"/>
  <c r="AB129" i="39"/>
  <c r="U129" i="39"/>
  <c r="T129" i="39" s="1"/>
  <c r="S129" i="39"/>
  <c r="R129" i="39" s="1"/>
  <c r="Q129" i="39"/>
  <c r="W129" i="39" s="1"/>
  <c r="O129" i="39"/>
  <c r="P129" i="39" s="1"/>
  <c r="AH128" i="39"/>
  <c r="AG128" i="39"/>
  <c r="AF128" i="39"/>
  <c r="AC128" i="39"/>
  <c r="AB128" i="39"/>
  <c r="U128" i="39"/>
  <c r="T128" i="39" s="1"/>
  <c r="S128" i="39"/>
  <c r="R128" i="39" s="1"/>
  <c r="Q128" i="39"/>
  <c r="W128" i="39" s="1"/>
  <c r="O128" i="39"/>
  <c r="P128" i="39" s="1"/>
  <c r="AH127" i="39"/>
  <c r="AG127" i="39"/>
  <c r="AF127" i="39"/>
  <c r="AC127" i="39"/>
  <c r="AD127" i="39" s="1"/>
  <c r="AB127" i="39"/>
  <c r="U127" i="39"/>
  <c r="T127" i="39" s="1"/>
  <c r="S127" i="39"/>
  <c r="R127" i="39" s="1"/>
  <c r="Q127" i="39"/>
  <c r="W127" i="39" s="1"/>
  <c r="O127" i="39"/>
  <c r="P127" i="39" s="1"/>
  <c r="AH126" i="39"/>
  <c r="AG126" i="39"/>
  <c r="AF126" i="39"/>
  <c r="AC126" i="39"/>
  <c r="AB126" i="39"/>
  <c r="U126" i="39"/>
  <c r="T126" i="39" s="1"/>
  <c r="S126" i="39"/>
  <c r="R126" i="39" s="1"/>
  <c r="Q126" i="39"/>
  <c r="W126" i="39" s="1"/>
  <c r="O126" i="39"/>
  <c r="P126" i="39" s="1"/>
  <c r="AH125" i="39"/>
  <c r="AG125" i="39"/>
  <c r="AF125" i="39"/>
  <c r="AC125" i="39"/>
  <c r="AE125" i="39" s="1"/>
  <c r="AB125" i="39"/>
  <c r="U125" i="39"/>
  <c r="T125" i="39" s="1"/>
  <c r="S125" i="39"/>
  <c r="R125" i="39" s="1"/>
  <c r="Q125" i="39"/>
  <c r="W125" i="39" s="1"/>
  <c r="O125" i="39"/>
  <c r="P125" i="39" s="1"/>
  <c r="AH124" i="39"/>
  <c r="AG124" i="39"/>
  <c r="AF124" i="39"/>
  <c r="AC124" i="39"/>
  <c r="AB124" i="39"/>
  <c r="U124" i="39"/>
  <c r="T124" i="39" s="1"/>
  <c r="S124" i="39"/>
  <c r="R124" i="39" s="1"/>
  <c r="Q124" i="39"/>
  <c r="W124" i="39" s="1"/>
  <c r="O124" i="39"/>
  <c r="P124" i="39" s="1"/>
  <c r="AH123" i="39"/>
  <c r="AG123" i="39"/>
  <c r="AF123" i="39"/>
  <c r="AC123" i="39"/>
  <c r="AE123" i="39" s="1"/>
  <c r="AB123" i="39"/>
  <c r="U123" i="39"/>
  <c r="T123" i="39" s="1"/>
  <c r="S123" i="39"/>
  <c r="R123" i="39" s="1"/>
  <c r="Q123" i="39"/>
  <c r="W123" i="39" s="1"/>
  <c r="O123" i="39"/>
  <c r="P123" i="39" s="1"/>
  <c r="AH122" i="39"/>
  <c r="AG122" i="39"/>
  <c r="AF122" i="39"/>
  <c r="AC122" i="39"/>
  <c r="AB122" i="39"/>
  <c r="U122" i="39"/>
  <c r="T122" i="39" s="1"/>
  <c r="S122" i="39"/>
  <c r="R122" i="39" s="1"/>
  <c r="Q122" i="39"/>
  <c r="W122" i="39" s="1"/>
  <c r="O122" i="39"/>
  <c r="P122" i="39" s="1"/>
  <c r="AH121" i="39"/>
  <c r="AG121" i="39"/>
  <c r="AF121" i="39"/>
  <c r="AC121" i="39"/>
  <c r="AE121" i="39" s="1"/>
  <c r="AB121" i="39"/>
  <c r="U121" i="39"/>
  <c r="T121" i="39" s="1"/>
  <c r="S121" i="39"/>
  <c r="R121" i="39" s="1"/>
  <c r="Q121" i="39"/>
  <c r="W121" i="39" s="1"/>
  <c r="O121" i="39"/>
  <c r="P121" i="39" s="1"/>
  <c r="AH120" i="39"/>
  <c r="AG120" i="39"/>
  <c r="AF120" i="39"/>
  <c r="AC120" i="39"/>
  <c r="AB120" i="39"/>
  <c r="U120" i="39"/>
  <c r="T120" i="39" s="1"/>
  <c r="S120" i="39"/>
  <c r="R120" i="39" s="1"/>
  <c r="Q120" i="39"/>
  <c r="W120" i="39" s="1"/>
  <c r="O120" i="39"/>
  <c r="P120" i="39" s="1"/>
  <c r="AH119" i="39"/>
  <c r="AG119" i="39"/>
  <c r="AF119" i="39"/>
  <c r="AC119" i="39"/>
  <c r="AD119" i="39" s="1"/>
  <c r="AB119" i="39"/>
  <c r="U119" i="39"/>
  <c r="T119" i="39" s="1"/>
  <c r="S119" i="39"/>
  <c r="R119" i="39" s="1"/>
  <c r="Q119" i="39"/>
  <c r="W119" i="39" s="1"/>
  <c r="O119" i="39"/>
  <c r="P119" i="39" s="1"/>
  <c r="AH118" i="39"/>
  <c r="AG118" i="39"/>
  <c r="AF118" i="39"/>
  <c r="AC118" i="39"/>
  <c r="AB118" i="39"/>
  <c r="U118" i="39"/>
  <c r="T118" i="39" s="1"/>
  <c r="S118" i="39"/>
  <c r="R118" i="39" s="1"/>
  <c r="Q118" i="39"/>
  <c r="W118" i="39" s="1"/>
  <c r="O118" i="39"/>
  <c r="P118" i="39" s="1"/>
  <c r="AH117" i="39"/>
  <c r="AG117" i="39"/>
  <c r="AF117" i="39"/>
  <c r="AC117" i="39"/>
  <c r="AE117" i="39" s="1"/>
  <c r="AB117" i="39"/>
  <c r="U117" i="39"/>
  <c r="T117" i="39" s="1"/>
  <c r="S117" i="39"/>
  <c r="R117" i="39" s="1"/>
  <c r="Q117" i="39"/>
  <c r="W117" i="39" s="1"/>
  <c r="O117" i="39"/>
  <c r="P117" i="39" s="1"/>
  <c r="AH116" i="39"/>
  <c r="AG116" i="39"/>
  <c r="AF116" i="39"/>
  <c r="AC116" i="39"/>
  <c r="AB116" i="39"/>
  <c r="U116" i="39"/>
  <c r="T116" i="39" s="1"/>
  <c r="S116" i="39"/>
  <c r="R116" i="39" s="1"/>
  <c r="Q116" i="39"/>
  <c r="W116" i="39" s="1"/>
  <c r="O116" i="39"/>
  <c r="P116" i="39" s="1"/>
  <c r="AH115" i="39"/>
  <c r="AG115" i="39"/>
  <c r="AF115" i="39"/>
  <c r="AC115" i="39"/>
  <c r="AE115" i="39" s="1"/>
  <c r="AB115" i="39"/>
  <c r="U115" i="39"/>
  <c r="T115" i="39" s="1"/>
  <c r="S115" i="39"/>
  <c r="R115" i="39" s="1"/>
  <c r="Q115" i="39"/>
  <c r="W115" i="39" s="1"/>
  <c r="O115" i="39"/>
  <c r="P115" i="39" s="1"/>
  <c r="AH114" i="39"/>
  <c r="AG114" i="39"/>
  <c r="AF114" i="39"/>
  <c r="AC114" i="39"/>
  <c r="AB114" i="39"/>
  <c r="U114" i="39"/>
  <c r="T114" i="39" s="1"/>
  <c r="S114" i="39"/>
  <c r="Q114" i="39"/>
  <c r="W114" i="39" s="1"/>
  <c r="O114" i="39"/>
  <c r="P114" i="39" s="1"/>
  <c r="AH113" i="39"/>
  <c r="AG113" i="39"/>
  <c r="AF113" i="39"/>
  <c r="AC113" i="39"/>
  <c r="AD113" i="39" s="1"/>
  <c r="AB113" i="39"/>
  <c r="U113" i="39"/>
  <c r="S113" i="39"/>
  <c r="R113" i="39" s="1"/>
  <c r="Q113" i="39"/>
  <c r="W113" i="39" s="1"/>
  <c r="O113" i="39"/>
  <c r="P113" i="39" s="1"/>
  <c r="AH112" i="39"/>
  <c r="AG112" i="39"/>
  <c r="AF112" i="39"/>
  <c r="AC112" i="39"/>
  <c r="AB112" i="39"/>
  <c r="U112" i="39"/>
  <c r="T112" i="39" s="1"/>
  <c r="S112" i="39"/>
  <c r="R112" i="39" s="1"/>
  <c r="Q112" i="39"/>
  <c r="W112" i="39" s="1"/>
  <c r="O112" i="39"/>
  <c r="P112" i="39" s="1"/>
  <c r="AH111" i="39"/>
  <c r="AG111" i="39"/>
  <c r="AF111" i="39"/>
  <c r="AC111" i="39"/>
  <c r="AE111" i="39" s="1"/>
  <c r="AB111" i="39"/>
  <c r="U111" i="39"/>
  <c r="T111" i="39" s="1"/>
  <c r="S111" i="39"/>
  <c r="R111" i="39" s="1"/>
  <c r="Q111" i="39"/>
  <c r="W111" i="39" s="1"/>
  <c r="O111" i="39"/>
  <c r="P111" i="39" s="1"/>
  <c r="AH110" i="39"/>
  <c r="AG110" i="39"/>
  <c r="AF110" i="39"/>
  <c r="AC110" i="39"/>
  <c r="AB110" i="39"/>
  <c r="U110" i="39"/>
  <c r="T110" i="39" s="1"/>
  <c r="S110" i="39"/>
  <c r="R110" i="39" s="1"/>
  <c r="Q110" i="39"/>
  <c r="W110" i="39" s="1"/>
  <c r="O110" i="39"/>
  <c r="P110" i="39" s="1"/>
  <c r="AH109" i="39"/>
  <c r="AG109" i="39"/>
  <c r="AF109" i="39"/>
  <c r="AC109" i="39"/>
  <c r="AE109" i="39" s="1"/>
  <c r="AB109" i="39"/>
  <c r="U109" i="39"/>
  <c r="T109" i="39" s="1"/>
  <c r="S109" i="39"/>
  <c r="R109" i="39" s="1"/>
  <c r="Q109" i="39"/>
  <c r="W109" i="39" s="1"/>
  <c r="O109" i="39"/>
  <c r="P109" i="39" s="1"/>
  <c r="AH108" i="39"/>
  <c r="AG108" i="39"/>
  <c r="AF108" i="39"/>
  <c r="AC108" i="39"/>
  <c r="AB108" i="39"/>
  <c r="U108" i="39"/>
  <c r="T108" i="39" s="1"/>
  <c r="S108" i="39"/>
  <c r="R108" i="39" s="1"/>
  <c r="Q108" i="39"/>
  <c r="W108" i="39" s="1"/>
  <c r="O108" i="39"/>
  <c r="P108" i="39" s="1"/>
  <c r="AH107" i="39"/>
  <c r="AG107" i="39"/>
  <c r="AF107" i="39"/>
  <c r="AC107" i="39"/>
  <c r="AE107" i="39" s="1"/>
  <c r="AB107" i="39"/>
  <c r="U107" i="39"/>
  <c r="T107" i="39" s="1"/>
  <c r="S107" i="39"/>
  <c r="R107" i="39" s="1"/>
  <c r="Q107" i="39"/>
  <c r="W107" i="39" s="1"/>
  <c r="O107" i="39"/>
  <c r="P107" i="39" s="1"/>
  <c r="AH106" i="39"/>
  <c r="AG106" i="39"/>
  <c r="AF106" i="39"/>
  <c r="AC106" i="39"/>
  <c r="AB106" i="39"/>
  <c r="U106" i="39"/>
  <c r="T106" i="39" s="1"/>
  <c r="S106" i="39"/>
  <c r="R106" i="39" s="1"/>
  <c r="Q106" i="39"/>
  <c r="W106" i="39" s="1"/>
  <c r="O106" i="39"/>
  <c r="P106" i="39" s="1"/>
  <c r="AH105" i="39"/>
  <c r="AG105" i="39"/>
  <c r="AF105" i="39"/>
  <c r="AC105" i="39"/>
  <c r="AD105" i="39" s="1"/>
  <c r="AB105" i="39"/>
  <c r="U105" i="39"/>
  <c r="T105" i="39" s="1"/>
  <c r="S105" i="39"/>
  <c r="R105" i="39" s="1"/>
  <c r="Q105" i="39"/>
  <c r="W105" i="39" s="1"/>
  <c r="O105" i="39"/>
  <c r="P105" i="39" s="1"/>
  <c r="AH104" i="39"/>
  <c r="AG104" i="39"/>
  <c r="AF104" i="39"/>
  <c r="AC104" i="39"/>
  <c r="AD104" i="39" s="1"/>
  <c r="AB104" i="39"/>
  <c r="U104" i="39"/>
  <c r="T104" i="39" s="1"/>
  <c r="S104" i="39"/>
  <c r="R104" i="39" s="1"/>
  <c r="Q104" i="39"/>
  <c r="W104" i="39" s="1"/>
  <c r="O104" i="39"/>
  <c r="P104" i="39" s="1"/>
  <c r="AH103" i="39"/>
  <c r="AG103" i="39"/>
  <c r="AF103" i="39"/>
  <c r="AC103" i="39"/>
  <c r="AD103" i="39" s="1"/>
  <c r="AB103" i="39"/>
  <c r="U103" i="39"/>
  <c r="S103" i="39"/>
  <c r="R103" i="39" s="1"/>
  <c r="Q103" i="39"/>
  <c r="W103" i="39" s="1"/>
  <c r="O103" i="39"/>
  <c r="P103" i="39" s="1"/>
  <c r="AH102" i="39"/>
  <c r="AG102" i="39"/>
  <c r="AF102" i="39"/>
  <c r="AC102" i="39"/>
  <c r="AD102" i="39" s="1"/>
  <c r="AB102" i="39"/>
  <c r="U102" i="39"/>
  <c r="T102" i="39" s="1"/>
  <c r="S102" i="39"/>
  <c r="R102" i="39" s="1"/>
  <c r="Q102" i="39"/>
  <c r="W102" i="39" s="1"/>
  <c r="O102" i="39"/>
  <c r="P102" i="39" s="1"/>
  <c r="AH101" i="39"/>
  <c r="AG101" i="39"/>
  <c r="AF101" i="39"/>
  <c r="AC101" i="39"/>
  <c r="AE101" i="39" s="1"/>
  <c r="AB101" i="39"/>
  <c r="U101" i="39"/>
  <c r="T101" i="39" s="1"/>
  <c r="S101" i="39"/>
  <c r="R101" i="39" s="1"/>
  <c r="Q101" i="39"/>
  <c r="W101" i="39" s="1"/>
  <c r="O101" i="39"/>
  <c r="P101" i="39" s="1"/>
  <c r="AH100" i="39"/>
  <c r="AG100" i="39"/>
  <c r="AF100" i="39"/>
  <c r="AC100" i="39"/>
  <c r="AD100" i="39" s="1"/>
  <c r="AB100" i="39"/>
  <c r="U100" i="39"/>
  <c r="T100" i="39" s="1"/>
  <c r="S100" i="39"/>
  <c r="R100" i="39" s="1"/>
  <c r="Q100" i="39"/>
  <c r="W100" i="39" s="1"/>
  <c r="O100" i="39"/>
  <c r="P100" i="39" s="1"/>
  <c r="AH99" i="39"/>
  <c r="AG99" i="39"/>
  <c r="AF99" i="39"/>
  <c r="AC99" i="39"/>
  <c r="AE99" i="39" s="1"/>
  <c r="AB99" i="39"/>
  <c r="U99" i="39"/>
  <c r="T99" i="39" s="1"/>
  <c r="S99" i="39"/>
  <c r="Q99" i="39"/>
  <c r="W99" i="39" s="1"/>
  <c r="O99" i="39"/>
  <c r="P99" i="39" s="1"/>
  <c r="AH98" i="39"/>
  <c r="AG98" i="39"/>
  <c r="AF98" i="39"/>
  <c r="AC98" i="39"/>
  <c r="AD98" i="39" s="1"/>
  <c r="AB98" i="39"/>
  <c r="U98" i="39"/>
  <c r="T98" i="39" s="1"/>
  <c r="S98" i="39"/>
  <c r="Q98" i="39"/>
  <c r="W98" i="39" s="1"/>
  <c r="O98" i="39"/>
  <c r="P98" i="39" s="1"/>
  <c r="AH97" i="39"/>
  <c r="AG97" i="39"/>
  <c r="AF97" i="39"/>
  <c r="AC97" i="39"/>
  <c r="AB97" i="39"/>
  <c r="U97" i="39"/>
  <c r="T97" i="39" s="1"/>
  <c r="S97" i="39"/>
  <c r="Q97" i="39"/>
  <c r="W97" i="39" s="1"/>
  <c r="O97" i="39"/>
  <c r="P97" i="39" s="1"/>
  <c r="AH96" i="39"/>
  <c r="AG96" i="39"/>
  <c r="AF96" i="39"/>
  <c r="AC96" i="39"/>
  <c r="AD96" i="39" s="1"/>
  <c r="AB96" i="39"/>
  <c r="U96" i="39"/>
  <c r="T96" i="39" s="1"/>
  <c r="S96" i="39"/>
  <c r="R96" i="39"/>
  <c r="Q96" i="39"/>
  <c r="W96" i="39" s="1"/>
  <c r="O96" i="39"/>
  <c r="P96" i="39" s="1"/>
  <c r="AH95" i="39"/>
  <c r="AG95" i="39"/>
  <c r="AF95" i="39"/>
  <c r="AC95" i="39"/>
  <c r="AE95" i="39" s="1"/>
  <c r="AB95" i="39"/>
  <c r="U95" i="39"/>
  <c r="T95" i="39" s="1"/>
  <c r="S95" i="39"/>
  <c r="R95" i="39" s="1"/>
  <c r="Q95" i="39"/>
  <c r="W95" i="39" s="1"/>
  <c r="O95" i="39"/>
  <c r="P95" i="39" s="1"/>
  <c r="AH94" i="39"/>
  <c r="AG94" i="39"/>
  <c r="AF94" i="39"/>
  <c r="AC94" i="39"/>
  <c r="AB94" i="39"/>
  <c r="U94" i="39"/>
  <c r="T94" i="39" s="1"/>
  <c r="S94" i="39"/>
  <c r="Q94" i="39"/>
  <c r="W94" i="39" s="1"/>
  <c r="O94" i="39"/>
  <c r="P94" i="39" s="1"/>
  <c r="AH93" i="39"/>
  <c r="AG93" i="39"/>
  <c r="AF93" i="39"/>
  <c r="AC93" i="39"/>
  <c r="AE93" i="39" s="1"/>
  <c r="AB93" i="39"/>
  <c r="U93" i="39"/>
  <c r="T93" i="39" s="1"/>
  <c r="S93" i="39"/>
  <c r="R93" i="39" s="1"/>
  <c r="Q93" i="39"/>
  <c r="W93" i="39" s="1"/>
  <c r="O93" i="39"/>
  <c r="P93" i="39" s="1"/>
  <c r="AH92" i="39"/>
  <c r="AG92" i="39"/>
  <c r="AF92" i="39"/>
  <c r="AC92" i="39"/>
  <c r="AD92" i="39" s="1"/>
  <c r="AB92" i="39"/>
  <c r="U92" i="39"/>
  <c r="T92" i="39" s="1"/>
  <c r="S92" i="39"/>
  <c r="R92" i="39" s="1"/>
  <c r="Q92" i="39"/>
  <c r="W92" i="39" s="1"/>
  <c r="O92" i="39"/>
  <c r="P92" i="39" s="1"/>
  <c r="AH91" i="39"/>
  <c r="AG91" i="39"/>
  <c r="AF91" i="39"/>
  <c r="AC91" i="39"/>
  <c r="AD91" i="39" s="1"/>
  <c r="AB91" i="39"/>
  <c r="U91" i="39"/>
  <c r="T91" i="39" s="1"/>
  <c r="S91" i="39"/>
  <c r="Q91" i="39"/>
  <c r="W91" i="39" s="1"/>
  <c r="O91" i="39"/>
  <c r="P91" i="39" s="1"/>
  <c r="AH90" i="39"/>
  <c r="AG90" i="39"/>
  <c r="AF90" i="39"/>
  <c r="AC90" i="39"/>
  <c r="AD90" i="39" s="1"/>
  <c r="AB90" i="39"/>
  <c r="U90" i="39"/>
  <c r="T90" i="39" s="1"/>
  <c r="S90" i="39"/>
  <c r="Q90" i="39"/>
  <c r="W90" i="39" s="1"/>
  <c r="O90" i="39"/>
  <c r="P90" i="39" s="1"/>
  <c r="AH89" i="39"/>
  <c r="AG89" i="39"/>
  <c r="AF89" i="39"/>
  <c r="AC89" i="39"/>
  <c r="AB89" i="39"/>
  <c r="U89" i="39"/>
  <c r="T89" i="39" s="1"/>
  <c r="S89" i="39"/>
  <c r="R89" i="39" s="1"/>
  <c r="Q89" i="39"/>
  <c r="W89" i="39" s="1"/>
  <c r="O89" i="39"/>
  <c r="P89" i="39" s="1"/>
  <c r="AH88" i="39"/>
  <c r="AG88" i="39"/>
  <c r="AF88" i="39"/>
  <c r="AC88" i="39"/>
  <c r="AD88" i="39" s="1"/>
  <c r="AB88" i="39"/>
  <c r="U88" i="39"/>
  <c r="T88" i="39" s="1"/>
  <c r="S88" i="39"/>
  <c r="R88" i="39" s="1"/>
  <c r="Q88" i="39"/>
  <c r="W88" i="39" s="1"/>
  <c r="O88" i="39"/>
  <c r="P88" i="39" s="1"/>
  <c r="AH87" i="39"/>
  <c r="AG87" i="39"/>
  <c r="AF87" i="39"/>
  <c r="AC87" i="39"/>
  <c r="AD87" i="39" s="1"/>
  <c r="AB87" i="39"/>
  <c r="U87" i="39"/>
  <c r="T87" i="39" s="1"/>
  <c r="S87" i="39"/>
  <c r="R87" i="39" s="1"/>
  <c r="Q87" i="39"/>
  <c r="W87" i="39" s="1"/>
  <c r="O87" i="39"/>
  <c r="P87" i="39" s="1"/>
  <c r="AH86" i="39"/>
  <c r="AG86" i="39"/>
  <c r="AF86" i="39"/>
  <c r="AC86" i="39"/>
  <c r="AB86" i="39"/>
  <c r="U86" i="39"/>
  <c r="T86" i="39" s="1"/>
  <c r="S86" i="39"/>
  <c r="Q86" i="39"/>
  <c r="W86" i="39" s="1"/>
  <c r="O86" i="39"/>
  <c r="P86" i="39" s="1"/>
  <c r="AH85" i="39"/>
  <c r="AG85" i="39"/>
  <c r="AF85" i="39"/>
  <c r="AC85" i="39"/>
  <c r="AB85" i="39"/>
  <c r="U85" i="39"/>
  <c r="T85" i="39" s="1"/>
  <c r="S85" i="39"/>
  <c r="R85" i="39" s="1"/>
  <c r="Q85" i="39"/>
  <c r="W85" i="39" s="1"/>
  <c r="O85" i="39"/>
  <c r="P85" i="39" s="1"/>
  <c r="AH84" i="39"/>
  <c r="AG84" i="39"/>
  <c r="AF84" i="39"/>
  <c r="AC84" i="39"/>
  <c r="AD84" i="39" s="1"/>
  <c r="AB84" i="39"/>
  <c r="U84" i="39"/>
  <c r="S84" i="39"/>
  <c r="R84" i="39" s="1"/>
  <c r="Q84" i="39"/>
  <c r="W84" i="39" s="1"/>
  <c r="O84" i="39"/>
  <c r="P84" i="39" s="1"/>
  <c r="AH83" i="39"/>
  <c r="AG83" i="39"/>
  <c r="AF83" i="39"/>
  <c r="AC83" i="39"/>
  <c r="AE83" i="39" s="1"/>
  <c r="AB83" i="39"/>
  <c r="U83" i="39"/>
  <c r="T83" i="39" s="1"/>
  <c r="S83" i="39"/>
  <c r="Q83" i="39"/>
  <c r="W83" i="39" s="1"/>
  <c r="O83" i="39"/>
  <c r="P83" i="39" s="1"/>
  <c r="AH82" i="39"/>
  <c r="AG82" i="39"/>
  <c r="AF82" i="39"/>
  <c r="AC82" i="39"/>
  <c r="AB82" i="39"/>
  <c r="U82" i="39"/>
  <c r="T82" i="39" s="1"/>
  <c r="S82" i="39"/>
  <c r="Q82" i="39"/>
  <c r="W82" i="39" s="1"/>
  <c r="O82" i="39"/>
  <c r="P82" i="39" s="1"/>
  <c r="AH81" i="39"/>
  <c r="AG81" i="39"/>
  <c r="AF81" i="39"/>
  <c r="AC81" i="39"/>
  <c r="AB81" i="39"/>
  <c r="U81" i="39"/>
  <c r="T81" i="39" s="1"/>
  <c r="S81" i="39"/>
  <c r="Q81" i="39"/>
  <c r="W81" i="39" s="1"/>
  <c r="O81" i="39"/>
  <c r="P81" i="39" s="1"/>
  <c r="AH80" i="39"/>
  <c r="AG80" i="39"/>
  <c r="AF80" i="39"/>
  <c r="AC80" i="39"/>
  <c r="AD80" i="39" s="1"/>
  <c r="AB80" i="39"/>
  <c r="U80" i="39"/>
  <c r="S80" i="39"/>
  <c r="R80" i="39" s="1"/>
  <c r="Q80" i="39"/>
  <c r="W80" i="39" s="1"/>
  <c r="O80" i="39"/>
  <c r="P80" i="39" s="1"/>
  <c r="AH79" i="39"/>
  <c r="AG79" i="39"/>
  <c r="AF79" i="39"/>
  <c r="AC79" i="39"/>
  <c r="AD79" i="39" s="1"/>
  <c r="AB79" i="39"/>
  <c r="U79" i="39"/>
  <c r="S79" i="39"/>
  <c r="R79" i="39" s="1"/>
  <c r="Q79" i="39"/>
  <c r="W79" i="39" s="1"/>
  <c r="O79" i="39"/>
  <c r="P79" i="39" s="1"/>
  <c r="AH78" i="39"/>
  <c r="AG78" i="39"/>
  <c r="AF78" i="39"/>
  <c r="AC78" i="39"/>
  <c r="AB78" i="39"/>
  <c r="U78" i="39"/>
  <c r="T78" i="39" s="1"/>
  <c r="S78" i="39"/>
  <c r="Q78" i="39"/>
  <c r="W78" i="39" s="1"/>
  <c r="O78" i="39"/>
  <c r="P78" i="39" s="1"/>
  <c r="AH77" i="39"/>
  <c r="AG77" i="39"/>
  <c r="AF77" i="39"/>
  <c r="AC77" i="39"/>
  <c r="AB77" i="39"/>
  <c r="U77" i="39"/>
  <c r="T77" i="39" s="1"/>
  <c r="S77" i="39"/>
  <c r="Q77" i="39"/>
  <c r="W77" i="39" s="1"/>
  <c r="O77" i="39"/>
  <c r="P77" i="39" s="1"/>
  <c r="AH76" i="39"/>
  <c r="AG76" i="39"/>
  <c r="AF76" i="39"/>
  <c r="AC76" i="39"/>
  <c r="AD76" i="39" s="1"/>
  <c r="AB76" i="39"/>
  <c r="U76" i="39"/>
  <c r="T76" i="39" s="1"/>
  <c r="S76" i="39"/>
  <c r="Q76" i="39"/>
  <c r="W76" i="39" s="1"/>
  <c r="O76" i="39"/>
  <c r="P76" i="39" s="1"/>
  <c r="AH75" i="39"/>
  <c r="AG75" i="39"/>
  <c r="AF75" i="39"/>
  <c r="AC75" i="39"/>
  <c r="AD75" i="39" s="1"/>
  <c r="AB75" i="39"/>
  <c r="U75" i="39"/>
  <c r="S75" i="39"/>
  <c r="R75" i="39" s="1"/>
  <c r="Q75" i="39"/>
  <c r="W75" i="39" s="1"/>
  <c r="AI75" i="39" s="1"/>
  <c r="P75" i="39"/>
  <c r="AH74" i="39"/>
  <c r="AG74" i="39"/>
  <c r="AF74" i="39"/>
  <c r="AC74" i="39"/>
  <c r="AD74" i="39" s="1"/>
  <c r="AB74" i="39"/>
  <c r="U74" i="39"/>
  <c r="S74" i="39"/>
  <c r="R74" i="39" s="1"/>
  <c r="Q74" i="39"/>
  <c r="W74" i="39" s="1"/>
  <c r="O74" i="39"/>
  <c r="P74" i="39" s="1"/>
  <c r="AH73" i="39"/>
  <c r="AG73" i="39"/>
  <c r="AF73" i="39"/>
  <c r="AC73" i="39"/>
  <c r="AE73" i="39" s="1"/>
  <c r="AB73" i="39"/>
  <c r="U73" i="39"/>
  <c r="T73" i="39" s="1"/>
  <c r="S73" i="39"/>
  <c r="R73" i="39" s="1"/>
  <c r="Q73" i="39"/>
  <c r="W73" i="39" s="1"/>
  <c r="O73" i="39"/>
  <c r="P73" i="39" s="1"/>
  <c r="AH72" i="39"/>
  <c r="AG72" i="39"/>
  <c r="AF72" i="39"/>
  <c r="AC72" i="39"/>
  <c r="AE72" i="39" s="1"/>
  <c r="AB72" i="39"/>
  <c r="U72" i="39"/>
  <c r="T72" i="39" s="1"/>
  <c r="S72" i="39"/>
  <c r="R72" i="39" s="1"/>
  <c r="Q72" i="39"/>
  <c r="W72" i="39" s="1"/>
  <c r="O72" i="39"/>
  <c r="P72" i="39" s="1"/>
  <c r="AH71" i="39"/>
  <c r="AG71" i="39"/>
  <c r="AF71" i="39"/>
  <c r="AC71" i="39"/>
  <c r="AE71" i="39" s="1"/>
  <c r="AB71" i="39"/>
  <c r="U71" i="39"/>
  <c r="T71" i="39" s="1"/>
  <c r="S71" i="39"/>
  <c r="R71" i="39" s="1"/>
  <c r="Q71" i="39"/>
  <c r="W71" i="39" s="1"/>
  <c r="O71" i="39"/>
  <c r="P71" i="39" s="1"/>
  <c r="AH70" i="39"/>
  <c r="AG70" i="39"/>
  <c r="AF70" i="39"/>
  <c r="AC70" i="39"/>
  <c r="AE70" i="39" s="1"/>
  <c r="AB70" i="39"/>
  <c r="U70" i="39"/>
  <c r="T70" i="39" s="1"/>
  <c r="S70" i="39"/>
  <c r="R70" i="39" s="1"/>
  <c r="Q70" i="39"/>
  <c r="W70" i="39" s="1"/>
  <c r="O70" i="39"/>
  <c r="P70" i="39" s="1"/>
  <c r="AH69" i="39"/>
  <c r="AG69" i="39"/>
  <c r="AF69" i="39"/>
  <c r="AC69" i="39"/>
  <c r="AB69" i="39"/>
  <c r="U69" i="39"/>
  <c r="T69" i="39" s="1"/>
  <c r="S69" i="39"/>
  <c r="Q69" i="39"/>
  <c r="W69" i="39" s="1"/>
  <c r="O69" i="39"/>
  <c r="P69" i="39" s="1"/>
  <c r="AH68" i="39"/>
  <c r="AG68" i="39"/>
  <c r="AF68" i="39"/>
  <c r="AC68" i="39"/>
  <c r="AD68" i="39" s="1"/>
  <c r="AB68" i="39"/>
  <c r="U68" i="39"/>
  <c r="S68" i="39"/>
  <c r="R68" i="39" s="1"/>
  <c r="Q68" i="39"/>
  <c r="W68" i="39" s="1"/>
  <c r="O68" i="39"/>
  <c r="P68" i="39" s="1"/>
  <c r="AH67" i="39"/>
  <c r="AG67" i="39"/>
  <c r="AF67" i="39"/>
  <c r="AC67" i="39"/>
  <c r="AE67" i="39" s="1"/>
  <c r="AB67" i="39"/>
  <c r="U67" i="39"/>
  <c r="T67" i="39" s="1"/>
  <c r="S67" i="39"/>
  <c r="R67" i="39" s="1"/>
  <c r="Q67" i="39"/>
  <c r="W67" i="39" s="1"/>
  <c r="O67" i="39"/>
  <c r="P67" i="39" s="1"/>
  <c r="AH66" i="39"/>
  <c r="AG66" i="39"/>
  <c r="AF66" i="39"/>
  <c r="AC66" i="39"/>
  <c r="AD66" i="39" s="1"/>
  <c r="AB66" i="39"/>
  <c r="U66" i="39"/>
  <c r="S66" i="39"/>
  <c r="R66" i="39" s="1"/>
  <c r="Q66" i="39"/>
  <c r="W66" i="39" s="1"/>
  <c r="O66" i="39"/>
  <c r="P66" i="39" s="1"/>
  <c r="AH65" i="39"/>
  <c r="AG65" i="39"/>
  <c r="AF65" i="39"/>
  <c r="AC65" i="39"/>
  <c r="AB65" i="39"/>
  <c r="U65" i="39"/>
  <c r="T65" i="39" s="1"/>
  <c r="S65" i="39"/>
  <c r="Q65" i="39"/>
  <c r="W65" i="39" s="1"/>
  <c r="O65" i="39"/>
  <c r="P65" i="39" s="1"/>
  <c r="AH64" i="39"/>
  <c r="AG64" i="39"/>
  <c r="AF64" i="39"/>
  <c r="AC64" i="39"/>
  <c r="AD64" i="39" s="1"/>
  <c r="AB64" i="39"/>
  <c r="U64" i="39"/>
  <c r="T64" i="39" s="1"/>
  <c r="S64" i="39"/>
  <c r="Q64" i="39"/>
  <c r="W64" i="39" s="1"/>
  <c r="O64" i="39"/>
  <c r="P64" i="39" s="1"/>
  <c r="AH63" i="39"/>
  <c r="AG63" i="39"/>
  <c r="AF63" i="39"/>
  <c r="AC63" i="39"/>
  <c r="AE63" i="39" s="1"/>
  <c r="AB63" i="39"/>
  <c r="U63" i="39"/>
  <c r="T63" i="39" s="1"/>
  <c r="S63" i="39"/>
  <c r="R63" i="39" s="1"/>
  <c r="Q63" i="39"/>
  <c r="W63" i="39" s="1"/>
  <c r="O63" i="39"/>
  <c r="P63" i="39" s="1"/>
  <c r="AH62" i="39"/>
  <c r="AG62" i="39"/>
  <c r="AF62" i="39"/>
  <c r="AC62" i="39"/>
  <c r="AE62" i="39" s="1"/>
  <c r="AB62" i="39"/>
  <c r="U62" i="39"/>
  <c r="S62" i="39"/>
  <c r="R62" i="39" s="1"/>
  <c r="Q62" i="39"/>
  <c r="W62" i="39" s="1"/>
  <c r="O62" i="39"/>
  <c r="P62" i="39" s="1"/>
  <c r="AH61" i="39"/>
  <c r="AG61" i="39"/>
  <c r="AF61" i="39"/>
  <c r="AC61" i="39"/>
  <c r="AE61" i="39" s="1"/>
  <c r="AB61" i="39"/>
  <c r="U61" i="39"/>
  <c r="T61" i="39" s="1"/>
  <c r="S61" i="39"/>
  <c r="R61" i="39" s="1"/>
  <c r="Q61" i="39"/>
  <c r="W61" i="39" s="1"/>
  <c r="O61" i="39"/>
  <c r="P61" i="39" s="1"/>
  <c r="AH60" i="39"/>
  <c r="AG60" i="39"/>
  <c r="AF60" i="39"/>
  <c r="AC60" i="39"/>
  <c r="AB60" i="39"/>
  <c r="U60" i="39"/>
  <c r="T60" i="39" s="1"/>
  <c r="S60" i="39"/>
  <c r="Q60" i="39"/>
  <c r="W60" i="39" s="1"/>
  <c r="O60" i="39"/>
  <c r="P60" i="39" s="1"/>
  <c r="AH59" i="39"/>
  <c r="AG59" i="39"/>
  <c r="AF59" i="39"/>
  <c r="AC59" i="39"/>
  <c r="AE59" i="39" s="1"/>
  <c r="AB59" i="39"/>
  <c r="U59" i="39"/>
  <c r="T59" i="39" s="1"/>
  <c r="S59" i="39"/>
  <c r="R59" i="39" s="1"/>
  <c r="Q59" i="39"/>
  <c r="W59" i="39" s="1"/>
  <c r="O59" i="39"/>
  <c r="P59" i="39" s="1"/>
  <c r="AH58" i="39"/>
  <c r="AG58" i="39"/>
  <c r="AF58" i="39"/>
  <c r="AC58" i="39"/>
  <c r="AD58" i="39" s="1"/>
  <c r="AB58" i="39"/>
  <c r="U58" i="39"/>
  <c r="T58" i="39" s="1"/>
  <c r="S58" i="39"/>
  <c r="R58" i="39" s="1"/>
  <c r="Q58" i="39"/>
  <c r="W58" i="39" s="1"/>
  <c r="O58" i="39"/>
  <c r="P58" i="39" s="1"/>
  <c r="AH57" i="39"/>
  <c r="AG57" i="39"/>
  <c r="AF57" i="39"/>
  <c r="AC57" i="39"/>
  <c r="AE57" i="39" s="1"/>
  <c r="AB57" i="39"/>
  <c r="U57" i="39"/>
  <c r="T57" i="39" s="1"/>
  <c r="S57" i="39"/>
  <c r="R57" i="39" s="1"/>
  <c r="Q57" i="39"/>
  <c r="W57" i="39" s="1"/>
  <c r="O57" i="39"/>
  <c r="P57" i="39" s="1"/>
  <c r="AH56" i="39"/>
  <c r="AG56" i="39"/>
  <c r="AF56" i="39"/>
  <c r="AC56" i="39"/>
  <c r="AD56" i="39" s="1"/>
  <c r="AB56" i="39"/>
  <c r="U56" i="39"/>
  <c r="T56" i="39" s="1"/>
  <c r="S56" i="39"/>
  <c r="R56" i="39" s="1"/>
  <c r="Q56" i="39"/>
  <c r="W56" i="39" s="1"/>
  <c r="O56" i="39"/>
  <c r="P56" i="39" s="1"/>
  <c r="AH55" i="39"/>
  <c r="AG55" i="39"/>
  <c r="AF55" i="39"/>
  <c r="AC55" i="39"/>
  <c r="AE55" i="39" s="1"/>
  <c r="AB55" i="39"/>
  <c r="U55" i="39"/>
  <c r="T55" i="39" s="1"/>
  <c r="S55" i="39"/>
  <c r="R55" i="39" s="1"/>
  <c r="Q55" i="39"/>
  <c r="W55" i="39" s="1"/>
  <c r="AI55" i="39" s="1"/>
  <c r="O55" i="39"/>
  <c r="P55" i="39" s="1"/>
  <c r="AH54" i="39"/>
  <c r="AG54" i="39"/>
  <c r="AF54" i="39"/>
  <c r="AC54" i="39"/>
  <c r="AD54" i="39" s="1"/>
  <c r="AB54" i="39"/>
  <c r="U54" i="39"/>
  <c r="T54" i="39" s="1"/>
  <c r="S54" i="39"/>
  <c r="R54" i="39" s="1"/>
  <c r="Q54" i="39"/>
  <c r="W54" i="39" s="1"/>
  <c r="O54" i="39"/>
  <c r="P54" i="39" s="1"/>
  <c r="AH53" i="39"/>
  <c r="AG53" i="39"/>
  <c r="AF53" i="39"/>
  <c r="AC53" i="39"/>
  <c r="AE53" i="39" s="1"/>
  <c r="AB53" i="39"/>
  <c r="U53" i="39"/>
  <c r="T53" i="39" s="1"/>
  <c r="S53" i="39"/>
  <c r="R53" i="39" s="1"/>
  <c r="Q53" i="39"/>
  <c r="W53" i="39" s="1"/>
  <c r="O53" i="39"/>
  <c r="P53" i="39" s="1"/>
  <c r="AH52" i="39"/>
  <c r="AG52" i="39"/>
  <c r="AF52" i="39"/>
  <c r="AC52" i="39"/>
  <c r="AD52" i="39" s="1"/>
  <c r="AB52" i="39"/>
  <c r="U52" i="39"/>
  <c r="T52" i="39" s="1"/>
  <c r="S52" i="39"/>
  <c r="R52" i="39" s="1"/>
  <c r="Q52" i="39"/>
  <c r="W52" i="39" s="1"/>
  <c r="O52" i="39"/>
  <c r="P52" i="39" s="1"/>
  <c r="AH51" i="39"/>
  <c r="AG51" i="39"/>
  <c r="AF51" i="39"/>
  <c r="AC51" i="39"/>
  <c r="AE51" i="39" s="1"/>
  <c r="AB51" i="39"/>
  <c r="U51" i="39"/>
  <c r="T51" i="39" s="1"/>
  <c r="S51" i="39"/>
  <c r="R51" i="39" s="1"/>
  <c r="Q51" i="39"/>
  <c r="W51" i="39" s="1"/>
  <c r="O51" i="39"/>
  <c r="P51" i="39" s="1"/>
  <c r="AH50" i="39"/>
  <c r="AG50" i="39"/>
  <c r="AF50" i="39"/>
  <c r="AC50" i="39"/>
  <c r="AD50" i="39" s="1"/>
  <c r="AB50" i="39"/>
  <c r="U50" i="39"/>
  <c r="T50" i="39" s="1"/>
  <c r="S50" i="39"/>
  <c r="R50" i="39" s="1"/>
  <c r="Q50" i="39"/>
  <c r="W50" i="39" s="1"/>
  <c r="O50" i="39"/>
  <c r="P50" i="39" s="1"/>
  <c r="AH49" i="39"/>
  <c r="AG49" i="39"/>
  <c r="AF49" i="39"/>
  <c r="AC49" i="39"/>
  <c r="AD49" i="39" s="1"/>
  <c r="AB49" i="39"/>
  <c r="U49" i="39"/>
  <c r="T49" i="39" s="1"/>
  <c r="S49" i="39"/>
  <c r="R49" i="39" s="1"/>
  <c r="Q49" i="39"/>
  <c r="W49" i="39" s="1"/>
  <c r="O49" i="39"/>
  <c r="P49" i="39" s="1"/>
  <c r="AH48" i="39"/>
  <c r="AG48" i="39"/>
  <c r="AF48" i="39"/>
  <c r="AC48" i="39"/>
  <c r="AD48" i="39" s="1"/>
  <c r="AB48" i="39"/>
  <c r="U48" i="39"/>
  <c r="T48" i="39" s="1"/>
  <c r="S48" i="39"/>
  <c r="R48" i="39" s="1"/>
  <c r="Q48" i="39"/>
  <c r="W48" i="39" s="1"/>
  <c r="O48" i="39"/>
  <c r="P48" i="39" s="1"/>
  <c r="AH47" i="39"/>
  <c r="AG47" i="39"/>
  <c r="AF47" i="39"/>
  <c r="AC47" i="39"/>
  <c r="AE47" i="39" s="1"/>
  <c r="AB47" i="39"/>
  <c r="U47" i="39"/>
  <c r="T47" i="39" s="1"/>
  <c r="S47" i="39"/>
  <c r="R47" i="39" s="1"/>
  <c r="Q47" i="39"/>
  <c r="W47" i="39" s="1"/>
  <c r="O47" i="39"/>
  <c r="P47" i="39" s="1"/>
  <c r="AH46" i="39"/>
  <c r="AG46" i="39"/>
  <c r="AF46" i="39"/>
  <c r="AC46" i="39"/>
  <c r="AD46" i="39" s="1"/>
  <c r="AB46" i="39"/>
  <c r="U46" i="39"/>
  <c r="T46" i="39" s="1"/>
  <c r="S46" i="39"/>
  <c r="R46" i="39" s="1"/>
  <c r="Q46" i="39"/>
  <c r="W46" i="39" s="1"/>
  <c r="O46" i="39"/>
  <c r="P46" i="39" s="1"/>
  <c r="AH45" i="39"/>
  <c r="AG45" i="39"/>
  <c r="AF45" i="39"/>
  <c r="AC45" i="39"/>
  <c r="AE45" i="39" s="1"/>
  <c r="AB45" i="39"/>
  <c r="U45" i="39"/>
  <c r="T45" i="39" s="1"/>
  <c r="S45" i="39"/>
  <c r="R45" i="39" s="1"/>
  <c r="Q45" i="39"/>
  <c r="W45" i="39" s="1"/>
  <c r="O45" i="39"/>
  <c r="P45" i="39" s="1"/>
  <c r="AH44" i="39"/>
  <c r="AG44" i="39"/>
  <c r="AF44" i="39"/>
  <c r="AC44" i="39"/>
  <c r="AD44" i="39" s="1"/>
  <c r="AB44" i="39"/>
  <c r="U44" i="39"/>
  <c r="T44" i="39" s="1"/>
  <c r="S44" i="39"/>
  <c r="R44" i="39" s="1"/>
  <c r="Q44" i="39"/>
  <c r="W44" i="39" s="1"/>
  <c r="O44" i="39"/>
  <c r="P44" i="39" s="1"/>
  <c r="AH43" i="39"/>
  <c r="AG43" i="39"/>
  <c r="AF43" i="39"/>
  <c r="AC43" i="39"/>
  <c r="AE43" i="39" s="1"/>
  <c r="AB43" i="39"/>
  <c r="U43" i="39"/>
  <c r="T43" i="39" s="1"/>
  <c r="S43" i="39"/>
  <c r="R43" i="39" s="1"/>
  <c r="Q43" i="39"/>
  <c r="W43" i="39" s="1"/>
  <c r="O43" i="39"/>
  <c r="P43" i="39" s="1"/>
  <c r="AH42" i="39"/>
  <c r="AG42" i="39"/>
  <c r="AF42" i="39"/>
  <c r="AC42" i="39"/>
  <c r="AD42" i="39" s="1"/>
  <c r="AB42" i="39"/>
  <c r="U42" i="39"/>
  <c r="T42" i="39" s="1"/>
  <c r="S42" i="39"/>
  <c r="R42" i="39" s="1"/>
  <c r="Q42" i="39"/>
  <c r="W42" i="39" s="1"/>
  <c r="O42" i="39"/>
  <c r="P42" i="39" s="1"/>
  <c r="AH41" i="39"/>
  <c r="AG41" i="39"/>
  <c r="AF41" i="39"/>
  <c r="AC41" i="39"/>
  <c r="AE41" i="39" s="1"/>
  <c r="AB41" i="39"/>
  <c r="U41" i="39"/>
  <c r="T41" i="39" s="1"/>
  <c r="S41" i="39"/>
  <c r="R41" i="39" s="1"/>
  <c r="Q41" i="39"/>
  <c r="W41" i="39" s="1"/>
  <c r="O41" i="39"/>
  <c r="P41" i="39" s="1"/>
  <c r="AH40" i="39"/>
  <c r="AG40" i="39"/>
  <c r="AF40" i="39"/>
  <c r="AC40" i="39"/>
  <c r="AD40" i="39" s="1"/>
  <c r="AB40" i="39"/>
  <c r="U40" i="39"/>
  <c r="T40" i="39" s="1"/>
  <c r="S40" i="39"/>
  <c r="R40" i="39" s="1"/>
  <c r="Q40" i="39"/>
  <c r="W40" i="39" s="1"/>
  <c r="O40" i="39"/>
  <c r="P40" i="39" s="1"/>
  <c r="AH39" i="39"/>
  <c r="AG39" i="39"/>
  <c r="AF39" i="39"/>
  <c r="AC39" i="39"/>
  <c r="AE39" i="39" s="1"/>
  <c r="AB39" i="39"/>
  <c r="U39" i="39"/>
  <c r="T39" i="39" s="1"/>
  <c r="S39" i="39"/>
  <c r="R39" i="39" s="1"/>
  <c r="Q39" i="39"/>
  <c r="W39" i="39" s="1"/>
  <c r="O39" i="39"/>
  <c r="P39" i="39" s="1"/>
  <c r="AH38" i="39"/>
  <c r="AG38" i="39"/>
  <c r="AF38" i="39"/>
  <c r="AC38" i="39"/>
  <c r="AD38" i="39" s="1"/>
  <c r="AB38" i="39"/>
  <c r="U38" i="39"/>
  <c r="T38" i="39" s="1"/>
  <c r="S38" i="39"/>
  <c r="R38" i="39" s="1"/>
  <c r="Q38" i="39"/>
  <c r="W38" i="39" s="1"/>
  <c r="O38" i="39"/>
  <c r="P38" i="39" s="1"/>
  <c r="AH37" i="39"/>
  <c r="AG37" i="39"/>
  <c r="AF37" i="39"/>
  <c r="AC37" i="39"/>
  <c r="AD37" i="39" s="1"/>
  <c r="AB37" i="39"/>
  <c r="U37" i="39"/>
  <c r="T37" i="39" s="1"/>
  <c r="S37" i="39"/>
  <c r="R37" i="39" s="1"/>
  <c r="Q37" i="39"/>
  <c r="W37" i="39" s="1"/>
  <c r="O37" i="39"/>
  <c r="P37" i="39" s="1"/>
  <c r="AH36" i="39"/>
  <c r="AG36" i="39"/>
  <c r="AF36" i="39"/>
  <c r="AC36" i="39"/>
  <c r="AD36" i="39" s="1"/>
  <c r="AB36" i="39"/>
  <c r="U36" i="39"/>
  <c r="T36" i="39" s="1"/>
  <c r="S36" i="39"/>
  <c r="R36" i="39" s="1"/>
  <c r="Q36" i="39"/>
  <c r="W36" i="39" s="1"/>
  <c r="O36" i="39"/>
  <c r="P36" i="39" s="1"/>
  <c r="AH35" i="39"/>
  <c r="AG35" i="39"/>
  <c r="AF35" i="39"/>
  <c r="AC35" i="39"/>
  <c r="AD35" i="39" s="1"/>
  <c r="AB35" i="39"/>
  <c r="U35" i="39"/>
  <c r="T35" i="39" s="1"/>
  <c r="S35" i="39"/>
  <c r="R35" i="39" s="1"/>
  <c r="Q35" i="39"/>
  <c r="W35" i="39" s="1"/>
  <c r="O35" i="39"/>
  <c r="P35" i="39" s="1"/>
  <c r="AH34" i="39"/>
  <c r="AG34" i="39"/>
  <c r="AF34" i="39"/>
  <c r="AC34" i="39"/>
  <c r="AD34" i="39" s="1"/>
  <c r="AB34" i="39"/>
  <c r="U34" i="39"/>
  <c r="T34" i="39" s="1"/>
  <c r="S34" i="39"/>
  <c r="R34" i="39" s="1"/>
  <c r="Q34" i="39"/>
  <c r="W34" i="39" s="1"/>
  <c r="O34" i="39"/>
  <c r="P34" i="39" s="1"/>
  <c r="AH33" i="39"/>
  <c r="AG33" i="39"/>
  <c r="AF33" i="39"/>
  <c r="AC33" i="39"/>
  <c r="AD33" i="39" s="1"/>
  <c r="AB33" i="39"/>
  <c r="U33" i="39"/>
  <c r="T33" i="39" s="1"/>
  <c r="S33" i="39"/>
  <c r="R33" i="39" s="1"/>
  <c r="Q33" i="39"/>
  <c r="W33" i="39" s="1"/>
  <c r="O33" i="39"/>
  <c r="P33" i="39" s="1"/>
  <c r="AH32" i="39"/>
  <c r="AG32" i="39"/>
  <c r="AF32" i="39"/>
  <c r="AC32" i="39"/>
  <c r="AD32" i="39" s="1"/>
  <c r="AB32" i="39"/>
  <c r="U32" i="39"/>
  <c r="S32" i="39"/>
  <c r="R32" i="39" s="1"/>
  <c r="Q32" i="39"/>
  <c r="W32" i="39" s="1"/>
  <c r="O32" i="39"/>
  <c r="P32" i="39" s="1"/>
  <c r="AH31" i="39"/>
  <c r="AG31" i="39"/>
  <c r="AF31" i="39"/>
  <c r="AC31" i="39"/>
  <c r="AE31" i="39" s="1"/>
  <c r="AB31" i="39"/>
  <c r="U31" i="39"/>
  <c r="T31" i="39" s="1"/>
  <c r="S31" i="39"/>
  <c r="R31" i="39" s="1"/>
  <c r="Q31" i="39"/>
  <c r="W31" i="39" s="1"/>
  <c r="O31" i="39"/>
  <c r="P31" i="39" s="1"/>
  <c r="AH30" i="39"/>
  <c r="AG30" i="39"/>
  <c r="AF30" i="39"/>
  <c r="AC30" i="39"/>
  <c r="AD30" i="39" s="1"/>
  <c r="AB30" i="39"/>
  <c r="U30" i="39"/>
  <c r="T30" i="39" s="1"/>
  <c r="S30" i="39"/>
  <c r="R30" i="39" s="1"/>
  <c r="Q30" i="39"/>
  <c r="W30" i="39" s="1"/>
  <c r="O30" i="39"/>
  <c r="P30" i="39" s="1"/>
  <c r="AH29" i="39"/>
  <c r="AG29" i="39"/>
  <c r="AF29" i="39"/>
  <c r="AC29" i="39"/>
  <c r="AE29" i="39" s="1"/>
  <c r="AB29" i="39"/>
  <c r="U29" i="39"/>
  <c r="T29" i="39" s="1"/>
  <c r="S29" i="39"/>
  <c r="R29" i="39" s="1"/>
  <c r="Q29" i="39"/>
  <c r="W29" i="39" s="1"/>
  <c r="O29" i="39"/>
  <c r="P29" i="39" s="1"/>
  <c r="AH28" i="39"/>
  <c r="AG28" i="39"/>
  <c r="AF28" i="39"/>
  <c r="AC28" i="39"/>
  <c r="AD28" i="39" s="1"/>
  <c r="AB28" i="39"/>
  <c r="U28" i="39"/>
  <c r="T28" i="39" s="1"/>
  <c r="S28" i="39"/>
  <c r="R28" i="39" s="1"/>
  <c r="Q28" i="39"/>
  <c r="W28" i="39" s="1"/>
  <c r="O28" i="39"/>
  <c r="P28" i="39" s="1"/>
  <c r="AH27" i="39"/>
  <c r="AG27" i="39"/>
  <c r="AF27" i="39"/>
  <c r="AC27" i="39"/>
  <c r="AD27" i="39" s="1"/>
  <c r="AB27" i="39"/>
  <c r="U27" i="39"/>
  <c r="T27" i="39" s="1"/>
  <c r="S27" i="39"/>
  <c r="R27" i="39" s="1"/>
  <c r="Q27" i="39"/>
  <c r="W27" i="39" s="1"/>
  <c r="O27" i="39"/>
  <c r="P27" i="39" s="1"/>
  <c r="AH26" i="39"/>
  <c r="AG26" i="39"/>
  <c r="AF26" i="39"/>
  <c r="AC26" i="39"/>
  <c r="AD26" i="39" s="1"/>
  <c r="AB26" i="39"/>
  <c r="U26" i="39"/>
  <c r="T26" i="39" s="1"/>
  <c r="S26" i="39"/>
  <c r="R26" i="39" s="1"/>
  <c r="Q26" i="39"/>
  <c r="W26" i="39" s="1"/>
  <c r="O26" i="39"/>
  <c r="P26" i="39" s="1"/>
  <c r="AH25" i="39"/>
  <c r="AG25" i="39"/>
  <c r="AF25" i="39"/>
  <c r="AC25" i="39"/>
  <c r="AE25" i="39" s="1"/>
  <c r="AB25" i="39"/>
  <c r="U25" i="39"/>
  <c r="T25" i="39" s="1"/>
  <c r="S25" i="39"/>
  <c r="R25" i="39"/>
  <c r="Q25" i="39"/>
  <c r="W25" i="39" s="1"/>
  <c r="O25" i="39"/>
  <c r="P25" i="39" s="1"/>
  <c r="AH24" i="39"/>
  <c r="AG24" i="39"/>
  <c r="AF24" i="39"/>
  <c r="AC24" i="39"/>
  <c r="AD24" i="39" s="1"/>
  <c r="AB24" i="39"/>
  <c r="U24" i="39"/>
  <c r="T24" i="39" s="1"/>
  <c r="S24" i="39"/>
  <c r="R24" i="39" s="1"/>
  <c r="Q24" i="39"/>
  <c r="W24" i="39" s="1"/>
  <c r="O24" i="39"/>
  <c r="P24" i="39" s="1"/>
  <c r="AH23" i="39"/>
  <c r="AG23" i="39"/>
  <c r="AF23" i="39"/>
  <c r="AC23" i="39"/>
  <c r="AE23" i="39" s="1"/>
  <c r="AB23" i="39"/>
  <c r="U23" i="39"/>
  <c r="T23" i="39" s="1"/>
  <c r="S23" i="39"/>
  <c r="R23" i="39" s="1"/>
  <c r="Q23" i="39"/>
  <c r="W23" i="39" s="1"/>
  <c r="O23" i="39"/>
  <c r="P23" i="39" s="1"/>
  <c r="AH22" i="39"/>
  <c r="AG22" i="39"/>
  <c r="AF22" i="39"/>
  <c r="AC22" i="39"/>
  <c r="AD22" i="39" s="1"/>
  <c r="AB22" i="39"/>
  <c r="U22" i="39"/>
  <c r="T22" i="39" s="1"/>
  <c r="S22" i="39"/>
  <c r="R22" i="39" s="1"/>
  <c r="Q22" i="39"/>
  <c r="W22" i="39" s="1"/>
  <c r="P22" i="39"/>
  <c r="AH21" i="39"/>
  <c r="AG21" i="39"/>
  <c r="AF21" i="39"/>
  <c r="AC21" i="39"/>
  <c r="AD21" i="39" s="1"/>
  <c r="AB21" i="39"/>
  <c r="U21" i="39"/>
  <c r="T21" i="39" s="1"/>
  <c r="S21" i="39"/>
  <c r="R21" i="39" s="1"/>
  <c r="Q21" i="39"/>
  <c r="W21" i="39" s="1"/>
  <c r="O21" i="39"/>
  <c r="P21" i="39" s="1"/>
  <c r="AH20" i="39"/>
  <c r="AG20" i="39"/>
  <c r="AF20" i="39"/>
  <c r="AC20" i="39"/>
  <c r="AD20" i="39" s="1"/>
  <c r="AB20" i="39"/>
  <c r="U20" i="39"/>
  <c r="T20" i="39" s="1"/>
  <c r="S20" i="39"/>
  <c r="R20" i="39" s="1"/>
  <c r="Q20" i="39"/>
  <c r="W20" i="39" s="1"/>
  <c r="O20" i="39"/>
  <c r="P20" i="39" s="1"/>
  <c r="AH19" i="39"/>
  <c r="AG19" i="39"/>
  <c r="AF19" i="39"/>
  <c r="AC19" i="39"/>
  <c r="AE19" i="39" s="1"/>
  <c r="AB19" i="39"/>
  <c r="U19" i="39"/>
  <c r="T19" i="39" s="1"/>
  <c r="S19" i="39"/>
  <c r="R19" i="39" s="1"/>
  <c r="Q19" i="39"/>
  <c r="W19" i="39" s="1"/>
  <c r="O19" i="39"/>
  <c r="P19" i="39" s="1"/>
  <c r="AH18" i="39"/>
  <c r="AG18" i="39"/>
  <c r="AF18" i="39"/>
  <c r="AC18" i="39"/>
  <c r="AD18" i="39" s="1"/>
  <c r="AB18" i="39"/>
  <c r="U18" i="39"/>
  <c r="T18" i="39" s="1"/>
  <c r="S18" i="39"/>
  <c r="R18" i="39" s="1"/>
  <c r="Q18" i="39"/>
  <c r="W18" i="39" s="1"/>
  <c r="O18" i="39"/>
  <c r="P18" i="39" s="1"/>
  <c r="AH17" i="39"/>
  <c r="AG17" i="39"/>
  <c r="AF17" i="39"/>
  <c r="AC17" i="39"/>
  <c r="AD17" i="39" s="1"/>
  <c r="AB17" i="39"/>
  <c r="U17" i="39"/>
  <c r="T17" i="39" s="1"/>
  <c r="S17" i="39"/>
  <c r="R17" i="39" s="1"/>
  <c r="Q17" i="39"/>
  <c r="W17" i="39" s="1"/>
  <c r="O17" i="39"/>
  <c r="P17" i="39" s="1"/>
  <c r="AH16" i="39"/>
  <c r="AG16" i="39"/>
  <c r="AF16" i="39"/>
  <c r="AC16" i="39"/>
  <c r="AD16" i="39" s="1"/>
  <c r="AB16" i="39"/>
  <c r="U16" i="39"/>
  <c r="T16" i="39" s="1"/>
  <c r="S16" i="39"/>
  <c r="R16" i="39" s="1"/>
  <c r="Q16" i="39"/>
  <c r="W16" i="39" s="1"/>
  <c r="O16" i="39"/>
  <c r="P16" i="39" s="1"/>
  <c r="AH15" i="39"/>
  <c r="AG15" i="39"/>
  <c r="AF15" i="39"/>
  <c r="AC15" i="39"/>
  <c r="AE15" i="39" s="1"/>
  <c r="AB15" i="39"/>
  <c r="U15" i="39"/>
  <c r="T15" i="39" s="1"/>
  <c r="S15" i="39"/>
  <c r="R15" i="39" s="1"/>
  <c r="Q15" i="39"/>
  <c r="W15" i="39" s="1"/>
  <c r="O15" i="39"/>
  <c r="P15" i="39" s="1"/>
  <c r="AH14" i="39"/>
  <c r="AG14" i="39"/>
  <c r="AF14" i="39"/>
  <c r="AC14" i="39"/>
  <c r="AD14" i="39" s="1"/>
  <c r="AB14" i="39"/>
  <c r="U14" i="39"/>
  <c r="T14" i="39" s="1"/>
  <c r="S14" i="39"/>
  <c r="R14" i="39" s="1"/>
  <c r="Q14" i="39"/>
  <c r="W14" i="39" s="1"/>
  <c r="O14" i="39"/>
  <c r="P14" i="39" s="1"/>
  <c r="AH13" i="39"/>
  <c r="AG13" i="39"/>
  <c r="AF13" i="39"/>
  <c r="AC13" i="39"/>
  <c r="AD13" i="39" s="1"/>
  <c r="AB13" i="39"/>
  <c r="U13" i="39"/>
  <c r="T13" i="39" s="1"/>
  <c r="S13" i="39"/>
  <c r="R13" i="39" s="1"/>
  <c r="Q13" i="39"/>
  <c r="W13" i="39" s="1"/>
  <c r="O13" i="39"/>
  <c r="P13" i="39" s="1"/>
  <c r="AH12" i="39"/>
  <c r="AG12" i="39"/>
  <c r="AF12" i="39"/>
  <c r="AC12" i="39"/>
  <c r="AD12" i="39" s="1"/>
  <c r="AB12" i="39"/>
  <c r="U12" i="39"/>
  <c r="T12" i="39" s="1"/>
  <c r="S12" i="39"/>
  <c r="R12" i="39" s="1"/>
  <c r="Q12" i="39"/>
  <c r="W12" i="39" s="1"/>
  <c r="O12" i="39"/>
  <c r="P12" i="39" s="1"/>
  <c r="AH11" i="39"/>
  <c r="AG11" i="39"/>
  <c r="AF11" i="39"/>
  <c r="AC11" i="39"/>
  <c r="AE11" i="39" s="1"/>
  <c r="AB11" i="39"/>
  <c r="U11" i="39"/>
  <c r="T11" i="39" s="1"/>
  <c r="S11" i="39"/>
  <c r="R11" i="39" s="1"/>
  <c r="Q11" i="39"/>
  <c r="W11" i="39" s="1"/>
  <c r="O11" i="39"/>
  <c r="P11" i="39" s="1"/>
  <c r="AH10" i="39"/>
  <c r="AG10" i="39"/>
  <c r="AF10" i="39"/>
  <c r="AC10" i="39"/>
  <c r="AD10" i="39" s="1"/>
  <c r="AB10" i="39"/>
  <c r="U10" i="39"/>
  <c r="T10" i="39" s="1"/>
  <c r="S10" i="39"/>
  <c r="R10" i="39" s="1"/>
  <c r="Q10" i="39"/>
  <c r="W10" i="39" s="1"/>
  <c r="O10" i="39"/>
  <c r="P10" i="39" s="1"/>
  <c r="AH9" i="39"/>
  <c r="AG9" i="39"/>
  <c r="AF9" i="39"/>
  <c r="AC9" i="39"/>
  <c r="AD9" i="39" s="1"/>
  <c r="AB9" i="39"/>
  <c r="U9" i="39"/>
  <c r="T9" i="39" s="1"/>
  <c r="S9" i="39"/>
  <c r="R9" i="39" s="1"/>
  <c r="Q9" i="39"/>
  <c r="W9" i="39" s="1"/>
  <c r="O9" i="39"/>
  <c r="P9" i="39" s="1"/>
  <c r="AH8" i="39"/>
  <c r="AG8" i="39"/>
  <c r="AF8" i="39"/>
  <c r="AC8" i="39"/>
  <c r="AD8" i="39" s="1"/>
  <c r="AB8" i="39"/>
  <c r="U8" i="39"/>
  <c r="T8" i="39" s="1"/>
  <c r="S8" i="39"/>
  <c r="R8" i="39" s="1"/>
  <c r="Q8" i="39"/>
  <c r="W8" i="39" s="1"/>
  <c r="O8" i="39"/>
  <c r="P8" i="39" s="1"/>
  <c r="AH7" i="39"/>
  <c r="AG7" i="39"/>
  <c r="AF7" i="39"/>
  <c r="AC7" i="39"/>
  <c r="AB7" i="39"/>
  <c r="U7" i="39"/>
  <c r="T7" i="39" s="1"/>
  <c r="S7" i="39"/>
  <c r="R7" i="39"/>
  <c r="Q7" i="39"/>
  <c r="W7" i="39" s="1"/>
  <c r="O7" i="39"/>
  <c r="P7" i="39" s="1"/>
  <c r="U8" i="38"/>
  <c r="AC10" i="38"/>
  <c r="AE103" i="39" l="1"/>
  <c r="AE66" i="39"/>
  <c r="AE79" i="39"/>
  <c r="AE37" i="39"/>
  <c r="AD121" i="39"/>
  <c r="AE76" i="39"/>
  <c r="AE42" i="39"/>
  <c r="AE56" i="39"/>
  <c r="AE91" i="39"/>
  <c r="AE27" i="39"/>
  <c r="AE30" i="39"/>
  <c r="AE33" i="39"/>
  <c r="AE54" i="39"/>
  <c r="AE113" i="39"/>
  <c r="AD123" i="39"/>
  <c r="AD125" i="39"/>
  <c r="AD107" i="39"/>
  <c r="AE16" i="39"/>
  <c r="AE35" i="39"/>
  <c r="AE58" i="39"/>
  <c r="AE68" i="39"/>
  <c r="AE127" i="39"/>
  <c r="X127" i="39" s="1"/>
  <c r="AE20" i="39"/>
  <c r="AE8" i="39"/>
  <c r="AE24" i="39"/>
  <c r="AE38" i="39"/>
  <c r="AD43" i="39"/>
  <c r="AD51" i="39"/>
  <c r="AD53" i="39"/>
  <c r="AD59" i="39"/>
  <c r="AD61" i="39"/>
  <c r="AE64" i="39"/>
  <c r="AD72" i="39"/>
  <c r="AE75" i="39"/>
  <c r="AE92" i="39"/>
  <c r="AD95" i="39"/>
  <c r="AE96" i="39"/>
  <c r="AD99" i="39"/>
  <c r="AD131" i="39"/>
  <c r="AD133" i="39"/>
  <c r="AD135" i="39"/>
  <c r="AE12" i="39"/>
  <c r="AE46" i="39"/>
  <c r="AE49" i="39"/>
  <c r="AD55" i="39"/>
  <c r="AD67" i="39"/>
  <c r="AE84" i="39"/>
  <c r="AD129" i="39"/>
  <c r="AD145" i="39"/>
  <c r="AD143" i="39"/>
  <c r="AD153" i="39"/>
  <c r="AE40" i="39"/>
  <c r="AD31" i="39"/>
  <c r="AE34" i="39"/>
  <c r="AD47" i="39"/>
  <c r="AE50" i="39"/>
  <c r="AE9" i="39"/>
  <c r="AE13" i="39"/>
  <c r="AE17" i="39"/>
  <c r="AE21" i="39"/>
  <c r="AD25" i="39"/>
  <c r="AE28" i="39"/>
  <c r="AD41" i="39"/>
  <c r="AE44" i="39"/>
  <c r="AD57" i="39"/>
  <c r="AD70" i="39"/>
  <c r="AE74" i="39"/>
  <c r="AD83" i="39"/>
  <c r="AE87" i="39"/>
  <c r="AE100" i="39"/>
  <c r="AD115" i="39"/>
  <c r="AD141" i="39"/>
  <c r="AD146" i="39"/>
  <c r="AD109" i="39"/>
  <c r="AD151" i="39"/>
  <c r="AE10" i="39"/>
  <c r="AD29" i="39"/>
  <c r="AE32" i="39"/>
  <c r="AD45" i="39"/>
  <c r="AE48" i="39"/>
  <c r="AE88" i="39"/>
  <c r="AE14" i="39"/>
  <c r="AD138" i="39"/>
  <c r="AE104" i="39"/>
  <c r="AE18" i="39"/>
  <c r="AE22" i="39"/>
  <c r="AE26" i="39"/>
  <c r="AD39" i="39"/>
  <c r="AE36" i="39"/>
  <c r="AE52" i="39"/>
  <c r="AD63" i="39"/>
  <c r="AE80" i="39"/>
  <c r="AD117" i="39"/>
  <c r="AD149" i="39"/>
  <c r="AD154" i="39"/>
  <c r="V132" i="39"/>
  <c r="V84" i="39"/>
  <c r="V12" i="39"/>
  <c r="V16" i="39"/>
  <c r="V20" i="39"/>
  <c r="V8" i="39"/>
  <c r="V96" i="39"/>
  <c r="V107" i="39"/>
  <c r="V24" i="39"/>
  <c r="V127" i="39"/>
  <c r="V133" i="39"/>
  <c r="V25" i="39"/>
  <c r="V32" i="39"/>
  <c r="V13" i="39"/>
  <c r="V74" i="39"/>
  <c r="V9" i="39"/>
  <c r="V26" i="39"/>
  <c r="V62" i="39"/>
  <c r="V21" i="39"/>
  <c r="V39" i="39"/>
  <c r="V80" i="39"/>
  <c r="V130" i="39"/>
  <c r="V75" i="39"/>
  <c r="V92" i="39"/>
  <c r="V113" i="39"/>
  <c r="V14" i="39"/>
  <c r="V22" i="39"/>
  <c r="V29" i="39"/>
  <c r="V134" i="39"/>
  <c r="V11" i="39"/>
  <c r="V19" i="39"/>
  <c r="V27" i="39"/>
  <c r="T75" i="39"/>
  <c r="T80" i="39"/>
  <c r="T84" i="39"/>
  <c r="V95" i="39"/>
  <c r="V90" i="39"/>
  <c r="V79" i="39"/>
  <c r="V131" i="39"/>
  <c r="R133" i="39"/>
  <c r="X133" i="39" s="1"/>
  <c r="V18" i="39"/>
  <c r="T32" i="39"/>
  <c r="T62" i="39"/>
  <c r="T74" i="39"/>
  <c r="V81" i="39"/>
  <c r="V103" i="39"/>
  <c r="V109" i="39"/>
  <c r="V111" i="39"/>
  <c r="V119" i="39"/>
  <c r="V135" i="39"/>
  <c r="V15" i="39"/>
  <c r="V23" i="39"/>
  <c r="V87" i="39"/>
  <c r="V7" i="39"/>
  <c r="V17" i="39"/>
  <c r="V60" i="39"/>
  <c r="V82" i="39"/>
  <c r="V85" i="39"/>
  <c r="V98" i="39"/>
  <c r="V114" i="39"/>
  <c r="V28" i="39"/>
  <c r="V36" i="39"/>
  <c r="V104" i="39"/>
  <c r="AD7" i="39"/>
  <c r="AD11" i="39"/>
  <c r="AD15" i="39"/>
  <c r="AD19" i="39"/>
  <c r="AD23" i="39"/>
  <c r="V30" i="39"/>
  <c r="V31" i="39"/>
  <c r="V42" i="39"/>
  <c r="V43" i="39"/>
  <c r="V46" i="39"/>
  <c r="V47" i="39"/>
  <c r="V50" i="39"/>
  <c r="V51" i="39"/>
  <c r="V54" i="39"/>
  <c r="V55" i="39"/>
  <c r="AE69" i="39"/>
  <c r="AD69" i="39"/>
  <c r="V77" i="39"/>
  <c r="R77" i="39"/>
  <c r="AD86" i="39"/>
  <c r="AE86" i="39"/>
  <c r="V93" i="39"/>
  <c r="V66" i="39"/>
  <c r="V34" i="39"/>
  <c r="V35" i="39"/>
  <c r="V37" i="39"/>
  <c r="V59" i="39"/>
  <c r="AE60" i="39"/>
  <c r="AD60" i="39"/>
  <c r="R64" i="39"/>
  <c r="V64" i="39"/>
  <c r="AE65" i="39"/>
  <c r="AD65" i="39"/>
  <c r="AD81" i="39"/>
  <c r="AE81" i="39"/>
  <c r="R97" i="39"/>
  <c r="V97" i="39"/>
  <c r="Y136" i="39"/>
  <c r="Z133" i="39"/>
  <c r="AI133" i="39" s="1"/>
  <c r="Y133" i="39"/>
  <c r="Y129" i="39"/>
  <c r="Y125" i="39"/>
  <c r="Y140" i="39"/>
  <c r="Y141" i="39"/>
  <c r="Y138" i="39"/>
  <c r="Y142" i="39"/>
  <c r="X138" i="39"/>
  <c r="X129" i="39"/>
  <c r="X125" i="39"/>
  <c r="AE7" i="39"/>
  <c r="V10" i="39"/>
  <c r="V33" i="39"/>
  <c r="V58" i="39"/>
  <c r="V40" i="39"/>
  <c r="T68" i="39"/>
  <c r="V68" i="39"/>
  <c r="V41" i="39"/>
  <c r="V44" i="39"/>
  <c r="V45" i="39"/>
  <c r="V48" i="39"/>
  <c r="V49" i="39"/>
  <c r="V52" i="39"/>
  <c r="V53" i="39"/>
  <c r="V56" i="39"/>
  <c r="R86" i="39"/>
  <c r="V86" i="39"/>
  <c r="V57" i="39"/>
  <c r="R60" i="39"/>
  <c r="V65" i="39"/>
  <c r="R65" i="39"/>
  <c r="V38" i="39"/>
  <c r="V69" i="39"/>
  <c r="R69" i="39"/>
  <c r="V76" i="39"/>
  <c r="R76" i="39"/>
  <c r="R94" i="39"/>
  <c r="V94" i="39"/>
  <c r="V71" i="39"/>
  <c r="AE85" i="39"/>
  <c r="AD85" i="39"/>
  <c r="V88" i="39"/>
  <c r="AD89" i="39"/>
  <c r="AE89" i="39"/>
  <c r="V99" i="39"/>
  <c r="V61" i="39"/>
  <c r="T66" i="39"/>
  <c r="V70" i="39"/>
  <c r="AD71" i="39"/>
  <c r="AD78" i="39"/>
  <c r="AE78" i="39"/>
  <c r="T79" i="39"/>
  <c r="R81" i="39"/>
  <c r="V67" i="39"/>
  <c r="AD62" i="39"/>
  <c r="V73" i="39"/>
  <c r="R78" i="39"/>
  <c r="V78" i="39"/>
  <c r="V83" i="39"/>
  <c r="V89" i="39"/>
  <c r="AD94" i="39"/>
  <c r="AE94" i="39"/>
  <c r="V63" i="39"/>
  <c r="V72" i="39"/>
  <c r="AD73" i="39"/>
  <c r="AE77" i="39"/>
  <c r="AD77" i="39"/>
  <c r="AD82" i="39"/>
  <c r="AE82" i="39"/>
  <c r="V91" i="39"/>
  <c r="AD97" i="39"/>
  <c r="AE97" i="39"/>
  <c r="V100" i="39"/>
  <c r="V101" i="39"/>
  <c r="R82" i="39"/>
  <c r="R90" i="39"/>
  <c r="R98" i="39"/>
  <c r="V102" i="39"/>
  <c r="AE105" i="39"/>
  <c r="V115" i="39"/>
  <c r="AE119" i="39"/>
  <c r="V120" i="39"/>
  <c r="AE120" i="39"/>
  <c r="AD120" i="39"/>
  <c r="V122" i="39"/>
  <c r="T103" i="39"/>
  <c r="V105" i="39"/>
  <c r="V106" i="39"/>
  <c r="AE106" i="39"/>
  <c r="AD106" i="39"/>
  <c r="V117" i="39"/>
  <c r="V123" i="39"/>
  <c r="AE128" i="39"/>
  <c r="Y128" i="39" s="1"/>
  <c r="AD128" i="39"/>
  <c r="V108" i="39"/>
  <c r="AE108" i="39"/>
  <c r="AD108" i="39"/>
  <c r="V128" i="39"/>
  <c r="R83" i="39"/>
  <c r="AE90" i="39"/>
  <c r="R91" i="39"/>
  <c r="AD93" i="39"/>
  <c r="AE98" i="39"/>
  <c r="R99" i="39"/>
  <c r="AD101" i="39"/>
  <c r="V110" i="39"/>
  <c r="AE110" i="39"/>
  <c r="AD110" i="39"/>
  <c r="AD111" i="39"/>
  <c r="V121" i="39"/>
  <c r="AE126" i="39"/>
  <c r="AD126" i="39"/>
  <c r="V129" i="39"/>
  <c r="Z129" i="39" s="1"/>
  <c r="AI129" i="39" s="1"/>
  <c r="R136" i="39"/>
  <c r="X136" i="39" s="1"/>
  <c r="V136" i="39"/>
  <c r="Z136" i="39" s="1"/>
  <c r="AI136" i="39" s="1"/>
  <c r="V112" i="39"/>
  <c r="AE112" i="39"/>
  <c r="AD112" i="39"/>
  <c r="R114" i="39"/>
  <c r="V126" i="39"/>
  <c r="T113" i="39"/>
  <c r="AE114" i="39"/>
  <c r="AD114" i="39"/>
  <c r="AE124" i="39"/>
  <c r="AD124" i="39"/>
  <c r="V116" i="39"/>
  <c r="AE116" i="39"/>
  <c r="AD116" i="39"/>
  <c r="V124" i="39"/>
  <c r="AE102" i="39"/>
  <c r="V118" i="39"/>
  <c r="AE118" i="39"/>
  <c r="AD118" i="39"/>
  <c r="AE122" i="39"/>
  <c r="Y122" i="39" s="1"/>
  <c r="AD122" i="39"/>
  <c r="V125" i="39"/>
  <c r="Z125" i="39" s="1"/>
  <c r="AI125" i="39" s="1"/>
  <c r="R145" i="39"/>
  <c r="V145" i="39"/>
  <c r="R153" i="39"/>
  <c r="V153" i="39"/>
  <c r="R159" i="39"/>
  <c r="V159" i="39"/>
  <c r="AE161" i="39"/>
  <c r="AD161" i="39"/>
  <c r="R167" i="39"/>
  <c r="V167" i="39"/>
  <c r="AD136" i="39"/>
  <c r="V144" i="39"/>
  <c r="R144" i="39"/>
  <c r="AD144" i="39"/>
  <c r="V152" i="39"/>
  <c r="R152" i="39"/>
  <c r="AD152" i="39"/>
  <c r="AD158" i="39"/>
  <c r="V164" i="39"/>
  <c r="R164" i="39"/>
  <c r="AE166" i="39"/>
  <c r="AD166" i="39"/>
  <c r="V137" i="39"/>
  <c r="R143" i="39"/>
  <c r="V143" i="39"/>
  <c r="R151" i="39"/>
  <c r="V151" i="39"/>
  <c r="V158" i="39"/>
  <c r="R158" i="39"/>
  <c r="R161" i="39"/>
  <c r="V161" i="39"/>
  <c r="AE163" i="39"/>
  <c r="AD163" i="39"/>
  <c r="AD130" i="39"/>
  <c r="AD132" i="39"/>
  <c r="AD134" i="39"/>
  <c r="AD137" i="39"/>
  <c r="V142" i="39"/>
  <c r="Z142" i="39" s="1"/>
  <c r="AI142" i="39" s="1"/>
  <c r="R142" i="39"/>
  <c r="X142" i="39" s="1"/>
  <c r="AD142" i="39"/>
  <c r="V150" i="39"/>
  <c r="R150" i="39"/>
  <c r="AD150" i="39"/>
  <c r="AE157" i="39"/>
  <c r="AD157" i="39"/>
  <c r="AE160" i="39"/>
  <c r="AD160" i="39"/>
  <c r="V166" i="39"/>
  <c r="R166" i="39"/>
  <c r="R141" i="39"/>
  <c r="X141" i="39" s="1"/>
  <c r="V141" i="39"/>
  <c r="Z141" i="39" s="1"/>
  <c r="AI141" i="39" s="1"/>
  <c r="R149" i="39"/>
  <c r="V149" i="39"/>
  <c r="R157" i="39"/>
  <c r="V157" i="39"/>
  <c r="R163" i="39"/>
  <c r="V163" i="39"/>
  <c r="AE165" i="39"/>
  <c r="AD165" i="39"/>
  <c r="V168" i="39"/>
  <c r="R168" i="39"/>
  <c r="V139" i="39"/>
  <c r="V140" i="39"/>
  <c r="Z140" i="39" s="1"/>
  <c r="AI140" i="39" s="1"/>
  <c r="R140" i="39"/>
  <c r="X140" i="39" s="1"/>
  <c r="AD140" i="39"/>
  <c r="V148" i="39"/>
  <c r="R148" i="39"/>
  <c r="AD148" i="39"/>
  <c r="V156" i="39"/>
  <c r="R156" i="39"/>
  <c r="AD156" i="39"/>
  <c r="V160" i="39"/>
  <c r="R160" i="39"/>
  <c r="AE162" i="39"/>
  <c r="AD162" i="39"/>
  <c r="V138" i="39"/>
  <c r="Z138" i="39" s="1"/>
  <c r="AI138" i="39" s="1"/>
  <c r="AD139" i="39"/>
  <c r="R147" i="39"/>
  <c r="V147" i="39"/>
  <c r="AD147" i="39"/>
  <c r="R155" i="39"/>
  <c r="V155" i="39"/>
  <c r="AD155" i="39"/>
  <c r="AE159" i="39"/>
  <c r="AD159" i="39"/>
  <c r="R165" i="39"/>
  <c r="V165" i="39"/>
  <c r="V146" i="39"/>
  <c r="R146" i="39"/>
  <c r="V154" i="39"/>
  <c r="R154" i="39"/>
  <c r="V162" i="39"/>
  <c r="R162" i="39"/>
  <c r="AE164" i="39"/>
  <c r="AD164" i="39"/>
  <c r="R169" i="39"/>
  <c r="V169" i="39"/>
  <c r="AD167" i="39"/>
  <c r="AD169" i="39"/>
  <c r="AD168" i="39"/>
  <c r="AB8" i="29"/>
  <c r="AB9" i="29"/>
  <c r="AB10" i="29"/>
  <c r="AB11" i="29"/>
  <c r="AB12" i="29"/>
  <c r="AB13" i="29"/>
  <c r="AB14" i="29"/>
  <c r="AB15" i="29"/>
  <c r="AB16" i="29"/>
  <c r="AB17" i="29"/>
  <c r="AB18" i="29"/>
  <c r="AB19" i="29"/>
  <c r="AB20" i="29"/>
  <c r="AB21" i="29"/>
  <c r="AB7" i="29"/>
  <c r="AB8" i="11"/>
  <c r="AB9" i="11"/>
  <c r="AB10" i="11"/>
  <c r="AB11" i="11"/>
  <c r="AB12" i="11"/>
  <c r="AB13" i="11"/>
  <c r="AB14" i="11"/>
  <c r="AB15" i="11"/>
  <c r="AB16" i="11"/>
  <c r="AB17" i="11"/>
  <c r="AB18" i="11"/>
  <c r="AB19" i="11"/>
  <c r="AB20" i="11"/>
  <c r="AB21" i="11"/>
  <c r="AB22" i="11"/>
  <c r="AB23" i="11"/>
  <c r="AB24" i="11"/>
  <c r="AB25" i="11"/>
  <c r="AB26" i="11"/>
  <c r="AB27" i="11"/>
  <c r="AB28" i="11"/>
  <c r="AB29" i="11"/>
  <c r="AB30" i="11"/>
  <c r="AB31" i="11"/>
  <c r="AB32" i="11"/>
  <c r="AB33" i="11"/>
  <c r="AB34" i="11"/>
  <c r="AB35" i="11"/>
  <c r="AB36" i="11"/>
  <c r="AB37" i="11"/>
  <c r="AB38" i="11"/>
  <c r="AB39" i="11"/>
  <c r="AB40" i="11"/>
  <c r="AB41" i="11"/>
  <c r="AB42" i="11"/>
  <c r="AB43" i="11"/>
  <c r="AB44" i="11"/>
  <c r="AB45" i="11"/>
  <c r="AB46" i="11"/>
  <c r="AB47" i="11"/>
  <c r="AB48" i="11"/>
  <c r="AB49" i="11"/>
  <c r="AB50" i="11"/>
  <c r="AB51" i="11"/>
  <c r="AB52" i="11"/>
  <c r="AB53" i="11"/>
  <c r="AB54" i="11"/>
  <c r="AB55" i="11"/>
  <c r="AB56" i="11"/>
  <c r="AB57" i="11"/>
  <c r="AB58" i="11"/>
  <c r="AB59" i="11"/>
  <c r="AB60" i="11"/>
  <c r="AB61" i="11"/>
  <c r="AB62" i="11"/>
  <c r="AB7" i="11"/>
  <c r="AB8" i="12"/>
  <c r="AB9" i="12"/>
  <c r="AB10" i="12"/>
  <c r="AB11" i="12"/>
  <c r="AB12" i="12"/>
  <c r="AB13" i="12"/>
  <c r="AB14" i="12"/>
  <c r="AB15" i="12"/>
  <c r="AB16" i="12"/>
  <c r="AB17" i="12"/>
  <c r="AB18" i="12"/>
  <c r="AB19" i="12"/>
  <c r="AB20" i="12"/>
  <c r="AB21" i="12"/>
  <c r="AB22" i="12"/>
  <c r="AB23" i="12"/>
  <c r="AB24" i="12"/>
  <c r="AB25" i="12"/>
  <c r="AB26" i="12"/>
  <c r="AB27" i="12"/>
  <c r="AB28" i="12"/>
  <c r="AB29" i="12"/>
  <c r="AB30" i="12"/>
  <c r="AB31" i="12"/>
  <c r="AB32" i="12"/>
  <c r="AB33" i="12"/>
  <c r="AB34" i="12"/>
  <c r="AB35" i="12"/>
  <c r="AB36" i="12"/>
  <c r="AB37" i="12"/>
  <c r="AB38" i="12"/>
  <c r="AB39" i="12"/>
  <c r="AB40" i="12"/>
  <c r="AB41" i="12"/>
  <c r="AB42" i="12"/>
  <c r="AB43" i="12"/>
  <c r="AB44" i="12"/>
  <c r="AB45" i="12"/>
  <c r="AB46" i="12"/>
  <c r="AB47" i="12"/>
  <c r="AB48" i="12"/>
  <c r="AB49" i="12"/>
  <c r="AB50" i="12"/>
  <c r="AB51" i="12"/>
  <c r="AB52" i="12"/>
  <c r="AB53" i="12"/>
  <c r="AB54" i="12"/>
  <c r="AB55" i="12"/>
  <c r="AB56" i="12"/>
  <c r="AB57" i="12"/>
  <c r="AB58" i="12"/>
  <c r="AB59" i="12"/>
  <c r="AB60" i="12"/>
  <c r="AB61" i="12"/>
  <c r="AB62" i="12"/>
  <c r="AB7" i="12"/>
  <c r="AB8" i="10"/>
  <c r="AB9" i="10"/>
  <c r="AB10" i="10"/>
  <c r="AB11" i="10"/>
  <c r="AB12" i="10"/>
  <c r="AB13" i="10"/>
  <c r="AB14" i="10"/>
  <c r="AB15" i="10"/>
  <c r="AB16" i="10"/>
  <c r="AB17" i="10"/>
  <c r="AB18" i="10"/>
  <c r="AB19" i="10"/>
  <c r="AB20" i="10"/>
  <c r="AB21" i="10"/>
  <c r="AB22" i="10"/>
  <c r="AB23" i="10"/>
  <c r="AB24" i="10"/>
  <c r="AB25" i="10"/>
  <c r="AB26" i="10"/>
  <c r="AB27" i="10"/>
  <c r="AB28" i="10"/>
  <c r="AB29" i="10"/>
  <c r="AB30" i="10"/>
  <c r="AB31" i="10"/>
  <c r="AB32" i="10"/>
  <c r="AB33" i="10"/>
  <c r="AB34" i="10"/>
  <c r="AB35" i="10"/>
  <c r="AB36" i="10"/>
  <c r="AB37" i="10"/>
  <c r="AB38" i="10"/>
  <c r="AB39" i="10"/>
  <c r="AB40" i="10"/>
  <c r="AB41" i="10"/>
  <c r="AB42" i="10"/>
  <c r="AB43" i="10"/>
  <c r="AB44" i="10"/>
  <c r="AB45" i="10"/>
  <c r="AB46" i="10"/>
  <c r="AB47" i="10"/>
  <c r="AB48" i="10"/>
  <c r="AB49" i="10"/>
  <c r="AB50" i="10"/>
  <c r="AB51" i="10"/>
  <c r="AB52" i="10"/>
  <c r="AB53" i="10"/>
  <c r="AB54" i="10"/>
  <c r="AB55" i="10"/>
  <c r="AB56" i="10"/>
  <c r="AB57" i="10"/>
  <c r="AB58" i="10"/>
  <c r="AB59" i="10"/>
  <c r="AB60" i="10"/>
  <c r="AB61" i="10"/>
  <c r="AB62" i="10"/>
  <c r="AB63" i="10"/>
  <c r="AB64" i="10"/>
  <c r="AB65" i="10"/>
  <c r="AB66" i="10"/>
  <c r="AB67" i="10"/>
  <c r="AB68" i="10"/>
  <c r="AB69" i="10"/>
  <c r="AB70" i="10"/>
  <c r="AB71" i="10"/>
  <c r="AB72" i="10"/>
  <c r="AB73" i="10"/>
  <c r="AB74" i="10"/>
  <c r="AB75" i="10"/>
  <c r="AB76" i="10"/>
  <c r="AB77" i="10"/>
  <c r="AB78" i="10"/>
  <c r="AB79" i="10"/>
  <c r="AB80" i="10"/>
  <c r="AB81" i="10"/>
  <c r="AB82" i="10"/>
  <c r="AB83" i="10"/>
  <c r="AB84" i="10"/>
  <c r="AB85" i="10"/>
  <c r="AB86" i="10"/>
  <c r="AB87" i="10"/>
  <c r="AB88" i="10"/>
  <c r="AB89" i="10"/>
  <c r="AB90" i="10"/>
  <c r="AB91" i="10"/>
  <c r="AB92" i="10"/>
  <c r="AB93" i="10"/>
  <c r="AB94" i="10"/>
  <c r="AB95" i="10"/>
  <c r="AB96" i="10"/>
  <c r="AB97" i="10"/>
  <c r="AB98" i="10"/>
  <c r="AB99" i="10"/>
  <c r="AB100" i="10"/>
  <c r="AB101" i="10"/>
  <c r="AB102" i="10"/>
  <c r="AB103" i="10"/>
  <c r="AB104" i="10"/>
  <c r="AB105" i="10"/>
  <c r="AB106" i="10"/>
  <c r="AB7" i="10"/>
  <c r="AB8" i="9"/>
  <c r="AB9" i="9"/>
  <c r="AB10" i="9"/>
  <c r="AB11" i="9"/>
  <c r="AB12" i="9"/>
  <c r="AB13" i="9"/>
  <c r="AB14" i="9"/>
  <c r="AB15" i="9"/>
  <c r="AB16" i="9"/>
  <c r="AB17" i="9"/>
  <c r="AB18" i="9"/>
  <c r="AB19" i="9"/>
  <c r="AB20" i="9"/>
  <c r="AB21" i="9"/>
  <c r="AB22" i="9"/>
  <c r="AB23" i="9"/>
  <c r="AB24" i="9"/>
  <c r="AB25" i="9"/>
  <c r="AB26" i="9"/>
  <c r="AB27" i="9"/>
  <c r="AB28" i="9"/>
  <c r="AB29" i="9"/>
  <c r="AB30" i="9"/>
  <c r="AB31" i="9"/>
  <c r="AB32" i="9"/>
  <c r="AB33" i="9"/>
  <c r="AB34" i="9"/>
  <c r="AB35" i="9"/>
  <c r="AB36" i="9"/>
  <c r="AB37" i="9"/>
  <c r="AB38" i="9"/>
  <c r="AB39" i="9"/>
  <c r="AB40" i="9"/>
  <c r="AB41" i="9"/>
  <c r="AB42" i="9"/>
  <c r="AB43" i="9"/>
  <c r="AB44" i="9"/>
  <c r="AB45" i="9"/>
  <c r="AB46" i="9"/>
  <c r="AB47" i="9"/>
  <c r="AB48" i="9"/>
  <c r="AB49" i="9"/>
  <c r="AB50" i="9"/>
  <c r="AB51" i="9"/>
  <c r="AB52" i="9"/>
  <c r="AB53" i="9"/>
  <c r="AB54" i="9"/>
  <c r="AB55" i="9"/>
  <c r="AB56" i="9"/>
  <c r="AB57" i="9"/>
  <c r="AB58" i="9"/>
  <c r="AB59" i="9"/>
  <c r="AB60" i="9"/>
  <c r="AB61" i="9"/>
  <c r="AB62" i="9"/>
  <c r="AB63" i="9"/>
  <c r="AB64" i="9"/>
  <c r="AB65" i="9"/>
  <c r="AB66" i="9"/>
  <c r="AB67" i="9"/>
  <c r="AB68" i="9"/>
  <c r="AB69" i="9"/>
  <c r="AB70" i="9"/>
  <c r="AB71" i="9"/>
  <c r="AB72" i="9"/>
  <c r="AB73" i="9"/>
  <c r="AB74" i="9"/>
  <c r="AB75" i="9"/>
  <c r="AB76" i="9"/>
  <c r="AB77" i="9"/>
  <c r="AB78" i="9"/>
  <c r="AB79" i="9"/>
  <c r="AB80" i="9"/>
  <c r="AB81" i="9"/>
  <c r="AB82" i="9"/>
  <c r="AB83" i="9"/>
  <c r="AB84" i="9"/>
  <c r="AB85" i="9"/>
  <c r="AB86" i="9"/>
  <c r="AB87" i="9"/>
  <c r="AB88" i="9"/>
  <c r="AB89" i="9"/>
  <c r="AB90" i="9"/>
  <c r="AB91" i="9"/>
  <c r="AB92" i="9"/>
  <c r="AB93" i="9"/>
  <c r="AB94" i="9"/>
  <c r="AB95" i="9"/>
  <c r="AB96" i="9"/>
  <c r="AB97" i="9"/>
  <c r="AB98" i="9"/>
  <c r="AB99" i="9"/>
  <c r="AB100" i="9"/>
  <c r="AB101" i="9"/>
  <c r="AB102" i="9"/>
  <c r="AB103" i="9"/>
  <c r="AB104" i="9"/>
  <c r="AB105" i="9"/>
  <c r="AB106" i="9"/>
  <c r="AB107" i="9"/>
  <c r="AB108" i="9"/>
  <c r="AB109" i="9"/>
  <c r="AB110" i="9"/>
  <c r="AB111" i="9"/>
  <c r="AB112" i="9"/>
  <c r="AB113" i="9"/>
  <c r="AB114" i="9"/>
  <c r="AB115" i="9"/>
  <c r="AB116" i="9"/>
  <c r="AB117" i="9"/>
  <c r="AB118" i="9"/>
  <c r="AB119" i="9"/>
  <c r="AB120" i="9"/>
  <c r="AB121" i="9"/>
  <c r="AB122" i="9"/>
  <c r="AB123" i="9"/>
  <c r="AB124" i="9"/>
  <c r="AB125" i="9"/>
  <c r="AB126" i="9"/>
  <c r="AB127" i="9"/>
  <c r="AB128" i="9"/>
  <c r="AB129" i="9"/>
  <c r="AB130" i="9"/>
  <c r="AB131" i="9"/>
  <c r="AB132" i="9"/>
  <c r="AB133" i="9"/>
  <c r="AB134" i="9"/>
  <c r="AB135" i="9"/>
  <c r="AB136" i="9"/>
  <c r="AB137" i="9"/>
  <c r="AB138" i="9"/>
  <c r="AB139" i="9"/>
  <c r="AB140" i="9"/>
  <c r="AB141" i="9"/>
  <c r="AB142" i="9"/>
  <c r="AB143" i="9"/>
  <c r="AB144" i="9"/>
  <c r="AB145" i="9"/>
  <c r="AB146" i="9"/>
  <c r="AB147" i="9"/>
  <c r="AB148" i="9"/>
  <c r="AB149" i="9"/>
  <c r="AB150" i="9"/>
  <c r="AB151" i="9"/>
  <c r="AB152" i="9"/>
  <c r="AB153" i="9"/>
  <c r="AB154" i="9"/>
  <c r="AB155" i="9"/>
  <c r="AB156" i="9"/>
  <c r="AB7" i="9"/>
  <c r="AB8" i="14"/>
  <c r="AB9" i="14"/>
  <c r="AB10" i="14"/>
  <c r="AB11" i="14"/>
  <c r="AB12" i="14"/>
  <c r="AB13" i="14"/>
  <c r="AB14" i="14"/>
  <c r="AB15" i="14"/>
  <c r="AB16" i="14"/>
  <c r="AB17" i="14"/>
  <c r="AB18" i="14"/>
  <c r="AB19" i="14"/>
  <c r="AB20" i="14"/>
  <c r="AB21" i="14"/>
  <c r="AB22" i="14"/>
  <c r="AB23" i="14"/>
  <c r="AB24" i="14"/>
  <c r="AB25" i="14"/>
  <c r="AB26" i="14"/>
  <c r="AB27" i="14"/>
  <c r="AB28" i="14"/>
  <c r="AB29" i="14"/>
  <c r="AB30" i="14"/>
  <c r="AB31" i="14"/>
  <c r="AB32" i="14"/>
  <c r="AB33" i="14"/>
  <c r="AB34" i="14"/>
  <c r="AB35" i="14"/>
  <c r="AB36" i="14"/>
  <c r="AB37" i="14"/>
  <c r="AB38" i="14"/>
  <c r="AB39" i="14"/>
  <c r="AB40" i="14"/>
  <c r="AB41" i="14"/>
  <c r="AB42" i="14"/>
  <c r="AB43" i="14"/>
  <c r="AB44" i="14"/>
  <c r="AB45" i="14"/>
  <c r="AB46" i="14"/>
  <c r="AB47" i="14"/>
  <c r="AB48" i="14"/>
  <c r="AB49" i="14"/>
  <c r="AB50" i="14"/>
  <c r="AB51" i="14"/>
  <c r="AB52" i="14"/>
  <c r="AB53" i="14"/>
  <c r="AB54" i="14"/>
  <c r="AB55" i="14"/>
  <c r="AB56" i="14"/>
  <c r="AB57" i="14"/>
  <c r="AB58" i="14"/>
  <c r="AB59" i="14"/>
  <c r="AB60" i="14"/>
  <c r="AB61" i="14"/>
  <c r="AB62" i="14"/>
  <c r="AB63" i="14"/>
  <c r="AB64" i="14"/>
  <c r="AB65" i="14"/>
  <c r="AB66" i="14"/>
  <c r="AB67" i="14"/>
  <c r="AB68" i="14"/>
  <c r="AB69" i="14"/>
  <c r="AB70" i="14"/>
  <c r="AB71" i="14"/>
  <c r="AB72" i="14"/>
  <c r="AB73" i="14"/>
  <c r="AB74" i="14"/>
  <c r="AB75" i="14"/>
  <c r="AB76" i="14"/>
  <c r="AB77" i="14"/>
  <c r="AB78" i="14"/>
  <c r="AB79" i="14"/>
  <c r="AB80" i="14"/>
  <c r="AB81" i="14"/>
  <c r="AB82" i="14"/>
  <c r="AB83" i="14"/>
  <c r="AB84" i="14"/>
  <c r="AB85" i="14"/>
  <c r="AB86" i="14"/>
  <c r="AB87" i="14"/>
  <c r="AB88" i="14"/>
  <c r="AB89" i="14"/>
  <c r="AB90" i="14"/>
  <c r="AB91" i="14"/>
  <c r="AB92" i="14"/>
  <c r="AB93" i="14"/>
  <c r="AB94" i="14"/>
  <c r="AB95" i="14"/>
  <c r="AB96" i="14"/>
  <c r="AB97" i="14"/>
  <c r="AB98" i="14"/>
  <c r="AB99" i="14"/>
  <c r="AB100" i="14"/>
  <c r="AB101" i="14"/>
  <c r="AB102" i="14"/>
  <c r="AB103" i="14"/>
  <c r="AB104" i="14"/>
  <c r="AB105" i="14"/>
  <c r="AB106" i="14"/>
  <c r="AB107" i="14"/>
  <c r="AB108" i="14"/>
  <c r="AB109" i="14"/>
  <c r="AB110" i="14"/>
  <c r="AB111" i="14"/>
  <c r="AB112" i="14"/>
  <c r="AB113" i="14"/>
  <c r="AB114" i="14"/>
  <c r="AB115" i="14"/>
  <c r="AB116" i="14"/>
  <c r="AB117" i="14"/>
  <c r="AB118" i="14"/>
  <c r="AB119" i="14"/>
  <c r="AB120" i="14"/>
  <c r="AB121" i="14"/>
  <c r="AB122" i="14"/>
  <c r="AB123" i="14"/>
  <c r="AB124" i="14"/>
  <c r="AB125" i="14"/>
  <c r="AB126" i="14"/>
  <c r="AB127" i="14"/>
  <c r="AB128" i="14"/>
  <c r="AB129" i="14"/>
  <c r="AB130" i="14"/>
  <c r="AB131" i="14"/>
  <c r="AB132" i="14"/>
  <c r="AB133" i="14"/>
  <c r="AB134" i="14"/>
  <c r="AB135" i="14"/>
  <c r="AB136" i="14"/>
  <c r="AB137" i="14"/>
  <c r="AB138" i="14"/>
  <c r="AB139" i="14"/>
  <c r="AB140" i="14"/>
  <c r="AB141" i="14"/>
  <c r="AB142" i="14"/>
  <c r="AB143" i="14"/>
  <c r="AB144" i="14"/>
  <c r="AB145" i="14"/>
  <c r="AB146" i="14"/>
  <c r="AB147" i="14"/>
  <c r="AB148" i="14"/>
  <c r="AB149" i="14"/>
  <c r="AB150" i="14"/>
  <c r="AB151" i="14"/>
  <c r="AB152" i="14"/>
  <c r="AB153" i="14"/>
  <c r="AB154" i="14"/>
  <c r="AB155" i="14"/>
  <c r="AB156" i="14"/>
  <c r="AB7" i="14"/>
  <c r="AB8" i="25"/>
  <c r="AB9" i="25"/>
  <c r="AB10" i="25"/>
  <c r="AB11" i="25"/>
  <c r="AB12" i="25"/>
  <c r="AB13" i="25"/>
  <c r="AB14" i="25"/>
  <c r="AB15" i="25"/>
  <c r="AB16" i="25"/>
  <c r="AB17" i="25"/>
  <c r="AB18" i="25"/>
  <c r="AB19" i="25"/>
  <c r="AB20" i="25"/>
  <c r="AB21" i="25"/>
  <c r="AB22" i="25"/>
  <c r="AB23" i="25"/>
  <c r="AB24" i="25"/>
  <c r="AB25" i="25"/>
  <c r="AB26" i="25"/>
  <c r="AB27" i="25"/>
  <c r="AB28" i="25"/>
  <c r="AB29" i="25"/>
  <c r="AB30" i="25"/>
  <c r="AB31" i="25"/>
  <c r="AB32" i="25"/>
  <c r="AB33" i="25"/>
  <c r="AB34" i="25"/>
  <c r="AB35" i="25"/>
  <c r="AB36" i="25"/>
  <c r="AB37" i="25"/>
  <c r="AB38" i="25"/>
  <c r="AB39" i="25"/>
  <c r="AB40" i="25"/>
  <c r="AB41" i="25"/>
  <c r="AB42" i="25"/>
  <c r="AB43" i="25"/>
  <c r="AB44" i="25"/>
  <c r="AB45" i="25"/>
  <c r="AB46" i="25"/>
  <c r="AB47" i="25"/>
  <c r="AB48" i="25"/>
  <c r="AB49" i="25"/>
  <c r="AB50" i="25"/>
  <c r="AB51" i="25"/>
  <c r="AB52" i="25"/>
  <c r="AB53" i="25"/>
  <c r="AB54" i="25"/>
  <c r="AB55" i="25"/>
  <c r="AB56" i="25"/>
  <c r="AB57" i="25"/>
  <c r="AB58" i="25"/>
  <c r="AB59" i="25"/>
  <c r="AB60" i="25"/>
  <c r="AB61" i="25"/>
  <c r="AB62" i="25"/>
  <c r="AB63" i="25"/>
  <c r="AB64" i="25"/>
  <c r="AB65" i="25"/>
  <c r="AB66" i="25"/>
  <c r="AB67" i="25"/>
  <c r="AB68" i="25"/>
  <c r="AB69" i="25"/>
  <c r="AB70" i="25"/>
  <c r="AB71" i="25"/>
  <c r="AB72" i="25"/>
  <c r="AB73" i="25"/>
  <c r="AB74" i="25"/>
  <c r="AB75" i="25"/>
  <c r="AB76" i="25"/>
  <c r="AB77" i="25"/>
  <c r="AB78" i="25"/>
  <c r="AB79" i="25"/>
  <c r="AB80" i="25"/>
  <c r="AB81" i="25"/>
  <c r="AB82" i="25"/>
  <c r="AB83" i="25"/>
  <c r="AB84" i="25"/>
  <c r="AB85" i="25"/>
  <c r="AB86" i="25"/>
  <c r="AB87" i="25"/>
  <c r="AB88" i="25"/>
  <c r="AB89" i="25"/>
  <c r="AB90" i="25"/>
  <c r="AB91" i="25"/>
  <c r="AB92" i="25"/>
  <c r="AB93" i="25"/>
  <c r="AB94" i="25"/>
  <c r="AB95" i="25"/>
  <c r="AB96" i="25"/>
  <c r="AB97" i="25"/>
  <c r="AB98" i="25"/>
  <c r="AB99" i="25"/>
  <c r="AB100" i="25"/>
  <c r="AB101" i="25"/>
  <c r="AB102" i="25"/>
  <c r="AB103" i="25"/>
  <c r="AB104" i="25"/>
  <c r="AB105" i="25"/>
  <c r="AB106" i="25"/>
  <c r="AB107" i="25"/>
  <c r="AB108" i="25"/>
  <c r="AB109" i="25"/>
  <c r="AB110" i="25"/>
  <c r="AB111" i="25"/>
  <c r="AB112" i="25"/>
  <c r="AB113" i="25"/>
  <c r="AB114" i="25"/>
  <c r="AB115" i="25"/>
  <c r="AB116" i="25"/>
  <c r="AB117" i="25"/>
  <c r="AB118" i="25"/>
  <c r="AB119" i="25"/>
  <c r="AB120" i="25"/>
  <c r="AB121" i="25"/>
  <c r="AB122" i="25"/>
  <c r="AB123" i="25"/>
  <c r="AB124" i="25"/>
  <c r="AB125" i="25"/>
  <c r="AB126" i="25"/>
  <c r="AB127" i="25"/>
  <c r="AB128" i="25"/>
  <c r="AB129" i="25"/>
  <c r="AB130" i="25"/>
  <c r="AB131" i="25"/>
  <c r="AB132" i="25"/>
  <c r="AB133" i="25"/>
  <c r="AB134" i="25"/>
  <c r="AB135" i="25"/>
  <c r="AB136" i="25"/>
  <c r="AB137" i="25"/>
  <c r="AB138" i="25"/>
  <c r="AB139" i="25"/>
  <c r="AB140" i="25"/>
  <c r="AB141" i="25"/>
  <c r="AB142" i="25"/>
  <c r="AB143" i="25"/>
  <c r="AB144" i="25"/>
  <c r="AB145" i="25"/>
  <c r="AB146" i="25"/>
  <c r="AB147" i="25"/>
  <c r="AB148" i="25"/>
  <c r="AB149" i="25"/>
  <c r="AB150" i="25"/>
  <c r="AB151" i="25"/>
  <c r="AB152" i="25"/>
  <c r="AB153" i="25"/>
  <c r="AB154" i="25"/>
  <c r="AB7" i="25"/>
  <c r="AB23" i="29"/>
  <c r="AB24" i="29"/>
  <c r="AB25" i="29"/>
  <c r="AB26" i="29"/>
  <c r="AB27" i="29"/>
  <c r="AB28" i="29"/>
  <c r="AB29" i="29"/>
  <c r="AB30" i="29"/>
  <c r="AB31" i="29"/>
  <c r="AB32" i="29"/>
  <c r="AB33" i="29"/>
  <c r="AB34" i="29"/>
  <c r="AB35" i="29"/>
  <c r="AB36" i="29"/>
  <c r="AB37" i="29"/>
  <c r="AB38" i="29"/>
  <c r="AB39" i="29"/>
  <c r="AB40" i="29"/>
  <c r="AB41" i="29"/>
  <c r="AB42" i="29"/>
  <c r="AB43" i="29"/>
  <c r="AB44" i="29"/>
  <c r="AB45" i="29"/>
  <c r="AB46" i="29"/>
  <c r="AB47" i="29"/>
  <c r="AB48" i="29"/>
  <c r="AB49" i="29"/>
  <c r="AB50" i="29"/>
  <c r="AB51" i="29"/>
  <c r="AB52" i="29"/>
  <c r="AB53" i="29"/>
  <c r="AB54" i="29"/>
  <c r="AB55" i="29"/>
  <c r="AB56" i="29"/>
  <c r="AB57" i="29"/>
  <c r="AB58" i="29"/>
  <c r="AB59" i="29"/>
  <c r="AB60" i="29"/>
  <c r="AB61" i="29"/>
  <c r="AB62" i="29"/>
  <c r="AB63" i="29"/>
  <c r="AB64" i="29"/>
  <c r="AB65" i="29"/>
  <c r="AB66" i="29"/>
  <c r="AB67" i="29"/>
  <c r="AB68" i="29"/>
  <c r="AB69" i="29"/>
  <c r="AB70" i="29"/>
  <c r="AB71" i="29"/>
  <c r="AB72" i="29"/>
  <c r="AB73" i="29"/>
  <c r="AB74" i="29"/>
  <c r="AB75" i="29"/>
  <c r="AB76" i="29"/>
  <c r="AB77" i="29"/>
  <c r="AB78" i="29"/>
  <c r="AB79" i="29"/>
  <c r="AB80" i="29"/>
  <c r="AB81" i="29"/>
  <c r="AB82" i="29"/>
  <c r="AB83" i="29"/>
  <c r="AB84" i="29"/>
  <c r="AB85" i="29"/>
  <c r="AB86" i="29"/>
  <c r="AB87" i="29"/>
  <c r="AB88" i="29"/>
  <c r="AB89" i="29"/>
  <c r="AB90" i="29"/>
  <c r="AB91" i="29"/>
  <c r="AB92" i="29"/>
  <c r="AB93" i="29"/>
  <c r="AB94" i="29"/>
  <c r="AB95" i="29"/>
  <c r="AB96" i="29"/>
  <c r="AB97" i="29"/>
  <c r="AB98" i="29"/>
  <c r="AB99" i="29"/>
  <c r="AB100" i="29"/>
  <c r="AB101" i="29"/>
  <c r="AB102" i="29"/>
  <c r="AB103" i="29"/>
  <c r="AB104" i="29"/>
  <c r="AB105" i="29"/>
  <c r="AB106" i="29"/>
  <c r="AB107" i="29"/>
  <c r="AB108" i="29"/>
  <c r="AB109" i="29"/>
  <c r="AB110" i="29"/>
  <c r="AB111" i="29"/>
  <c r="AB112" i="29"/>
  <c r="AB113" i="29"/>
  <c r="AB114" i="29"/>
  <c r="AB115" i="29"/>
  <c r="AB116" i="29"/>
  <c r="AB117" i="29"/>
  <c r="AB118" i="29"/>
  <c r="AB119" i="29"/>
  <c r="AB120" i="29"/>
  <c r="AB121" i="29"/>
  <c r="AB122" i="29"/>
  <c r="AB123" i="29"/>
  <c r="AB124" i="29"/>
  <c r="AB125" i="29"/>
  <c r="AB126" i="29"/>
  <c r="AB127" i="29"/>
  <c r="AB128" i="29"/>
  <c r="AB129" i="29"/>
  <c r="AB130" i="29"/>
  <c r="AB131" i="29"/>
  <c r="AB132" i="29"/>
  <c r="AB133" i="29"/>
  <c r="AB134" i="29"/>
  <c r="AB135" i="29"/>
  <c r="AB136" i="29"/>
  <c r="AB137" i="29"/>
  <c r="AB138" i="29"/>
  <c r="AB139" i="29"/>
  <c r="AB140" i="29"/>
  <c r="AB141" i="29"/>
  <c r="AB142" i="29"/>
  <c r="AB143" i="29"/>
  <c r="AB144" i="29"/>
  <c r="AB145" i="29"/>
  <c r="AB146" i="29"/>
  <c r="AB147" i="29"/>
  <c r="AB148" i="29"/>
  <c r="AB149" i="29"/>
  <c r="AB150" i="29"/>
  <c r="AB151" i="29"/>
  <c r="AB152" i="29"/>
  <c r="AB22" i="29"/>
  <c r="AC8" i="31"/>
  <c r="AC9" i="31"/>
  <c r="AC10" i="31"/>
  <c r="AC11" i="31"/>
  <c r="AC12" i="31"/>
  <c r="AC13" i="31"/>
  <c r="AC14" i="31"/>
  <c r="AC15" i="31"/>
  <c r="AC16" i="31"/>
  <c r="AC17" i="31"/>
  <c r="AC18" i="31"/>
  <c r="AC19" i="31"/>
  <c r="AC20" i="31"/>
  <c r="AC21" i="31"/>
  <c r="AC22" i="31"/>
  <c r="AC23" i="31"/>
  <c r="AC24" i="31"/>
  <c r="AC25" i="31"/>
  <c r="AC26" i="31"/>
  <c r="AC27" i="31"/>
  <c r="AC28" i="31"/>
  <c r="AC29" i="31"/>
  <c r="AC30" i="31"/>
  <c r="AC31" i="31"/>
  <c r="AC32" i="31"/>
  <c r="AC33" i="31"/>
  <c r="AC34" i="31"/>
  <c r="AC35" i="31"/>
  <c r="AC36" i="31"/>
  <c r="AC37" i="31"/>
  <c r="AC38" i="31"/>
  <c r="AC39" i="31"/>
  <c r="AC40" i="31"/>
  <c r="AC41" i="31"/>
  <c r="AC42" i="31"/>
  <c r="AC43" i="31"/>
  <c r="AC44" i="31"/>
  <c r="AC45" i="31"/>
  <c r="AC46" i="31"/>
  <c r="AC47" i="31"/>
  <c r="AC48" i="31"/>
  <c r="AC49" i="31"/>
  <c r="AC50" i="31"/>
  <c r="AC51" i="31"/>
  <c r="AC52" i="31"/>
  <c r="AC53" i="31"/>
  <c r="AC54" i="31"/>
  <c r="AC55" i="31"/>
  <c r="AC56" i="31"/>
  <c r="AC57" i="31"/>
  <c r="AC58" i="31"/>
  <c r="AC59" i="31"/>
  <c r="AC60" i="31"/>
  <c r="AC61" i="31"/>
  <c r="AC62" i="31"/>
  <c r="AC63" i="31"/>
  <c r="AC64" i="31"/>
  <c r="AC65" i="31"/>
  <c r="AC66" i="31"/>
  <c r="AC67" i="31"/>
  <c r="AC68" i="31"/>
  <c r="AC69" i="31"/>
  <c r="AC70" i="31"/>
  <c r="AC71" i="31"/>
  <c r="AC72" i="31"/>
  <c r="AC73" i="31"/>
  <c r="AC74" i="31"/>
  <c r="AC75" i="31"/>
  <c r="AC76" i="31"/>
  <c r="AC77" i="31"/>
  <c r="AC78" i="31"/>
  <c r="AC79" i="31"/>
  <c r="AC80" i="31"/>
  <c r="AC81" i="31"/>
  <c r="AC82" i="31"/>
  <c r="AC83" i="31"/>
  <c r="AC84" i="31"/>
  <c r="AC85" i="31"/>
  <c r="AC86" i="31"/>
  <c r="AC87" i="31"/>
  <c r="AC88" i="31"/>
  <c r="AC89" i="31"/>
  <c r="AC90" i="31"/>
  <c r="AC91" i="31"/>
  <c r="AC92" i="31"/>
  <c r="AC93" i="31"/>
  <c r="AC94" i="31"/>
  <c r="AC95" i="31"/>
  <c r="AC96" i="31"/>
  <c r="AC97" i="31"/>
  <c r="AC98" i="31"/>
  <c r="AC99" i="31"/>
  <c r="AC100" i="31"/>
  <c r="AC101" i="31"/>
  <c r="AC102" i="31"/>
  <c r="AC103" i="31"/>
  <c r="AC104" i="31"/>
  <c r="AC105" i="31"/>
  <c r="AC106" i="31"/>
  <c r="AC107" i="31"/>
  <c r="AC108" i="31"/>
  <c r="AC109" i="31"/>
  <c r="AC110" i="31"/>
  <c r="AC111" i="31"/>
  <c r="AC112" i="31"/>
  <c r="AC113" i="31"/>
  <c r="AC114" i="31"/>
  <c r="AC115" i="31"/>
  <c r="AC116" i="31"/>
  <c r="AC117" i="31"/>
  <c r="AC118" i="31"/>
  <c r="AC119" i="31"/>
  <c r="AC120" i="31"/>
  <c r="AC121" i="31"/>
  <c r="AC122" i="31"/>
  <c r="AC123" i="31"/>
  <c r="AC124" i="31"/>
  <c r="AC125" i="31"/>
  <c r="AC126" i="31"/>
  <c r="AC127" i="31"/>
  <c r="AC128" i="31"/>
  <c r="AC129" i="31"/>
  <c r="AC130" i="31"/>
  <c r="AC131" i="31"/>
  <c r="AC132" i="31"/>
  <c r="AC133" i="31"/>
  <c r="AC134" i="31"/>
  <c r="AC135" i="31"/>
  <c r="AC136" i="31"/>
  <c r="AC137" i="31"/>
  <c r="AC138" i="31"/>
  <c r="AC139" i="31"/>
  <c r="AC140" i="31"/>
  <c r="AC141" i="31"/>
  <c r="AC142" i="31"/>
  <c r="AC143" i="31"/>
  <c r="AC144" i="31"/>
  <c r="AC145" i="31"/>
  <c r="AC146" i="31"/>
  <c r="AC147" i="31"/>
  <c r="AC148" i="31"/>
  <c r="AC149" i="31"/>
  <c r="AC7" i="31"/>
  <c r="AB8" i="32"/>
  <c r="AB9" i="32"/>
  <c r="AB10" i="32"/>
  <c r="AB11" i="32"/>
  <c r="AB12" i="32"/>
  <c r="AB13" i="32"/>
  <c r="AB14" i="32"/>
  <c r="AB15" i="32"/>
  <c r="AB16" i="32"/>
  <c r="AB17" i="32"/>
  <c r="AB18" i="32"/>
  <c r="AB19" i="32"/>
  <c r="AB20" i="32"/>
  <c r="AB21" i="32"/>
  <c r="AB22" i="32"/>
  <c r="AB23" i="32"/>
  <c r="AB24" i="32"/>
  <c r="AB25" i="32"/>
  <c r="AB26" i="32"/>
  <c r="AB27" i="32"/>
  <c r="AB28" i="32"/>
  <c r="AB29" i="32"/>
  <c r="AB30" i="32"/>
  <c r="AB31" i="32"/>
  <c r="AB32" i="32"/>
  <c r="AB33" i="32"/>
  <c r="AB34" i="32"/>
  <c r="AB35" i="32"/>
  <c r="AB36" i="32"/>
  <c r="AB37" i="32"/>
  <c r="AB38" i="32"/>
  <c r="AB39" i="32"/>
  <c r="AB40" i="32"/>
  <c r="AB41" i="32"/>
  <c r="AB42" i="32"/>
  <c r="AB43" i="32"/>
  <c r="AB44" i="32"/>
  <c r="AB45" i="32"/>
  <c r="AB46" i="32"/>
  <c r="AB47" i="32"/>
  <c r="AB48" i="32"/>
  <c r="AB49" i="32"/>
  <c r="AB50" i="32"/>
  <c r="AB51" i="32"/>
  <c r="AB52" i="32"/>
  <c r="AB53" i="32"/>
  <c r="AB54" i="32"/>
  <c r="AB55" i="32"/>
  <c r="AB56" i="32"/>
  <c r="AB57" i="32"/>
  <c r="AB58" i="32"/>
  <c r="AB59" i="32"/>
  <c r="AB60" i="32"/>
  <c r="AB61" i="32"/>
  <c r="AB62" i="32"/>
  <c r="AB63" i="32"/>
  <c r="AB64" i="32"/>
  <c r="AB65" i="32"/>
  <c r="AB66" i="32"/>
  <c r="AB67" i="32"/>
  <c r="AB68" i="32"/>
  <c r="AB69" i="32"/>
  <c r="AB70" i="32"/>
  <c r="AB71" i="32"/>
  <c r="AB72" i="32"/>
  <c r="AB73" i="32"/>
  <c r="AB74" i="32"/>
  <c r="AB75" i="32"/>
  <c r="AB76" i="32"/>
  <c r="AB77" i="32"/>
  <c r="AB78" i="32"/>
  <c r="AB79" i="32"/>
  <c r="AB80" i="32"/>
  <c r="AB81" i="32"/>
  <c r="AB82" i="32"/>
  <c r="AB83" i="32"/>
  <c r="AB84" i="32"/>
  <c r="AB85" i="32"/>
  <c r="AB86" i="32"/>
  <c r="AB87" i="32"/>
  <c r="AB88" i="32"/>
  <c r="AB89" i="32"/>
  <c r="AB90" i="32"/>
  <c r="AB91" i="32"/>
  <c r="AB92" i="32"/>
  <c r="AB93" i="32"/>
  <c r="AB94" i="32"/>
  <c r="AB95" i="32"/>
  <c r="AB96" i="32"/>
  <c r="AB97" i="32"/>
  <c r="AB98" i="32"/>
  <c r="AB99" i="32"/>
  <c r="AB100" i="32"/>
  <c r="AB101" i="32"/>
  <c r="AB102" i="32"/>
  <c r="AB103" i="32"/>
  <c r="AB104" i="32"/>
  <c r="AB105" i="32"/>
  <c r="AB106" i="32"/>
  <c r="AB107" i="32"/>
  <c r="AB108" i="32"/>
  <c r="AB109" i="32"/>
  <c r="AB110" i="32"/>
  <c r="AB111" i="32"/>
  <c r="AB112" i="32"/>
  <c r="AB113" i="32"/>
  <c r="AB114" i="32"/>
  <c r="AB115" i="32"/>
  <c r="AB116" i="32"/>
  <c r="AB117" i="32"/>
  <c r="AB118" i="32"/>
  <c r="AB119" i="32"/>
  <c r="AB120" i="32"/>
  <c r="AB121" i="32"/>
  <c r="AB122" i="32"/>
  <c r="AB123" i="32"/>
  <c r="AB124" i="32"/>
  <c r="AB125" i="32"/>
  <c r="AB126" i="32"/>
  <c r="AB127" i="32"/>
  <c r="AB128" i="32"/>
  <c r="AB129" i="32"/>
  <c r="AB130" i="32"/>
  <c r="AB131" i="32"/>
  <c r="AB132" i="32"/>
  <c r="AB133" i="32"/>
  <c r="AB134" i="32"/>
  <c r="AB135" i="32"/>
  <c r="AB136" i="32"/>
  <c r="AB137" i="32"/>
  <c r="AB138" i="32"/>
  <c r="AB139" i="32"/>
  <c r="AB140" i="32"/>
  <c r="AB141" i="32"/>
  <c r="AB142" i="32"/>
  <c r="AB143" i="32"/>
  <c r="AB144" i="32"/>
  <c r="AB145" i="32"/>
  <c r="AB146" i="32"/>
  <c r="AB147" i="32"/>
  <c r="AB148" i="32"/>
  <c r="AB149" i="32"/>
  <c r="AB150" i="32"/>
  <c r="AB151" i="32"/>
  <c r="AB152" i="32"/>
  <c r="AB153" i="32"/>
  <c r="AB154" i="32"/>
  <c r="AB155" i="32"/>
  <c r="AB156" i="32"/>
  <c r="AB7" i="32"/>
  <c r="AB8" i="33"/>
  <c r="AB9" i="33"/>
  <c r="AB10" i="33"/>
  <c r="AB11" i="33"/>
  <c r="AB12" i="33"/>
  <c r="AB13" i="33"/>
  <c r="AB14" i="33"/>
  <c r="AB15" i="33"/>
  <c r="AB16" i="33"/>
  <c r="AB17" i="33"/>
  <c r="AB18" i="33"/>
  <c r="AB19" i="33"/>
  <c r="AB20" i="33"/>
  <c r="AB21" i="33"/>
  <c r="AB22" i="33"/>
  <c r="AB23" i="33"/>
  <c r="AB24" i="33"/>
  <c r="AB25" i="33"/>
  <c r="AB26" i="33"/>
  <c r="AB27" i="33"/>
  <c r="AB28" i="33"/>
  <c r="AB29" i="33"/>
  <c r="AB30" i="33"/>
  <c r="AB31" i="33"/>
  <c r="AB32" i="33"/>
  <c r="AB33" i="33"/>
  <c r="AB34" i="33"/>
  <c r="AB35" i="33"/>
  <c r="AB36" i="33"/>
  <c r="AB37" i="33"/>
  <c r="AB38" i="33"/>
  <c r="AB39" i="33"/>
  <c r="AB40" i="33"/>
  <c r="AB41" i="33"/>
  <c r="AB42" i="33"/>
  <c r="AB43" i="33"/>
  <c r="AB44" i="33"/>
  <c r="AB45" i="33"/>
  <c r="AB46" i="33"/>
  <c r="AB47" i="33"/>
  <c r="AB48" i="33"/>
  <c r="AB49" i="33"/>
  <c r="AB50" i="33"/>
  <c r="AB51" i="33"/>
  <c r="AB52" i="33"/>
  <c r="AB53" i="33"/>
  <c r="AB54" i="33"/>
  <c r="AB55" i="33"/>
  <c r="AB56" i="33"/>
  <c r="AB57" i="33"/>
  <c r="AB58" i="33"/>
  <c r="AB59" i="33"/>
  <c r="AB60" i="33"/>
  <c r="AB61" i="33"/>
  <c r="AB62" i="33"/>
  <c r="AB63" i="33"/>
  <c r="AB64" i="33"/>
  <c r="AB65" i="33"/>
  <c r="AB66" i="33"/>
  <c r="AB67" i="33"/>
  <c r="AB68" i="33"/>
  <c r="AB69" i="33"/>
  <c r="AB70" i="33"/>
  <c r="AB71" i="33"/>
  <c r="AB72" i="33"/>
  <c r="AB73" i="33"/>
  <c r="AB74" i="33"/>
  <c r="AB75" i="33"/>
  <c r="AB76" i="33"/>
  <c r="AB77" i="33"/>
  <c r="AB78" i="33"/>
  <c r="AB79" i="33"/>
  <c r="AB80" i="33"/>
  <c r="AB81" i="33"/>
  <c r="AB82" i="33"/>
  <c r="AB83" i="33"/>
  <c r="AB84" i="33"/>
  <c r="AB85" i="33"/>
  <c r="AB86" i="33"/>
  <c r="AB87" i="33"/>
  <c r="AB88" i="33"/>
  <c r="AB89" i="33"/>
  <c r="AB90" i="33"/>
  <c r="AB91" i="33"/>
  <c r="AB92" i="33"/>
  <c r="AB93" i="33"/>
  <c r="AB94" i="33"/>
  <c r="AB95" i="33"/>
  <c r="AB96" i="33"/>
  <c r="AB97" i="33"/>
  <c r="AB98" i="33"/>
  <c r="AB99" i="33"/>
  <c r="AB100" i="33"/>
  <c r="AB101" i="33"/>
  <c r="AB102" i="33"/>
  <c r="AB103" i="33"/>
  <c r="AB104" i="33"/>
  <c r="AB105" i="33"/>
  <c r="AB106" i="33"/>
  <c r="AB107" i="33"/>
  <c r="AB108" i="33"/>
  <c r="AB109" i="33"/>
  <c r="AB110" i="33"/>
  <c r="AB111" i="33"/>
  <c r="AB112" i="33"/>
  <c r="AB113" i="33"/>
  <c r="AB114" i="33"/>
  <c r="AB115" i="33"/>
  <c r="AB116" i="33"/>
  <c r="AB117" i="33"/>
  <c r="AB118" i="33"/>
  <c r="AB119" i="33"/>
  <c r="AB120" i="33"/>
  <c r="AB121" i="33"/>
  <c r="AB122" i="33"/>
  <c r="AB123" i="33"/>
  <c r="AB124" i="33"/>
  <c r="AB125" i="33"/>
  <c r="AB126" i="33"/>
  <c r="AB127" i="33"/>
  <c r="AB128" i="33"/>
  <c r="AB129" i="33"/>
  <c r="AB130" i="33"/>
  <c r="AB131" i="33"/>
  <c r="AB132" i="33"/>
  <c r="AB133" i="33"/>
  <c r="AB134" i="33"/>
  <c r="AB135" i="33"/>
  <c r="AB136" i="33"/>
  <c r="AB137" i="33"/>
  <c r="AB138" i="33"/>
  <c r="AB139" i="33"/>
  <c r="AB140" i="33"/>
  <c r="AB141" i="33"/>
  <c r="AB142" i="33"/>
  <c r="AB143" i="33"/>
  <c r="AB144" i="33"/>
  <c r="AB145" i="33"/>
  <c r="AB146" i="33"/>
  <c r="AB147" i="33"/>
  <c r="AB148" i="33"/>
  <c r="AB149" i="33"/>
  <c r="AB150" i="33"/>
  <c r="AB151" i="33"/>
  <c r="AB152" i="33"/>
  <c r="AB153" i="33"/>
  <c r="AB154" i="33"/>
  <c r="AB7" i="33"/>
  <c r="AB8" i="35"/>
  <c r="AB9" i="35"/>
  <c r="AB10" i="35"/>
  <c r="AB11" i="35"/>
  <c r="AB12" i="35"/>
  <c r="AB13" i="35"/>
  <c r="AB14" i="35"/>
  <c r="AB15" i="35"/>
  <c r="AB16" i="35"/>
  <c r="AB17" i="35"/>
  <c r="AB18" i="35"/>
  <c r="AB19" i="35"/>
  <c r="AB20" i="35"/>
  <c r="AB21" i="35"/>
  <c r="AB22" i="35"/>
  <c r="AB23" i="35"/>
  <c r="AB24" i="35"/>
  <c r="AB25" i="35"/>
  <c r="AB26" i="35"/>
  <c r="AB27" i="35"/>
  <c r="AB28" i="35"/>
  <c r="AB29" i="35"/>
  <c r="AB30" i="35"/>
  <c r="AB31" i="35"/>
  <c r="AB32" i="35"/>
  <c r="AB33" i="35"/>
  <c r="AB34" i="35"/>
  <c r="AB35" i="35"/>
  <c r="AB36" i="35"/>
  <c r="AB37" i="35"/>
  <c r="AB38" i="35"/>
  <c r="AB39" i="35"/>
  <c r="AB40" i="35"/>
  <c r="AB41" i="35"/>
  <c r="AB42" i="35"/>
  <c r="AB43" i="35"/>
  <c r="AB44" i="35"/>
  <c r="AB45" i="35"/>
  <c r="AB46" i="35"/>
  <c r="AB47" i="35"/>
  <c r="AB48" i="35"/>
  <c r="AB49" i="35"/>
  <c r="AB50" i="35"/>
  <c r="AB51" i="35"/>
  <c r="AB52" i="35"/>
  <c r="AB53" i="35"/>
  <c r="AB54" i="35"/>
  <c r="AB55" i="35"/>
  <c r="AB56" i="35"/>
  <c r="AB57" i="35"/>
  <c r="AB58" i="35"/>
  <c r="AB59" i="35"/>
  <c r="AB60" i="35"/>
  <c r="AB61" i="35"/>
  <c r="AB62" i="35"/>
  <c r="AB63" i="35"/>
  <c r="AB64" i="35"/>
  <c r="AB65" i="35"/>
  <c r="AB66" i="35"/>
  <c r="AB67" i="35"/>
  <c r="AB68" i="35"/>
  <c r="AB69" i="35"/>
  <c r="AB70" i="35"/>
  <c r="AB71" i="35"/>
  <c r="AB72" i="35"/>
  <c r="AB73" i="35"/>
  <c r="AB74" i="35"/>
  <c r="AB75" i="35"/>
  <c r="AB76" i="35"/>
  <c r="AB77" i="35"/>
  <c r="AB78" i="35"/>
  <c r="AB79" i="35"/>
  <c r="AB80" i="35"/>
  <c r="AB81" i="35"/>
  <c r="AB82" i="35"/>
  <c r="AB83" i="35"/>
  <c r="AB84" i="35"/>
  <c r="AB85" i="35"/>
  <c r="AB86" i="35"/>
  <c r="AB87" i="35"/>
  <c r="AB88" i="35"/>
  <c r="AB89" i="35"/>
  <c r="AB90" i="35"/>
  <c r="AB91" i="35"/>
  <c r="AB92" i="35"/>
  <c r="AB93" i="35"/>
  <c r="AB94" i="35"/>
  <c r="AB95" i="35"/>
  <c r="AB96" i="35"/>
  <c r="AB97" i="35"/>
  <c r="AB98" i="35"/>
  <c r="AB99" i="35"/>
  <c r="AB100" i="35"/>
  <c r="AB101" i="35"/>
  <c r="AB102" i="35"/>
  <c r="AB103" i="35"/>
  <c r="AB104" i="35"/>
  <c r="AB105" i="35"/>
  <c r="AB106" i="35"/>
  <c r="AB107" i="35"/>
  <c r="AB108" i="35"/>
  <c r="AB109" i="35"/>
  <c r="AB110" i="35"/>
  <c r="AB111" i="35"/>
  <c r="AB112" i="35"/>
  <c r="AB113" i="35"/>
  <c r="AB114" i="35"/>
  <c r="AB115" i="35"/>
  <c r="AB116" i="35"/>
  <c r="AB117" i="35"/>
  <c r="AB118" i="35"/>
  <c r="AB119" i="35"/>
  <c r="AB120" i="35"/>
  <c r="AB121" i="35"/>
  <c r="AB122" i="35"/>
  <c r="AB123" i="35"/>
  <c r="AB124" i="35"/>
  <c r="AB125" i="35"/>
  <c r="AB126" i="35"/>
  <c r="AB127" i="35"/>
  <c r="AB128" i="35"/>
  <c r="AB129" i="35"/>
  <c r="AB130" i="35"/>
  <c r="AB131" i="35"/>
  <c r="AB132" i="35"/>
  <c r="AB133" i="35"/>
  <c r="AB134" i="35"/>
  <c r="AB135" i="35"/>
  <c r="AB136" i="35"/>
  <c r="AB137" i="35"/>
  <c r="AB138" i="35"/>
  <c r="AB139" i="35"/>
  <c r="AB140" i="35"/>
  <c r="AB141" i="35"/>
  <c r="AB142" i="35"/>
  <c r="AB143" i="35"/>
  <c r="AB144" i="35"/>
  <c r="AB145" i="35"/>
  <c r="AB146" i="35"/>
  <c r="AB147" i="35"/>
  <c r="AB148" i="35"/>
  <c r="AB149" i="35"/>
  <c r="AB150" i="35"/>
  <c r="AB151" i="35"/>
  <c r="AB152" i="35"/>
  <c r="AB153" i="35"/>
  <c r="AB154" i="35"/>
  <c r="AB155" i="35"/>
  <c r="AB156" i="35"/>
  <c r="AB157" i="35"/>
  <c r="AB158" i="35"/>
  <c r="AB159" i="35"/>
  <c r="AB160" i="35"/>
  <c r="AB161" i="35"/>
  <c r="AB162" i="35"/>
  <c r="AB7" i="35"/>
  <c r="AB8" i="37"/>
  <c r="AB9" i="37"/>
  <c r="AB10" i="37"/>
  <c r="AB11" i="37"/>
  <c r="AB12" i="37"/>
  <c r="AB13" i="37"/>
  <c r="AB14" i="37"/>
  <c r="AB15" i="37"/>
  <c r="AB16" i="37"/>
  <c r="AB17" i="37"/>
  <c r="AB18" i="37"/>
  <c r="AB19" i="37"/>
  <c r="AB20" i="37"/>
  <c r="AB21" i="37"/>
  <c r="AB22" i="37"/>
  <c r="AB23" i="37"/>
  <c r="AB24" i="37"/>
  <c r="AB25" i="37"/>
  <c r="AB26" i="37"/>
  <c r="AB27" i="37"/>
  <c r="AB28" i="37"/>
  <c r="AB29" i="37"/>
  <c r="AB30" i="37"/>
  <c r="AB31" i="37"/>
  <c r="AB32" i="37"/>
  <c r="AB33" i="37"/>
  <c r="AB34" i="37"/>
  <c r="AB35" i="37"/>
  <c r="AB36" i="37"/>
  <c r="AB37" i="37"/>
  <c r="AB38" i="37"/>
  <c r="AB39" i="37"/>
  <c r="AB40" i="37"/>
  <c r="AB41" i="37"/>
  <c r="AB42" i="37"/>
  <c r="AB43" i="37"/>
  <c r="AB44" i="37"/>
  <c r="AB45" i="37"/>
  <c r="AB46" i="37"/>
  <c r="AB47" i="37"/>
  <c r="AB48" i="37"/>
  <c r="AB49" i="37"/>
  <c r="AB50" i="37"/>
  <c r="AB51" i="37"/>
  <c r="AB52" i="37"/>
  <c r="AB53" i="37"/>
  <c r="AB54" i="37"/>
  <c r="AB55" i="37"/>
  <c r="AB56" i="37"/>
  <c r="AB57" i="37"/>
  <c r="AB58" i="37"/>
  <c r="AB59" i="37"/>
  <c r="AB60" i="37"/>
  <c r="AB61" i="37"/>
  <c r="AB62" i="37"/>
  <c r="AB63" i="37"/>
  <c r="AB64" i="37"/>
  <c r="AB65" i="37"/>
  <c r="AB66" i="37"/>
  <c r="AB67" i="37"/>
  <c r="AB68" i="37"/>
  <c r="AB69" i="37"/>
  <c r="AB70" i="37"/>
  <c r="AB71" i="37"/>
  <c r="AB72" i="37"/>
  <c r="AB73" i="37"/>
  <c r="AB74" i="37"/>
  <c r="AB75" i="37"/>
  <c r="AB76" i="37"/>
  <c r="AB77" i="37"/>
  <c r="AB78" i="37"/>
  <c r="AB79" i="37"/>
  <c r="AB80" i="37"/>
  <c r="AB81" i="37"/>
  <c r="AB82" i="37"/>
  <c r="AB83" i="37"/>
  <c r="AB84" i="37"/>
  <c r="AB85" i="37"/>
  <c r="AB86" i="37"/>
  <c r="AB87" i="37"/>
  <c r="AB88" i="37"/>
  <c r="AB89" i="37"/>
  <c r="AB90" i="37"/>
  <c r="AB91" i="37"/>
  <c r="AB92" i="37"/>
  <c r="AB93" i="37"/>
  <c r="AB94" i="37"/>
  <c r="AB95" i="37"/>
  <c r="AB96" i="37"/>
  <c r="AB97" i="37"/>
  <c r="AB98" i="37"/>
  <c r="AB99" i="37"/>
  <c r="AB100" i="37"/>
  <c r="AB101" i="37"/>
  <c r="AB102" i="37"/>
  <c r="AB103" i="37"/>
  <c r="AB104" i="37"/>
  <c r="AB105" i="37"/>
  <c r="AB106" i="37"/>
  <c r="AB107" i="37"/>
  <c r="AB108" i="37"/>
  <c r="AB109" i="37"/>
  <c r="AB110" i="37"/>
  <c r="AB111" i="37"/>
  <c r="AB112" i="37"/>
  <c r="AB113" i="37"/>
  <c r="AB114" i="37"/>
  <c r="AB115" i="37"/>
  <c r="AB116" i="37"/>
  <c r="AB117" i="37"/>
  <c r="AB118" i="37"/>
  <c r="AB119" i="37"/>
  <c r="AB120" i="37"/>
  <c r="AB121" i="37"/>
  <c r="AB122" i="37"/>
  <c r="AB123" i="37"/>
  <c r="AB124" i="37"/>
  <c r="AB125" i="37"/>
  <c r="AB126" i="37"/>
  <c r="AB127" i="37"/>
  <c r="AB128" i="37"/>
  <c r="AB129" i="37"/>
  <c r="AB130" i="37"/>
  <c r="AB131" i="37"/>
  <c r="AB132" i="37"/>
  <c r="AB133" i="37"/>
  <c r="AB134" i="37"/>
  <c r="AB135" i="37"/>
  <c r="AB136" i="37"/>
  <c r="AB137" i="37"/>
  <c r="AB138" i="37"/>
  <c r="AB139" i="37"/>
  <c r="AB140" i="37"/>
  <c r="AB141" i="37"/>
  <c r="AB142" i="37"/>
  <c r="AB143" i="37"/>
  <c r="AB144" i="37"/>
  <c r="AB145" i="37"/>
  <c r="AB146" i="37"/>
  <c r="AB147" i="37"/>
  <c r="AB148" i="37"/>
  <c r="AB149" i="37"/>
  <c r="AB150" i="37"/>
  <c r="AB151" i="37"/>
  <c r="AB152" i="37"/>
  <c r="AB153" i="37"/>
  <c r="AB154" i="37"/>
  <c r="AB155" i="37"/>
  <c r="AB156" i="37"/>
  <c r="AB157" i="37"/>
  <c r="AB158" i="37"/>
  <c r="AB159" i="37"/>
  <c r="AB160" i="37"/>
  <c r="AB161" i="37"/>
  <c r="AB162" i="37"/>
  <c r="AB163" i="37"/>
  <c r="AB164" i="37"/>
  <c r="AB165" i="37"/>
  <c r="AB166" i="37"/>
  <c r="AB167" i="37"/>
  <c r="AB168" i="37"/>
  <c r="AB169" i="37"/>
  <c r="AB7" i="37"/>
  <c r="AB8" i="38"/>
  <c r="AB9" i="38"/>
  <c r="AB10" i="38"/>
  <c r="AB11" i="38"/>
  <c r="AB12" i="38"/>
  <c r="AB13" i="38"/>
  <c r="AB14" i="38"/>
  <c r="AB15" i="38"/>
  <c r="AB16" i="38"/>
  <c r="AB17" i="38"/>
  <c r="AB18" i="38"/>
  <c r="AB19" i="38"/>
  <c r="AB20" i="38"/>
  <c r="AB21" i="38"/>
  <c r="AB22" i="38"/>
  <c r="AB23" i="38"/>
  <c r="AB24" i="38"/>
  <c r="AB25" i="38"/>
  <c r="AB26" i="38"/>
  <c r="AB27" i="38"/>
  <c r="AB28" i="38"/>
  <c r="AB29" i="38"/>
  <c r="AB30" i="38"/>
  <c r="AB31" i="38"/>
  <c r="AB32" i="38"/>
  <c r="AB33" i="38"/>
  <c r="AB34" i="38"/>
  <c r="AB35" i="38"/>
  <c r="AB36" i="38"/>
  <c r="AB37" i="38"/>
  <c r="AB38" i="38"/>
  <c r="AB39" i="38"/>
  <c r="AB40" i="38"/>
  <c r="AB41" i="38"/>
  <c r="AB42" i="38"/>
  <c r="AB43" i="38"/>
  <c r="AB44" i="38"/>
  <c r="AB45" i="38"/>
  <c r="AB46" i="38"/>
  <c r="AB47" i="38"/>
  <c r="AB48" i="38"/>
  <c r="AB49" i="38"/>
  <c r="AB50" i="38"/>
  <c r="AB51" i="38"/>
  <c r="AB52" i="38"/>
  <c r="AB53" i="38"/>
  <c r="AB54" i="38"/>
  <c r="AB55" i="38"/>
  <c r="AB56" i="38"/>
  <c r="AB57" i="38"/>
  <c r="AB58" i="38"/>
  <c r="AB59" i="38"/>
  <c r="AB60" i="38"/>
  <c r="AB61" i="38"/>
  <c r="AB62" i="38"/>
  <c r="AB63" i="38"/>
  <c r="AB64" i="38"/>
  <c r="AB65" i="38"/>
  <c r="AB66" i="38"/>
  <c r="AB67" i="38"/>
  <c r="AB68" i="38"/>
  <c r="AB69" i="38"/>
  <c r="AB70" i="38"/>
  <c r="AB71" i="38"/>
  <c r="AB72" i="38"/>
  <c r="AB73" i="38"/>
  <c r="AB74" i="38"/>
  <c r="AB75" i="38"/>
  <c r="AB76" i="38"/>
  <c r="AB77" i="38"/>
  <c r="AB78" i="38"/>
  <c r="AB79" i="38"/>
  <c r="AB80" i="38"/>
  <c r="AB81" i="38"/>
  <c r="AB82" i="38"/>
  <c r="AB83" i="38"/>
  <c r="AB84" i="38"/>
  <c r="AB85" i="38"/>
  <c r="AB86" i="38"/>
  <c r="AB87" i="38"/>
  <c r="AB88" i="38"/>
  <c r="AB89" i="38"/>
  <c r="AB90" i="38"/>
  <c r="AB91" i="38"/>
  <c r="AB92" i="38"/>
  <c r="AB93" i="38"/>
  <c r="AB94" i="38"/>
  <c r="AB95" i="38"/>
  <c r="AB96" i="38"/>
  <c r="AB97" i="38"/>
  <c r="AB98" i="38"/>
  <c r="AB99" i="38"/>
  <c r="AB100" i="38"/>
  <c r="AB101" i="38"/>
  <c r="AB102" i="38"/>
  <c r="AB103" i="38"/>
  <c r="AB104" i="38"/>
  <c r="AB105" i="38"/>
  <c r="AB106" i="38"/>
  <c r="AB107" i="38"/>
  <c r="AB108" i="38"/>
  <c r="AB109" i="38"/>
  <c r="AB110" i="38"/>
  <c r="AB111" i="38"/>
  <c r="AB112" i="38"/>
  <c r="AB113" i="38"/>
  <c r="AB114" i="38"/>
  <c r="AB115" i="38"/>
  <c r="AB116" i="38"/>
  <c r="AB117" i="38"/>
  <c r="AB118" i="38"/>
  <c r="AB119" i="38"/>
  <c r="AB120" i="38"/>
  <c r="AB121" i="38"/>
  <c r="AB122" i="38"/>
  <c r="AB123" i="38"/>
  <c r="AB124" i="38"/>
  <c r="AB125" i="38"/>
  <c r="AB126" i="38"/>
  <c r="AB127" i="38"/>
  <c r="AB128" i="38"/>
  <c r="AB129" i="38"/>
  <c r="AB130" i="38"/>
  <c r="AB131" i="38"/>
  <c r="AB132" i="38"/>
  <c r="AB133" i="38"/>
  <c r="AB134" i="38"/>
  <c r="AB135" i="38"/>
  <c r="AB136" i="38"/>
  <c r="AB137" i="38"/>
  <c r="AB138" i="38"/>
  <c r="AB139" i="38"/>
  <c r="AB140" i="38"/>
  <c r="AB141" i="38"/>
  <c r="AB142" i="38"/>
  <c r="AB143" i="38"/>
  <c r="AB144" i="38"/>
  <c r="AB145" i="38"/>
  <c r="AB146" i="38"/>
  <c r="AB147" i="38"/>
  <c r="AB148" i="38"/>
  <c r="AB149" i="38"/>
  <c r="AB150" i="38"/>
  <c r="AB151" i="38"/>
  <c r="AB152" i="38"/>
  <c r="AB153" i="38"/>
  <c r="AB154" i="38"/>
  <c r="AB155" i="38"/>
  <c r="AB156" i="38"/>
  <c r="AB157" i="38"/>
  <c r="AB158" i="38"/>
  <c r="AB159" i="38"/>
  <c r="AB160" i="38"/>
  <c r="AB161" i="38"/>
  <c r="AB162" i="38"/>
  <c r="AB163" i="38"/>
  <c r="AB164" i="38"/>
  <c r="AB165" i="38"/>
  <c r="AB166" i="38"/>
  <c r="AB167" i="38"/>
  <c r="AB168" i="38"/>
  <c r="AB169" i="38"/>
  <c r="AB7" i="38"/>
  <c r="Z127" i="39" l="1"/>
  <c r="AI127" i="39" s="1"/>
  <c r="Y127" i="39"/>
  <c r="Y167" i="39"/>
  <c r="Y86" i="39"/>
  <c r="Y98" i="39"/>
  <c r="Y105" i="39"/>
  <c r="Y154" i="39"/>
  <c r="Z93" i="39"/>
  <c r="AI93" i="39" s="1"/>
  <c r="Z168" i="39"/>
  <c r="AI168" i="39" s="1"/>
  <c r="Y159" i="39"/>
  <c r="X134" i="39"/>
  <c r="X112" i="39"/>
  <c r="Y82" i="39"/>
  <c r="Y169" i="39"/>
  <c r="X132" i="39"/>
  <c r="Y89" i="39"/>
  <c r="Y102" i="39"/>
  <c r="Y110" i="39"/>
  <c r="X7" i="39"/>
  <c r="Y114" i="39"/>
  <c r="Y60" i="39"/>
  <c r="Y119" i="39"/>
  <c r="Y48" i="39"/>
  <c r="Y156" i="39"/>
  <c r="Y85" i="39"/>
  <c r="X70" i="39"/>
  <c r="Z126" i="39"/>
  <c r="AI126" i="39" s="1"/>
  <c r="Y56" i="39"/>
  <c r="Z57" i="39"/>
  <c r="AI57" i="39" s="1"/>
  <c r="Y28" i="39"/>
  <c r="X101" i="39"/>
  <c r="X116" i="39"/>
  <c r="Z155" i="39"/>
  <c r="AI155" i="39" s="1"/>
  <c r="Z150" i="39"/>
  <c r="AI150" i="39" s="1"/>
  <c r="Z124" i="39"/>
  <c r="AI124" i="39" s="1"/>
  <c r="Z90" i="39"/>
  <c r="AI90" i="39" s="1"/>
  <c r="Z12" i="39"/>
  <c r="AI12" i="39" s="1"/>
  <c r="Z44" i="39"/>
  <c r="AI44" i="39" s="1"/>
  <c r="Z65" i="39"/>
  <c r="AI65" i="39" s="1"/>
  <c r="X165" i="39"/>
  <c r="Y130" i="39"/>
  <c r="X62" i="39"/>
  <c r="X104" i="39"/>
  <c r="Y77" i="39"/>
  <c r="X71" i="39"/>
  <c r="Z26" i="39"/>
  <c r="AI26" i="39" s="1"/>
  <c r="X164" i="39"/>
  <c r="Z139" i="39"/>
  <c r="AI139" i="39" s="1"/>
  <c r="Z137" i="39"/>
  <c r="AI137" i="39" s="1"/>
  <c r="X166" i="39"/>
  <c r="X94" i="39"/>
  <c r="Z72" i="39"/>
  <c r="AI72" i="39" s="1"/>
  <c r="Z51" i="39"/>
  <c r="AI51" i="39" s="1"/>
  <c r="Z148" i="39"/>
  <c r="AI148" i="39" s="1"/>
  <c r="Z157" i="39"/>
  <c r="AI157" i="39" s="1"/>
  <c r="Z118" i="39"/>
  <c r="AI118" i="39" s="1"/>
  <c r="Z111" i="39"/>
  <c r="AI111" i="39" s="1"/>
  <c r="Z47" i="39"/>
  <c r="AI47" i="39" s="1"/>
  <c r="Z120" i="39"/>
  <c r="AI120" i="39" s="1"/>
  <c r="X78" i="39"/>
  <c r="Z162" i="39"/>
  <c r="AI162" i="39" s="1"/>
  <c r="X158" i="39"/>
  <c r="Z152" i="39"/>
  <c r="AI152" i="39" s="1"/>
  <c r="Z35" i="39"/>
  <c r="AI35" i="39" s="1"/>
  <c r="X147" i="39"/>
  <c r="X163" i="39"/>
  <c r="Z106" i="39"/>
  <c r="AI106" i="39" s="1"/>
  <c r="Z58" i="39"/>
  <c r="AI58" i="39" s="1"/>
  <c r="X161" i="39"/>
  <c r="X108" i="39"/>
  <c r="Z97" i="39"/>
  <c r="AI97" i="39" s="1"/>
  <c r="Z38" i="39"/>
  <c r="AI38" i="39" s="1"/>
  <c r="Z22" i="39"/>
  <c r="AI22" i="39" s="1"/>
  <c r="X160" i="39"/>
  <c r="Z144" i="39"/>
  <c r="AI144" i="39" s="1"/>
  <c r="Z33" i="39"/>
  <c r="AI33" i="39" s="1"/>
  <c r="Y7" i="39"/>
  <c r="X65" i="39"/>
  <c r="X114" i="39"/>
  <c r="Z61" i="39"/>
  <c r="AI61" i="39" s="1"/>
  <c r="Z19" i="39"/>
  <c r="AI19" i="39" s="1"/>
  <c r="Z16" i="39"/>
  <c r="AI16" i="39" s="1"/>
  <c r="X61" i="39"/>
  <c r="Y34" i="39"/>
  <c r="Y24" i="39"/>
  <c r="Y42" i="39"/>
  <c r="X14" i="39"/>
  <c r="Z9" i="39"/>
  <c r="AI9" i="39" s="1"/>
  <c r="X9" i="39"/>
  <c r="X37" i="39"/>
  <c r="X53" i="39"/>
  <c r="Y73" i="39"/>
  <c r="X25" i="39"/>
  <c r="Y17" i="39"/>
  <c r="Y33" i="39"/>
  <c r="Y49" i="39"/>
  <c r="X69" i="39"/>
  <c r="Z37" i="39"/>
  <c r="AI37" i="39" s="1"/>
  <c r="Z53" i="39"/>
  <c r="AI53" i="39" s="1"/>
  <c r="Z75" i="39"/>
  <c r="X90" i="39"/>
  <c r="X38" i="39"/>
  <c r="X54" i="39"/>
  <c r="X79" i="39"/>
  <c r="Z74" i="39"/>
  <c r="AI74" i="39" s="1"/>
  <c r="X96" i="39"/>
  <c r="Y126" i="39"/>
  <c r="Z110" i="39"/>
  <c r="AI110" i="39" s="1"/>
  <c r="Z96" i="39"/>
  <c r="AI96" i="39" s="1"/>
  <c r="Y124" i="39"/>
  <c r="X105" i="39"/>
  <c r="Z78" i="39"/>
  <c r="AI78" i="39" s="1"/>
  <c r="X100" i="39"/>
  <c r="Z130" i="39"/>
  <c r="AI130" i="39" s="1"/>
  <c r="Z122" i="39"/>
  <c r="AI122" i="39" s="1"/>
  <c r="X77" i="39"/>
  <c r="Y108" i="39"/>
  <c r="X135" i="39"/>
  <c r="Y75" i="39"/>
  <c r="Y91" i="39"/>
  <c r="Y107" i="39"/>
  <c r="Y123" i="39"/>
  <c r="X146" i="39"/>
  <c r="Z113" i="39"/>
  <c r="AI113" i="39" s="1"/>
  <c r="X159" i="39"/>
  <c r="X122" i="39"/>
  <c r="X137" i="39"/>
  <c r="Y132" i="39"/>
  <c r="X168" i="39"/>
  <c r="Z154" i="39"/>
  <c r="AI154" i="39" s="1"/>
  <c r="X169" i="39"/>
  <c r="Z143" i="39"/>
  <c r="AI143" i="39" s="1"/>
  <c r="Z159" i="39"/>
  <c r="AI159" i="39" s="1"/>
  <c r="Z95" i="39"/>
  <c r="AI95" i="39" s="1"/>
  <c r="Z21" i="39"/>
  <c r="AI21" i="39" s="1"/>
  <c r="Z52" i="39"/>
  <c r="AI52" i="39" s="1"/>
  <c r="Y26" i="39"/>
  <c r="X16" i="39"/>
  <c r="Z14" i="39"/>
  <c r="AI14" i="39" s="1"/>
  <c r="X43" i="39"/>
  <c r="Y39" i="39"/>
  <c r="X44" i="39"/>
  <c r="Z18" i="39"/>
  <c r="AI18" i="39" s="1"/>
  <c r="Z25" i="39"/>
  <c r="AI25" i="39" s="1"/>
  <c r="Z32" i="39"/>
  <c r="AI32" i="39" s="1"/>
  <c r="Y72" i="39"/>
  <c r="X10" i="39"/>
  <c r="X15" i="39"/>
  <c r="X39" i="39"/>
  <c r="X55" i="39"/>
  <c r="Y84" i="39"/>
  <c r="X27" i="39"/>
  <c r="Y19" i="39"/>
  <c r="Y35" i="39"/>
  <c r="Y51" i="39"/>
  <c r="Z73" i="39"/>
  <c r="AI73" i="39" s="1"/>
  <c r="Z39" i="39"/>
  <c r="AI39" i="39" s="1"/>
  <c r="Z55" i="39"/>
  <c r="X82" i="39"/>
  <c r="X24" i="39"/>
  <c r="X40" i="39"/>
  <c r="X56" i="39"/>
  <c r="Z60" i="39"/>
  <c r="AI60" i="39" s="1"/>
  <c r="Z77" i="39"/>
  <c r="AI77" i="39" s="1"/>
  <c r="Z98" i="39"/>
  <c r="AI98" i="39" s="1"/>
  <c r="Z132" i="39"/>
  <c r="AI132" i="39" s="1"/>
  <c r="Y112" i="39"/>
  <c r="Z99" i="39"/>
  <c r="AI99" i="39" s="1"/>
  <c r="Y78" i="39"/>
  <c r="Z114" i="39"/>
  <c r="AI114" i="39" s="1"/>
  <c r="Z81" i="39"/>
  <c r="AI81" i="39" s="1"/>
  <c r="Z102" i="39"/>
  <c r="AI102" i="39" s="1"/>
  <c r="Z134" i="39"/>
  <c r="AI134" i="39" s="1"/>
  <c r="X109" i="39"/>
  <c r="X149" i="39"/>
  <c r="X148" i="39"/>
  <c r="Y139" i="39"/>
  <c r="Y93" i="39"/>
  <c r="Y109" i="39"/>
  <c r="Y147" i="39"/>
  <c r="Z115" i="39"/>
  <c r="AI115" i="39" s="1"/>
  <c r="Z131" i="39"/>
  <c r="AI131" i="39" s="1"/>
  <c r="X167" i="39"/>
  <c r="X124" i="39"/>
  <c r="X143" i="39"/>
  <c r="Y134" i="39"/>
  <c r="Y158" i="39"/>
  <c r="Z156" i="39"/>
  <c r="AI156" i="39" s="1"/>
  <c r="Z145" i="39"/>
  <c r="AI145" i="39" s="1"/>
  <c r="Z161" i="39"/>
  <c r="AI161" i="39" s="1"/>
  <c r="Z31" i="39"/>
  <c r="AI31" i="39" s="1"/>
  <c r="Z20" i="39"/>
  <c r="AI20" i="39" s="1"/>
  <c r="X73" i="39"/>
  <c r="Z40" i="39"/>
  <c r="AI40" i="39" s="1"/>
  <c r="Z24" i="39"/>
  <c r="AI24" i="39" s="1"/>
  <c r="X12" i="39"/>
  <c r="X21" i="39"/>
  <c r="Y23" i="39"/>
  <c r="Z82" i="39"/>
  <c r="AI82" i="39" s="1"/>
  <c r="Z15" i="39"/>
  <c r="AI15" i="39" s="1"/>
  <c r="Y58" i="39"/>
  <c r="Z46" i="39"/>
  <c r="AI46" i="39" s="1"/>
  <c r="Y22" i="39"/>
  <c r="Y66" i="39"/>
  <c r="X17" i="39"/>
  <c r="X41" i="39"/>
  <c r="X57" i="39"/>
  <c r="X87" i="39"/>
  <c r="X35" i="39"/>
  <c r="Y21" i="39"/>
  <c r="Y37" i="39"/>
  <c r="Y53" i="39"/>
  <c r="X74" i="39"/>
  <c r="Z41" i="39"/>
  <c r="AI41" i="39" s="1"/>
  <c r="Y64" i="39"/>
  <c r="X26" i="39"/>
  <c r="X42" i="39"/>
  <c r="X58" i="39"/>
  <c r="Z62" i="39"/>
  <c r="AI62" i="39" s="1"/>
  <c r="X80" i="39"/>
  <c r="Z101" i="39"/>
  <c r="AI101" i="39" s="1"/>
  <c r="X83" i="39"/>
  <c r="X113" i="39"/>
  <c r="X102" i="39"/>
  <c r="X81" i="39"/>
  <c r="Y116" i="39"/>
  <c r="X84" i="39"/>
  <c r="Z105" i="39"/>
  <c r="AI105" i="39" s="1"/>
  <c r="Y100" i="39"/>
  <c r="Z103" i="39"/>
  <c r="AI103" i="39" s="1"/>
  <c r="X85" i="39"/>
  <c r="X110" i="39"/>
  <c r="Y150" i="39"/>
  <c r="Y149" i="39"/>
  <c r="Y79" i="39"/>
  <c r="Y95" i="39"/>
  <c r="Y111" i="39"/>
  <c r="X154" i="39"/>
  <c r="Z117" i="39"/>
  <c r="AI117" i="39" s="1"/>
  <c r="X126" i="39"/>
  <c r="Y144" i="39"/>
  <c r="Y137" i="39"/>
  <c r="Y160" i="39"/>
  <c r="Z158" i="39"/>
  <c r="AI158" i="39" s="1"/>
  <c r="Y161" i="39"/>
  <c r="Z147" i="39"/>
  <c r="AI147" i="39" s="1"/>
  <c r="Z163" i="39"/>
  <c r="AI163" i="39" s="1"/>
  <c r="Y30" i="39"/>
  <c r="Z8" i="39"/>
  <c r="AI8" i="39" s="1"/>
  <c r="Y67" i="39"/>
  <c r="Y12" i="39"/>
  <c r="X117" i="39"/>
  <c r="Z86" i="39"/>
  <c r="AI86" i="39" s="1"/>
  <c r="Z116" i="39"/>
  <c r="AI116" i="39" s="1"/>
  <c r="X103" i="39"/>
  <c r="Y106" i="39"/>
  <c r="Y90" i="39"/>
  <c r="X157" i="39"/>
  <c r="X156" i="39"/>
  <c r="Y81" i="39"/>
  <c r="Y97" i="39"/>
  <c r="Y113" i="39"/>
  <c r="Y155" i="39"/>
  <c r="Z119" i="39"/>
  <c r="AI119" i="39" s="1"/>
  <c r="Z135" i="39"/>
  <c r="AI135" i="39" s="1"/>
  <c r="X144" i="39"/>
  <c r="X128" i="39"/>
  <c r="X151" i="39"/>
  <c r="Y162" i="39"/>
  <c r="Z160" i="39"/>
  <c r="AI160" i="39" s="1"/>
  <c r="Y163" i="39"/>
  <c r="Z149" i="39"/>
  <c r="AI149" i="39" s="1"/>
  <c r="Z165" i="39"/>
  <c r="AI165" i="39" s="1"/>
  <c r="Z28" i="39"/>
  <c r="AI28" i="39" s="1"/>
  <c r="Y52" i="39"/>
  <c r="Z48" i="39"/>
  <c r="AI48" i="39" s="1"/>
  <c r="X98" i="39"/>
  <c r="X67" i="39"/>
  <c r="X75" i="39"/>
  <c r="X28" i="39"/>
  <c r="Z64" i="39"/>
  <c r="AI64" i="39" s="1"/>
  <c r="Z104" i="39"/>
  <c r="AI104" i="39" s="1"/>
  <c r="Y71" i="39"/>
  <c r="X8" i="39"/>
  <c r="Y61" i="39"/>
  <c r="Y36" i="39"/>
  <c r="Z11" i="39"/>
  <c r="AI11" i="39" s="1"/>
  <c r="Z79" i="39"/>
  <c r="AI79" i="39" s="1"/>
  <c r="Z54" i="39"/>
  <c r="AI54" i="39" s="1"/>
  <c r="Y14" i="39"/>
  <c r="Y32" i="39"/>
  <c r="Z71" i="39"/>
  <c r="AI71" i="39" s="1"/>
  <c r="X23" i="39"/>
  <c r="X45" i="39"/>
  <c r="Y62" i="39"/>
  <c r="Y9" i="39"/>
  <c r="Y25" i="39"/>
  <c r="Y41" i="39"/>
  <c r="Y57" i="39"/>
  <c r="Z84" i="39"/>
  <c r="AI84" i="39" s="1"/>
  <c r="Z45" i="39"/>
  <c r="AI45" i="39" s="1"/>
  <c r="Z63" i="39"/>
  <c r="AI63" i="39" s="1"/>
  <c r="Z69" i="39"/>
  <c r="AI69" i="39" s="1"/>
  <c r="X30" i="39"/>
  <c r="X46" i="39"/>
  <c r="Y65" i="39"/>
  <c r="Z66" i="39"/>
  <c r="AI66" i="39" s="1"/>
  <c r="Z85" i="39"/>
  <c r="AI85" i="39" s="1"/>
  <c r="Z108" i="39"/>
  <c r="AI108" i="39" s="1"/>
  <c r="X91" i="39"/>
  <c r="Z112" i="39"/>
  <c r="AI112" i="39" s="1"/>
  <c r="X89" i="39"/>
  <c r="X118" i="39"/>
  <c r="Z89" i="39"/>
  <c r="AI89" i="39" s="1"/>
  <c r="Y118" i="39"/>
  <c r="X106" i="39"/>
  <c r="X107" i="39"/>
  <c r="X93" i="39"/>
  <c r="Z128" i="39"/>
  <c r="AI128" i="39" s="1"/>
  <c r="Y157" i="39"/>
  <c r="Y148" i="39"/>
  <c r="Y83" i="39"/>
  <c r="Y99" i="39"/>
  <c r="Y115" i="39"/>
  <c r="Y131" i="39"/>
  <c r="X162" i="39"/>
  <c r="Z121" i="39"/>
  <c r="AI121" i="39" s="1"/>
  <c r="X145" i="39"/>
  <c r="Y145" i="39"/>
  <c r="X130" i="39"/>
  <c r="Y152" i="39"/>
  <c r="Y143" i="39"/>
  <c r="Y164" i="39"/>
  <c r="Z146" i="39"/>
  <c r="AI146" i="39" s="1"/>
  <c r="Y165" i="39"/>
  <c r="Z151" i="39"/>
  <c r="AI151" i="39" s="1"/>
  <c r="Z167" i="39"/>
  <c r="AI167" i="39" s="1"/>
  <c r="Y40" i="39"/>
  <c r="Y20" i="39"/>
  <c r="Y44" i="39"/>
  <c r="Z36" i="39"/>
  <c r="AI36" i="39" s="1"/>
  <c r="Z92" i="39"/>
  <c r="AI92" i="39" s="1"/>
  <c r="Z43" i="39"/>
  <c r="AI43" i="39" s="1"/>
  <c r="X60" i="39"/>
  <c r="Y92" i="39"/>
  <c r="Z34" i="39"/>
  <c r="AI34" i="39" s="1"/>
  <c r="Z10" i="39"/>
  <c r="AI10" i="39" s="1"/>
  <c r="Z42" i="39"/>
  <c r="AI42" i="39" s="1"/>
  <c r="Y10" i="39"/>
  <c r="Y54" i="39"/>
  <c r="Z30" i="39"/>
  <c r="AI30" i="39" s="1"/>
  <c r="Z29" i="39"/>
  <c r="AI29" i="39" s="1"/>
  <c r="X72" i="39"/>
  <c r="X29" i="39"/>
  <c r="X47" i="39"/>
  <c r="X63" i="39"/>
  <c r="X11" i="39"/>
  <c r="Y11" i="39"/>
  <c r="Y27" i="39"/>
  <c r="Y43" i="39"/>
  <c r="Y59" i="39"/>
  <c r="Z87" i="39"/>
  <c r="AI87" i="39" s="1"/>
  <c r="X64" i="39"/>
  <c r="X32" i="39"/>
  <c r="X48" i="39"/>
  <c r="Y70" i="39"/>
  <c r="Z68" i="39"/>
  <c r="AI68" i="39" s="1"/>
  <c r="X88" i="39"/>
  <c r="Y96" i="39"/>
  <c r="Y94" i="39"/>
  <c r="X123" i="39"/>
  <c r="X92" i="39"/>
  <c r="X119" i="39"/>
  <c r="X155" i="39"/>
  <c r="Y101" i="39"/>
  <c r="Y117" i="39"/>
  <c r="Z107" i="39"/>
  <c r="AI107" i="39" s="1"/>
  <c r="Z123" i="39"/>
  <c r="AI123" i="39" s="1"/>
  <c r="Y146" i="39"/>
  <c r="X152" i="39"/>
  <c r="X150" i="39"/>
  <c r="Y166" i="39"/>
  <c r="Z164" i="39"/>
  <c r="AI164" i="39" s="1"/>
  <c r="Z153" i="39"/>
  <c r="AI153" i="39" s="1"/>
  <c r="Z169" i="39"/>
  <c r="AI169" i="39" s="1"/>
  <c r="X66" i="39"/>
  <c r="Y38" i="39"/>
  <c r="X20" i="39"/>
  <c r="Z56" i="39"/>
  <c r="AI56" i="39" s="1"/>
  <c r="Y8" i="39"/>
  <c r="Z83" i="39"/>
  <c r="AI83" i="39" s="1"/>
  <c r="X59" i="39"/>
  <c r="Z59" i="39"/>
  <c r="AI59" i="39" s="1"/>
  <c r="Y88" i="39"/>
  <c r="Z80" i="39"/>
  <c r="AI80" i="39" s="1"/>
  <c r="Z23" i="39"/>
  <c r="AI23" i="39" s="1"/>
  <c r="Z7" i="39"/>
  <c r="AI7" i="39" s="1"/>
  <c r="Z17" i="39"/>
  <c r="AI17" i="39" s="1"/>
  <c r="Y50" i="39"/>
  <c r="X22" i="39"/>
  <c r="Z13" i="39"/>
  <c r="AI13" i="39" s="1"/>
  <c r="Y80" i="39"/>
  <c r="X31" i="39"/>
  <c r="X49" i="39"/>
  <c r="Z67" i="39"/>
  <c r="AI67" i="39" s="1"/>
  <c r="X13" i="39"/>
  <c r="Y13" i="39"/>
  <c r="Y29" i="39"/>
  <c r="Y45" i="39"/>
  <c r="Y63" i="39"/>
  <c r="Z88" i="39"/>
  <c r="AI88" i="39" s="1"/>
  <c r="Z49" i="39"/>
  <c r="AI49" i="39" s="1"/>
  <c r="Y69" i="39"/>
  <c r="Y76" i="39"/>
  <c r="X34" i="39"/>
  <c r="X50" i="39"/>
  <c r="Z70" i="39"/>
  <c r="AI70" i="39" s="1"/>
  <c r="X111" i="39"/>
  <c r="X99" i="39"/>
  <c r="Z91" i="39"/>
  <c r="AI91" i="39" s="1"/>
  <c r="X115" i="39"/>
  <c r="X97" i="39"/>
  <c r="Z94" i="39"/>
  <c r="AI94" i="39" s="1"/>
  <c r="X120" i="39"/>
  <c r="Y120" i="39"/>
  <c r="X139" i="39"/>
  <c r="X131" i="39"/>
  <c r="Y87" i="39"/>
  <c r="Y103" i="39"/>
  <c r="Y135" i="39"/>
  <c r="Z109" i="39"/>
  <c r="AI109" i="39" s="1"/>
  <c r="X153" i="39"/>
  <c r="Y153" i="39"/>
  <c r="Y151" i="39"/>
  <c r="Y168" i="39"/>
  <c r="Z166" i="39"/>
  <c r="AI166" i="39" s="1"/>
  <c r="Z27" i="39"/>
  <c r="AI27" i="39" s="1"/>
  <c r="Y18" i="39"/>
  <c r="Y55" i="39"/>
  <c r="Z50" i="39"/>
  <c r="AI50" i="39" s="1"/>
  <c r="Y46" i="39"/>
  <c r="X18" i="39"/>
  <c r="X95" i="39"/>
  <c r="X33" i="39"/>
  <c r="X51" i="39"/>
  <c r="X68" i="39"/>
  <c r="X19" i="39"/>
  <c r="Y15" i="39"/>
  <c r="Y31" i="39"/>
  <c r="Y47" i="39"/>
  <c r="Y68" i="39"/>
  <c r="Z100" i="39"/>
  <c r="AI100" i="39" s="1"/>
  <c r="Y74" i="39"/>
  <c r="X86" i="39"/>
  <c r="X36" i="39"/>
  <c r="X52" i="39"/>
  <c r="Z76" i="39"/>
  <c r="AI76" i="39" s="1"/>
  <c r="Y104" i="39"/>
  <c r="X76" i="39"/>
  <c r="X121" i="39"/>
  <c r="Y121" i="39"/>
  <c r="Y16" i="39"/>
  <c r="AH119" i="29"/>
  <c r="AH118" i="29"/>
  <c r="AH117" i="29"/>
  <c r="AH158" i="38"/>
  <c r="AH159" i="38"/>
  <c r="AH157" i="38"/>
  <c r="AG158" i="38"/>
  <c r="AG159" i="38"/>
  <c r="AG157" i="38"/>
  <c r="AG157" i="37"/>
  <c r="AH155" i="38"/>
  <c r="AH156" i="38"/>
  <c r="AH154" i="38"/>
  <c r="AG155" i="38"/>
  <c r="AG156" i="38"/>
  <c r="AG154" i="38"/>
  <c r="AG154" i="37"/>
  <c r="AH119" i="38"/>
  <c r="AH120" i="38"/>
  <c r="AH118" i="38"/>
  <c r="AG119" i="38"/>
  <c r="AG120" i="38"/>
  <c r="AG118" i="38"/>
  <c r="AG38" i="38"/>
  <c r="AH42" i="38"/>
  <c r="AH43" i="38"/>
  <c r="AH41" i="38"/>
  <c r="AG42" i="38"/>
  <c r="AG43" i="38"/>
  <c r="AG41" i="38"/>
  <c r="AG40" i="38"/>
  <c r="AH39" i="38"/>
  <c r="AH40" i="38"/>
  <c r="AH38" i="38"/>
  <c r="AG39" i="38"/>
  <c r="AH29" i="38"/>
  <c r="AH30" i="38"/>
  <c r="AH28" i="38"/>
  <c r="AG29" i="38"/>
  <c r="AG30" i="38"/>
  <c r="AG28" i="38"/>
  <c r="AH14" i="38"/>
  <c r="AH15" i="38"/>
  <c r="AH13" i="38"/>
  <c r="AG14" i="38"/>
  <c r="AG15" i="38"/>
  <c r="AG13" i="38"/>
  <c r="AH158" i="37"/>
  <c r="AH159" i="37"/>
  <c r="AH157" i="37"/>
  <c r="AG158" i="37"/>
  <c r="AG159" i="37"/>
  <c r="AG156" i="37"/>
  <c r="AH155" i="37"/>
  <c r="AH156" i="37"/>
  <c r="AH154" i="37"/>
  <c r="AG155" i="37"/>
  <c r="AH120" i="37"/>
  <c r="AH121" i="37"/>
  <c r="AH119" i="37"/>
  <c r="AG120" i="37"/>
  <c r="AG121" i="37"/>
  <c r="AG119" i="37"/>
  <c r="AH43" i="37"/>
  <c r="AH44" i="37"/>
  <c r="AH42" i="37"/>
  <c r="AG43" i="37"/>
  <c r="AG44" i="37"/>
  <c r="AG42" i="37"/>
  <c r="AH40" i="37"/>
  <c r="AH41" i="37"/>
  <c r="AH39" i="37"/>
  <c r="AG40" i="37"/>
  <c r="AG41" i="37"/>
  <c r="AG39" i="37"/>
  <c r="AH29" i="37"/>
  <c r="AH30" i="37"/>
  <c r="AH28" i="37"/>
  <c r="AG29" i="37"/>
  <c r="AG30" i="37"/>
  <c r="AG28" i="37"/>
  <c r="AH25" i="37"/>
  <c r="AH26" i="37"/>
  <c r="AH27" i="37"/>
  <c r="AG25" i="37"/>
  <c r="AG26" i="37"/>
  <c r="AG27" i="37"/>
  <c r="AG114" i="38"/>
  <c r="AG13" i="35"/>
  <c r="AG16" i="12"/>
  <c r="AG15" i="12"/>
  <c r="O61" i="32"/>
  <c r="P61" i="32"/>
  <c r="Q61" i="32"/>
  <c r="W61" i="32" s="1"/>
  <c r="AI61" i="32" s="1"/>
  <c r="S61" i="32"/>
  <c r="R61" i="32"/>
  <c r="U61" i="32"/>
  <c r="T61" i="32" s="1"/>
  <c r="AC61" i="32"/>
  <c r="AE61" i="32" s="1"/>
  <c r="AF61" i="32"/>
  <c r="AG61" i="32"/>
  <c r="AH61" i="32"/>
  <c r="S24" i="32"/>
  <c r="R24" i="32"/>
  <c r="U24" i="32"/>
  <c r="T24" i="32" s="1"/>
  <c r="AC24" i="32"/>
  <c r="AE24" i="32" s="1"/>
  <c r="AF24" i="32"/>
  <c r="AG24" i="32"/>
  <c r="AH24" i="32"/>
  <c r="S11" i="38"/>
  <c r="R11" i="38" s="1"/>
  <c r="U11" i="38"/>
  <c r="T11" i="38" s="1"/>
  <c r="AC11" i="38"/>
  <c r="AE11" i="38" s="1"/>
  <c r="AF11" i="38"/>
  <c r="AG11" i="38"/>
  <c r="AH11" i="38"/>
  <c r="S12" i="38"/>
  <c r="R12" i="38" s="1"/>
  <c r="U12" i="38"/>
  <c r="T12" i="38"/>
  <c r="AC12" i="38"/>
  <c r="AD12" i="38" s="1"/>
  <c r="AF12" i="38"/>
  <c r="AG12" i="38"/>
  <c r="AH12" i="38"/>
  <c r="S13" i="38"/>
  <c r="R13" i="38"/>
  <c r="U13" i="38"/>
  <c r="T13" i="38"/>
  <c r="AC13" i="38"/>
  <c r="AD13" i="38" s="1"/>
  <c r="AF13" i="38"/>
  <c r="S14" i="38"/>
  <c r="R14" i="38" s="1"/>
  <c r="U14" i="38"/>
  <c r="T14" i="38" s="1"/>
  <c r="AC14" i="38"/>
  <c r="AF14" i="38"/>
  <c r="S15" i="38"/>
  <c r="U15" i="38"/>
  <c r="T15" i="38" s="1"/>
  <c r="AC15" i="38"/>
  <c r="AD15" i="38" s="1"/>
  <c r="AF15" i="38"/>
  <c r="S16" i="38"/>
  <c r="R16" i="38" s="1"/>
  <c r="U16" i="38"/>
  <c r="T16" i="38" s="1"/>
  <c r="AC16" i="38"/>
  <c r="AD16" i="38" s="1"/>
  <c r="AF16" i="38"/>
  <c r="AG16" i="38"/>
  <c r="AH16" i="38"/>
  <c r="S17" i="38"/>
  <c r="U17" i="38"/>
  <c r="T17" i="38"/>
  <c r="AC17" i="38"/>
  <c r="AD17" i="38" s="1"/>
  <c r="AF17" i="38"/>
  <c r="AG17" i="38"/>
  <c r="AH17" i="38"/>
  <c r="S18" i="38"/>
  <c r="R18" i="38" s="1"/>
  <c r="U18" i="38"/>
  <c r="T18" i="38" s="1"/>
  <c r="AC18" i="38"/>
  <c r="AD18" i="38" s="1"/>
  <c r="AF18" i="38"/>
  <c r="AG18" i="38"/>
  <c r="AH18" i="38"/>
  <c r="S19" i="38"/>
  <c r="R19" i="38"/>
  <c r="U19" i="38"/>
  <c r="T19" i="38" s="1"/>
  <c r="AC19" i="38"/>
  <c r="AF19" i="38"/>
  <c r="AG19" i="38"/>
  <c r="AH19" i="38"/>
  <c r="S20" i="38"/>
  <c r="U20" i="38"/>
  <c r="T20" i="38" s="1"/>
  <c r="AC20" i="38"/>
  <c r="AE20" i="38" s="1"/>
  <c r="AF20" i="38"/>
  <c r="AG20" i="38"/>
  <c r="AH20" i="38"/>
  <c r="S21" i="38"/>
  <c r="U21" i="38"/>
  <c r="T21" i="38"/>
  <c r="AC21" i="38"/>
  <c r="AE21" i="38" s="1"/>
  <c r="AF21" i="38"/>
  <c r="AG21" i="38"/>
  <c r="AH21" i="38"/>
  <c r="S22" i="38"/>
  <c r="U22" i="38"/>
  <c r="T22" i="38" s="1"/>
  <c r="AC22" i="38"/>
  <c r="AD22" i="38" s="1"/>
  <c r="AF22" i="38"/>
  <c r="AG22" i="38"/>
  <c r="AH22" i="38"/>
  <c r="S23" i="38"/>
  <c r="U23" i="38"/>
  <c r="T23" i="38"/>
  <c r="AC23" i="38"/>
  <c r="AD23" i="38" s="1"/>
  <c r="AF23" i="38"/>
  <c r="AG23" i="38"/>
  <c r="AH23" i="38"/>
  <c r="S24" i="38"/>
  <c r="R24" i="38" s="1"/>
  <c r="U24" i="38"/>
  <c r="AC24" i="38"/>
  <c r="AE24" i="38" s="1"/>
  <c r="AF24" i="38"/>
  <c r="AG24" i="38"/>
  <c r="AH24" i="38"/>
  <c r="S25" i="38"/>
  <c r="U25" i="38"/>
  <c r="T25" i="38"/>
  <c r="AC25" i="38"/>
  <c r="AE25" i="38" s="1"/>
  <c r="AF25" i="38"/>
  <c r="AG25" i="38"/>
  <c r="AH25" i="38"/>
  <c r="R26" i="38"/>
  <c r="S26" i="38"/>
  <c r="U26" i="38"/>
  <c r="AC26" i="38"/>
  <c r="AD26" i="38" s="1"/>
  <c r="AF26" i="38"/>
  <c r="AG26" i="38"/>
  <c r="AH26" i="38"/>
  <c r="S27" i="38"/>
  <c r="R27" i="38" s="1"/>
  <c r="U27" i="38"/>
  <c r="T27" i="38"/>
  <c r="AC27" i="38"/>
  <c r="AD27" i="38" s="1"/>
  <c r="AF27" i="38"/>
  <c r="AG27" i="38"/>
  <c r="AH27" i="38"/>
  <c r="S28" i="38"/>
  <c r="U28" i="38"/>
  <c r="T28" i="38" s="1"/>
  <c r="AC28" i="38"/>
  <c r="AF28" i="38"/>
  <c r="S29" i="38"/>
  <c r="R29" i="38" s="1"/>
  <c r="U29" i="38"/>
  <c r="T29" i="38"/>
  <c r="AC29" i="38"/>
  <c r="AD29" i="38" s="1"/>
  <c r="AF29" i="38"/>
  <c r="S30" i="38"/>
  <c r="R30" i="38"/>
  <c r="U30" i="38"/>
  <c r="T30" i="38" s="1"/>
  <c r="AC30" i="38"/>
  <c r="AF30" i="38"/>
  <c r="S31" i="38"/>
  <c r="U31" i="38"/>
  <c r="T31" i="38"/>
  <c r="AC31" i="38"/>
  <c r="AE31" i="38" s="1"/>
  <c r="AF31" i="38"/>
  <c r="AG31" i="38"/>
  <c r="AH31" i="38"/>
  <c r="S32" i="38"/>
  <c r="U32" i="38"/>
  <c r="T32" i="38"/>
  <c r="AC32" i="38"/>
  <c r="AD32" i="38" s="1"/>
  <c r="AF32" i="38"/>
  <c r="AG32" i="38"/>
  <c r="AH32" i="38"/>
  <c r="S33" i="38"/>
  <c r="U33" i="38"/>
  <c r="T33" i="38" s="1"/>
  <c r="AC33" i="38"/>
  <c r="AD33" i="38" s="1"/>
  <c r="AF33" i="38"/>
  <c r="AG33" i="38"/>
  <c r="AH33" i="38"/>
  <c r="S34" i="38"/>
  <c r="U34" i="38"/>
  <c r="T34" i="38"/>
  <c r="AC34" i="38"/>
  <c r="AD34" i="38" s="1"/>
  <c r="AF34" i="38"/>
  <c r="AG34" i="38"/>
  <c r="AH34" i="38"/>
  <c r="S35" i="38"/>
  <c r="R35" i="38" s="1"/>
  <c r="U35" i="38"/>
  <c r="T35" i="38"/>
  <c r="AC35" i="38"/>
  <c r="AD35" i="38" s="1"/>
  <c r="AF35" i="38"/>
  <c r="AG35" i="38"/>
  <c r="AH35" i="38"/>
  <c r="S36" i="38"/>
  <c r="U36" i="38"/>
  <c r="T36" i="38" s="1"/>
  <c r="AC36" i="38"/>
  <c r="AD36" i="38" s="1"/>
  <c r="AF36" i="38"/>
  <c r="AG36" i="38"/>
  <c r="AH36" i="38"/>
  <c r="S37" i="38"/>
  <c r="R37" i="38"/>
  <c r="U37" i="38"/>
  <c r="AC37" i="38"/>
  <c r="AE37" i="38" s="1"/>
  <c r="AF37" i="38"/>
  <c r="AG37" i="38"/>
  <c r="AH37" i="38"/>
  <c r="S38" i="38"/>
  <c r="R38" i="38"/>
  <c r="U38" i="38"/>
  <c r="T38" i="38"/>
  <c r="AC38" i="38"/>
  <c r="AD38" i="38" s="1"/>
  <c r="AF38" i="38"/>
  <c r="S39" i="38"/>
  <c r="U39" i="38"/>
  <c r="T39" i="38"/>
  <c r="AC39" i="38"/>
  <c r="AE39" i="38" s="1"/>
  <c r="AF39" i="38"/>
  <c r="S40" i="38"/>
  <c r="R40" i="38" s="1"/>
  <c r="U40" i="38"/>
  <c r="T40" i="38"/>
  <c r="AC40" i="38"/>
  <c r="AD40" i="38" s="1"/>
  <c r="AF40" i="38"/>
  <c r="S41" i="38"/>
  <c r="R41" i="38" s="1"/>
  <c r="U41" i="38"/>
  <c r="T41" i="38" s="1"/>
  <c r="AC41" i="38"/>
  <c r="AD41" i="38" s="1"/>
  <c r="AF41" i="38"/>
  <c r="S42" i="38"/>
  <c r="R42" i="38" s="1"/>
  <c r="U42" i="38"/>
  <c r="T42" i="38"/>
  <c r="AC42" i="38"/>
  <c r="AF42" i="38"/>
  <c r="S43" i="38"/>
  <c r="R43" i="38"/>
  <c r="U43" i="38"/>
  <c r="T43" i="38" s="1"/>
  <c r="AC43" i="38"/>
  <c r="AD43" i="38" s="1"/>
  <c r="AF43" i="38"/>
  <c r="S44" i="38"/>
  <c r="R44" i="38"/>
  <c r="U44" i="38"/>
  <c r="T44" i="38" s="1"/>
  <c r="AC44" i="38"/>
  <c r="AF44" i="38"/>
  <c r="AG44" i="38"/>
  <c r="AH44" i="38"/>
  <c r="S45" i="38"/>
  <c r="R45" i="38" s="1"/>
  <c r="U45" i="38"/>
  <c r="T45" i="38"/>
  <c r="AC45" i="38"/>
  <c r="AF45" i="38"/>
  <c r="AG45" i="38"/>
  <c r="AH45" i="38"/>
  <c r="S46" i="38"/>
  <c r="R46" i="38" s="1"/>
  <c r="U46" i="38"/>
  <c r="T46" i="38"/>
  <c r="AC46" i="38"/>
  <c r="AF46" i="38"/>
  <c r="AG46" i="38"/>
  <c r="AH46" i="38"/>
  <c r="S47" i="38"/>
  <c r="U47" i="38"/>
  <c r="T47" i="38" s="1"/>
  <c r="AC47" i="38"/>
  <c r="AE47" i="38" s="1"/>
  <c r="AF47" i="38"/>
  <c r="AG47" i="38"/>
  <c r="AH47" i="38"/>
  <c r="S48" i="38"/>
  <c r="R48" i="38"/>
  <c r="U48" i="38"/>
  <c r="T48" i="38" s="1"/>
  <c r="AC48" i="38"/>
  <c r="AE48" i="38" s="1"/>
  <c r="AF48" i="38"/>
  <c r="AG48" i="38"/>
  <c r="AH48" i="38"/>
  <c r="S49" i="38"/>
  <c r="U49" i="38"/>
  <c r="T49" i="38" s="1"/>
  <c r="AC49" i="38"/>
  <c r="AD49" i="38" s="1"/>
  <c r="AF49" i="38"/>
  <c r="AG49" i="38"/>
  <c r="AH49" i="38"/>
  <c r="S50" i="38"/>
  <c r="R50" i="38"/>
  <c r="U50" i="38"/>
  <c r="AC50" i="38"/>
  <c r="AD50" i="38" s="1"/>
  <c r="AF50" i="38"/>
  <c r="AG50" i="38"/>
  <c r="AH50" i="38"/>
  <c r="S51" i="38"/>
  <c r="R51" i="38"/>
  <c r="U51" i="38"/>
  <c r="T51" i="38" s="1"/>
  <c r="AC51" i="38"/>
  <c r="AD51" i="38" s="1"/>
  <c r="AF51" i="38"/>
  <c r="AG51" i="38"/>
  <c r="AH51" i="38"/>
  <c r="S52" i="38"/>
  <c r="R52" i="38"/>
  <c r="U52" i="38"/>
  <c r="T52" i="38" s="1"/>
  <c r="AC52" i="38"/>
  <c r="AD52" i="38" s="1"/>
  <c r="AF52" i="38"/>
  <c r="AG52" i="38"/>
  <c r="AH52" i="38"/>
  <c r="S53" i="38"/>
  <c r="R53" i="38" s="1"/>
  <c r="U53" i="38"/>
  <c r="T53" i="38"/>
  <c r="AC53" i="38"/>
  <c r="AD53" i="38" s="1"/>
  <c r="AF53" i="38"/>
  <c r="AG53" i="38"/>
  <c r="AH53" i="38"/>
  <c r="S54" i="38"/>
  <c r="U54" i="38"/>
  <c r="T54" i="38"/>
  <c r="AC54" i="38"/>
  <c r="AF54" i="38"/>
  <c r="AG54" i="38"/>
  <c r="AH54" i="38"/>
  <c r="S55" i="38"/>
  <c r="U55" i="38"/>
  <c r="T55" i="38"/>
  <c r="AC55" i="38"/>
  <c r="AF55" i="38"/>
  <c r="AG55" i="38"/>
  <c r="AH55" i="38"/>
  <c r="S56" i="38"/>
  <c r="R56" i="38" s="1"/>
  <c r="U56" i="38"/>
  <c r="T56" i="38" s="1"/>
  <c r="AC56" i="38"/>
  <c r="AD56" i="38" s="1"/>
  <c r="AF56" i="38"/>
  <c r="AG56" i="38"/>
  <c r="AH56" i="38"/>
  <c r="S57" i="38"/>
  <c r="R57" i="38" s="1"/>
  <c r="U57" i="38"/>
  <c r="T57" i="38" s="1"/>
  <c r="AC57" i="38"/>
  <c r="AD57" i="38" s="1"/>
  <c r="AF57" i="38"/>
  <c r="AG57" i="38"/>
  <c r="AH57" i="38"/>
  <c r="S58" i="38"/>
  <c r="R58" i="38" s="1"/>
  <c r="U58" i="38"/>
  <c r="AC58" i="38"/>
  <c r="AE58" i="38" s="1"/>
  <c r="AF58" i="38"/>
  <c r="AG58" i="38"/>
  <c r="AH58" i="38"/>
  <c r="S59" i="38"/>
  <c r="U59" i="38"/>
  <c r="T59" i="38"/>
  <c r="AC59" i="38"/>
  <c r="AD59" i="38" s="1"/>
  <c r="AF59" i="38"/>
  <c r="AG59" i="38"/>
  <c r="AH59" i="38"/>
  <c r="S60" i="38"/>
  <c r="U60" i="38"/>
  <c r="T60" i="38"/>
  <c r="AC60" i="38"/>
  <c r="AF60" i="38"/>
  <c r="AG60" i="38"/>
  <c r="AH60" i="38"/>
  <c r="R61" i="38"/>
  <c r="S61" i="38"/>
  <c r="U61" i="38"/>
  <c r="T61" i="38" s="1"/>
  <c r="AC61" i="38"/>
  <c r="AD61" i="38" s="1"/>
  <c r="AF61" i="38"/>
  <c r="AG61" i="38"/>
  <c r="AH61" i="38"/>
  <c r="R62" i="38"/>
  <c r="S62" i="38"/>
  <c r="U62" i="38"/>
  <c r="T62" i="38" s="1"/>
  <c r="AC62" i="38"/>
  <c r="AD62" i="38" s="1"/>
  <c r="AF62" i="38"/>
  <c r="AG62" i="38"/>
  <c r="AH62" i="38"/>
  <c r="S63" i="38"/>
  <c r="U63" i="38"/>
  <c r="T63" i="38" s="1"/>
  <c r="AC63" i="38"/>
  <c r="AE63" i="38" s="1"/>
  <c r="AF63" i="38"/>
  <c r="AG63" i="38"/>
  <c r="AH63" i="38"/>
  <c r="S64" i="38"/>
  <c r="R64" i="38"/>
  <c r="U64" i="38"/>
  <c r="T64" i="38" s="1"/>
  <c r="AC64" i="38"/>
  <c r="AD64" i="38" s="1"/>
  <c r="AF64" i="38"/>
  <c r="AG64" i="38"/>
  <c r="AH64" i="38"/>
  <c r="S65" i="38"/>
  <c r="R65" i="38"/>
  <c r="U65" i="38"/>
  <c r="T65" i="38"/>
  <c r="AC65" i="38"/>
  <c r="AD65" i="38" s="1"/>
  <c r="AF65" i="38"/>
  <c r="AG65" i="38"/>
  <c r="AH65" i="38"/>
  <c r="S66" i="38"/>
  <c r="R66" i="38" s="1"/>
  <c r="U66" i="38"/>
  <c r="AC66" i="38"/>
  <c r="AE66" i="38" s="1"/>
  <c r="AF66" i="38"/>
  <c r="AG66" i="38"/>
  <c r="AH66" i="38"/>
  <c r="S67" i="38"/>
  <c r="R67" i="38" s="1"/>
  <c r="U67" i="38"/>
  <c r="T67" i="38"/>
  <c r="AC67" i="38"/>
  <c r="AD67" i="38" s="1"/>
  <c r="AF67" i="38"/>
  <c r="AG67" i="38"/>
  <c r="AH67" i="38"/>
  <c r="S68" i="38"/>
  <c r="R68" i="38"/>
  <c r="U68" i="38"/>
  <c r="T68" i="38"/>
  <c r="AC68" i="38"/>
  <c r="AD68" i="38" s="1"/>
  <c r="AF68" i="38"/>
  <c r="AG68" i="38"/>
  <c r="AH68" i="38"/>
  <c r="S69" i="38"/>
  <c r="R69" i="38" s="1"/>
  <c r="U69" i="38"/>
  <c r="AC69" i="38"/>
  <c r="AD69" i="38" s="1"/>
  <c r="AF69" i="38"/>
  <c r="AG69" i="38"/>
  <c r="AH69" i="38"/>
  <c r="S70" i="38"/>
  <c r="R70" i="38" s="1"/>
  <c r="U70" i="38"/>
  <c r="T70" i="38" s="1"/>
  <c r="AC70" i="38"/>
  <c r="AE70" i="38" s="1"/>
  <c r="AF70" i="38"/>
  <c r="AG70" i="38"/>
  <c r="AH70" i="38"/>
  <c r="S71" i="38"/>
  <c r="U71" i="38"/>
  <c r="T71" i="38"/>
  <c r="AC71" i="38"/>
  <c r="AE71" i="38" s="1"/>
  <c r="AF71" i="38"/>
  <c r="AG71" i="38"/>
  <c r="AH71" i="38"/>
  <c r="S72" i="38"/>
  <c r="R72" i="38" s="1"/>
  <c r="U72" i="38"/>
  <c r="T72" i="38"/>
  <c r="AC72" i="38"/>
  <c r="AF72" i="38"/>
  <c r="AG72" i="38"/>
  <c r="AH72" i="38"/>
  <c r="S73" i="38"/>
  <c r="R73" i="38" s="1"/>
  <c r="U73" i="38"/>
  <c r="T73" i="38" s="1"/>
  <c r="AC73" i="38"/>
  <c r="AD73" i="38" s="1"/>
  <c r="AF73" i="38"/>
  <c r="AG73" i="38"/>
  <c r="AH73" i="38"/>
  <c r="S74" i="38"/>
  <c r="R74" i="38" s="1"/>
  <c r="U74" i="38"/>
  <c r="T74" i="38" s="1"/>
  <c r="AC74" i="38"/>
  <c r="AE74" i="38" s="1"/>
  <c r="AF74" i="38"/>
  <c r="AG74" i="38"/>
  <c r="AH74" i="38"/>
  <c r="S75" i="38"/>
  <c r="U75" i="38"/>
  <c r="T75" i="38" s="1"/>
  <c r="AC75" i="38"/>
  <c r="AD75" i="38" s="1"/>
  <c r="AF75" i="38"/>
  <c r="AG75" i="38"/>
  <c r="AH75" i="38"/>
  <c r="S76" i="38"/>
  <c r="R76" i="38" s="1"/>
  <c r="T76" i="38"/>
  <c r="U76" i="38"/>
  <c r="AC76" i="38"/>
  <c r="AD76" i="38" s="1"/>
  <c r="AF76" i="38"/>
  <c r="AG76" i="38"/>
  <c r="AH76" i="38"/>
  <c r="S77" i="38"/>
  <c r="R77" i="38"/>
  <c r="U77" i="38"/>
  <c r="T77" i="38" s="1"/>
  <c r="AC77" i="38"/>
  <c r="AE77" i="38" s="1"/>
  <c r="AF77" i="38"/>
  <c r="AG77" i="38"/>
  <c r="AH77" i="38"/>
  <c r="S78" i="38"/>
  <c r="U78" i="38"/>
  <c r="T78" i="38" s="1"/>
  <c r="AC78" i="38"/>
  <c r="AD78" i="38" s="1"/>
  <c r="AF78" i="38"/>
  <c r="AG78" i="38"/>
  <c r="AH78" i="38"/>
  <c r="S79" i="38"/>
  <c r="U79" i="38"/>
  <c r="T79" i="38" s="1"/>
  <c r="AC79" i="38"/>
  <c r="AE79" i="38" s="1"/>
  <c r="AF79" i="38"/>
  <c r="AG79" i="38"/>
  <c r="AH79" i="38"/>
  <c r="S80" i="38"/>
  <c r="R80" i="38"/>
  <c r="U80" i="38"/>
  <c r="T80" i="38" s="1"/>
  <c r="AC80" i="38"/>
  <c r="AD80" i="38" s="1"/>
  <c r="AF80" i="38"/>
  <c r="AG80" i="38"/>
  <c r="AH80" i="38"/>
  <c r="S81" i="38"/>
  <c r="R81" i="38" s="1"/>
  <c r="U81" i="38"/>
  <c r="T81" i="38"/>
  <c r="AC81" i="38"/>
  <c r="AD81" i="38" s="1"/>
  <c r="AF81" i="38"/>
  <c r="AG81" i="38"/>
  <c r="AH81" i="38"/>
  <c r="S82" i="38"/>
  <c r="R82" i="38" s="1"/>
  <c r="U82" i="38"/>
  <c r="T82" i="38" s="1"/>
  <c r="AC82" i="38"/>
  <c r="AF82" i="38"/>
  <c r="AG82" i="38"/>
  <c r="AH82" i="38"/>
  <c r="S83" i="38"/>
  <c r="U83" i="38"/>
  <c r="T83" i="38"/>
  <c r="AC83" i="38"/>
  <c r="AE83" i="38" s="1"/>
  <c r="AF83" i="38"/>
  <c r="AG83" i="38"/>
  <c r="AH83" i="38"/>
  <c r="S84" i="38"/>
  <c r="R84" i="38" s="1"/>
  <c r="U84" i="38"/>
  <c r="T84" i="38" s="1"/>
  <c r="AC84" i="38"/>
  <c r="AD84" i="38" s="1"/>
  <c r="AF84" i="38"/>
  <c r="AG84" i="38"/>
  <c r="AH84" i="38"/>
  <c r="S85" i="38"/>
  <c r="R85" i="38"/>
  <c r="U85" i="38"/>
  <c r="T85" i="38" s="1"/>
  <c r="AC85" i="38"/>
  <c r="AE85" i="38" s="1"/>
  <c r="AF85" i="38"/>
  <c r="AG85" i="38"/>
  <c r="AH85" i="38"/>
  <c r="S86" i="38"/>
  <c r="R86" i="38"/>
  <c r="U86" i="38"/>
  <c r="AC86" i="38"/>
  <c r="AD86" i="38" s="1"/>
  <c r="AF86" i="38"/>
  <c r="AG86" i="38"/>
  <c r="AH86" i="38"/>
  <c r="S87" i="38"/>
  <c r="R87" i="38"/>
  <c r="U87" i="38"/>
  <c r="T87" i="38"/>
  <c r="AC87" i="38"/>
  <c r="AD87" i="38" s="1"/>
  <c r="AF87" i="38"/>
  <c r="AG87" i="38"/>
  <c r="AH87" i="38"/>
  <c r="S88" i="38"/>
  <c r="R88" i="38" s="1"/>
  <c r="U88" i="38"/>
  <c r="T88" i="38"/>
  <c r="AC88" i="38"/>
  <c r="AD88" i="38" s="1"/>
  <c r="AF88" i="38"/>
  <c r="AG88" i="38"/>
  <c r="AH88" i="38"/>
  <c r="S89" i="38"/>
  <c r="R89" i="38" s="1"/>
  <c r="U89" i="38"/>
  <c r="T89" i="38" s="1"/>
  <c r="AC89" i="38"/>
  <c r="AF89" i="38"/>
  <c r="AG89" i="38"/>
  <c r="AH89" i="38"/>
  <c r="S90" i="38"/>
  <c r="R90" i="38"/>
  <c r="U90" i="38"/>
  <c r="T90" i="38" s="1"/>
  <c r="AC90" i="38"/>
  <c r="AD90" i="38" s="1"/>
  <c r="AF90" i="38"/>
  <c r="AG90" i="38"/>
  <c r="AH90" i="38"/>
  <c r="S91" i="38"/>
  <c r="R91" i="38" s="1"/>
  <c r="U91" i="38"/>
  <c r="T91" i="38" s="1"/>
  <c r="AC91" i="38"/>
  <c r="AD91" i="38" s="1"/>
  <c r="AF91" i="38"/>
  <c r="AG91" i="38"/>
  <c r="AH91" i="38"/>
  <c r="S92" i="38"/>
  <c r="R92" i="38" s="1"/>
  <c r="U92" i="38"/>
  <c r="T92" i="38" s="1"/>
  <c r="AC92" i="38"/>
  <c r="AD92" i="38" s="1"/>
  <c r="AF92" i="38"/>
  <c r="AG92" i="38"/>
  <c r="AH92" i="38"/>
  <c r="S93" i="38"/>
  <c r="U93" i="38"/>
  <c r="T93" i="38" s="1"/>
  <c r="AC93" i="38"/>
  <c r="AD93" i="38" s="1"/>
  <c r="AF93" i="38"/>
  <c r="AG93" i="38"/>
  <c r="AH93" i="38"/>
  <c r="S94" i="38"/>
  <c r="R94" i="38" s="1"/>
  <c r="U94" i="38"/>
  <c r="AC94" i="38"/>
  <c r="AD94" i="38" s="1"/>
  <c r="AF94" i="38"/>
  <c r="AG94" i="38"/>
  <c r="AH94" i="38"/>
  <c r="S95" i="38"/>
  <c r="R95" i="38" s="1"/>
  <c r="U95" i="38"/>
  <c r="T95" i="38" s="1"/>
  <c r="AC95" i="38"/>
  <c r="AD95" i="38" s="1"/>
  <c r="AF95" i="38"/>
  <c r="AG95" i="38"/>
  <c r="AH95" i="38"/>
  <c r="S96" i="38"/>
  <c r="U96" i="38"/>
  <c r="T96" i="38" s="1"/>
  <c r="AC96" i="38"/>
  <c r="AF96" i="38"/>
  <c r="AG96" i="38"/>
  <c r="AH96" i="38"/>
  <c r="S97" i="38"/>
  <c r="R97" i="38" s="1"/>
  <c r="U97" i="38"/>
  <c r="T97" i="38"/>
  <c r="AC97" i="38"/>
  <c r="AF97" i="38"/>
  <c r="AG97" i="38"/>
  <c r="AH97" i="38"/>
  <c r="S98" i="38"/>
  <c r="R98" i="38" s="1"/>
  <c r="U98" i="38"/>
  <c r="T98" i="38" s="1"/>
  <c r="AC98" i="38"/>
  <c r="AD98" i="38" s="1"/>
  <c r="AF98" i="38"/>
  <c r="AG98" i="38"/>
  <c r="AH98" i="38"/>
  <c r="S99" i="38"/>
  <c r="R99" i="38"/>
  <c r="U99" i="38"/>
  <c r="T99" i="38" s="1"/>
  <c r="AC99" i="38"/>
  <c r="AD99" i="38" s="1"/>
  <c r="AF99" i="38"/>
  <c r="AG99" i="38"/>
  <c r="AH99" i="38"/>
  <c r="S100" i="38"/>
  <c r="R100" i="38"/>
  <c r="U100" i="38"/>
  <c r="T100" i="38"/>
  <c r="AC100" i="38"/>
  <c r="AD100" i="38" s="1"/>
  <c r="AF100" i="38"/>
  <c r="AG100" i="38"/>
  <c r="AH100" i="38"/>
  <c r="S101" i="38"/>
  <c r="R101" i="38" s="1"/>
  <c r="U101" i="38"/>
  <c r="T101" i="38" s="1"/>
  <c r="AC101" i="38"/>
  <c r="AE101" i="38" s="1"/>
  <c r="AF101" i="38"/>
  <c r="AG101" i="38"/>
  <c r="AH101" i="38"/>
  <c r="S102" i="38"/>
  <c r="R102" i="38"/>
  <c r="U102" i="38"/>
  <c r="AC102" i="38"/>
  <c r="AD102" i="38" s="1"/>
  <c r="AF102" i="38"/>
  <c r="AG102" i="38"/>
  <c r="AH102" i="38"/>
  <c r="S103" i="38"/>
  <c r="R103" i="38"/>
  <c r="U103" i="38"/>
  <c r="T103" i="38"/>
  <c r="AC103" i="38"/>
  <c r="AD103" i="38" s="1"/>
  <c r="AF103" i="38"/>
  <c r="AG103" i="38"/>
  <c r="AH103" i="38"/>
  <c r="S104" i="38"/>
  <c r="R104" i="38" s="1"/>
  <c r="U104" i="38"/>
  <c r="T104" i="38"/>
  <c r="AC104" i="38"/>
  <c r="AD104" i="38" s="1"/>
  <c r="AF104" i="38"/>
  <c r="AG104" i="38"/>
  <c r="AH104" i="38"/>
  <c r="S105" i="38"/>
  <c r="R105" i="38"/>
  <c r="U105" i="38"/>
  <c r="T105" i="38" s="1"/>
  <c r="AC105" i="38"/>
  <c r="AF105" i="38"/>
  <c r="AG105" i="38"/>
  <c r="AH105" i="38"/>
  <c r="S106" i="38"/>
  <c r="R106" i="38" s="1"/>
  <c r="U106" i="38"/>
  <c r="T106" i="38" s="1"/>
  <c r="AC106" i="38"/>
  <c r="AD106" i="38" s="1"/>
  <c r="AF106" i="38"/>
  <c r="AG106" i="38"/>
  <c r="AH106" i="38"/>
  <c r="S107" i="38"/>
  <c r="R107" i="38" s="1"/>
  <c r="U107" i="38"/>
  <c r="T107" i="38" s="1"/>
  <c r="AC107" i="38"/>
  <c r="AD107" i="38" s="1"/>
  <c r="AF107" i="38"/>
  <c r="AG107" i="38"/>
  <c r="AH107" i="38"/>
  <c r="S108" i="38"/>
  <c r="R108" i="38" s="1"/>
  <c r="U108" i="38"/>
  <c r="T108" i="38"/>
  <c r="AC108" i="38"/>
  <c r="AF108" i="38"/>
  <c r="AG108" i="38"/>
  <c r="AH108" i="38"/>
  <c r="S109" i="38"/>
  <c r="R109" i="38" s="1"/>
  <c r="U109" i="38"/>
  <c r="T109" i="38"/>
  <c r="AC109" i="38"/>
  <c r="AD109" i="38" s="1"/>
  <c r="AF109" i="38"/>
  <c r="AG109" i="38"/>
  <c r="AH109" i="38"/>
  <c r="S110" i="38"/>
  <c r="R110" i="38" s="1"/>
  <c r="U110" i="38"/>
  <c r="T110" i="38" s="1"/>
  <c r="AC110" i="38"/>
  <c r="AD110" i="38" s="1"/>
  <c r="AF110" i="38"/>
  <c r="AG110" i="38"/>
  <c r="AH110" i="38"/>
  <c r="S111" i="38"/>
  <c r="U111" i="38"/>
  <c r="T111" i="38"/>
  <c r="AC111" i="38"/>
  <c r="AD111" i="38" s="1"/>
  <c r="AF111" i="38"/>
  <c r="AG111" i="38"/>
  <c r="AH111" i="38"/>
  <c r="S112" i="38"/>
  <c r="U112" i="38"/>
  <c r="T112" i="38"/>
  <c r="AC112" i="38"/>
  <c r="AD112" i="38" s="1"/>
  <c r="AF112" i="38"/>
  <c r="AG112" i="38"/>
  <c r="AH112" i="38"/>
  <c r="S113" i="38"/>
  <c r="U113" i="38"/>
  <c r="T113" i="38" s="1"/>
  <c r="AC113" i="38"/>
  <c r="AE113" i="38" s="1"/>
  <c r="AF113" i="38"/>
  <c r="AG113" i="38"/>
  <c r="AH113" i="38"/>
  <c r="S114" i="38"/>
  <c r="R114" i="38"/>
  <c r="U114" i="38"/>
  <c r="T114" i="38" s="1"/>
  <c r="AC114" i="38"/>
  <c r="AF114" i="38"/>
  <c r="AH114" i="38"/>
  <c r="S115" i="38"/>
  <c r="R115" i="38"/>
  <c r="U115" i="38"/>
  <c r="T115" i="38" s="1"/>
  <c r="AC115" i="38"/>
  <c r="AD115" i="38" s="1"/>
  <c r="AF115" i="38"/>
  <c r="AG115" i="38"/>
  <c r="AH115" i="38"/>
  <c r="S116" i="38"/>
  <c r="R116" i="38"/>
  <c r="U116" i="38"/>
  <c r="T116" i="38"/>
  <c r="AC116" i="38"/>
  <c r="AF116" i="38"/>
  <c r="AG116" i="38"/>
  <c r="AH116" i="38"/>
  <c r="S117" i="38"/>
  <c r="R117" i="38" s="1"/>
  <c r="U117" i="38"/>
  <c r="T117" i="38" s="1"/>
  <c r="AC117" i="38"/>
  <c r="AE117" i="38" s="1"/>
  <c r="AF117" i="38"/>
  <c r="AG117" i="38"/>
  <c r="AH117" i="38"/>
  <c r="S118" i="38"/>
  <c r="R118" i="38"/>
  <c r="U118" i="38"/>
  <c r="T118" i="38"/>
  <c r="AC118" i="38"/>
  <c r="AF118" i="38"/>
  <c r="S119" i="38"/>
  <c r="R119" i="38" s="1"/>
  <c r="U119" i="38"/>
  <c r="T119" i="38" s="1"/>
  <c r="AC119" i="38"/>
  <c r="AD119" i="38" s="1"/>
  <c r="AF119" i="38"/>
  <c r="S120" i="38"/>
  <c r="R120" i="38" s="1"/>
  <c r="U120" i="38"/>
  <c r="T120" i="38" s="1"/>
  <c r="AC120" i="38"/>
  <c r="AD120" i="38" s="1"/>
  <c r="AF120" i="38"/>
  <c r="S121" i="38"/>
  <c r="R121" i="38" s="1"/>
  <c r="U121" i="38"/>
  <c r="T121" i="38"/>
  <c r="AC121" i="38"/>
  <c r="AD121" i="38" s="1"/>
  <c r="AF121" i="38"/>
  <c r="AG121" i="38"/>
  <c r="AH121" i="38"/>
  <c r="S122" i="38"/>
  <c r="R122" i="38"/>
  <c r="U122" i="38"/>
  <c r="T122" i="38" s="1"/>
  <c r="AC122" i="38"/>
  <c r="AE122" i="38" s="1"/>
  <c r="AF122" i="38"/>
  <c r="AG122" i="38"/>
  <c r="AH122" i="38"/>
  <c r="S123" i="38"/>
  <c r="U123" i="38"/>
  <c r="T123" i="38" s="1"/>
  <c r="AC123" i="38"/>
  <c r="AD123" i="38" s="1"/>
  <c r="AF123" i="38"/>
  <c r="AG123" i="38"/>
  <c r="AH123" i="38"/>
  <c r="S124" i="38"/>
  <c r="R124" i="38" s="1"/>
  <c r="U124" i="38"/>
  <c r="T124" i="38"/>
  <c r="AC124" i="38"/>
  <c r="AE124" i="38" s="1"/>
  <c r="AF124" i="38"/>
  <c r="AG124" i="38"/>
  <c r="AH124" i="38"/>
  <c r="S125" i="38"/>
  <c r="R125" i="38" s="1"/>
  <c r="U125" i="38"/>
  <c r="T125" i="38"/>
  <c r="AC125" i="38"/>
  <c r="AD125" i="38" s="1"/>
  <c r="AF125" i="38"/>
  <c r="AG125" i="38"/>
  <c r="AH125" i="38"/>
  <c r="S126" i="38"/>
  <c r="R126" i="38"/>
  <c r="U126" i="38"/>
  <c r="T126" i="38" s="1"/>
  <c r="AC126" i="38"/>
  <c r="AF126" i="38"/>
  <c r="AG126" i="38"/>
  <c r="AH126" i="38"/>
  <c r="S127" i="38"/>
  <c r="R127" i="38" s="1"/>
  <c r="U127" i="38"/>
  <c r="T127" i="38"/>
  <c r="AC127" i="38"/>
  <c r="AD127" i="38" s="1"/>
  <c r="AF127" i="38"/>
  <c r="AG127" i="38"/>
  <c r="AH127" i="38"/>
  <c r="S128" i="38"/>
  <c r="R128" i="38"/>
  <c r="U128" i="38"/>
  <c r="T128" i="38" s="1"/>
  <c r="AC128" i="38"/>
  <c r="AE128" i="38" s="1"/>
  <c r="AF128" i="38"/>
  <c r="AG128" i="38"/>
  <c r="AH128" i="38"/>
  <c r="S129" i="38"/>
  <c r="R129" i="38"/>
  <c r="U129" i="38"/>
  <c r="T129" i="38"/>
  <c r="AC129" i="38"/>
  <c r="AE129" i="38" s="1"/>
  <c r="AF129" i="38"/>
  <c r="AG129" i="38"/>
  <c r="AH129" i="38"/>
  <c r="S130" i="38"/>
  <c r="R130" i="38" s="1"/>
  <c r="U130" i="38"/>
  <c r="T130" i="38" s="1"/>
  <c r="AC130" i="38"/>
  <c r="AD130" i="38" s="1"/>
  <c r="AF130" i="38"/>
  <c r="AG130" i="38"/>
  <c r="AH130" i="38"/>
  <c r="S131" i="38"/>
  <c r="R131" i="38"/>
  <c r="U131" i="38"/>
  <c r="T131" i="38" s="1"/>
  <c r="AC131" i="38"/>
  <c r="AF131" i="38"/>
  <c r="AG131" i="38"/>
  <c r="AH131" i="38"/>
  <c r="S132" i="38"/>
  <c r="R132" i="38"/>
  <c r="U132" i="38"/>
  <c r="T132" i="38" s="1"/>
  <c r="AC132" i="38"/>
  <c r="AD132" i="38" s="1"/>
  <c r="AF132" i="38"/>
  <c r="AG132" i="38"/>
  <c r="AH132" i="38"/>
  <c r="S133" i="38"/>
  <c r="U133" i="38"/>
  <c r="T133" i="38"/>
  <c r="AC133" i="38"/>
  <c r="AF133" i="38"/>
  <c r="AG133" i="38"/>
  <c r="AH133" i="38"/>
  <c r="S134" i="38"/>
  <c r="R134" i="38" s="1"/>
  <c r="U134" i="38"/>
  <c r="AC134" i="38"/>
  <c r="AD134" i="38" s="1"/>
  <c r="AF134" i="38"/>
  <c r="AG134" i="38"/>
  <c r="AH134" i="38"/>
  <c r="S135" i="38"/>
  <c r="R135" i="38" s="1"/>
  <c r="U135" i="38"/>
  <c r="T135" i="38" s="1"/>
  <c r="AC135" i="38"/>
  <c r="AF135" i="38"/>
  <c r="AG135" i="38"/>
  <c r="AH135" i="38"/>
  <c r="S136" i="38"/>
  <c r="R136" i="38"/>
  <c r="U136" i="38"/>
  <c r="T136" i="38" s="1"/>
  <c r="AC136" i="38"/>
  <c r="AF136" i="38"/>
  <c r="AG136" i="38"/>
  <c r="AH136" i="38"/>
  <c r="S137" i="38"/>
  <c r="R137" i="38" s="1"/>
  <c r="U137" i="38"/>
  <c r="T137" i="38"/>
  <c r="AC137" i="38"/>
  <c r="AF137" i="38"/>
  <c r="AG137" i="38"/>
  <c r="AH137" i="38"/>
  <c r="S138" i="38"/>
  <c r="R138" i="38" s="1"/>
  <c r="U138" i="38"/>
  <c r="T138" i="38"/>
  <c r="AC138" i="38"/>
  <c r="AD138" i="38" s="1"/>
  <c r="AF138" i="38"/>
  <c r="AG138" i="38"/>
  <c r="AH138" i="38"/>
  <c r="S139" i="38"/>
  <c r="R139" i="38" s="1"/>
  <c r="U139" i="38"/>
  <c r="T139" i="38" s="1"/>
  <c r="AC139" i="38"/>
  <c r="AD139" i="38" s="1"/>
  <c r="AF139" i="38"/>
  <c r="AG139" i="38"/>
  <c r="AH139" i="38"/>
  <c r="S140" i="38"/>
  <c r="R140" i="38" s="1"/>
  <c r="U140" i="38"/>
  <c r="T140" i="38"/>
  <c r="AC140" i="38"/>
  <c r="AF140" i="38"/>
  <c r="AG140" i="38"/>
  <c r="AH140" i="38"/>
  <c r="S141" i="38"/>
  <c r="U141" i="38"/>
  <c r="T141" i="38"/>
  <c r="AC141" i="38"/>
  <c r="AD141" i="38" s="1"/>
  <c r="AF141" i="38"/>
  <c r="AG141" i="38"/>
  <c r="AH141" i="38"/>
  <c r="S142" i="38"/>
  <c r="U142" i="38"/>
  <c r="T142" i="38"/>
  <c r="AC142" i="38"/>
  <c r="AD142" i="38" s="1"/>
  <c r="AF142" i="38"/>
  <c r="AG142" i="38"/>
  <c r="AH142" i="38"/>
  <c r="S143" i="38"/>
  <c r="R143" i="38"/>
  <c r="U143" i="38"/>
  <c r="T143" i="38" s="1"/>
  <c r="AC143" i="38"/>
  <c r="AD143" i="38" s="1"/>
  <c r="AF143" i="38"/>
  <c r="AG143" i="38"/>
  <c r="AH143" i="38"/>
  <c r="S144" i="38"/>
  <c r="U144" i="38"/>
  <c r="T144" i="38" s="1"/>
  <c r="AC144" i="38"/>
  <c r="AE144" i="38" s="1"/>
  <c r="AF144" i="38"/>
  <c r="AG144" i="38"/>
  <c r="AH144" i="38"/>
  <c r="S145" i="38"/>
  <c r="R145" i="38" s="1"/>
  <c r="U145" i="38"/>
  <c r="T145" i="38"/>
  <c r="AC145" i="38"/>
  <c r="AE145" i="38" s="1"/>
  <c r="AF145" i="38"/>
  <c r="AG145" i="38"/>
  <c r="AH145" i="38"/>
  <c r="S146" i="38"/>
  <c r="R146" i="38" s="1"/>
  <c r="U146" i="38"/>
  <c r="T146" i="38"/>
  <c r="AC146" i="38"/>
  <c r="AD146" i="38" s="1"/>
  <c r="AF146" i="38"/>
  <c r="AG146" i="38"/>
  <c r="AH146" i="38"/>
  <c r="S147" i="38"/>
  <c r="R147" i="38" s="1"/>
  <c r="U147" i="38"/>
  <c r="T147" i="38"/>
  <c r="AC147" i="38"/>
  <c r="AE147" i="38" s="1"/>
  <c r="AF147" i="38"/>
  <c r="AG147" i="38"/>
  <c r="AH147" i="38"/>
  <c r="S148" i="38"/>
  <c r="R148" i="38"/>
  <c r="U148" i="38"/>
  <c r="T148" i="38"/>
  <c r="AC148" i="38"/>
  <c r="AF148" i="38"/>
  <c r="AG148" i="38"/>
  <c r="AH148" i="38"/>
  <c r="S149" i="38"/>
  <c r="R149" i="38" s="1"/>
  <c r="U149" i="38"/>
  <c r="T149" i="38" s="1"/>
  <c r="AC149" i="38"/>
  <c r="AD149" i="38" s="1"/>
  <c r="AF149" i="38"/>
  <c r="AG149" i="38"/>
  <c r="AH149" i="38"/>
  <c r="S150" i="38"/>
  <c r="R150" i="38" s="1"/>
  <c r="U150" i="38"/>
  <c r="T150" i="38" s="1"/>
  <c r="AC150" i="38"/>
  <c r="AF150" i="38"/>
  <c r="AG150" i="38"/>
  <c r="AH150" i="38"/>
  <c r="S151" i="38"/>
  <c r="R151" i="38"/>
  <c r="U151" i="38"/>
  <c r="T151" i="38"/>
  <c r="AC151" i="38"/>
  <c r="AD151" i="38" s="1"/>
  <c r="AF151" i="38"/>
  <c r="AG151" i="38"/>
  <c r="AH151" i="38"/>
  <c r="S152" i="38"/>
  <c r="U152" i="38"/>
  <c r="T152" i="38"/>
  <c r="AC152" i="38"/>
  <c r="AF152" i="38"/>
  <c r="AG152" i="38"/>
  <c r="AH152" i="38"/>
  <c r="S153" i="38"/>
  <c r="R153" i="38" s="1"/>
  <c r="U153" i="38"/>
  <c r="T153" i="38"/>
  <c r="AC153" i="38"/>
  <c r="AD153" i="38" s="1"/>
  <c r="AF153" i="38"/>
  <c r="AG153" i="38"/>
  <c r="AH153" i="38"/>
  <c r="S154" i="38"/>
  <c r="U154" i="38"/>
  <c r="T154" i="38"/>
  <c r="AC154" i="38"/>
  <c r="AD154" i="38" s="1"/>
  <c r="AF154" i="38"/>
  <c r="S155" i="38"/>
  <c r="R155" i="38" s="1"/>
  <c r="U155" i="38"/>
  <c r="AC155" i="38"/>
  <c r="AD155" i="38" s="1"/>
  <c r="AF155" i="38"/>
  <c r="S156" i="38"/>
  <c r="R156" i="38" s="1"/>
  <c r="U156" i="38"/>
  <c r="T156" i="38"/>
  <c r="AC156" i="38"/>
  <c r="AD156" i="38" s="1"/>
  <c r="AF156" i="38"/>
  <c r="S157" i="38"/>
  <c r="R157" i="38"/>
  <c r="U157" i="38"/>
  <c r="T157" i="38"/>
  <c r="AC157" i="38"/>
  <c r="AD157" i="38" s="1"/>
  <c r="AF157" i="38"/>
  <c r="S158" i="38"/>
  <c r="R158" i="38" s="1"/>
  <c r="U158" i="38"/>
  <c r="T158" i="38"/>
  <c r="AC158" i="38"/>
  <c r="AF158" i="38"/>
  <c r="S159" i="38"/>
  <c r="R159" i="38" s="1"/>
  <c r="U159" i="38"/>
  <c r="T159" i="38" s="1"/>
  <c r="AC159" i="38"/>
  <c r="AD159" i="38" s="1"/>
  <c r="AF159" i="38"/>
  <c r="S160" i="38"/>
  <c r="R160" i="38" s="1"/>
  <c r="U160" i="38"/>
  <c r="T160" i="38"/>
  <c r="AC160" i="38"/>
  <c r="AD160" i="38" s="1"/>
  <c r="AF160" i="38"/>
  <c r="AG160" i="38"/>
  <c r="AH160" i="38"/>
  <c r="S161" i="38"/>
  <c r="U161" i="38"/>
  <c r="T161" i="38" s="1"/>
  <c r="AC161" i="38"/>
  <c r="AE161" i="38" s="1"/>
  <c r="AF161" i="38"/>
  <c r="AG161" i="38"/>
  <c r="AH161" i="38"/>
  <c r="S162" i="38"/>
  <c r="U162" i="38"/>
  <c r="T162" i="38" s="1"/>
  <c r="AC162" i="38"/>
  <c r="AD162" i="38" s="1"/>
  <c r="AF162" i="38"/>
  <c r="AG162" i="38"/>
  <c r="AH162" i="38"/>
  <c r="S163" i="38"/>
  <c r="R163" i="38"/>
  <c r="T163" i="38"/>
  <c r="U163" i="38"/>
  <c r="AC163" i="38"/>
  <c r="AD163" i="38" s="1"/>
  <c r="AF163" i="38"/>
  <c r="AG163" i="38"/>
  <c r="AH163" i="38"/>
  <c r="S164" i="38"/>
  <c r="R164" i="38" s="1"/>
  <c r="U164" i="38"/>
  <c r="T164" i="38"/>
  <c r="AC164" i="38"/>
  <c r="AE164" i="38" s="1"/>
  <c r="AF164" i="38"/>
  <c r="AG164" i="38"/>
  <c r="AH164" i="38"/>
  <c r="S165" i="38"/>
  <c r="R165" i="38" s="1"/>
  <c r="U165" i="38"/>
  <c r="T165" i="38"/>
  <c r="AC165" i="38"/>
  <c r="AD165" i="38" s="1"/>
  <c r="AF165" i="38"/>
  <c r="AG165" i="38"/>
  <c r="AH165" i="38"/>
  <c r="S166" i="38"/>
  <c r="R166" i="38" s="1"/>
  <c r="U166" i="38"/>
  <c r="T166" i="38"/>
  <c r="AC166" i="38"/>
  <c r="AE166" i="38" s="1"/>
  <c r="AF166" i="38"/>
  <c r="AG166" i="38"/>
  <c r="AH166" i="38"/>
  <c r="R167" i="38"/>
  <c r="S167" i="38"/>
  <c r="U167" i="38"/>
  <c r="T167" i="38" s="1"/>
  <c r="AC167" i="38"/>
  <c r="AD167" i="38" s="1"/>
  <c r="AF167" i="38"/>
  <c r="AG167" i="38"/>
  <c r="AH167" i="38"/>
  <c r="S168" i="38"/>
  <c r="U168" i="38"/>
  <c r="T168" i="38" s="1"/>
  <c r="AC168" i="38"/>
  <c r="AE168" i="38" s="1"/>
  <c r="AF168" i="38"/>
  <c r="AG168" i="38"/>
  <c r="AH168" i="38"/>
  <c r="S169" i="38"/>
  <c r="T169" i="38"/>
  <c r="U169" i="38"/>
  <c r="AC169" i="38"/>
  <c r="AD169" i="38" s="1"/>
  <c r="AF169" i="38"/>
  <c r="AG169" i="38"/>
  <c r="AH169" i="38"/>
  <c r="AH10" i="38"/>
  <c r="AG10" i="38"/>
  <c r="AF10" i="38"/>
  <c r="AD10" i="38"/>
  <c r="U10" i="38"/>
  <c r="S10" i="38"/>
  <c r="R10" i="38"/>
  <c r="AH9" i="38"/>
  <c r="AG9" i="38"/>
  <c r="AF9" i="38"/>
  <c r="AC9" i="38"/>
  <c r="AD9" i="38" s="1"/>
  <c r="U9" i="38"/>
  <c r="T9" i="38" s="1"/>
  <c r="S9" i="38"/>
  <c r="R9" i="38" s="1"/>
  <c r="AH8" i="38"/>
  <c r="AG8" i="38"/>
  <c r="AF8" i="38"/>
  <c r="AC8" i="38"/>
  <c r="AE8" i="38" s="1"/>
  <c r="T8" i="38"/>
  <c r="S8" i="38"/>
  <c r="R8" i="38" s="1"/>
  <c r="AH7" i="38"/>
  <c r="AG7" i="38"/>
  <c r="AF7" i="38"/>
  <c r="AC7" i="38"/>
  <c r="AD7" i="38" s="1"/>
  <c r="U7" i="38"/>
  <c r="T7" i="38" s="1"/>
  <c r="S7" i="38"/>
  <c r="R7" i="38"/>
  <c r="AD77" i="38"/>
  <c r="AE10" i="38"/>
  <c r="R169" i="38"/>
  <c r="T155" i="38"/>
  <c r="R112" i="38"/>
  <c r="R78" i="38"/>
  <c r="R54" i="38"/>
  <c r="R36" i="38"/>
  <c r="R32" i="38"/>
  <c r="R22" i="38"/>
  <c r="R142" i="38"/>
  <c r="T102" i="38"/>
  <c r="R96" i="38"/>
  <c r="T94" i="38"/>
  <c r="R28" i="38"/>
  <c r="T86" i="38"/>
  <c r="R20" i="38"/>
  <c r="R79" i="38"/>
  <c r="R162" i="38"/>
  <c r="R154" i="38"/>
  <c r="R133" i="38"/>
  <c r="R93" i="38"/>
  <c r="R168" i="38"/>
  <c r="R152" i="38"/>
  <c r="R144" i="38"/>
  <c r="R123" i="38"/>
  <c r="T66" i="38"/>
  <c r="R60" i="38"/>
  <c r="T134" i="38"/>
  <c r="R111" i="38"/>
  <c r="R25" i="38"/>
  <c r="T69" i="38"/>
  <c r="R33" i="38"/>
  <c r="R59" i="38"/>
  <c r="T58" i="38"/>
  <c r="R49" i="38"/>
  <c r="R83" i="38"/>
  <c r="R71" i="38"/>
  <c r="R63" i="38"/>
  <c r="R17" i="38"/>
  <c r="R55" i="38"/>
  <c r="R47" i="38"/>
  <c r="R39" i="38"/>
  <c r="R31" i="38"/>
  <c r="R23" i="38"/>
  <c r="R15" i="38"/>
  <c r="T10" i="38"/>
  <c r="O83" i="37"/>
  <c r="P83" i="37" s="1"/>
  <c r="Q83" i="37"/>
  <c r="W83" i="37" s="1"/>
  <c r="AI83" i="37" s="1"/>
  <c r="S83" i="37"/>
  <c r="R83" i="37" s="1"/>
  <c r="U83" i="37"/>
  <c r="T83" i="37" s="1"/>
  <c r="AC83" i="37"/>
  <c r="AD83" i="37" s="1"/>
  <c r="AF83" i="37"/>
  <c r="AG83" i="37"/>
  <c r="AH83" i="37"/>
  <c r="O67" i="35"/>
  <c r="P67" i="35" s="1"/>
  <c r="Q67" i="35"/>
  <c r="W67" i="35"/>
  <c r="AI67" i="35" s="1"/>
  <c r="S67" i="35"/>
  <c r="R67" i="35" s="1"/>
  <c r="U67" i="35"/>
  <c r="T67" i="35"/>
  <c r="AC67" i="35"/>
  <c r="AE67" i="35" s="1"/>
  <c r="AF67" i="35"/>
  <c r="AG67" i="35"/>
  <c r="AH67" i="35"/>
  <c r="Q47" i="32"/>
  <c r="W47" i="32" s="1"/>
  <c r="AI47" i="32" s="1"/>
  <c r="S47" i="32"/>
  <c r="R47" i="32" s="1"/>
  <c r="U47" i="32"/>
  <c r="T47" i="32" s="1"/>
  <c r="AC47" i="32"/>
  <c r="AF47" i="32"/>
  <c r="AG47" i="32"/>
  <c r="AH47" i="32"/>
  <c r="Q45" i="32"/>
  <c r="W45" i="32" s="1"/>
  <c r="AI45" i="32" s="1"/>
  <c r="S45" i="32"/>
  <c r="U45" i="32"/>
  <c r="T45" i="32" s="1"/>
  <c r="AC45" i="32"/>
  <c r="AD45" i="32" s="1"/>
  <c r="AF45" i="32"/>
  <c r="AG45" i="32"/>
  <c r="AH45" i="32"/>
  <c r="Q43" i="32"/>
  <c r="W43" i="32"/>
  <c r="S43" i="32"/>
  <c r="R43" i="32" s="1"/>
  <c r="U43" i="32"/>
  <c r="T43" i="32"/>
  <c r="AC43" i="32"/>
  <c r="AD43" i="32" s="1"/>
  <c r="AF43" i="32"/>
  <c r="AG43" i="32"/>
  <c r="AH43" i="32"/>
  <c r="O47" i="32"/>
  <c r="P47" i="32" s="1"/>
  <c r="O45" i="32"/>
  <c r="P45" i="32"/>
  <c r="O43" i="32"/>
  <c r="P43" i="32"/>
  <c r="Q40" i="35"/>
  <c r="W40" i="35"/>
  <c r="AI40" i="35" s="1"/>
  <c r="S40" i="35"/>
  <c r="R40" i="35" s="1"/>
  <c r="U40" i="35"/>
  <c r="T40" i="35"/>
  <c r="AC40" i="35"/>
  <c r="AD40" i="35" s="1"/>
  <c r="AF40" i="35"/>
  <c r="AG40" i="35"/>
  <c r="AH40" i="35"/>
  <c r="O40" i="35"/>
  <c r="P40" i="35" s="1"/>
  <c r="O40" i="33"/>
  <c r="P40" i="33"/>
  <c r="Q40" i="33"/>
  <c r="W40" i="33" s="1"/>
  <c r="AI40" i="33" s="1"/>
  <c r="S40" i="33"/>
  <c r="R40" i="33"/>
  <c r="U40" i="33"/>
  <c r="AC40" i="33"/>
  <c r="AE40" i="33" s="1"/>
  <c r="AF40" i="33"/>
  <c r="AG40" i="33"/>
  <c r="AH40" i="33"/>
  <c r="Q38" i="14"/>
  <c r="W38" i="14"/>
  <c r="AI38" i="14" s="1"/>
  <c r="S38" i="14"/>
  <c r="R38" i="14" s="1"/>
  <c r="U38" i="14"/>
  <c r="T38" i="14" s="1"/>
  <c r="AC38" i="14"/>
  <c r="AD38" i="14" s="1"/>
  <c r="AF38" i="14"/>
  <c r="AG38" i="14"/>
  <c r="AH38" i="14"/>
  <c r="P38" i="14"/>
  <c r="O35" i="37"/>
  <c r="P35" i="37" s="1"/>
  <c r="Q35" i="37"/>
  <c r="W35" i="37" s="1"/>
  <c r="AI35" i="37" s="1"/>
  <c r="S35" i="37"/>
  <c r="R35" i="37" s="1"/>
  <c r="U35" i="37"/>
  <c r="V35" i="37" s="1"/>
  <c r="AC35" i="37"/>
  <c r="AE35" i="37" s="1"/>
  <c r="AF35" i="37"/>
  <c r="AG35" i="37"/>
  <c r="AH35" i="37"/>
  <c r="O36" i="33"/>
  <c r="P36" i="33" s="1"/>
  <c r="Q36" i="33"/>
  <c r="W36" i="33"/>
  <c r="AI36" i="33" s="1"/>
  <c r="S36" i="33"/>
  <c r="R36" i="33" s="1"/>
  <c r="U36" i="33"/>
  <c r="AC36" i="33"/>
  <c r="AD36" i="33" s="1"/>
  <c r="AF36" i="33"/>
  <c r="AG36" i="33"/>
  <c r="AH36" i="33"/>
  <c r="O35" i="35"/>
  <c r="P35" i="35" s="1"/>
  <c r="Q35" i="35"/>
  <c r="W35" i="35" s="1"/>
  <c r="AI35" i="35" s="1"/>
  <c r="S35" i="35"/>
  <c r="U35" i="35"/>
  <c r="T35" i="35"/>
  <c r="AC35" i="35"/>
  <c r="AE35" i="35" s="1"/>
  <c r="AF35" i="35"/>
  <c r="AG35" i="35"/>
  <c r="AH35" i="35"/>
  <c r="Q29" i="10"/>
  <c r="W29" i="10"/>
  <c r="S29" i="10"/>
  <c r="R29" i="10" s="1"/>
  <c r="U29" i="10"/>
  <c r="T29" i="10" s="1"/>
  <c r="AC29" i="10"/>
  <c r="AE29" i="10" s="1"/>
  <c r="AF29" i="10"/>
  <c r="AG29" i="10"/>
  <c r="AH29" i="10"/>
  <c r="Q22" i="10"/>
  <c r="W22" i="10" s="1"/>
  <c r="S22" i="10"/>
  <c r="R22" i="10"/>
  <c r="U22" i="10"/>
  <c r="V22" i="10" s="1"/>
  <c r="T22" i="10"/>
  <c r="AC22" i="10"/>
  <c r="AD22" i="10" s="1"/>
  <c r="AF22" i="10"/>
  <c r="AG22" i="10"/>
  <c r="AH22" i="10"/>
  <c r="P22" i="10"/>
  <c r="Q26" i="11"/>
  <c r="W26" i="11"/>
  <c r="AI26" i="11" s="1"/>
  <c r="S26" i="11"/>
  <c r="U26" i="11"/>
  <c r="T26" i="11"/>
  <c r="AC26" i="11"/>
  <c r="AE26" i="11" s="1"/>
  <c r="AF26" i="11"/>
  <c r="AG26" i="11"/>
  <c r="AH26" i="11"/>
  <c r="P26" i="11"/>
  <c r="O24" i="32"/>
  <c r="P24" i="32" s="1"/>
  <c r="Q24" i="32"/>
  <c r="W24" i="32" s="1"/>
  <c r="O20" i="35"/>
  <c r="P20" i="35"/>
  <c r="Q20" i="35"/>
  <c r="W20" i="35"/>
  <c r="S20" i="35"/>
  <c r="R20" i="35" s="1"/>
  <c r="U20" i="35"/>
  <c r="T20" i="35" s="1"/>
  <c r="AC20" i="35"/>
  <c r="AD20" i="35" s="1"/>
  <c r="AF20" i="35"/>
  <c r="AG20" i="35"/>
  <c r="AH20" i="35"/>
  <c r="S21" i="12"/>
  <c r="R21" i="12"/>
  <c r="U21" i="12"/>
  <c r="T21" i="12" s="1"/>
  <c r="AC21" i="12"/>
  <c r="AD21" i="12" s="1"/>
  <c r="AF21" i="12"/>
  <c r="AG21" i="12"/>
  <c r="AH21" i="12"/>
  <c r="P21" i="12"/>
  <c r="Q21" i="12"/>
  <c r="W21" i="12" s="1"/>
  <c r="AI21" i="12" s="1"/>
  <c r="S19" i="32"/>
  <c r="R19" i="32"/>
  <c r="U19" i="32"/>
  <c r="T19" i="32"/>
  <c r="W19" i="32"/>
  <c r="AI19" i="32" s="1"/>
  <c r="AC19" i="32"/>
  <c r="AE19" i="32" s="1"/>
  <c r="AF19" i="32"/>
  <c r="AG19" i="32"/>
  <c r="AH19" i="32"/>
  <c r="Q19" i="32"/>
  <c r="O19" i="32"/>
  <c r="P19" i="32"/>
  <c r="AI22" i="10"/>
  <c r="V24" i="32"/>
  <c r="V38" i="14"/>
  <c r="V67" i="35"/>
  <c r="V83" i="37"/>
  <c r="R45" i="32"/>
  <c r="AI29" i="10"/>
  <c r="V29" i="10"/>
  <c r="AI20" i="35"/>
  <c r="V20" i="35"/>
  <c r="S13" i="32"/>
  <c r="R13" i="32"/>
  <c r="U13" i="32"/>
  <c r="T13" i="32" s="1"/>
  <c r="AC13" i="32"/>
  <c r="AD13" i="32" s="1"/>
  <c r="AF13" i="32"/>
  <c r="AG13" i="32"/>
  <c r="AH13" i="32"/>
  <c r="O12" i="32"/>
  <c r="S12" i="33"/>
  <c r="R12" i="33"/>
  <c r="U12" i="33"/>
  <c r="T12" i="33"/>
  <c r="AC12" i="33"/>
  <c r="AD12" i="33" s="1"/>
  <c r="AF12" i="33"/>
  <c r="AG12" i="33"/>
  <c r="AH12" i="33"/>
  <c r="Q12" i="33"/>
  <c r="W12" i="33"/>
  <c r="O12" i="33"/>
  <c r="P12" i="33"/>
  <c r="S8" i="32"/>
  <c r="V8" i="32" s="1"/>
  <c r="R8" i="32"/>
  <c r="U8" i="32"/>
  <c r="T8" i="32"/>
  <c r="AC8" i="32"/>
  <c r="AD8" i="32" s="1"/>
  <c r="AF8" i="32"/>
  <c r="AG8" i="32"/>
  <c r="AH8" i="32"/>
  <c r="Q13" i="32"/>
  <c r="W13" i="32"/>
  <c r="AI13" i="32" s="1"/>
  <c r="O13" i="32"/>
  <c r="P13" i="32"/>
  <c r="Q8" i="32"/>
  <c r="W8" i="32"/>
  <c r="O8" i="32"/>
  <c r="P8" i="32"/>
  <c r="V12" i="33"/>
  <c r="S19" i="37"/>
  <c r="U19" i="37"/>
  <c r="T19" i="37" s="1"/>
  <c r="AC19" i="37"/>
  <c r="AD19" i="37" s="1"/>
  <c r="AF19" i="37"/>
  <c r="AG19" i="37"/>
  <c r="AH19" i="37"/>
  <c r="S20" i="37"/>
  <c r="R20" i="37"/>
  <c r="U20" i="37"/>
  <c r="T20" i="37" s="1"/>
  <c r="AC20" i="37"/>
  <c r="AD20" i="37" s="1"/>
  <c r="AF20" i="37"/>
  <c r="AG20" i="37"/>
  <c r="AH20" i="37"/>
  <c r="S21" i="37"/>
  <c r="R21" i="37"/>
  <c r="U21" i="37"/>
  <c r="T21" i="37" s="1"/>
  <c r="AC21" i="37"/>
  <c r="AD21" i="37" s="1"/>
  <c r="AF21" i="37"/>
  <c r="AG21" i="37"/>
  <c r="AH21" i="37"/>
  <c r="S22" i="37"/>
  <c r="R22" i="37"/>
  <c r="U22" i="37"/>
  <c r="T22" i="37"/>
  <c r="AC22" i="37"/>
  <c r="AE22" i="37" s="1"/>
  <c r="AF22" i="37"/>
  <c r="AG22" i="37"/>
  <c r="AH22" i="37"/>
  <c r="S23" i="37"/>
  <c r="U23" i="37"/>
  <c r="T23" i="37"/>
  <c r="AC23" i="37"/>
  <c r="AD23" i="37" s="1"/>
  <c r="AF23" i="37"/>
  <c r="AG23" i="37"/>
  <c r="AH23" i="37"/>
  <c r="S24" i="37"/>
  <c r="R24" i="37" s="1"/>
  <c r="U24" i="37"/>
  <c r="AC24" i="37"/>
  <c r="AD24" i="37" s="1"/>
  <c r="AF24" i="37"/>
  <c r="AG24" i="37"/>
  <c r="AH24" i="37"/>
  <c r="S25" i="37"/>
  <c r="R25" i="37" s="1"/>
  <c r="U25" i="37"/>
  <c r="T25" i="37"/>
  <c r="AC25" i="37"/>
  <c r="AD25" i="37" s="1"/>
  <c r="AF25" i="37"/>
  <c r="S26" i="37"/>
  <c r="R26" i="37"/>
  <c r="U26" i="37"/>
  <c r="AC26" i="37"/>
  <c r="AD26" i="37" s="1"/>
  <c r="AF26" i="37"/>
  <c r="S27" i="37"/>
  <c r="U27" i="37"/>
  <c r="AC27" i="37"/>
  <c r="AD27" i="37" s="1"/>
  <c r="AF27" i="37"/>
  <c r="S28" i="37"/>
  <c r="R28" i="37" s="1"/>
  <c r="U28" i="37"/>
  <c r="T28" i="37" s="1"/>
  <c r="AC28" i="37"/>
  <c r="AE28" i="37" s="1"/>
  <c r="AF28" i="37"/>
  <c r="S29" i="37"/>
  <c r="R29" i="37" s="1"/>
  <c r="U29" i="37"/>
  <c r="T29" i="37" s="1"/>
  <c r="AC29" i="37"/>
  <c r="AD29" i="37" s="1"/>
  <c r="AF29" i="37"/>
  <c r="S30" i="37"/>
  <c r="R30" i="37" s="1"/>
  <c r="U30" i="37"/>
  <c r="T30" i="37" s="1"/>
  <c r="AC30" i="37"/>
  <c r="AD30" i="37" s="1"/>
  <c r="AF30" i="37"/>
  <c r="S31" i="37"/>
  <c r="U31" i="37"/>
  <c r="T31" i="37"/>
  <c r="AC31" i="37"/>
  <c r="AE31" i="37" s="1"/>
  <c r="AF31" i="37"/>
  <c r="AG31" i="37"/>
  <c r="AH31" i="37"/>
  <c r="S32" i="37"/>
  <c r="R32" i="37"/>
  <c r="U32" i="37"/>
  <c r="AC32" i="37"/>
  <c r="AD32" i="37" s="1"/>
  <c r="AF32" i="37"/>
  <c r="AG32" i="37"/>
  <c r="AH32" i="37"/>
  <c r="S33" i="37"/>
  <c r="U33" i="37"/>
  <c r="T33" i="37"/>
  <c r="AC33" i="37"/>
  <c r="AD33" i="37" s="1"/>
  <c r="AF33" i="37"/>
  <c r="AG33" i="37"/>
  <c r="AH33" i="37"/>
  <c r="R34" i="37"/>
  <c r="S34" i="37"/>
  <c r="U34" i="37"/>
  <c r="T34" i="37"/>
  <c r="AC34" i="37"/>
  <c r="AD34" i="37" s="1"/>
  <c r="AF34" i="37"/>
  <c r="AG34" i="37"/>
  <c r="AH34" i="37"/>
  <c r="S36" i="37"/>
  <c r="R36" i="37"/>
  <c r="U36" i="37"/>
  <c r="T36" i="37" s="1"/>
  <c r="AC36" i="37"/>
  <c r="AE36" i="37" s="1"/>
  <c r="AF36" i="37"/>
  <c r="AG36" i="37"/>
  <c r="AH36" i="37"/>
  <c r="S37" i="37"/>
  <c r="R37" i="37"/>
  <c r="U37" i="37"/>
  <c r="AC37" i="37"/>
  <c r="AD37" i="37" s="1"/>
  <c r="AF37" i="37"/>
  <c r="AG37" i="37"/>
  <c r="AH37" i="37"/>
  <c r="S38" i="37"/>
  <c r="R38" i="37" s="1"/>
  <c r="U38" i="37"/>
  <c r="T38" i="37" s="1"/>
  <c r="AC38" i="37"/>
  <c r="AD38" i="37" s="1"/>
  <c r="AF38" i="37"/>
  <c r="AG38" i="37"/>
  <c r="AH38" i="37"/>
  <c r="S39" i="37"/>
  <c r="R39" i="37"/>
  <c r="U39" i="37"/>
  <c r="T39" i="37" s="1"/>
  <c r="AC39" i="37"/>
  <c r="AD39" i="37" s="1"/>
  <c r="AF39" i="37"/>
  <c r="S40" i="37"/>
  <c r="U40" i="37"/>
  <c r="T40" i="37"/>
  <c r="AC40" i="37"/>
  <c r="AD40" i="37" s="1"/>
  <c r="AF40" i="37"/>
  <c r="S41" i="37"/>
  <c r="R41" i="37"/>
  <c r="U41" i="37"/>
  <c r="T41" i="37"/>
  <c r="AC41" i="37"/>
  <c r="AD41" i="37" s="1"/>
  <c r="AF41" i="37"/>
  <c r="S42" i="37"/>
  <c r="U42" i="37"/>
  <c r="T42" i="37" s="1"/>
  <c r="AC42" i="37"/>
  <c r="AD42" i="37" s="1"/>
  <c r="AF42" i="37"/>
  <c r="S43" i="37"/>
  <c r="R43" i="37"/>
  <c r="U43" i="37"/>
  <c r="T43" i="37" s="1"/>
  <c r="AC43" i="37"/>
  <c r="AE43" i="37" s="1"/>
  <c r="AF43" i="37"/>
  <c r="S44" i="37"/>
  <c r="R44" i="37"/>
  <c r="U44" i="37"/>
  <c r="T44" i="37" s="1"/>
  <c r="AC44" i="37"/>
  <c r="AD44" i="37" s="1"/>
  <c r="AF44" i="37"/>
  <c r="S45" i="37"/>
  <c r="R45" i="37" s="1"/>
  <c r="U45" i="37"/>
  <c r="AC45" i="37"/>
  <c r="AE45" i="37" s="1"/>
  <c r="AF45" i="37"/>
  <c r="AG45" i="37"/>
  <c r="AH45" i="37"/>
  <c r="S46" i="37"/>
  <c r="R46" i="37" s="1"/>
  <c r="U46" i="37"/>
  <c r="AC46" i="37"/>
  <c r="AD46" i="37" s="1"/>
  <c r="AF46" i="37"/>
  <c r="AG46" i="37"/>
  <c r="AH46" i="37"/>
  <c r="S47" i="37"/>
  <c r="U47" i="37"/>
  <c r="T47" i="37" s="1"/>
  <c r="AC47" i="37"/>
  <c r="AD47" i="37" s="1"/>
  <c r="AF47" i="37"/>
  <c r="AG47" i="37"/>
  <c r="AH47" i="37"/>
  <c r="S48" i="37"/>
  <c r="U48" i="37"/>
  <c r="AC48" i="37"/>
  <c r="AE48" i="37" s="1"/>
  <c r="AF48" i="37"/>
  <c r="AG48" i="37"/>
  <c r="AH48" i="37"/>
  <c r="S49" i="37"/>
  <c r="R49" i="37"/>
  <c r="U49" i="37"/>
  <c r="AC49" i="37"/>
  <c r="AE49" i="37" s="1"/>
  <c r="AF49" i="37"/>
  <c r="AG49" i="37"/>
  <c r="AH49" i="37"/>
  <c r="S50" i="37"/>
  <c r="U50" i="37"/>
  <c r="T50" i="37"/>
  <c r="AC50" i="37"/>
  <c r="AD50" i="37" s="1"/>
  <c r="AF50" i="37"/>
  <c r="AG50" i="37"/>
  <c r="AH50" i="37"/>
  <c r="S51" i="37"/>
  <c r="R51" i="37" s="1"/>
  <c r="U51" i="37"/>
  <c r="T51" i="37"/>
  <c r="AC51" i="37"/>
  <c r="AD51" i="37" s="1"/>
  <c r="AF51" i="37"/>
  <c r="AG51" i="37"/>
  <c r="AH51" i="37"/>
  <c r="S52" i="37"/>
  <c r="R52" i="37"/>
  <c r="U52" i="37"/>
  <c r="T52" i="37"/>
  <c r="AC52" i="37"/>
  <c r="AD52" i="37" s="1"/>
  <c r="AF52" i="37"/>
  <c r="AG52" i="37"/>
  <c r="AH52" i="37"/>
  <c r="S53" i="37"/>
  <c r="R53" i="37"/>
  <c r="U53" i="37"/>
  <c r="T53" i="37"/>
  <c r="AC53" i="37"/>
  <c r="AD53" i="37" s="1"/>
  <c r="AF53" i="37"/>
  <c r="AG53" i="37"/>
  <c r="AH53" i="37"/>
  <c r="S54" i="37"/>
  <c r="R54" i="37"/>
  <c r="U54" i="37"/>
  <c r="AC54" i="37"/>
  <c r="AD54" i="37" s="1"/>
  <c r="AF54" i="37"/>
  <c r="AG54" i="37"/>
  <c r="AH54" i="37"/>
  <c r="S55" i="37"/>
  <c r="R55" i="37"/>
  <c r="U55" i="37"/>
  <c r="T55" i="37" s="1"/>
  <c r="AC55" i="37"/>
  <c r="AF55" i="37"/>
  <c r="AG55" i="37"/>
  <c r="AH55" i="37"/>
  <c r="S56" i="37"/>
  <c r="U56" i="37"/>
  <c r="T56" i="37" s="1"/>
  <c r="AC56" i="37"/>
  <c r="AD56" i="37" s="1"/>
  <c r="AF56" i="37"/>
  <c r="AG56" i="37"/>
  <c r="AH56" i="37"/>
  <c r="S57" i="37"/>
  <c r="R57" i="37" s="1"/>
  <c r="U57" i="37"/>
  <c r="T57" i="37"/>
  <c r="AC57" i="37"/>
  <c r="AE57" i="37" s="1"/>
  <c r="AF57" i="37"/>
  <c r="AG57" i="37"/>
  <c r="AH57" i="37"/>
  <c r="S58" i="37"/>
  <c r="U58" i="37"/>
  <c r="T58" i="37" s="1"/>
  <c r="AC58" i="37"/>
  <c r="AD58" i="37" s="1"/>
  <c r="AF58" i="37"/>
  <c r="AG58" i="37"/>
  <c r="AH58" i="37"/>
  <c r="S59" i="37"/>
  <c r="R59" i="37" s="1"/>
  <c r="U59" i="37"/>
  <c r="T59" i="37"/>
  <c r="AC59" i="37"/>
  <c r="AD59" i="37" s="1"/>
  <c r="AF59" i="37"/>
  <c r="AG59" i="37"/>
  <c r="AH59" i="37"/>
  <c r="S60" i="37"/>
  <c r="U60" i="37"/>
  <c r="T60" i="37"/>
  <c r="AC60" i="37"/>
  <c r="AD60" i="37" s="1"/>
  <c r="AF60" i="37"/>
  <c r="AG60" i="37"/>
  <c r="AH60" i="37"/>
  <c r="S61" i="37"/>
  <c r="R61" i="37" s="1"/>
  <c r="U61" i="37"/>
  <c r="AC61" i="37"/>
  <c r="AD61" i="37" s="1"/>
  <c r="AF61" i="37"/>
  <c r="AG61" i="37"/>
  <c r="AH61" i="37"/>
  <c r="S62" i="37"/>
  <c r="R62" i="37" s="1"/>
  <c r="U62" i="37"/>
  <c r="AC62" i="37"/>
  <c r="AF62" i="37"/>
  <c r="AG62" i="37"/>
  <c r="AH62" i="37"/>
  <c r="S63" i="37"/>
  <c r="U63" i="37"/>
  <c r="T63" i="37"/>
  <c r="AC63" i="37"/>
  <c r="AD63" i="37" s="1"/>
  <c r="AF63" i="37"/>
  <c r="AG63" i="37"/>
  <c r="AH63" i="37"/>
  <c r="S64" i="37"/>
  <c r="U64" i="37"/>
  <c r="T64" i="37"/>
  <c r="AC64" i="37"/>
  <c r="AF64" i="37"/>
  <c r="AG64" i="37"/>
  <c r="AH64" i="37"/>
  <c r="S65" i="37"/>
  <c r="R65" i="37" s="1"/>
  <c r="U65" i="37"/>
  <c r="T65" i="37" s="1"/>
  <c r="AC65" i="37"/>
  <c r="AE65" i="37" s="1"/>
  <c r="AF65" i="37"/>
  <c r="AG65" i="37"/>
  <c r="AH65" i="37"/>
  <c r="S66" i="37"/>
  <c r="U66" i="37"/>
  <c r="T66" i="37" s="1"/>
  <c r="AC66" i="37"/>
  <c r="AF66" i="37"/>
  <c r="AG66" i="37"/>
  <c r="AH66" i="37"/>
  <c r="R67" i="37"/>
  <c r="S67" i="37"/>
  <c r="U67" i="37"/>
  <c r="T67" i="37"/>
  <c r="AC67" i="37"/>
  <c r="AD67" i="37" s="1"/>
  <c r="AF67" i="37"/>
  <c r="AG67" i="37"/>
  <c r="AH67" i="37"/>
  <c r="S68" i="37"/>
  <c r="R68" i="37" s="1"/>
  <c r="U68" i="37"/>
  <c r="AC68" i="37"/>
  <c r="AF68" i="37"/>
  <c r="AG68" i="37"/>
  <c r="AH68" i="37"/>
  <c r="S69" i="37"/>
  <c r="R69" i="37"/>
  <c r="U69" i="37"/>
  <c r="AC69" i="37"/>
  <c r="AE69" i="37" s="1"/>
  <c r="AF69" i="37"/>
  <c r="AG69" i="37"/>
  <c r="AH69" i="37"/>
  <c r="S70" i="37"/>
  <c r="R70" i="37"/>
  <c r="U70" i="37"/>
  <c r="T70" i="37" s="1"/>
  <c r="AC70" i="37"/>
  <c r="AE70" i="37" s="1"/>
  <c r="AF70" i="37"/>
  <c r="AG70" i="37"/>
  <c r="AH70" i="37"/>
  <c r="S71" i="37"/>
  <c r="R71" i="37"/>
  <c r="U71" i="37"/>
  <c r="T71" i="37" s="1"/>
  <c r="AC71" i="37"/>
  <c r="AF71" i="37"/>
  <c r="AG71" i="37"/>
  <c r="AH71" i="37"/>
  <c r="S72" i="37"/>
  <c r="R72" i="37" s="1"/>
  <c r="U72" i="37"/>
  <c r="T72" i="37" s="1"/>
  <c r="AC72" i="37"/>
  <c r="AD72" i="37" s="1"/>
  <c r="AF72" i="37"/>
  <c r="AG72" i="37"/>
  <c r="AH72" i="37"/>
  <c r="S73" i="37"/>
  <c r="U73" i="37"/>
  <c r="T73" i="37" s="1"/>
  <c r="AC73" i="37"/>
  <c r="AE73" i="37" s="1"/>
  <c r="AF73" i="37"/>
  <c r="AG73" i="37"/>
  <c r="AH73" i="37"/>
  <c r="S74" i="37"/>
  <c r="U74" i="37"/>
  <c r="T74" i="37" s="1"/>
  <c r="AC74" i="37"/>
  <c r="AD74" i="37" s="1"/>
  <c r="AF74" i="37"/>
  <c r="AG74" i="37"/>
  <c r="AH74" i="37"/>
  <c r="S75" i="37"/>
  <c r="U75" i="37"/>
  <c r="T75" i="37"/>
  <c r="AC75" i="37"/>
  <c r="AE75" i="37" s="1"/>
  <c r="AF75" i="37"/>
  <c r="AG75" i="37"/>
  <c r="AH75" i="37"/>
  <c r="S76" i="37"/>
  <c r="U76" i="37"/>
  <c r="T76" i="37"/>
  <c r="AC76" i="37"/>
  <c r="AE76" i="37" s="1"/>
  <c r="AF76" i="37"/>
  <c r="AG76" i="37"/>
  <c r="AH76" i="37"/>
  <c r="S77" i="37"/>
  <c r="R77" i="37"/>
  <c r="U77" i="37"/>
  <c r="T77" i="37" s="1"/>
  <c r="AC77" i="37"/>
  <c r="AE77" i="37" s="1"/>
  <c r="AF77" i="37"/>
  <c r="AG77" i="37"/>
  <c r="AH77" i="37"/>
  <c r="S78" i="37"/>
  <c r="R78" i="37"/>
  <c r="U78" i="37"/>
  <c r="AC78" i="37"/>
  <c r="AD78" i="37" s="1"/>
  <c r="AF78" i="37"/>
  <c r="AG78" i="37"/>
  <c r="AH78" i="37"/>
  <c r="S79" i="37"/>
  <c r="R79" i="37"/>
  <c r="U79" i="37"/>
  <c r="T79" i="37" s="1"/>
  <c r="AC79" i="37"/>
  <c r="AE79" i="37" s="1"/>
  <c r="AF79" i="37"/>
  <c r="AG79" i="37"/>
  <c r="AH79" i="37"/>
  <c r="S80" i="37"/>
  <c r="R80" i="37"/>
  <c r="U80" i="37"/>
  <c r="T80" i="37"/>
  <c r="AC80" i="37"/>
  <c r="AE80" i="37" s="1"/>
  <c r="AF80" i="37"/>
  <c r="AG80" i="37"/>
  <c r="AH80" i="37"/>
  <c r="S81" i="37"/>
  <c r="U81" i="37"/>
  <c r="T81" i="37"/>
  <c r="AC81" i="37"/>
  <c r="AE81" i="37" s="1"/>
  <c r="AF81" i="37"/>
  <c r="AG81" i="37"/>
  <c r="AH81" i="37"/>
  <c r="S82" i="37"/>
  <c r="U82" i="37"/>
  <c r="T82" i="37"/>
  <c r="AC82" i="37"/>
  <c r="AD82" i="37" s="1"/>
  <c r="AF82" i="37"/>
  <c r="AG82" i="37"/>
  <c r="AH82" i="37"/>
  <c r="S84" i="37"/>
  <c r="R84" i="37"/>
  <c r="U84" i="37"/>
  <c r="T84" i="37"/>
  <c r="AC84" i="37"/>
  <c r="AD84" i="37" s="1"/>
  <c r="AF84" i="37"/>
  <c r="AG84" i="37"/>
  <c r="AH84" i="37"/>
  <c r="S85" i="37"/>
  <c r="U85" i="37"/>
  <c r="T85" i="37"/>
  <c r="AC85" i="37"/>
  <c r="AD85" i="37" s="1"/>
  <c r="AF85" i="37"/>
  <c r="AG85" i="37"/>
  <c r="AH85" i="37"/>
  <c r="S86" i="37"/>
  <c r="U86" i="37"/>
  <c r="T86" i="37"/>
  <c r="AC86" i="37"/>
  <c r="AE86" i="37" s="1"/>
  <c r="AF86" i="37"/>
  <c r="AG86" i="37"/>
  <c r="AH86" i="37"/>
  <c r="S87" i="37"/>
  <c r="R87" i="37"/>
  <c r="U87" i="37"/>
  <c r="T87" i="37"/>
  <c r="AC87" i="37"/>
  <c r="AF87" i="37"/>
  <c r="AG87" i="37"/>
  <c r="AH87" i="37"/>
  <c r="S88" i="37"/>
  <c r="R88" i="37"/>
  <c r="U88" i="37"/>
  <c r="T88" i="37"/>
  <c r="AC88" i="37"/>
  <c r="AD88" i="37" s="1"/>
  <c r="AF88" i="37"/>
  <c r="AG88" i="37"/>
  <c r="AH88" i="37"/>
  <c r="S89" i="37"/>
  <c r="R89" i="37"/>
  <c r="U89" i="37"/>
  <c r="T89" i="37" s="1"/>
  <c r="AC89" i="37"/>
  <c r="AE89" i="37" s="1"/>
  <c r="AF89" i="37"/>
  <c r="AG89" i="37"/>
  <c r="AH89" i="37"/>
  <c r="S90" i="37"/>
  <c r="R90" i="37"/>
  <c r="U90" i="37"/>
  <c r="T90" i="37" s="1"/>
  <c r="AC90" i="37"/>
  <c r="AD90" i="37" s="1"/>
  <c r="AF90" i="37"/>
  <c r="AG90" i="37"/>
  <c r="AH90" i="37"/>
  <c r="S91" i="37"/>
  <c r="U91" i="37"/>
  <c r="T91" i="37" s="1"/>
  <c r="AC91" i="37"/>
  <c r="AD91" i="37" s="1"/>
  <c r="AF91" i="37"/>
  <c r="AG91" i="37"/>
  <c r="AH91" i="37"/>
  <c r="S92" i="37"/>
  <c r="R92" i="37" s="1"/>
  <c r="U92" i="37"/>
  <c r="T92" i="37"/>
  <c r="AC92" i="37"/>
  <c r="AE92" i="37" s="1"/>
  <c r="AF92" i="37"/>
  <c r="AG92" i="37"/>
  <c r="AH92" i="37"/>
  <c r="S93" i="37"/>
  <c r="R93" i="37" s="1"/>
  <c r="U93" i="37"/>
  <c r="T93" i="37"/>
  <c r="AC93" i="37"/>
  <c r="AD93" i="37" s="1"/>
  <c r="AF93" i="37"/>
  <c r="AG93" i="37"/>
  <c r="AH93" i="37"/>
  <c r="S94" i="37"/>
  <c r="R94" i="37" s="1"/>
  <c r="U94" i="37"/>
  <c r="T94" i="37"/>
  <c r="AC94" i="37"/>
  <c r="AD94" i="37" s="1"/>
  <c r="AF94" i="37"/>
  <c r="AG94" i="37"/>
  <c r="AH94" i="37"/>
  <c r="S95" i="37"/>
  <c r="R95" i="37"/>
  <c r="U95" i="37"/>
  <c r="T95" i="37"/>
  <c r="AC95" i="37"/>
  <c r="AE95" i="37" s="1"/>
  <c r="AF95" i="37"/>
  <c r="AG95" i="37"/>
  <c r="AH95" i="37"/>
  <c r="S96" i="37"/>
  <c r="R96" i="37"/>
  <c r="U96" i="37"/>
  <c r="T96" i="37"/>
  <c r="AC96" i="37"/>
  <c r="AD96" i="37" s="1"/>
  <c r="AF96" i="37"/>
  <c r="AG96" i="37"/>
  <c r="AH96" i="37"/>
  <c r="S97" i="37"/>
  <c r="R97" i="37"/>
  <c r="U97" i="37"/>
  <c r="T97" i="37"/>
  <c r="AC97" i="37"/>
  <c r="AF97" i="37"/>
  <c r="AG97" i="37"/>
  <c r="AH97" i="37"/>
  <c r="S98" i="37"/>
  <c r="R98" i="37" s="1"/>
  <c r="U98" i="37"/>
  <c r="T98" i="37"/>
  <c r="AC98" i="37"/>
  <c r="AF98" i="37"/>
  <c r="AG98" i="37"/>
  <c r="AH98" i="37"/>
  <c r="S99" i="37"/>
  <c r="R99" i="37"/>
  <c r="U99" i="37"/>
  <c r="T99" i="37"/>
  <c r="AC99" i="37"/>
  <c r="AE99" i="37" s="1"/>
  <c r="AF99" i="37"/>
  <c r="AG99" i="37"/>
  <c r="AH99" i="37"/>
  <c r="S100" i="37"/>
  <c r="U100" i="37"/>
  <c r="T100" i="37"/>
  <c r="AC100" i="37"/>
  <c r="AD100" i="37" s="1"/>
  <c r="AF100" i="37"/>
  <c r="AG100" i="37"/>
  <c r="AH100" i="37"/>
  <c r="R101" i="37"/>
  <c r="S101" i="37"/>
  <c r="U101" i="37"/>
  <c r="T101" i="37"/>
  <c r="AC101" i="37"/>
  <c r="AE101" i="37" s="1"/>
  <c r="AF101" i="37"/>
  <c r="AG101" i="37"/>
  <c r="AH101" i="37"/>
  <c r="S102" i="37"/>
  <c r="R102" i="37" s="1"/>
  <c r="U102" i="37"/>
  <c r="T102" i="37" s="1"/>
  <c r="AC102" i="37"/>
  <c r="AD102" i="37" s="1"/>
  <c r="AF102" i="37"/>
  <c r="AG102" i="37"/>
  <c r="AH102" i="37"/>
  <c r="S103" i="37"/>
  <c r="R103" i="37" s="1"/>
  <c r="U103" i="37"/>
  <c r="T103" i="37" s="1"/>
  <c r="AC103" i="37"/>
  <c r="AD103" i="37" s="1"/>
  <c r="AF103" i="37"/>
  <c r="AG103" i="37"/>
  <c r="AH103" i="37"/>
  <c r="S104" i="37"/>
  <c r="R104" i="37" s="1"/>
  <c r="U104" i="37"/>
  <c r="T104" i="37"/>
  <c r="AC104" i="37"/>
  <c r="AF104" i="37"/>
  <c r="AG104" i="37"/>
  <c r="AH104" i="37"/>
  <c r="S105" i="37"/>
  <c r="R105" i="37" s="1"/>
  <c r="U105" i="37"/>
  <c r="T105" i="37"/>
  <c r="AC105" i="37"/>
  <c r="AF105" i="37"/>
  <c r="AG105" i="37"/>
  <c r="AH105" i="37"/>
  <c r="S106" i="37"/>
  <c r="U106" i="37"/>
  <c r="T106" i="37"/>
  <c r="AC106" i="37"/>
  <c r="AF106" i="37"/>
  <c r="AG106" i="37"/>
  <c r="AH106" i="37"/>
  <c r="S107" i="37"/>
  <c r="R107" i="37"/>
  <c r="U107" i="37"/>
  <c r="T107" i="37" s="1"/>
  <c r="AC107" i="37"/>
  <c r="AE107" i="37" s="1"/>
  <c r="AF107" i="37"/>
  <c r="AG107" i="37"/>
  <c r="AH107" i="37"/>
  <c r="S108" i="37"/>
  <c r="U108" i="37"/>
  <c r="T108" i="37"/>
  <c r="AC108" i="37"/>
  <c r="AE108" i="37" s="1"/>
  <c r="AF108" i="37"/>
  <c r="AG108" i="37"/>
  <c r="AH108" i="37"/>
  <c r="S109" i="37"/>
  <c r="R109" i="37"/>
  <c r="U109" i="37"/>
  <c r="T109" i="37"/>
  <c r="AC109" i="37"/>
  <c r="AD109" i="37" s="1"/>
  <c r="AF109" i="37"/>
  <c r="AG109" i="37"/>
  <c r="AH109" i="37"/>
  <c r="S110" i="37"/>
  <c r="R110" i="37"/>
  <c r="U110" i="37"/>
  <c r="T110" i="37"/>
  <c r="AC110" i="37"/>
  <c r="AD110" i="37" s="1"/>
  <c r="AF110" i="37"/>
  <c r="AG110" i="37"/>
  <c r="AH110" i="37"/>
  <c r="S111" i="37"/>
  <c r="R111" i="37"/>
  <c r="U111" i="37"/>
  <c r="T111" i="37" s="1"/>
  <c r="AC111" i="37"/>
  <c r="AD111" i="37" s="1"/>
  <c r="AF111" i="37"/>
  <c r="AG111" i="37"/>
  <c r="AH111" i="37"/>
  <c r="S112" i="37"/>
  <c r="U112" i="37"/>
  <c r="T112" i="37"/>
  <c r="AC112" i="37"/>
  <c r="AF112" i="37"/>
  <c r="AG112" i="37"/>
  <c r="AH112" i="37"/>
  <c r="S113" i="37"/>
  <c r="R113" i="37" s="1"/>
  <c r="U113" i="37"/>
  <c r="T113" i="37" s="1"/>
  <c r="AC113" i="37"/>
  <c r="AE113" i="37" s="1"/>
  <c r="AF113" i="37"/>
  <c r="AG113" i="37"/>
  <c r="AH113" i="37"/>
  <c r="S114" i="37"/>
  <c r="U114" i="37"/>
  <c r="T114" i="37"/>
  <c r="AC114" i="37"/>
  <c r="AE114" i="37" s="1"/>
  <c r="AF114" i="37"/>
  <c r="AG114" i="37"/>
  <c r="AH114" i="37"/>
  <c r="S115" i="37"/>
  <c r="R115" i="37"/>
  <c r="U115" i="37"/>
  <c r="T115" i="37"/>
  <c r="AC115" i="37"/>
  <c r="AD115" i="37" s="1"/>
  <c r="AF115" i="37"/>
  <c r="AG115" i="37"/>
  <c r="AH115" i="37"/>
  <c r="S116" i="37"/>
  <c r="U116" i="37"/>
  <c r="AC116" i="37"/>
  <c r="AF116" i="37"/>
  <c r="AG116" i="37"/>
  <c r="AH116" i="37"/>
  <c r="S117" i="37"/>
  <c r="R117" i="37"/>
  <c r="U117" i="37"/>
  <c r="AC117" i="37"/>
  <c r="AD117" i="37" s="1"/>
  <c r="AF117" i="37"/>
  <c r="AG117" i="37"/>
  <c r="AH117" i="37"/>
  <c r="S118" i="37"/>
  <c r="R118" i="37" s="1"/>
  <c r="U118" i="37"/>
  <c r="T118" i="37"/>
  <c r="AC118" i="37"/>
  <c r="AD118" i="37" s="1"/>
  <c r="AF118" i="37"/>
  <c r="AG118" i="37"/>
  <c r="AH118" i="37"/>
  <c r="S119" i="37"/>
  <c r="U119" i="37"/>
  <c r="T119" i="37"/>
  <c r="AC119" i="37"/>
  <c r="AE119" i="37" s="1"/>
  <c r="AF119" i="37"/>
  <c r="S120" i="37"/>
  <c r="R120" i="37" s="1"/>
  <c r="U120" i="37"/>
  <c r="T120" i="37" s="1"/>
  <c r="AC120" i="37"/>
  <c r="AF120" i="37"/>
  <c r="S121" i="37"/>
  <c r="U121" i="37"/>
  <c r="T121" i="37" s="1"/>
  <c r="AC121" i="37"/>
  <c r="AE121" i="37" s="1"/>
  <c r="AF121" i="37"/>
  <c r="S122" i="37"/>
  <c r="U122" i="37"/>
  <c r="T122" i="37"/>
  <c r="AC122" i="37"/>
  <c r="AE122" i="37" s="1"/>
  <c r="AF122" i="37"/>
  <c r="AG122" i="37"/>
  <c r="AH122" i="37"/>
  <c r="S123" i="37"/>
  <c r="U123" i="37"/>
  <c r="T123" i="37" s="1"/>
  <c r="AC123" i="37"/>
  <c r="AE123" i="37" s="1"/>
  <c r="AF123" i="37"/>
  <c r="AG123" i="37"/>
  <c r="AH123" i="37"/>
  <c r="S124" i="37"/>
  <c r="U124" i="37"/>
  <c r="T124" i="37" s="1"/>
  <c r="AC124" i="37"/>
  <c r="AD124" i="37" s="1"/>
  <c r="AF124" i="37"/>
  <c r="AG124" i="37"/>
  <c r="AH124" i="37"/>
  <c r="S125" i="37"/>
  <c r="R125" i="37"/>
  <c r="U125" i="37"/>
  <c r="AC125" i="37"/>
  <c r="AE125" i="37" s="1"/>
  <c r="AF125" i="37"/>
  <c r="AG125" i="37"/>
  <c r="AH125" i="37"/>
  <c r="S126" i="37"/>
  <c r="R126" i="37"/>
  <c r="U126" i="37"/>
  <c r="AC126" i="37"/>
  <c r="AD126" i="37" s="1"/>
  <c r="AF126" i="37"/>
  <c r="AG126" i="37"/>
  <c r="AH126" i="37"/>
  <c r="S127" i="37"/>
  <c r="U127" i="37"/>
  <c r="T127" i="37"/>
  <c r="AC127" i="37"/>
  <c r="AD127" i="37" s="1"/>
  <c r="AF127" i="37"/>
  <c r="AG127" i="37"/>
  <c r="AH127" i="37"/>
  <c r="S128" i="37"/>
  <c r="R128" i="37"/>
  <c r="U128" i="37"/>
  <c r="T128" i="37" s="1"/>
  <c r="AC128" i="37"/>
  <c r="AE128" i="37" s="1"/>
  <c r="AF128" i="37"/>
  <c r="AG128" i="37"/>
  <c r="AH128" i="37"/>
  <c r="S129" i="37"/>
  <c r="U129" i="37"/>
  <c r="T129" i="37" s="1"/>
  <c r="AC129" i="37"/>
  <c r="AD129" i="37" s="1"/>
  <c r="AF129" i="37"/>
  <c r="AG129" i="37"/>
  <c r="AH129" i="37"/>
  <c r="S130" i="37"/>
  <c r="U130" i="37"/>
  <c r="T130" i="37"/>
  <c r="AC130" i="37"/>
  <c r="AD130" i="37" s="1"/>
  <c r="AF130" i="37"/>
  <c r="AG130" i="37"/>
  <c r="AH130" i="37"/>
  <c r="S131" i="37"/>
  <c r="R131" i="37"/>
  <c r="U131" i="37"/>
  <c r="T131" i="37"/>
  <c r="AC131" i="37"/>
  <c r="AD131" i="37" s="1"/>
  <c r="AF131" i="37"/>
  <c r="AG131" i="37"/>
  <c r="AH131" i="37"/>
  <c r="S132" i="37"/>
  <c r="R132" i="37" s="1"/>
  <c r="U132" i="37"/>
  <c r="AC132" i="37"/>
  <c r="AD132" i="37" s="1"/>
  <c r="AF132" i="37"/>
  <c r="AG132" i="37"/>
  <c r="AH132" i="37"/>
  <c r="S133" i="37"/>
  <c r="U133" i="37"/>
  <c r="AC133" i="37"/>
  <c r="AD133" i="37" s="1"/>
  <c r="AF133" i="37"/>
  <c r="AG133" i="37"/>
  <c r="AH133" i="37"/>
  <c r="S134" i="37"/>
  <c r="U134" i="37"/>
  <c r="T134" i="37" s="1"/>
  <c r="AC134" i="37"/>
  <c r="AD134" i="37" s="1"/>
  <c r="AF134" i="37"/>
  <c r="AG134" i="37"/>
  <c r="AH134" i="37"/>
  <c r="S135" i="37"/>
  <c r="U135" i="37"/>
  <c r="T135" i="37" s="1"/>
  <c r="AC135" i="37"/>
  <c r="AD135" i="37" s="1"/>
  <c r="AF135" i="37"/>
  <c r="AG135" i="37"/>
  <c r="AH135" i="37"/>
  <c r="S136" i="37"/>
  <c r="R136" i="37"/>
  <c r="U136" i="37"/>
  <c r="T136" i="37" s="1"/>
  <c r="AC136" i="37"/>
  <c r="AD136" i="37" s="1"/>
  <c r="AF136" i="37"/>
  <c r="AG136" i="37"/>
  <c r="AH136" i="37"/>
  <c r="S137" i="37"/>
  <c r="R137" i="37"/>
  <c r="U137" i="37"/>
  <c r="AC137" i="37"/>
  <c r="AD137" i="37" s="1"/>
  <c r="AF137" i="37"/>
  <c r="AG137" i="37"/>
  <c r="AH137" i="37"/>
  <c r="S138" i="37"/>
  <c r="R138" i="37" s="1"/>
  <c r="U138" i="37"/>
  <c r="T138" i="37" s="1"/>
  <c r="AC138" i="37"/>
  <c r="AE138" i="37" s="1"/>
  <c r="AF138" i="37"/>
  <c r="AG138" i="37"/>
  <c r="AH138" i="37"/>
  <c r="S139" i="37"/>
  <c r="R139" i="37" s="1"/>
  <c r="U139" i="37"/>
  <c r="T139" i="37" s="1"/>
  <c r="AC139" i="37"/>
  <c r="AD139" i="37" s="1"/>
  <c r="AF139" i="37"/>
  <c r="AG139" i="37"/>
  <c r="AH139" i="37"/>
  <c r="S140" i="37"/>
  <c r="R140" i="37"/>
  <c r="U140" i="37"/>
  <c r="T140" i="37" s="1"/>
  <c r="AC140" i="37"/>
  <c r="AD140" i="37" s="1"/>
  <c r="AF140" i="37"/>
  <c r="AG140" i="37"/>
  <c r="AH140" i="37"/>
  <c r="S141" i="37"/>
  <c r="R141" i="37" s="1"/>
  <c r="U141" i="37"/>
  <c r="T141" i="37"/>
  <c r="AC141" i="37"/>
  <c r="AD141" i="37" s="1"/>
  <c r="AF141" i="37"/>
  <c r="AG141" i="37"/>
  <c r="AH141" i="37"/>
  <c r="S142" i="37"/>
  <c r="R142" i="37" s="1"/>
  <c r="U142" i="37"/>
  <c r="T142" i="37" s="1"/>
  <c r="AC142" i="37"/>
  <c r="AF142" i="37"/>
  <c r="AG142" i="37"/>
  <c r="AH142" i="37"/>
  <c r="S143" i="37"/>
  <c r="R143" i="37" s="1"/>
  <c r="U143" i="37"/>
  <c r="T143" i="37" s="1"/>
  <c r="AC143" i="37"/>
  <c r="AD143" i="37" s="1"/>
  <c r="AF143" i="37"/>
  <c r="AG143" i="37"/>
  <c r="AH143" i="37"/>
  <c r="S144" i="37"/>
  <c r="U144" i="37"/>
  <c r="T144" i="37" s="1"/>
  <c r="AC144" i="37"/>
  <c r="AD144" i="37" s="1"/>
  <c r="AF144" i="37"/>
  <c r="AG144" i="37"/>
  <c r="AH144" i="37"/>
  <c r="S145" i="37"/>
  <c r="R145" i="37"/>
  <c r="U145" i="37"/>
  <c r="T145" i="37" s="1"/>
  <c r="AC145" i="37"/>
  <c r="AD145" i="37" s="1"/>
  <c r="AF145" i="37"/>
  <c r="AG145" i="37"/>
  <c r="AH145" i="37"/>
  <c r="S146" i="37"/>
  <c r="U146" i="37"/>
  <c r="T146" i="37" s="1"/>
  <c r="AC146" i="37"/>
  <c r="AE146" i="37" s="1"/>
  <c r="AF146" i="37"/>
  <c r="AG146" i="37"/>
  <c r="AH146" i="37"/>
  <c r="S147" i="37"/>
  <c r="U147" i="37"/>
  <c r="T147" i="37"/>
  <c r="AC147" i="37"/>
  <c r="AE147" i="37" s="1"/>
  <c r="AF147" i="37"/>
  <c r="AG147" i="37"/>
  <c r="AH147" i="37"/>
  <c r="S148" i="37"/>
  <c r="R148" i="37" s="1"/>
  <c r="U148" i="37"/>
  <c r="T148" i="37"/>
  <c r="AC148" i="37"/>
  <c r="AF148" i="37"/>
  <c r="AG148" i="37"/>
  <c r="AH148" i="37"/>
  <c r="S149" i="37"/>
  <c r="U149" i="37"/>
  <c r="T149" i="37"/>
  <c r="AC149" i="37"/>
  <c r="AF149" i="37"/>
  <c r="AG149" i="37"/>
  <c r="AH149" i="37"/>
  <c r="S150" i="37"/>
  <c r="U150" i="37"/>
  <c r="T150" i="37"/>
  <c r="AC150" i="37"/>
  <c r="AD150" i="37" s="1"/>
  <c r="AF150" i="37"/>
  <c r="AG150" i="37"/>
  <c r="AH150" i="37"/>
  <c r="S151" i="37"/>
  <c r="R151" i="37" s="1"/>
  <c r="U151" i="37"/>
  <c r="T151" i="37"/>
  <c r="AC151" i="37"/>
  <c r="AE151" i="37" s="1"/>
  <c r="AF151" i="37"/>
  <c r="AG151" i="37"/>
  <c r="AH151" i="37"/>
  <c r="S152" i="37"/>
  <c r="U152" i="37"/>
  <c r="T152" i="37" s="1"/>
  <c r="AC152" i="37"/>
  <c r="AE152" i="37" s="1"/>
  <c r="AF152" i="37"/>
  <c r="AG152" i="37"/>
  <c r="AH152" i="37"/>
  <c r="S153" i="37"/>
  <c r="U153" i="37"/>
  <c r="T153" i="37"/>
  <c r="AC153" i="37"/>
  <c r="AD153" i="37" s="1"/>
  <c r="AF153" i="37"/>
  <c r="AG153" i="37"/>
  <c r="AH153" i="37"/>
  <c r="S154" i="37"/>
  <c r="U154" i="37"/>
  <c r="T154" i="37"/>
  <c r="AC154" i="37"/>
  <c r="AE154" i="37" s="1"/>
  <c r="AF154" i="37"/>
  <c r="S155" i="37"/>
  <c r="R155" i="37"/>
  <c r="U155" i="37"/>
  <c r="T155" i="37" s="1"/>
  <c r="AC155" i="37"/>
  <c r="AF155" i="37"/>
  <c r="S156" i="37"/>
  <c r="R156" i="37" s="1"/>
  <c r="U156" i="37"/>
  <c r="T156" i="37"/>
  <c r="AC156" i="37"/>
  <c r="AE156" i="37" s="1"/>
  <c r="AF156" i="37"/>
  <c r="S157" i="37"/>
  <c r="R157" i="37"/>
  <c r="U157" i="37"/>
  <c r="AC157" i="37"/>
  <c r="AD157" i="37" s="1"/>
  <c r="AF157" i="37"/>
  <c r="S158" i="37"/>
  <c r="R158" i="37"/>
  <c r="U158" i="37"/>
  <c r="T158" i="37" s="1"/>
  <c r="AC158" i="37"/>
  <c r="AF158" i="37"/>
  <c r="S159" i="37"/>
  <c r="U159" i="37"/>
  <c r="T159" i="37"/>
  <c r="AC159" i="37"/>
  <c r="AD159" i="37" s="1"/>
  <c r="AF159" i="37"/>
  <c r="S160" i="37"/>
  <c r="U160" i="37"/>
  <c r="T160" i="37"/>
  <c r="AC160" i="37"/>
  <c r="AE160" i="37" s="1"/>
  <c r="AF160" i="37"/>
  <c r="AG160" i="37"/>
  <c r="AH160" i="37"/>
  <c r="S161" i="37"/>
  <c r="R161" i="37" s="1"/>
  <c r="U161" i="37"/>
  <c r="T161" i="37" s="1"/>
  <c r="AC161" i="37"/>
  <c r="AF161" i="37"/>
  <c r="AG161" i="37"/>
  <c r="AH161" i="37"/>
  <c r="S162" i="37"/>
  <c r="R162" i="37" s="1"/>
  <c r="U162" i="37"/>
  <c r="T162" i="37"/>
  <c r="AC162" i="37"/>
  <c r="AF162" i="37"/>
  <c r="AG162" i="37"/>
  <c r="AH162" i="37"/>
  <c r="S163" i="37"/>
  <c r="R163" i="37" s="1"/>
  <c r="U163" i="37"/>
  <c r="AC163" i="37"/>
  <c r="AF163" i="37"/>
  <c r="AG163" i="37"/>
  <c r="AH163" i="37"/>
  <c r="S164" i="37"/>
  <c r="U164" i="37"/>
  <c r="T164" i="37"/>
  <c r="AC164" i="37"/>
  <c r="AD164" i="37" s="1"/>
  <c r="AF164" i="37"/>
  <c r="AG164" i="37"/>
  <c r="AH164" i="37"/>
  <c r="S165" i="37"/>
  <c r="R165" i="37" s="1"/>
  <c r="U165" i="37"/>
  <c r="AC165" i="37"/>
  <c r="AF165" i="37"/>
  <c r="AG165" i="37"/>
  <c r="AH165" i="37"/>
  <c r="S166" i="37"/>
  <c r="R166" i="37"/>
  <c r="U166" i="37"/>
  <c r="T166" i="37"/>
  <c r="AC166" i="37"/>
  <c r="AD166" i="37" s="1"/>
  <c r="AF166" i="37"/>
  <c r="AG166" i="37"/>
  <c r="AH166" i="37"/>
  <c r="S167" i="37"/>
  <c r="U167" i="37"/>
  <c r="T167" i="37"/>
  <c r="AC167" i="37"/>
  <c r="AF167" i="37"/>
  <c r="AG167" i="37"/>
  <c r="AH167" i="37"/>
  <c r="S168" i="37"/>
  <c r="U168" i="37"/>
  <c r="T168" i="37"/>
  <c r="AC168" i="37"/>
  <c r="AF168" i="37"/>
  <c r="AG168" i="37"/>
  <c r="AH168" i="37"/>
  <c r="S169" i="37"/>
  <c r="R169" i="37"/>
  <c r="U169" i="37"/>
  <c r="T169" i="37"/>
  <c r="AC169" i="37"/>
  <c r="AD169" i="37" s="1"/>
  <c r="AF169" i="37"/>
  <c r="AG169" i="37"/>
  <c r="AH169" i="37"/>
  <c r="AH18" i="37"/>
  <c r="AG18" i="37"/>
  <c r="AF18" i="37"/>
  <c r="AC18" i="37"/>
  <c r="U18" i="37"/>
  <c r="T18" i="37" s="1"/>
  <c r="S18" i="37"/>
  <c r="AH17" i="37"/>
  <c r="AG17" i="37"/>
  <c r="AF17" i="37"/>
  <c r="AC17" i="37"/>
  <c r="AE17" i="37" s="1"/>
  <c r="U17" i="37"/>
  <c r="T17" i="37"/>
  <c r="S17" i="37"/>
  <c r="R17" i="37" s="1"/>
  <c r="AH16" i="37"/>
  <c r="AG16" i="37"/>
  <c r="AF16" i="37"/>
  <c r="AC16" i="37"/>
  <c r="U16" i="37"/>
  <c r="T16" i="37" s="1"/>
  <c r="S16" i="37"/>
  <c r="R16" i="37" s="1"/>
  <c r="AH15" i="37"/>
  <c r="AG15" i="37"/>
  <c r="AF15" i="37"/>
  <c r="AC15" i="37"/>
  <c r="AD15" i="37" s="1"/>
  <c r="U15" i="37"/>
  <c r="T15" i="37" s="1"/>
  <c r="S15" i="37"/>
  <c r="R15" i="37"/>
  <c r="AH14" i="37"/>
  <c r="AG14" i="37"/>
  <c r="AF14" i="37"/>
  <c r="AC14" i="37"/>
  <c r="AD14" i="37" s="1"/>
  <c r="U14" i="37"/>
  <c r="S14" i="37"/>
  <c r="R14" i="37"/>
  <c r="AH13" i="37"/>
  <c r="AG13" i="37"/>
  <c r="AF13" i="37"/>
  <c r="AC13" i="37"/>
  <c r="AD13" i="37" s="1"/>
  <c r="U13" i="37"/>
  <c r="T13" i="37" s="1"/>
  <c r="S13" i="37"/>
  <c r="R13" i="37"/>
  <c r="AH12" i="37"/>
  <c r="AG12" i="37"/>
  <c r="AF12" i="37"/>
  <c r="AC12" i="37"/>
  <c r="AD12" i="37" s="1"/>
  <c r="U12" i="37"/>
  <c r="T12" i="37"/>
  <c r="S12" i="37"/>
  <c r="R12" i="37" s="1"/>
  <c r="AH11" i="37"/>
  <c r="AG11" i="37"/>
  <c r="AF11" i="37"/>
  <c r="AC11" i="37"/>
  <c r="AE11" i="37" s="1"/>
  <c r="U11" i="37"/>
  <c r="T11" i="37"/>
  <c r="S11" i="37"/>
  <c r="AH10" i="37"/>
  <c r="AG10" i="37"/>
  <c r="AF10" i="37"/>
  <c r="AC10" i="37"/>
  <c r="U10" i="37"/>
  <c r="T10" i="37" s="1"/>
  <c r="S10" i="37"/>
  <c r="R10" i="37" s="1"/>
  <c r="AH9" i="37"/>
  <c r="AG9" i="37"/>
  <c r="AF9" i="37"/>
  <c r="AC9" i="37"/>
  <c r="AD9" i="37" s="1"/>
  <c r="U9" i="37"/>
  <c r="T9" i="37"/>
  <c r="S9" i="37"/>
  <c r="R9" i="37"/>
  <c r="AH8" i="37"/>
  <c r="AG8" i="37"/>
  <c r="AF8" i="37"/>
  <c r="AC8" i="37"/>
  <c r="AD8" i="37" s="1"/>
  <c r="U8" i="37"/>
  <c r="T8" i="37"/>
  <c r="S8" i="37"/>
  <c r="R8" i="37"/>
  <c r="AH7" i="37"/>
  <c r="AG7" i="37"/>
  <c r="AF7" i="37"/>
  <c r="AC7" i="37"/>
  <c r="U7" i="37"/>
  <c r="T7" i="37"/>
  <c r="S7" i="37"/>
  <c r="R7" i="37"/>
  <c r="R11" i="37"/>
  <c r="R86" i="37"/>
  <c r="R116" i="37"/>
  <c r="T49" i="37"/>
  <c r="R47" i="37"/>
  <c r="T32" i="37"/>
  <c r="R164" i="37"/>
  <c r="R63" i="37"/>
  <c r="R27" i="37"/>
  <c r="R160" i="37"/>
  <c r="R129" i="37"/>
  <c r="R91" i="37"/>
  <c r="R121" i="37"/>
  <c r="T61" i="37"/>
  <c r="T45" i="37"/>
  <c r="R147" i="37"/>
  <c r="R73" i="37"/>
  <c r="R135" i="37"/>
  <c r="R76" i="37"/>
  <c r="R60" i="37"/>
  <c r="R19" i="37"/>
  <c r="R119" i="37"/>
  <c r="R108" i="37"/>
  <c r="R167" i="37"/>
  <c r="T165" i="37"/>
  <c r="T157" i="37"/>
  <c r="R146" i="37"/>
  <c r="R144" i="37"/>
  <c r="R149" i="37"/>
  <c r="R134" i="37"/>
  <c r="R100" i="37"/>
  <c r="T125" i="37"/>
  <c r="R82" i="37"/>
  <c r="T133" i="37"/>
  <c r="R127" i="37"/>
  <c r="T78" i="37"/>
  <c r="R64" i="37"/>
  <c r="R123" i="37"/>
  <c r="R130" i="37"/>
  <c r="R122" i="37"/>
  <c r="R114" i="37"/>
  <c r="R106" i="37"/>
  <c r="R75" i="37"/>
  <c r="R66" i="37"/>
  <c r="R74" i="37"/>
  <c r="R58" i="37"/>
  <c r="R50" i="37"/>
  <c r="R42" i="37"/>
  <c r="R33" i="37"/>
  <c r="R85" i="37"/>
  <c r="R81" i="37"/>
  <c r="T62" i="37"/>
  <c r="R56" i="37"/>
  <c r="R48" i="37"/>
  <c r="R40" i="37"/>
  <c r="R31" i="37"/>
  <c r="R23" i="37"/>
  <c r="T14" i="37"/>
  <c r="Q169" i="38"/>
  <c r="W169" i="38" s="1"/>
  <c r="V169" i="38" s="1"/>
  <c r="O169" i="38"/>
  <c r="P169" i="38"/>
  <c r="Q168" i="38"/>
  <c r="W168" i="38"/>
  <c r="O168" i="38"/>
  <c r="P168" i="38" s="1"/>
  <c r="Q167" i="38"/>
  <c r="W167" i="38" s="1"/>
  <c r="V167" i="38" s="1"/>
  <c r="O167" i="38"/>
  <c r="P167" i="38" s="1"/>
  <c r="Q166" i="38"/>
  <c r="W166" i="38" s="1"/>
  <c r="V166" i="38" s="1"/>
  <c r="O166" i="38"/>
  <c r="P166" i="38" s="1"/>
  <c r="Q165" i="38"/>
  <c r="W165" i="38"/>
  <c r="V165" i="38" s="1"/>
  <c r="O165" i="38"/>
  <c r="P165" i="38" s="1"/>
  <c r="Q164" i="38"/>
  <c r="W164" i="38"/>
  <c r="V164" i="38" s="1"/>
  <c r="O164" i="38"/>
  <c r="P164" i="38" s="1"/>
  <c r="Q163" i="38"/>
  <c r="W163" i="38" s="1"/>
  <c r="O163" i="38"/>
  <c r="P163" i="38" s="1"/>
  <c r="Q162" i="38"/>
  <c r="W162" i="38" s="1"/>
  <c r="V162" i="38" s="1"/>
  <c r="O162" i="38"/>
  <c r="P162" i="38" s="1"/>
  <c r="Q161" i="38"/>
  <c r="W161" i="38"/>
  <c r="O161" i="38"/>
  <c r="P161" i="38"/>
  <c r="Q160" i="38"/>
  <c r="W160" i="38" s="1"/>
  <c r="V160" i="38" s="1"/>
  <c r="O160" i="38"/>
  <c r="P160" i="38" s="1"/>
  <c r="Q159" i="38"/>
  <c r="W159" i="38" s="1"/>
  <c r="O159" i="38"/>
  <c r="P159" i="38" s="1"/>
  <c r="Q158" i="38"/>
  <c r="W158" i="38" s="1"/>
  <c r="V158" i="38" s="1"/>
  <c r="O158" i="38"/>
  <c r="P158" i="38" s="1"/>
  <c r="Q157" i="38"/>
  <c r="W157" i="38"/>
  <c r="O157" i="38"/>
  <c r="P157" i="38" s="1"/>
  <c r="Q156" i="38"/>
  <c r="W156" i="38"/>
  <c r="V156" i="38" s="1"/>
  <c r="O156" i="38"/>
  <c r="P156" i="38" s="1"/>
  <c r="Q155" i="38"/>
  <c r="W155" i="38" s="1"/>
  <c r="O155" i="38"/>
  <c r="P155" i="38"/>
  <c r="Q154" i="38"/>
  <c r="W154" i="38" s="1"/>
  <c r="O154" i="38"/>
  <c r="P154" i="38" s="1"/>
  <c r="Q153" i="38"/>
  <c r="W153" i="38"/>
  <c r="V153" i="38" s="1"/>
  <c r="O153" i="38"/>
  <c r="P153" i="38"/>
  <c r="Q152" i="38"/>
  <c r="W152" i="38"/>
  <c r="O152" i="38"/>
  <c r="P152" i="38" s="1"/>
  <c r="Q151" i="38"/>
  <c r="W151" i="38"/>
  <c r="V151" i="38" s="1"/>
  <c r="O151" i="38"/>
  <c r="P151" i="38" s="1"/>
  <c r="Q150" i="38"/>
  <c r="W150" i="38"/>
  <c r="O150" i="38"/>
  <c r="P150" i="38" s="1"/>
  <c r="Q149" i="38"/>
  <c r="W149" i="38"/>
  <c r="O149" i="38"/>
  <c r="P149" i="38"/>
  <c r="Q148" i="38"/>
  <c r="W148" i="38"/>
  <c r="V148" i="38" s="1"/>
  <c r="O148" i="38"/>
  <c r="P148" i="38" s="1"/>
  <c r="Q147" i="38"/>
  <c r="W147" i="38" s="1"/>
  <c r="O147" i="38"/>
  <c r="P147" i="38" s="1"/>
  <c r="Q146" i="38"/>
  <c r="W146" i="38" s="1"/>
  <c r="V146" i="38" s="1"/>
  <c r="O146" i="38"/>
  <c r="P146" i="38" s="1"/>
  <c r="Q145" i="38"/>
  <c r="W145" i="38" s="1"/>
  <c r="V145" i="38" s="1"/>
  <c r="O145" i="38"/>
  <c r="P145" i="38"/>
  <c r="Q144" i="38"/>
  <c r="W144" i="38" s="1"/>
  <c r="V144" i="38" s="1"/>
  <c r="O144" i="38"/>
  <c r="P144" i="38" s="1"/>
  <c r="Q143" i="38"/>
  <c r="W143" i="38" s="1"/>
  <c r="V143" i="38" s="1"/>
  <c r="O143" i="38"/>
  <c r="P143" i="38" s="1"/>
  <c r="Q142" i="38"/>
  <c r="W142" i="38" s="1"/>
  <c r="V142" i="38" s="1"/>
  <c r="O142" i="38"/>
  <c r="P142" i="38" s="1"/>
  <c r="Q141" i="38"/>
  <c r="W141" i="38"/>
  <c r="O141" i="38"/>
  <c r="P141" i="38"/>
  <c r="Q140" i="38"/>
  <c r="W140" i="38"/>
  <c r="V140" i="38" s="1"/>
  <c r="O140" i="38"/>
  <c r="P140" i="38" s="1"/>
  <c r="Q139" i="38"/>
  <c r="W139" i="38" s="1"/>
  <c r="V139" i="38" s="1"/>
  <c r="O139" i="38"/>
  <c r="P139" i="38" s="1"/>
  <c r="Q138" i="38"/>
  <c r="W138" i="38" s="1"/>
  <c r="V138" i="38" s="1"/>
  <c r="O138" i="38"/>
  <c r="P138" i="38" s="1"/>
  <c r="Q137" i="38"/>
  <c r="W137" i="38"/>
  <c r="O137" i="38"/>
  <c r="P137" i="38"/>
  <c r="Q136" i="38"/>
  <c r="W136" i="38" s="1"/>
  <c r="O136" i="38"/>
  <c r="P136" i="38" s="1"/>
  <c r="Q135" i="38"/>
  <c r="W135" i="38" s="1"/>
  <c r="V135" i="38" s="1"/>
  <c r="O135" i="38"/>
  <c r="P135" i="38" s="1"/>
  <c r="Q134" i="38"/>
  <c r="W134" i="38"/>
  <c r="O134" i="38"/>
  <c r="P134" i="38" s="1"/>
  <c r="Q133" i="38"/>
  <c r="W133" i="38"/>
  <c r="V133" i="38" s="1"/>
  <c r="O133" i="38"/>
  <c r="P133" i="38" s="1"/>
  <c r="Q132" i="38"/>
  <c r="W132" i="38"/>
  <c r="V132" i="38" s="1"/>
  <c r="O132" i="38"/>
  <c r="P132" i="38" s="1"/>
  <c r="Q131" i="38"/>
  <c r="W131" i="38" s="1"/>
  <c r="V131" i="38" s="1"/>
  <c r="O131" i="38"/>
  <c r="P131" i="38"/>
  <c r="Q130" i="38"/>
  <c r="W130" i="38" s="1"/>
  <c r="V130" i="38" s="1"/>
  <c r="O130" i="38"/>
  <c r="P130" i="38" s="1"/>
  <c r="Q129" i="38"/>
  <c r="W129" i="38" s="1"/>
  <c r="O129" i="38"/>
  <c r="P129" i="38"/>
  <c r="Q128" i="38"/>
  <c r="W128" i="38"/>
  <c r="V128" i="38" s="1"/>
  <c r="O128" i="38"/>
  <c r="P128" i="38" s="1"/>
  <c r="Q127" i="38"/>
  <c r="W127" i="38"/>
  <c r="V127" i="38" s="1"/>
  <c r="O127" i="38"/>
  <c r="P127" i="38" s="1"/>
  <c r="Q126" i="38"/>
  <c r="W126" i="38"/>
  <c r="O126" i="38"/>
  <c r="P126" i="38" s="1"/>
  <c r="Q125" i="38"/>
  <c r="W125" i="38"/>
  <c r="V125" i="38" s="1"/>
  <c r="O125" i="38"/>
  <c r="P125" i="38"/>
  <c r="Q124" i="38"/>
  <c r="W124" i="38"/>
  <c r="V124" i="38" s="1"/>
  <c r="O124" i="38"/>
  <c r="P124" i="38" s="1"/>
  <c r="Q123" i="38"/>
  <c r="W123" i="38" s="1"/>
  <c r="O123" i="38"/>
  <c r="P123" i="38"/>
  <c r="Q122" i="38"/>
  <c r="W122" i="38" s="1"/>
  <c r="V122" i="38" s="1"/>
  <c r="O122" i="38"/>
  <c r="P122" i="38" s="1"/>
  <c r="Q121" i="38"/>
  <c r="W121" i="38"/>
  <c r="V121" i="38" s="1"/>
  <c r="O121" i="38"/>
  <c r="P121" i="38"/>
  <c r="Q120" i="38"/>
  <c r="W120" i="38"/>
  <c r="O120" i="38"/>
  <c r="P120" i="38" s="1"/>
  <c r="Q119" i="38"/>
  <c r="W119" i="38" s="1"/>
  <c r="V119" i="38" s="1"/>
  <c r="O119" i="38"/>
  <c r="P119" i="38" s="1"/>
  <c r="Q118" i="38"/>
  <c r="W118" i="38" s="1"/>
  <c r="V118" i="38" s="1"/>
  <c r="O118" i="38"/>
  <c r="P118" i="38" s="1"/>
  <c r="Q117" i="38"/>
  <c r="W117" i="38"/>
  <c r="O117" i="38"/>
  <c r="P117" i="38" s="1"/>
  <c r="Q116" i="38"/>
  <c r="W116" i="38"/>
  <c r="V116" i="38" s="1"/>
  <c r="O116" i="38"/>
  <c r="P116" i="38" s="1"/>
  <c r="Q115" i="38"/>
  <c r="W115" i="38" s="1"/>
  <c r="V115" i="38" s="1"/>
  <c r="O115" i="38"/>
  <c r="P115" i="38" s="1"/>
  <c r="Q114" i="38"/>
  <c r="W114" i="38" s="1"/>
  <c r="V114" i="38" s="1"/>
  <c r="O114" i="38"/>
  <c r="P114" i="38" s="1"/>
  <c r="Q113" i="38"/>
  <c r="W113" i="38" s="1"/>
  <c r="O113" i="38"/>
  <c r="P113" i="38"/>
  <c r="Q112" i="38"/>
  <c r="W112" i="38" s="1"/>
  <c r="V112" i="38" s="1"/>
  <c r="O112" i="38"/>
  <c r="P112" i="38" s="1"/>
  <c r="Q111" i="38"/>
  <c r="W111" i="38"/>
  <c r="V111" i="38" s="1"/>
  <c r="O111" i="38"/>
  <c r="P111" i="38" s="1"/>
  <c r="Q110" i="38"/>
  <c r="W110" i="38"/>
  <c r="V110" i="38" s="1"/>
  <c r="O110" i="38"/>
  <c r="P110" i="38" s="1"/>
  <c r="Q109" i="38"/>
  <c r="W109" i="38"/>
  <c r="V109" i="38" s="1"/>
  <c r="O109" i="38"/>
  <c r="P109" i="38"/>
  <c r="Q108" i="38"/>
  <c r="W108" i="38"/>
  <c r="V108" i="38" s="1"/>
  <c r="O108" i="38"/>
  <c r="P108" i="38" s="1"/>
  <c r="Q107" i="38"/>
  <c r="W107" i="38" s="1"/>
  <c r="V107" i="38" s="1"/>
  <c r="O107" i="38"/>
  <c r="P107" i="38"/>
  <c r="Q106" i="38"/>
  <c r="W106" i="38" s="1"/>
  <c r="V106" i="38" s="1"/>
  <c r="O106" i="38"/>
  <c r="P106" i="38" s="1"/>
  <c r="Q105" i="38"/>
  <c r="W105" i="38" s="1"/>
  <c r="V105" i="38" s="1"/>
  <c r="O105" i="38"/>
  <c r="P105" i="38"/>
  <c r="Q104" i="38"/>
  <c r="W104" i="38"/>
  <c r="V104" i="38" s="1"/>
  <c r="O104" i="38"/>
  <c r="P104" i="38" s="1"/>
  <c r="Q103" i="38"/>
  <c r="W103" i="38"/>
  <c r="V103" i="38" s="1"/>
  <c r="O103" i="38"/>
  <c r="P103" i="38" s="1"/>
  <c r="Q102" i="38"/>
  <c r="W102" i="38"/>
  <c r="V102" i="38" s="1"/>
  <c r="O102" i="38"/>
  <c r="P102" i="38" s="1"/>
  <c r="Q101" i="38"/>
  <c r="W101" i="38"/>
  <c r="O101" i="38"/>
  <c r="P101" i="38"/>
  <c r="Q100" i="38"/>
  <c r="W100" i="38"/>
  <c r="O100" i="38"/>
  <c r="P100" i="38" s="1"/>
  <c r="Q99" i="38"/>
  <c r="W99" i="38" s="1"/>
  <c r="V99" i="38" s="1"/>
  <c r="O99" i="38"/>
  <c r="P99" i="38" s="1"/>
  <c r="Q98" i="38"/>
  <c r="W98" i="38" s="1"/>
  <c r="V98" i="38" s="1"/>
  <c r="O98" i="38"/>
  <c r="P98" i="38" s="1"/>
  <c r="Q97" i="38"/>
  <c r="W97" i="38"/>
  <c r="V97" i="38" s="1"/>
  <c r="O97" i="38"/>
  <c r="P97" i="38"/>
  <c r="Q96" i="38"/>
  <c r="W96" i="38" s="1"/>
  <c r="O96" i="38"/>
  <c r="P96" i="38" s="1"/>
  <c r="Q95" i="38"/>
  <c r="W95" i="38" s="1"/>
  <c r="V95" i="38" s="1"/>
  <c r="O95" i="38"/>
  <c r="P95" i="38" s="1"/>
  <c r="Q94" i="38"/>
  <c r="W94" i="38" s="1"/>
  <c r="V94" i="38" s="1"/>
  <c r="O94" i="38"/>
  <c r="P94" i="38" s="1"/>
  <c r="Q93" i="38"/>
  <c r="W93" i="38"/>
  <c r="V93" i="38" s="1"/>
  <c r="O93" i="38"/>
  <c r="P93" i="38" s="1"/>
  <c r="Q92" i="38"/>
  <c r="W92" i="38"/>
  <c r="V92" i="38" s="1"/>
  <c r="O92" i="38"/>
  <c r="P92" i="38" s="1"/>
  <c r="Q91" i="38"/>
  <c r="W91" i="38" s="1"/>
  <c r="V91" i="38" s="1"/>
  <c r="O91" i="38"/>
  <c r="P91" i="38" s="1"/>
  <c r="Q90" i="38"/>
  <c r="W90" i="38" s="1"/>
  <c r="V90" i="38" s="1"/>
  <c r="O90" i="38"/>
  <c r="P90" i="38" s="1"/>
  <c r="Q89" i="38"/>
  <c r="W89" i="38" s="1"/>
  <c r="V89" i="38" s="1"/>
  <c r="O89" i="38"/>
  <c r="P89" i="38"/>
  <c r="Q88" i="38"/>
  <c r="W88" i="38"/>
  <c r="V88" i="38" s="1"/>
  <c r="O88" i="38"/>
  <c r="P88" i="38" s="1"/>
  <c r="Q87" i="38"/>
  <c r="W87" i="38"/>
  <c r="V87" i="38" s="1"/>
  <c r="O87" i="38"/>
  <c r="P87" i="38" s="1"/>
  <c r="Q86" i="38"/>
  <c r="W86" i="38"/>
  <c r="V86" i="38" s="1"/>
  <c r="O86" i="38"/>
  <c r="P86" i="38" s="1"/>
  <c r="Q85" i="38"/>
  <c r="W85" i="38"/>
  <c r="V85" i="38" s="1"/>
  <c r="O85" i="38"/>
  <c r="P85" i="38"/>
  <c r="Q84" i="38"/>
  <c r="W84" i="38"/>
  <c r="O84" i="38"/>
  <c r="P84" i="38" s="1"/>
  <c r="Q83" i="38"/>
  <c r="W83" i="38" s="1"/>
  <c r="V83" i="38" s="1"/>
  <c r="O83" i="38"/>
  <c r="P83" i="38" s="1"/>
  <c r="Q82" i="38"/>
  <c r="W82" i="38" s="1"/>
  <c r="V82" i="38" s="1"/>
  <c r="O82" i="38"/>
  <c r="P82" i="38" s="1"/>
  <c r="Q81" i="38"/>
  <c r="W81" i="38" s="1"/>
  <c r="O81" i="38"/>
  <c r="P81" i="38"/>
  <c r="Q80" i="38"/>
  <c r="W80" i="38"/>
  <c r="V80" i="38" s="1"/>
  <c r="O80" i="38"/>
  <c r="P80" i="38" s="1"/>
  <c r="Q79" i="38"/>
  <c r="W79" i="38" s="1"/>
  <c r="V79" i="38" s="1"/>
  <c r="O79" i="38"/>
  <c r="P79" i="38" s="1"/>
  <c r="Q78" i="38"/>
  <c r="W78" i="38" s="1"/>
  <c r="V78" i="38" s="1"/>
  <c r="O78" i="38"/>
  <c r="P78" i="38" s="1"/>
  <c r="Q77" i="38"/>
  <c r="W77" i="38"/>
  <c r="O77" i="38"/>
  <c r="P77" i="38"/>
  <c r="Q76" i="38"/>
  <c r="W76" i="38"/>
  <c r="O76" i="38"/>
  <c r="P76" i="38" s="1"/>
  <c r="Q75" i="38"/>
  <c r="W75" i="38" s="1"/>
  <c r="P75" i="38"/>
  <c r="Q74" i="38"/>
  <c r="W74" i="38"/>
  <c r="O74" i="38"/>
  <c r="P74" i="38"/>
  <c r="Q73" i="38"/>
  <c r="W73" i="38"/>
  <c r="V73" i="38" s="1"/>
  <c r="O73" i="38"/>
  <c r="P73" i="38"/>
  <c r="Q72" i="38"/>
  <c r="W72" i="38"/>
  <c r="V72" i="38" s="1"/>
  <c r="O72" i="38"/>
  <c r="P72" i="38"/>
  <c r="Q71" i="38"/>
  <c r="W71" i="38"/>
  <c r="O71" i="38"/>
  <c r="P71" i="38"/>
  <c r="Q70" i="38"/>
  <c r="W70" i="38"/>
  <c r="V70" i="38" s="1"/>
  <c r="O70" i="38"/>
  <c r="P70" i="38"/>
  <c r="Q69" i="38"/>
  <c r="W69" i="38"/>
  <c r="O69" i="38"/>
  <c r="P69" i="38"/>
  <c r="Q68" i="38"/>
  <c r="W68" i="38"/>
  <c r="O68" i="38"/>
  <c r="P68" i="38"/>
  <c r="Q67" i="38"/>
  <c r="W67" i="38"/>
  <c r="O67" i="38"/>
  <c r="P67" i="38"/>
  <c r="Q66" i="38"/>
  <c r="W66" i="38"/>
  <c r="V66" i="38" s="1"/>
  <c r="O66" i="38"/>
  <c r="P66" i="38"/>
  <c r="Q65" i="38"/>
  <c r="W65" i="38"/>
  <c r="V65" i="38" s="1"/>
  <c r="O65" i="38"/>
  <c r="P65" i="38"/>
  <c r="Q64" i="38"/>
  <c r="W64" i="38"/>
  <c r="V64" i="38" s="1"/>
  <c r="O64" i="38"/>
  <c r="P64" i="38"/>
  <c r="Q63" i="38"/>
  <c r="W63" i="38"/>
  <c r="V63" i="38" s="1"/>
  <c r="O63" i="38"/>
  <c r="P63" i="38"/>
  <c r="Q62" i="38"/>
  <c r="W62" i="38"/>
  <c r="O62" i="38"/>
  <c r="P62" i="38"/>
  <c r="Q61" i="38"/>
  <c r="W61" i="38"/>
  <c r="O61" i="38"/>
  <c r="P61" i="38"/>
  <c r="Q60" i="38"/>
  <c r="W60" i="38"/>
  <c r="V60" i="38" s="1"/>
  <c r="O60" i="38"/>
  <c r="P60" i="38"/>
  <c r="Q59" i="38"/>
  <c r="W59" i="38"/>
  <c r="O59" i="38"/>
  <c r="P59" i="38"/>
  <c r="Q58" i="38"/>
  <c r="W58" i="38"/>
  <c r="O58" i="38"/>
  <c r="P58" i="38"/>
  <c r="Q57" i="38"/>
  <c r="W57" i="38"/>
  <c r="O57" i="38"/>
  <c r="P57" i="38"/>
  <c r="Q56" i="38"/>
  <c r="W56" i="38"/>
  <c r="O56" i="38"/>
  <c r="P56" i="38"/>
  <c r="Q55" i="38"/>
  <c r="W55" i="38"/>
  <c r="O55" i="38"/>
  <c r="P55" i="38"/>
  <c r="Q54" i="38"/>
  <c r="W54" i="38"/>
  <c r="O54" i="38"/>
  <c r="P54" i="38"/>
  <c r="Q53" i="38"/>
  <c r="W53" i="38"/>
  <c r="V53" i="38" s="1"/>
  <c r="O53" i="38"/>
  <c r="P53" i="38"/>
  <c r="Q52" i="38"/>
  <c r="W52" i="38"/>
  <c r="V52" i="38" s="1"/>
  <c r="O52" i="38"/>
  <c r="P52" i="38"/>
  <c r="Q51" i="38"/>
  <c r="W51" i="38"/>
  <c r="O51" i="38"/>
  <c r="P51" i="38"/>
  <c r="Q50" i="38"/>
  <c r="W50" i="38"/>
  <c r="O50" i="38"/>
  <c r="P50" i="38"/>
  <c r="Q49" i="38"/>
  <c r="W49" i="38"/>
  <c r="O49" i="38"/>
  <c r="P49" i="38"/>
  <c r="Q48" i="38"/>
  <c r="W48" i="38"/>
  <c r="V48" i="38" s="1"/>
  <c r="O48" i="38"/>
  <c r="P48" i="38"/>
  <c r="Q47" i="38"/>
  <c r="W47" i="38"/>
  <c r="V47" i="38" s="1"/>
  <c r="O47" i="38"/>
  <c r="P47" i="38"/>
  <c r="Q46" i="38"/>
  <c r="W46" i="38"/>
  <c r="V46" i="38" s="1"/>
  <c r="O46" i="38"/>
  <c r="P46" i="38"/>
  <c r="Q45" i="38"/>
  <c r="W45" i="38"/>
  <c r="V45" i="38" s="1"/>
  <c r="O45" i="38"/>
  <c r="P45" i="38"/>
  <c r="Q44" i="38"/>
  <c r="W44" i="38"/>
  <c r="O44" i="38"/>
  <c r="P44" i="38"/>
  <c r="Q43" i="38"/>
  <c r="W43" i="38"/>
  <c r="O43" i="38"/>
  <c r="P43" i="38"/>
  <c r="Q42" i="38"/>
  <c r="W42" i="38"/>
  <c r="O42" i="38"/>
  <c r="P42" i="38"/>
  <c r="Q41" i="38"/>
  <c r="W41" i="38"/>
  <c r="O41" i="38"/>
  <c r="P41" i="38"/>
  <c r="Q40" i="38"/>
  <c r="W40" i="38"/>
  <c r="V40" i="38" s="1"/>
  <c r="O40" i="38"/>
  <c r="P40" i="38"/>
  <c r="Q39" i="38"/>
  <c r="W39" i="38"/>
  <c r="V39" i="38" s="1"/>
  <c r="O39" i="38"/>
  <c r="P39" i="38"/>
  <c r="Q38" i="38"/>
  <c r="W38" i="38"/>
  <c r="O38" i="38"/>
  <c r="P38" i="38"/>
  <c r="Q37" i="38"/>
  <c r="W37" i="38"/>
  <c r="O37" i="38"/>
  <c r="P37" i="38"/>
  <c r="Q36" i="38"/>
  <c r="W36" i="38"/>
  <c r="O36" i="38"/>
  <c r="P36" i="38"/>
  <c r="Q35" i="38"/>
  <c r="W35" i="38"/>
  <c r="O35" i="38"/>
  <c r="P35" i="38"/>
  <c r="Q34" i="38"/>
  <c r="W34" i="38"/>
  <c r="O34" i="38"/>
  <c r="P34" i="38"/>
  <c r="Q33" i="38"/>
  <c r="W33" i="38"/>
  <c r="V33" i="38" s="1"/>
  <c r="O33" i="38"/>
  <c r="P33" i="38"/>
  <c r="Q32" i="38"/>
  <c r="W32" i="38"/>
  <c r="V32" i="38" s="1"/>
  <c r="O32" i="38"/>
  <c r="P32" i="38"/>
  <c r="Q31" i="38"/>
  <c r="W31" i="38"/>
  <c r="V31" i="38" s="1"/>
  <c r="O31" i="38"/>
  <c r="P31" i="38"/>
  <c r="Q30" i="38"/>
  <c r="W30" i="38"/>
  <c r="V30" i="38" s="1"/>
  <c r="O30" i="38"/>
  <c r="P30" i="38"/>
  <c r="Q29" i="38"/>
  <c r="W29" i="38"/>
  <c r="O29" i="38"/>
  <c r="P29" i="38"/>
  <c r="Q28" i="38"/>
  <c r="W28" i="38"/>
  <c r="V28" i="38" s="1"/>
  <c r="O28" i="38"/>
  <c r="P28" i="38"/>
  <c r="Q27" i="38"/>
  <c r="W27" i="38"/>
  <c r="O27" i="38"/>
  <c r="P27" i="38"/>
  <c r="Q26" i="38"/>
  <c r="W26" i="38"/>
  <c r="O26" i="38"/>
  <c r="P26" i="38"/>
  <c r="Q25" i="38"/>
  <c r="W25" i="38"/>
  <c r="O25" i="38"/>
  <c r="P25" i="38"/>
  <c r="Q24" i="38"/>
  <c r="W24" i="38"/>
  <c r="O24" i="38"/>
  <c r="P24" i="38"/>
  <c r="Q23" i="38"/>
  <c r="W23" i="38"/>
  <c r="O23" i="38"/>
  <c r="P23" i="38"/>
  <c r="Q22" i="38"/>
  <c r="W22" i="38"/>
  <c r="V22" i="38" s="1"/>
  <c r="O22" i="38"/>
  <c r="P22" i="38"/>
  <c r="Q21" i="38"/>
  <c r="W21" i="38"/>
  <c r="O21" i="38"/>
  <c r="P21" i="38"/>
  <c r="Q20" i="38"/>
  <c r="W20" i="38"/>
  <c r="V20" i="38" s="1"/>
  <c r="O20" i="38"/>
  <c r="P20" i="38"/>
  <c r="Q19" i="38"/>
  <c r="W19" i="38"/>
  <c r="O19" i="38"/>
  <c r="P19" i="38"/>
  <c r="Q18" i="38"/>
  <c r="W18" i="38"/>
  <c r="O18" i="38"/>
  <c r="P18" i="38"/>
  <c r="Q17" i="38"/>
  <c r="W17" i="38"/>
  <c r="V17" i="38" s="1"/>
  <c r="O17" i="38"/>
  <c r="P17" i="38"/>
  <c r="Q16" i="38"/>
  <c r="W16" i="38"/>
  <c r="V16" i="38" s="1"/>
  <c r="O16" i="38"/>
  <c r="P16" i="38"/>
  <c r="Q15" i="38"/>
  <c r="W15" i="38"/>
  <c r="V15" i="38" s="1"/>
  <c r="O15" i="38"/>
  <c r="P15" i="38"/>
  <c r="Q14" i="38"/>
  <c r="W14" i="38"/>
  <c r="V14" i="38" s="1"/>
  <c r="O14" i="38"/>
  <c r="P14" i="38"/>
  <c r="Q13" i="38"/>
  <c r="W13" i="38"/>
  <c r="O13" i="38"/>
  <c r="P13" i="38"/>
  <c r="Q12" i="38"/>
  <c r="W12" i="38"/>
  <c r="O12" i="38"/>
  <c r="P12" i="38"/>
  <c r="Q11" i="38"/>
  <c r="W11" i="38"/>
  <c r="V11" i="38" s="1"/>
  <c r="O11" i="38"/>
  <c r="P11" i="38"/>
  <c r="Q10" i="38"/>
  <c r="W10" i="38"/>
  <c r="V10" i="38" s="1"/>
  <c r="O10" i="38"/>
  <c r="P10" i="38"/>
  <c r="Q9" i="38"/>
  <c r="W9" i="38"/>
  <c r="O9" i="38"/>
  <c r="P9" i="38"/>
  <c r="Q8" i="38"/>
  <c r="W8" i="38"/>
  <c r="O8" i="38"/>
  <c r="P8" i="38"/>
  <c r="Q7" i="38"/>
  <c r="W7" i="38"/>
  <c r="O7" i="38"/>
  <c r="P7" i="38"/>
  <c r="V44" i="38"/>
  <c r="V68" i="38"/>
  <c r="V134" i="38"/>
  <c r="V18" i="38"/>
  <c r="V69" i="38"/>
  <c r="V100" i="38"/>
  <c r="V123" i="38"/>
  <c r="V147" i="38"/>
  <c r="V159" i="38"/>
  <c r="V163" i="38"/>
  <c r="V13" i="38"/>
  <c r="V76" i="38"/>
  <c r="V150" i="38"/>
  <c r="V38" i="38"/>
  <c r="V54" i="38"/>
  <c r="V7" i="38"/>
  <c r="V19" i="38"/>
  <c r="V58" i="38"/>
  <c r="V62" i="38"/>
  <c r="V74" i="38"/>
  <c r="V101" i="38"/>
  <c r="V120" i="38"/>
  <c r="V152" i="38"/>
  <c r="V168" i="38"/>
  <c r="V9" i="38"/>
  <c r="V57" i="38"/>
  <c r="V42" i="38"/>
  <c r="V27" i="38"/>
  <c r="V35" i="38"/>
  <c r="V43" i="38"/>
  <c r="V51" i="38"/>
  <c r="V154" i="38"/>
  <c r="V61" i="38"/>
  <c r="V8" i="38"/>
  <c r="V12" i="38"/>
  <c r="V59" i="38"/>
  <c r="V71" i="38"/>
  <c r="V117" i="38"/>
  <c r="V137" i="38"/>
  <c r="V149" i="38"/>
  <c r="V157" i="38"/>
  <c r="V36" i="38"/>
  <c r="V56" i="38"/>
  <c r="V84" i="38"/>
  <c r="V25" i="38"/>
  <c r="V29" i="38"/>
  <c r="V41" i="38"/>
  <c r="V49" i="38"/>
  <c r="V96" i="38"/>
  <c r="AI88" i="38"/>
  <c r="V136" i="38"/>
  <c r="V129" i="38"/>
  <c r="V141" i="38"/>
  <c r="AI37" i="38"/>
  <c r="AI23" i="38"/>
  <c r="V23" i="38"/>
  <c r="AI55" i="38"/>
  <c r="V55" i="38"/>
  <c r="V126" i="38"/>
  <c r="AI67" i="38"/>
  <c r="V67" i="38"/>
  <c r="AI75" i="38"/>
  <c r="Q169" i="37"/>
  <c r="W169" i="37"/>
  <c r="O169" i="37"/>
  <c r="P169" i="37" s="1"/>
  <c r="Q168" i="37"/>
  <c r="W168" i="37" s="1"/>
  <c r="O168" i="37"/>
  <c r="P168" i="37"/>
  <c r="Q167" i="37"/>
  <c r="W167" i="37"/>
  <c r="V167" i="37" s="1"/>
  <c r="O167" i="37"/>
  <c r="P167" i="37" s="1"/>
  <c r="Q166" i="37"/>
  <c r="W166" i="37"/>
  <c r="O166" i="37"/>
  <c r="P166" i="37"/>
  <c r="Q165" i="37"/>
  <c r="W165" i="37"/>
  <c r="O165" i="37"/>
  <c r="P165" i="37" s="1"/>
  <c r="Q164" i="37"/>
  <c r="W164" i="37" s="1"/>
  <c r="V164" i="37" s="1"/>
  <c r="O164" i="37"/>
  <c r="P164" i="37" s="1"/>
  <c r="Q163" i="37"/>
  <c r="W163" i="37"/>
  <c r="AI163" i="37" s="1"/>
  <c r="O163" i="37"/>
  <c r="P163" i="37" s="1"/>
  <c r="Q162" i="37"/>
  <c r="W162" i="37" s="1"/>
  <c r="O162" i="37"/>
  <c r="P162" i="37"/>
  <c r="Q161" i="37"/>
  <c r="W161" i="37"/>
  <c r="O161" i="37"/>
  <c r="P161" i="37" s="1"/>
  <c r="Q160" i="37"/>
  <c r="W160" i="37"/>
  <c r="V160" i="37" s="1"/>
  <c r="O160" i="37"/>
  <c r="P160" i="37" s="1"/>
  <c r="Q159" i="37"/>
  <c r="W159" i="37"/>
  <c r="O159" i="37"/>
  <c r="P159" i="37" s="1"/>
  <c r="Q158" i="37"/>
  <c r="W158" i="37" s="1"/>
  <c r="O158" i="37"/>
  <c r="P158" i="37" s="1"/>
  <c r="Q157" i="37"/>
  <c r="W157" i="37"/>
  <c r="O157" i="37"/>
  <c r="P157" i="37" s="1"/>
  <c r="Q156" i="37"/>
  <c r="W156" i="37"/>
  <c r="V156" i="37" s="1"/>
  <c r="O156" i="37"/>
  <c r="P156" i="37"/>
  <c r="Q155" i="37"/>
  <c r="W155" i="37"/>
  <c r="V155" i="37" s="1"/>
  <c r="O155" i="37"/>
  <c r="P155" i="37" s="1"/>
  <c r="Q154" i="37"/>
  <c r="W154" i="37"/>
  <c r="O154" i="37"/>
  <c r="P154" i="37" s="1"/>
  <c r="Q153" i="37"/>
  <c r="W153" i="37"/>
  <c r="O153" i="37"/>
  <c r="P153" i="37" s="1"/>
  <c r="Q152" i="37"/>
  <c r="W152" i="37" s="1"/>
  <c r="O152" i="37"/>
  <c r="P152" i="37"/>
  <c r="Q151" i="37"/>
  <c r="W151" i="37"/>
  <c r="V151" i="37" s="1"/>
  <c r="O151" i="37"/>
  <c r="P151" i="37" s="1"/>
  <c r="Q150" i="37"/>
  <c r="W150" i="37"/>
  <c r="O150" i="37"/>
  <c r="P150" i="37"/>
  <c r="Q149" i="37"/>
  <c r="W149" i="37"/>
  <c r="O149" i="37"/>
  <c r="P149" i="37" s="1"/>
  <c r="Q148" i="37"/>
  <c r="W148" i="37" s="1"/>
  <c r="V148" i="37" s="1"/>
  <c r="O148" i="37"/>
  <c r="P148" i="37" s="1"/>
  <c r="Q147" i="37"/>
  <c r="W147" i="37"/>
  <c r="V147" i="37" s="1"/>
  <c r="O147" i="37"/>
  <c r="P147" i="37" s="1"/>
  <c r="Q146" i="37"/>
  <c r="W146" i="37" s="1"/>
  <c r="V146" i="37" s="1"/>
  <c r="O146" i="37"/>
  <c r="P146" i="37"/>
  <c r="Q145" i="37"/>
  <c r="W145" i="37"/>
  <c r="O145" i="37"/>
  <c r="P145" i="37" s="1"/>
  <c r="Q144" i="37"/>
  <c r="W144" i="37"/>
  <c r="V144" i="37" s="1"/>
  <c r="O144" i="37"/>
  <c r="P144" i="37" s="1"/>
  <c r="Q143" i="37"/>
  <c r="W143" i="37"/>
  <c r="O143" i="37"/>
  <c r="P143" i="37" s="1"/>
  <c r="Q142" i="37"/>
  <c r="W142" i="37" s="1"/>
  <c r="V142" i="37"/>
  <c r="O142" i="37"/>
  <c r="P142" i="37"/>
  <c r="Q141" i="37"/>
  <c r="W141" i="37" s="1"/>
  <c r="V141" i="37"/>
  <c r="O141" i="37"/>
  <c r="P141" i="37"/>
  <c r="Q140" i="37"/>
  <c r="W140" i="37"/>
  <c r="O140" i="37"/>
  <c r="P140" i="37" s="1"/>
  <c r="Q139" i="37"/>
  <c r="W139" i="37"/>
  <c r="V139" i="37"/>
  <c r="O139" i="37"/>
  <c r="P139" i="37"/>
  <c r="Q138" i="37"/>
  <c r="W138" i="37" s="1"/>
  <c r="O138" i="37"/>
  <c r="P138" i="37" s="1"/>
  <c r="Q137" i="37"/>
  <c r="W137" i="37"/>
  <c r="O137" i="37"/>
  <c r="P137" i="37"/>
  <c r="Q136" i="37"/>
  <c r="W136" i="37"/>
  <c r="O136" i="37"/>
  <c r="P136" i="37" s="1"/>
  <c r="Q135" i="37"/>
  <c r="W135" i="37"/>
  <c r="O135" i="37"/>
  <c r="P135" i="37"/>
  <c r="Q134" i="37"/>
  <c r="W134" i="37"/>
  <c r="V134" i="37"/>
  <c r="O134" i="37"/>
  <c r="P134" i="37"/>
  <c r="Q133" i="37"/>
  <c r="W133" i="37"/>
  <c r="O133" i="37"/>
  <c r="P133" i="37"/>
  <c r="Q132" i="37"/>
  <c r="W132" i="37" s="1"/>
  <c r="O132" i="37"/>
  <c r="P132" i="37"/>
  <c r="Q131" i="37"/>
  <c r="W131" i="37"/>
  <c r="V131" i="37" s="1"/>
  <c r="O131" i="37"/>
  <c r="P131" i="37"/>
  <c r="Q130" i="37"/>
  <c r="W130" i="37" s="1"/>
  <c r="O130" i="37"/>
  <c r="P130" i="37"/>
  <c r="Q129" i="37"/>
  <c r="W129" i="37" s="1"/>
  <c r="O129" i="37"/>
  <c r="P129" i="37"/>
  <c r="Q128" i="37"/>
  <c r="W128" i="37"/>
  <c r="V128" i="37" s="1"/>
  <c r="O128" i="37"/>
  <c r="P128" i="37" s="1"/>
  <c r="Q127" i="37"/>
  <c r="W127" i="37" s="1"/>
  <c r="O127" i="37"/>
  <c r="P127" i="37" s="1"/>
  <c r="Q126" i="37"/>
  <c r="W126" i="37"/>
  <c r="O126" i="37"/>
  <c r="P126" i="37"/>
  <c r="Q125" i="37"/>
  <c r="W125" i="37"/>
  <c r="V125" i="37" s="1"/>
  <c r="O125" i="37"/>
  <c r="P125" i="37" s="1"/>
  <c r="Q124" i="37"/>
  <c r="W124" i="37"/>
  <c r="O124" i="37"/>
  <c r="P124" i="37"/>
  <c r="Q123" i="37"/>
  <c r="W123" i="37" s="1"/>
  <c r="V123" i="37" s="1"/>
  <c r="O123" i="37"/>
  <c r="P123" i="37"/>
  <c r="Q122" i="37"/>
  <c r="W122" i="37"/>
  <c r="V122" i="37" s="1"/>
  <c r="O122" i="37"/>
  <c r="P122" i="37" s="1"/>
  <c r="Q121" i="37"/>
  <c r="W121" i="37" s="1"/>
  <c r="O121" i="37"/>
  <c r="P121" i="37"/>
  <c r="Q120" i="37"/>
  <c r="W120" i="37"/>
  <c r="O120" i="37"/>
  <c r="P120" i="37" s="1"/>
  <c r="Q119" i="37"/>
  <c r="W119" i="37" s="1"/>
  <c r="V119" i="37" s="1"/>
  <c r="O119" i="37"/>
  <c r="P119" i="37"/>
  <c r="Q118" i="37"/>
  <c r="W118" i="37"/>
  <c r="V118" i="37" s="1"/>
  <c r="O118" i="37"/>
  <c r="P118" i="37" s="1"/>
  <c r="Q117" i="37"/>
  <c r="W117" i="37"/>
  <c r="O117" i="37"/>
  <c r="P117" i="37"/>
  <c r="Q116" i="37"/>
  <c r="W116" i="37"/>
  <c r="O116" i="37"/>
  <c r="P116" i="37" s="1"/>
  <c r="Q115" i="37"/>
  <c r="W115" i="37" s="1"/>
  <c r="O115" i="37"/>
  <c r="P115" i="37"/>
  <c r="Q114" i="37"/>
  <c r="W114" i="37"/>
  <c r="O114" i="37"/>
  <c r="P114" i="37" s="1"/>
  <c r="Q113" i="37"/>
  <c r="W113" i="37"/>
  <c r="O113" i="37"/>
  <c r="P113" i="37"/>
  <c r="Q112" i="37"/>
  <c r="W112" i="37"/>
  <c r="O112" i="37"/>
  <c r="P112" i="37" s="1"/>
  <c r="Q111" i="37"/>
  <c r="W111" i="37"/>
  <c r="V111" i="37" s="1"/>
  <c r="O111" i="37"/>
  <c r="P111" i="37"/>
  <c r="Q110" i="37"/>
  <c r="W110" i="37"/>
  <c r="V110" i="37" s="1"/>
  <c r="O110" i="37"/>
  <c r="P110" i="37" s="1"/>
  <c r="Q109" i="37"/>
  <c r="W109" i="37" s="1"/>
  <c r="O109" i="37"/>
  <c r="P109" i="37"/>
  <c r="Q108" i="37"/>
  <c r="W108" i="37"/>
  <c r="V108" i="37" s="1"/>
  <c r="O108" i="37"/>
  <c r="P108" i="37" s="1"/>
  <c r="Q107" i="37"/>
  <c r="W107" i="37"/>
  <c r="O107" i="37"/>
  <c r="P107" i="37"/>
  <c r="Q106" i="37"/>
  <c r="W106" i="37"/>
  <c r="O106" i="37"/>
  <c r="P106" i="37" s="1"/>
  <c r="Q105" i="37"/>
  <c r="W105" i="37" s="1"/>
  <c r="V105" i="37" s="1"/>
  <c r="O105" i="37"/>
  <c r="P105" i="37"/>
  <c r="Q104" i="37"/>
  <c r="W104" i="37"/>
  <c r="O104" i="37"/>
  <c r="P104" i="37" s="1"/>
  <c r="Q103" i="37"/>
  <c r="W103" i="37" s="1"/>
  <c r="V103" i="37" s="1"/>
  <c r="O103" i="37"/>
  <c r="P103" i="37"/>
  <c r="Q102" i="37"/>
  <c r="W102" i="37"/>
  <c r="O102" i="37"/>
  <c r="P102" i="37" s="1"/>
  <c r="Q101" i="37"/>
  <c r="W101" i="37"/>
  <c r="V101" i="37" s="1"/>
  <c r="O101" i="37"/>
  <c r="P101" i="37"/>
  <c r="Q100" i="37"/>
  <c r="W100" i="37"/>
  <c r="O100" i="37"/>
  <c r="P100" i="37" s="1"/>
  <c r="Q99" i="37"/>
  <c r="W99" i="37" s="1"/>
  <c r="V99" i="37" s="1"/>
  <c r="O99" i="37"/>
  <c r="P99" i="37"/>
  <c r="Q98" i="37"/>
  <c r="W98" i="37"/>
  <c r="O98" i="37"/>
  <c r="P98" i="37" s="1"/>
  <c r="Q97" i="37"/>
  <c r="W97" i="37"/>
  <c r="O97" i="37"/>
  <c r="P97" i="37"/>
  <c r="Q96" i="37"/>
  <c r="W96" i="37"/>
  <c r="O96" i="37"/>
  <c r="P96" i="37" s="1"/>
  <c r="Q95" i="37"/>
  <c r="W95" i="37"/>
  <c r="O95" i="37"/>
  <c r="P95" i="37"/>
  <c r="Q94" i="37"/>
  <c r="W94" i="37"/>
  <c r="AI94" i="37" s="1"/>
  <c r="O94" i="37"/>
  <c r="P94" i="37" s="1"/>
  <c r="Q93" i="37"/>
  <c r="W93" i="37" s="1"/>
  <c r="V93" i="37" s="1"/>
  <c r="O93" i="37"/>
  <c r="P93" i="37"/>
  <c r="Q92" i="37"/>
  <c r="W92" i="37"/>
  <c r="V92" i="37" s="1"/>
  <c r="O92" i="37"/>
  <c r="P92" i="37" s="1"/>
  <c r="Q91" i="37"/>
  <c r="W91" i="37"/>
  <c r="V91" i="37" s="1"/>
  <c r="O91" i="37"/>
  <c r="P91" i="37"/>
  <c r="Q90" i="37"/>
  <c r="W90" i="37"/>
  <c r="O90" i="37"/>
  <c r="P90" i="37" s="1"/>
  <c r="Q89" i="37"/>
  <c r="W89" i="37" s="1"/>
  <c r="V89" i="37" s="1"/>
  <c r="O89" i="37"/>
  <c r="P89" i="37"/>
  <c r="Q88" i="37"/>
  <c r="W88" i="37"/>
  <c r="V88" i="37" s="1"/>
  <c r="O88" i="37"/>
  <c r="P88" i="37" s="1"/>
  <c r="Q87" i="37"/>
  <c r="W87" i="37" s="1"/>
  <c r="V87" i="37" s="1"/>
  <c r="O87" i="37"/>
  <c r="P87" i="37"/>
  <c r="Q86" i="37"/>
  <c r="W86" i="37"/>
  <c r="O86" i="37"/>
  <c r="P86" i="37" s="1"/>
  <c r="Q85" i="37"/>
  <c r="W85" i="37"/>
  <c r="O85" i="37"/>
  <c r="P85" i="37"/>
  <c r="Q84" i="37"/>
  <c r="W84" i="37"/>
  <c r="V84" i="37" s="1"/>
  <c r="O84" i="37"/>
  <c r="P84" i="37" s="1"/>
  <c r="Q82" i="37"/>
  <c r="W82" i="37" s="1"/>
  <c r="AI82" i="37" s="1"/>
  <c r="O82" i="37"/>
  <c r="P82" i="37"/>
  <c r="Q81" i="37"/>
  <c r="W81" i="37"/>
  <c r="V81" i="37" s="1"/>
  <c r="O81" i="37"/>
  <c r="P81" i="37" s="1"/>
  <c r="Q80" i="37"/>
  <c r="W80" i="37"/>
  <c r="O80" i="37"/>
  <c r="P80" i="37"/>
  <c r="Q79" i="37"/>
  <c r="W79" i="37"/>
  <c r="O79" i="37"/>
  <c r="P79" i="37" s="1"/>
  <c r="Q78" i="37"/>
  <c r="W78" i="37"/>
  <c r="O78" i="37"/>
  <c r="P78" i="37"/>
  <c r="Q77" i="37"/>
  <c r="W77" i="37"/>
  <c r="O77" i="37"/>
  <c r="P77" i="37" s="1"/>
  <c r="Q76" i="37"/>
  <c r="W76" i="37" s="1"/>
  <c r="V76" i="37" s="1"/>
  <c r="O76" i="37"/>
  <c r="P76" i="37"/>
  <c r="Q75" i="37"/>
  <c r="W75" i="37"/>
  <c r="O75" i="37"/>
  <c r="P75" i="37" s="1"/>
  <c r="Q74" i="37"/>
  <c r="W74" i="37"/>
  <c r="O74" i="37"/>
  <c r="P74" i="37"/>
  <c r="Q73" i="37"/>
  <c r="W73" i="37"/>
  <c r="O73" i="37"/>
  <c r="P73" i="37" s="1"/>
  <c r="Q72" i="37"/>
  <c r="W72" i="37" s="1"/>
  <c r="O72" i="37"/>
  <c r="P72" i="37"/>
  <c r="Q71" i="37"/>
  <c r="W71" i="37"/>
  <c r="V71" i="37" s="1"/>
  <c r="O71" i="37"/>
  <c r="P71" i="37" s="1"/>
  <c r="Q70" i="37"/>
  <c r="W70" i="37" s="1"/>
  <c r="V70" i="37" s="1"/>
  <c r="O70" i="37"/>
  <c r="P70" i="37"/>
  <c r="Q69" i="37"/>
  <c r="W69" i="37"/>
  <c r="O69" i="37"/>
  <c r="P69" i="37" s="1"/>
  <c r="Q68" i="37"/>
  <c r="W68" i="37"/>
  <c r="O68" i="37"/>
  <c r="P68" i="37"/>
  <c r="Q67" i="37"/>
  <c r="W67" i="37"/>
  <c r="V67" i="37" s="1"/>
  <c r="O67" i="37"/>
  <c r="P67" i="37" s="1"/>
  <c r="Q66" i="37"/>
  <c r="W66" i="37" s="1"/>
  <c r="V66" i="37" s="1"/>
  <c r="O66" i="37"/>
  <c r="P66" i="37"/>
  <c r="Q65" i="37"/>
  <c r="W65" i="37"/>
  <c r="O65" i="37"/>
  <c r="P65" i="37" s="1"/>
  <c r="Q64" i="37"/>
  <c r="W64" i="37"/>
  <c r="V64" i="37" s="1"/>
  <c r="O64" i="37"/>
  <c r="P64" i="37"/>
  <c r="Q63" i="37"/>
  <c r="W63" i="37"/>
  <c r="O63" i="37"/>
  <c r="P63" i="37" s="1"/>
  <c r="Q62" i="37"/>
  <c r="W62" i="37"/>
  <c r="V62" i="37" s="1"/>
  <c r="O62" i="37"/>
  <c r="P62" i="37"/>
  <c r="Q61" i="37"/>
  <c r="W61" i="37"/>
  <c r="O61" i="37"/>
  <c r="P61" i="37" s="1"/>
  <c r="Q60" i="37"/>
  <c r="W60" i="37" s="1"/>
  <c r="O60" i="37"/>
  <c r="P60" i="37"/>
  <c r="Q59" i="37"/>
  <c r="W59" i="37"/>
  <c r="V59" i="37" s="1"/>
  <c r="O59" i="37"/>
  <c r="P59" i="37" s="1"/>
  <c r="Q58" i="37"/>
  <c r="W58" i="37"/>
  <c r="O58" i="37"/>
  <c r="P58" i="37"/>
  <c r="Q57" i="37"/>
  <c r="W57" i="37"/>
  <c r="V57" i="37" s="1"/>
  <c r="O57" i="37"/>
  <c r="P57" i="37" s="1"/>
  <c r="Q56" i="37"/>
  <c r="W56" i="37" s="1"/>
  <c r="V56" i="37" s="1"/>
  <c r="O56" i="37"/>
  <c r="P56" i="37"/>
  <c r="Q55" i="37"/>
  <c r="W55" i="37"/>
  <c r="V55" i="37" s="1"/>
  <c r="O55" i="37"/>
  <c r="P55" i="37" s="1"/>
  <c r="Q54" i="37"/>
  <c r="W54" i="37" s="1"/>
  <c r="O54" i="37"/>
  <c r="P54" i="37"/>
  <c r="Q53" i="37"/>
  <c r="W53" i="37"/>
  <c r="O53" i="37"/>
  <c r="P53" i="37" s="1"/>
  <c r="Q52" i="37"/>
  <c r="W52" i="37"/>
  <c r="O52" i="37"/>
  <c r="P52" i="37"/>
  <c r="Q51" i="37"/>
  <c r="W51" i="37"/>
  <c r="O51" i="37"/>
  <c r="P51" i="37" s="1"/>
  <c r="Q50" i="37"/>
  <c r="W50" i="37" s="1"/>
  <c r="O50" i="37"/>
  <c r="P50" i="37"/>
  <c r="Q49" i="37"/>
  <c r="W49" i="37"/>
  <c r="V49" i="37" s="1"/>
  <c r="O49" i="37"/>
  <c r="P49" i="37" s="1"/>
  <c r="Q48" i="37"/>
  <c r="W48" i="37"/>
  <c r="O48" i="37"/>
  <c r="P48" i="37"/>
  <c r="Q47" i="37"/>
  <c r="W47" i="37"/>
  <c r="V47" i="37" s="1"/>
  <c r="O47" i="37"/>
  <c r="P47" i="37" s="1"/>
  <c r="Q46" i="37"/>
  <c r="W46" i="37"/>
  <c r="O46" i="37"/>
  <c r="P46" i="37"/>
  <c r="Q45" i="37"/>
  <c r="W45" i="37"/>
  <c r="O45" i="37"/>
  <c r="P45" i="37" s="1"/>
  <c r="Q44" i="37"/>
  <c r="W44" i="37" s="1"/>
  <c r="V44" i="37" s="1"/>
  <c r="O44" i="37"/>
  <c r="P44" i="37"/>
  <c r="Q43" i="37"/>
  <c r="W43" i="37"/>
  <c r="V43" i="37" s="1"/>
  <c r="O43" i="37"/>
  <c r="P43" i="37" s="1"/>
  <c r="Q42" i="37"/>
  <c r="W42" i="37"/>
  <c r="O42" i="37"/>
  <c r="P42" i="37"/>
  <c r="Q41" i="37"/>
  <c r="W41" i="37"/>
  <c r="V41" i="37" s="1"/>
  <c r="O41" i="37"/>
  <c r="P41" i="37" s="1"/>
  <c r="Q40" i="37"/>
  <c r="W40" i="37" s="1"/>
  <c r="V40" i="37" s="1"/>
  <c r="O40" i="37"/>
  <c r="P40" i="37"/>
  <c r="Q39" i="37"/>
  <c r="W39" i="37"/>
  <c r="V39" i="37" s="1"/>
  <c r="O39" i="37"/>
  <c r="P39" i="37" s="1"/>
  <c r="Q38" i="37"/>
  <c r="W38" i="37" s="1"/>
  <c r="V38" i="37" s="1"/>
  <c r="O38" i="37"/>
  <c r="P38" i="37"/>
  <c r="Q37" i="37"/>
  <c r="W37" i="37"/>
  <c r="O37" i="37"/>
  <c r="P37" i="37" s="1"/>
  <c r="Q36" i="37"/>
  <c r="W36" i="37"/>
  <c r="V36" i="37" s="1"/>
  <c r="O36" i="37"/>
  <c r="P36" i="37"/>
  <c r="Q34" i="37"/>
  <c r="W34" i="37"/>
  <c r="O34" i="37"/>
  <c r="P34" i="37" s="1"/>
  <c r="Q33" i="37"/>
  <c r="W33" i="37" s="1"/>
  <c r="V33" i="37" s="1"/>
  <c r="O33" i="37"/>
  <c r="P33" i="37"/>
  <c r="Q32" i="37"/>
  <c r="W32" i="37"/>
  <c r="O32" i="37"/>
  <c r="P32" i="37" s="1"/>
  <c r="Q31" i="37"/>
  <c r="W31" i="37"/>
  <c r="V31" i="37" s="1"/>
  <c r="O31" i="37"/>
  <c r="P31" i="37"/>
  <c r="Q30" i="37"/>
  <c r="W30" i="37"/>
  <c r="O30" i="37"/>
  <c r="P30" i="37" s="1"/>
  <c r="Q29" i="37"/>
  <c r="W29" i="37"/>
  <c r="V29" i="37" s="1"/>
  <c r="O29" i="37"/>
  <c r="P29" i="37"/>
  <c r="Q28" i="37"/>
  <c r="W28" i="37"/>
  <c r="V28" i="37" s="1"/>
  <c r="O28" i="37"/>
  <c r="P28" i="37" s="1"/>
  <c r="Q27" i="37"/>
  <c r="W27" i="37" s="1"/>
  <c r="O27" i="37"/>
  <c r="P27" i="37"/>
  <c r="Q26" i="37"/>
  <c r="W26" i="37"/>
  <c r="O26" i="37"/>
  <c r="P26" i="37" s="1"/>
  <c r="Q25" i="37"/>
  <c r="W25" i="37"/>
  <c r="AI25" i="37" s="1"/>
  <c r="O25" i="37"/>
  <c r="P25" i="37"/>
  <c r="Q24" i="37"/>
  <c r="W24" i="37"/>
  <c r="O24" i="37"/>
  <c r="P24" i="37" s="1"/>
  <c r="Q23" i="37"/>
  <c r="W23" i="37" s="1"/>
  <c r="AI23" i="37" s="1"/>
  <c r="O23" i="37"/>
  <c r="P23" i="37"/>
  <c r="Q22" i="37"/>
  <c r="W22" i="37"/>
  <c r="O22" i="37"/>
  <c r="P22" i="37" s="1"/>
  <c r="Q21" i="37"/>
  <c r="W21" i="37" s="1"/>
  <c r="V21" i="37" s="1"/>
  <c r="O21" i="37"/>
  <c r="P21" i="37"/>
  <c r="Q20" i="37"/>
  <c r="W20" i="37"/>
  <c r="V20" i="37" s="1"/>
  <c r="O20" i="37"/>
  <c r="P20" i="37" s="1"/>
  <c r="Q19" i="37"/>
  <c r="W19" i="37"/>
  <c r="V19" i="37" s="1"/>
  <c r="O19" i="37"/>
  <c r="P19" i="37"/>
  <c r="Q18" i="37"/>
  <c r="W18" i="37"/>
  <c r="O18" i="37"/>
  <c r="P18" i="37" s="1"/>
  <c r="Q17" i="37"/>
  <c r="W17" i="37" s="1"/>
  <c r="V17" i="37" s="1"/>
  <c r="O17" i="37"/>
  <c r="P17" i="37"/>
  <c r="Q16" i="37"/>
  <c r="W16" i="37"/>
  <c r="O16" i="37"/>
  <c r="P16" i="37" s="1"/>
  <c r="Q15" i="37"/>
  <c r="W15" i="37"/>
  <c r="O15" i="37"/>
  <c r="P15" i="37"/>
  <c r="Q14" i="37"/>
  <c r="W14" i="37"/>
  <c r="O14" i="37"/>
  <c r="P14" i="37" s="1"/>
  <c r="Q13" i="37"/>
  <c r="W13" i="37"/>
  <c r="O13" i="37"/>
  <c r="P13" i="37"/>
  <c r="Q12" i="37"/>
  <c r="W12" i="37"/>
  <c r="O12" i="37"/>
  <c r="P12" i="37" s="1"/>
  <c r="Q11" i="37"/>
  <c r="W11" i="37" s="1"/>
  <c r="V11" i="37" s="1"/>
  <c r="O11" i="37"/>
  <c r="P11" i="37"/>
  <c r="Q10" i="37"/>
  <c r="W10" i="37"/>
  <c r="O10" i="37"/>
  <c r="P10" i="37" s="1"/>
  <c r="Q9" i="37"/>
  <c r="W9" i="37"/>
  <c r="O9" i="37"/>
  <c r="P9" i="37"/>
  <c r="Q8" i="37"/>
  <c r="W8" i="37"/>
  <c r="V8" i="37" s="1"/>
  <c r="O8" i="37"/>
  <c r="P8" i="37" s="1"/>
  <c r="Q7" i="37"/>
  <c r="W7" i="37" s="1"/>
  <c r="V7" i="37" s="1"/>
  <c r="O7" i="37"/>
  <c r="P7" i="37"/>
  <c r="V16" i="37"/>
  <c r="V114" i="37"/>
  <c r="V138" i="37"/>
  <c r="V158" i="37"/>
  <c r="V166" i="37"/>
  <c r="V12" i="37"/>
  <c r="V32" i="37"/>
  <c r="V53" i="37"/>
  <c r="V61" i="37"/>
  <c r="V9" i="37"/>
  <c r="V42" i="37"/>
  <c r="V50" i="37"/>
  <c r="V58" i="37"/>
  <c r="V65" i="37"/>
  <c r="V90" i="37"/>
  <c r="V102" i="37"/>
  <c r="V78" i="37"/>
  <c r="V95" i="37"/>
  <c r="V107" i="37"/>
  <c r="V135" i="37"/>
  <c r="V143" i="37"/>
  <c r="V73" i="37"/>
  <c r="V86" i="37"/>
  <c r="V106" i="37"/>
  <c r="V13" i="37"/>
  <c r="V74" i="37"/>
  <c r="V10" i="37"/>
  <c r="V14" i="37"/>
  <c r="V22" i="37"/>
  <c r="V30" i="37"/>
  <c r="V34" i="37"/>
  <c r="V51" i="37"/>
  <c r="V63" i="37"/>
  <c r="V79" i="37"/>
  <c r="V100" i="37"/>
  <c r="V120" i="37"/>
  <c r="V136" i="37"/>
  <c r="V140" i="37"/>
  <c r="V45" i="37"/>
  <c r="V52" i="37"/>
  <c r="V60" i="37"/>
  <c r="V72" i="37"/>
  <c r="V80" i="37"/>
  <c r="V85" i="37"/>
  <c r="V109" i="37"/>
  <c r="V113" i="37"/>
  <c r="V145" i="37"/>
  <c r="V149" i="37"/>
  <c r="V157" i="37"/>
  <c r="V161" i="37"/>
  <c r="V165" i="37"/>
  <c r="V169" i="37"/>
  <c r="V94" i="37"/>
  <c r="AI96" i="37"/>
  <c r="V25" i="37"/>
  <c r="C7" i="12"/>
  <c r="P7" i="12"/>
  <c r="Q7" i="12"/>
  <c r="W7" i="12" s="1"/>
  <c r="S7" i="12"/>
  <c r="R7" i="12"/>
  <c r="U7" i="12"/>
  <c r="T7" i="12"/>
  <c r="AC7" i="12"/>
  <c r="AD7" i="12" s="1"/>
  <c r="AF7" i="12"/>
  <c r="AG7" i="12"/>
  <c r="AH7" i="12"/>
  <c r="C8" i="12"/>
  <c r="P8" i="12"/>
  <c r="Q8" i="12"/>
  <c r="W8" i="12"/>
  <c r="V8" i="12" s="1"/>
  <c r="S8" i="12"/>
  <c r="U8" i="12"/>
  <c r="T8" i="12"/>
  <c r="AC8" i="12"/>
  <c r="AD8" i="12" s="1"/>
  <c r="AF8" i="12"/>
  <c r="AG8" i="12"/>
  <c r="AH8" i="12"/>
  <c r="C9" i="12"/>
  <c r="P9" i="12"/>
  <c r="Q9" i="12"/>
  <c r="W9" i="12"/>
  <c r="S9" i="12"/>
  <c r="R9" i="12"/>
  <c r="U9" i="12"/>
  <c r="AC9" i="12"/>
  <c r="AF9" i="12"/>
  <c r="AG9" i="12"/>
  <c r="AH9" i="12"/>
  <c r="C10" i="12"/>
  <c r="P10" i="12"/>
  <c r="Q10" i="12"/>
  <c r="W10" i="12"/>
  <c r="S10" i="12"/>
  <c r="V10" i="12" s="1"/>
  <c r="R10" i="12"/>
  <c r="U10" i="12"/>
  <c r="AC10" i="12"/>
  <c r="AE10" i="12" s="1"/>
  <c r="AF10" i="12"/>
  <c r="AG10" i="12"/>
  <c r="AH10" i="12"/>
  <c r="C11" i="12"/>
  <c r="P11" i="12"/>
  <c r="Q11" i="12"/>
  <c r="W11" i="12" s="1"/>
  <c r="V11" i="12" s="1"/>
  <c r="S11" i="12"/>
  <c r="R11" i="12"/>
  <c r="U11" i="12"/>
  <c r="T11" i="12"/>
  <c r="AC11" i="12"/>
  <c r="AE11" i="12" s="1"/>
  <c r="AF11" i="12"/>
  <c r="AG11" i="12"/>
  <c r="AH11" i="12"/>
  <c r="C12" i="12"/>
  <c r="P12" i="12"/>
  <c r="Q12" i="12"/>
  <c r="W12" i="12"/>
  <c r="S12" i="12"/>
  <c r="V12" i="12" s="1"/>
  <c r="U12" i="12"/>
  <c r="T12" i="12" s="1"/>
  <c r="AC12" i="12"/>
  <c r="AF12" i="12"/>
  <c r="AG12" i="12"/>
  <c r="AH12" i="12"/>
  <c r="C13" i="12"/>
  <c r="P13" i="12"/>
  <c r="Q13" i="12"/>
  <c r="W13" i="12" s="1"/>
  <c r="S13" i="12"/>
  <c r="R13" i="12"/>
  <c r="U13" i="12"/>
  <c r="T13" i="12"/>
  <c r="AC13" i="12"/>
  <c r="AD13" i="12" s="1"/>
  <c r="AF13" i="12"/>
  <c r="AG13" i="12"/>
  <c r="AH13" i="12"/>
  <c r="C14" i="12"/>
  <c r="P14" i="12"/>
  <c r="Q14" i="12"/>
  <c r="W14" i="12"/>
  <c r="S14" i="12"/>
  <c r="R14" i="12" s="1"/>
  <c r="U14" i="12"/>
  <c r="T14" i="12" s="1"/>
  <c r="AC14" i="12"/>
  <c r="AD14" i="12" s="1"/>
  <c r="AF14" i="12"/>
  <c r="AG14" i="12"/>
  <c r="AH14" i="12"/>
  <c r="C15" i="12"/>
  <c r="P15" i="12"/>
  <c r="Q15" i="12"/>
  <c r="W15" i="12"/>
  <c r="S15" i="12"/>
  <c r="R15" i="12"/>
  <c r="U15" i="12"/>
  <c r="T15" i="12" s="1"/>
  <c r="AC15" i="12"/>
  <c r="AF15" i="12"/>
  <c r="AH15" i="12"/>
  <c r="C16" i="12"/>
  <c r="P16" i="12"/>
  <c r="Q16" i="12"/>
  <c r="W16" i="12" s="1"/>
  <c r="S16" i="12"/>
  <c r="U16" i="12"/>
  <c r="T16" i="12" s="1"/>
  <c r="AC16" i="12"/>
  <c r="AF16" i="12"/>
  <c r="AH16" i="12"/>
  <c r="C17" i="12"/>
  <c r="P17" i="12"/>
  <c r="Q17" i="12"/>
  <c r="W17" i="12"/>
  <c r="S17" i="12"/>
  <c r="U17" i="12"/>
  <c r="AC17" i="12"/>
  <c r="AD17" i="12" s="1"/>
  <c r="AF17" i="12"/>
  <c r="AG17" i="12"/>
  <c r="AH17" i="12"/>
  <c r="C18" i="12"/>
  <c r="P18" i="12"/>
  <c r="Q18" i="12"/>
  <c r="W18" i="12"/>
  <c r="S18" i="12"/>
  <c r="R18" i="12"/>
  <c r="U18" i="12"/>
  <c r="AC18" i="12"/>
  <c r="AF18" i="12"/>
  <c r="AG18" i="12"/>
  <c r="AH18" i="12"/>
  <c r="C19" i="12"/>
  <c r="P19" i="12"/>
  <c r="Q19" i="12"/>
  <c r="W19" i="12" s="1"/>
  <c r="S19" i="12"/>
  <c r="R19" i="12"/>
  <c r="U19" i="12"/>
  <c r="T19" i="12"/>
  <c r="AC19" i="12"/>
  <c r="AE19" i="12" s="1"/>
  <c r="AF19" i="12"/>
  <c r="AG19" i="12"/>
  <c r="AH19" i="12"/>
  <c r="C20" i="12"/>
  <c r="P20" i="12"/>
  <c r="Q20" i="12"/>
  <c r="W20" i="12" s="1"/>
  <c r="S20" i="12"/>
  <c r="U20" i="12"/>
  <c r="T20" i="12" s="1"/>
  <c r="AC20" i="12"/>
  <c r="AD20" i="12" s="1"/>
  <c r="AF20" i="12"/>
  <c r="AG20" i="12"/>
  <c r="AH20" i="12"/>
  <c r="C22" i="12"/>
  <c r="P22" i="12"/>
  <c r="Q22" i="12"/>
  <c r="W22" i="12"/>
  <c r="S22" i="12"/>
  <c r="U22" i="12"/>
  <c r="AC22" i="12"/>
  <c r="AE22" i="12" s="1"/>
  <c r="AF22" i="12"/>
  <c r="AG22" i="12"/>
  <c r="AH22" i="12"/>
  <c r="C23" i="12"/>
  <c r="P23" i="12"/>
  <c r="Q23" i="12"/>
  <c r="W23" i="12"/>
  <c r="S23" i="12"/>
  <c r="R23" i="12" s="1"/>
  <c r="U23" i="12"/>
  <c r="AC23" i="12"/>
  <c r="AF23" i="12"/>
  <c r="AG23" i="12"/>
  <c r="AH23" i="12"/>
  <c r="C24" i="12"/>
  <c r="P24" i="12"/>
  <c r="Q24" i="12"/>
  <c r="W24" i="12"/>
  <c r="S24" i="12"/>
  <c r="R24" i="12"/>
  <c r="U24" i="12"/>
  <c r="T24" i="12"/>
  <c r="AC24" i="12"/>
  <c r="AF24" i="12"/>
  <c r="AG24" i="12"/>
  <c r="AH24" i="12"/>
  <c r="C25" i="12"/>
  <c r="P25" i="12"/>
  <c r="Q25" i="12"/>
  <c r="W25" i="12"/>
  <c r="S25" i="12"/>
  <c r="R25" i="12" s="1"/>
  <c r="U25" i="12"/>
  <c r="T25" i="12"/>
  <c r="AC25" i="12"/>
  <c r="AE25" i="12" s="1"/>
  <c r="AF25" i="12"/>
  <c r="AG25" i="12"/>
  <c r="AH25" i="12"/>
  <c r="C26" i="12"/>
  <c r="P26" i="12"/>
  <c r="Q26" i="12"/>
  <c r="W26" i="12" s="1"/>
  <c r="S26" i="12"/>
  <c r="U26" i="12"/>
  <c r="T26" i="12"/>
  <c r="AC26" i="12"/>
  <c r="AE26" i="12" s="1"/>
  <c r="AF26" i="12"/>
  <c r="AG26" i="12"/>
  <c r="AH26" i="12"/>
  <c r="C27" i="12"/>
  <c r="P27" i="12"/>
  <c r="Q27" i="12"/>
  <c r="W27" i="12"/>
  <c r="V27" i="12" s="1"/>
  <c r="S27" i="12"/>
  <c r="R27" i="12" s="1"/>
  <c r="U27" i="12"/>
  <c r="AC27" i="12"/>
  <c r="AD27" i="12" s="1"/>
  <c r="AF27" i="12"/>
  <c r="AG27" i="12"/>
  <c r="AH27" i="12"/>
  <c r="C28" i="12"/>
  <c r="P28" i="12"/>
  <c r="Q28" i="12"/>
  <c r="W28" i="12"/>
  <c r="S28" i="12"/>
  <c r="R28" i="12" s="1"/>
  <c r="U28" i="12"/>
  <c r="T28" i="12"/>
  <c r="AC28" i="12"/>
  <c r="AD28" i="12" s="1"/>
  <c r="AF28" i="12"/>
  <c r="AG28" i="12"/>
  <c r="AH28" i="12"/>
  <c r="C29" i="12"/>
  <c r="P29" i="12"/>
  <c r="Q29" i="12"/>
  <c r="W29" i="12"/>
  <c r="S29" i="12"/>
  <c r="R29" i="12" s="1"/>
  <c r="U29" i="12"/>
  <c r="T29" i="12"/>
  <c r="AC29" i="12"/>
  <c r="AF29" i="12"/>
  <c r="AG29" i="12"/>
  <c r="AH29" i="12"/>
  <c r="C30" i="12"/>
  <c r="P30" i="12"/>
  <c r="Q30" i="12"/>
  <c r="W30" i="12"/>
  <c r="S30" i="12"/>
  <c r="R30" i="12"/>
  <c r="U30" i="12"/>
  <c r="V30" i="12" s="1"/>
  <c r="T30" i="12"/>
  <c r="AC30" i="12"/>
  <c r="AE30" i="12" s="1"/>
  <c r="AF30" i="12"/>
  <c r="AG30" i="12"/>
  <c r="AH30" i="12"/>
  <c r="C31" i="12"/>
  <c r="P31" i="12"/>
  <c r="Q31" i="12"/>
  <c r="W31" i="12"/>
  <c r="S31" i="12"/>
  <c r="R31" i="12"/>
  <c r="U31" i="12"/>
  <c r="AC31" i="12"/>
  <c r="AD31" i="12" s="1"/>
  <c r="AF31" i="12"/>
  <c r="AG31" i="12"/>
  <c r="AH31" i="12"/>
  <c r="C32" i="12"/>
  <c r="P32" i="12"/>
  <c r="Q32" i="12"/>
  <c r="W32" i="12" s="1"/>
  <c r="S32" i="12"/>
  <c r="R32" i="12"/>
  <c r="U32" i="12"/>
  <c r="T32" i="12"/>
  <c r="AC32" i="12"/>
  <c r="AD32" i="12" s="1"/>
  <c r="AF32" i="12"/>
  <c r="AG32" i="12"/>
  <c r="AH32" i="12"/>
  <c r="C33" i="12"/>
  <c r="P33" i="12"/>
  <c r="Q33" i="12"/>
  <c r="W33" i="12" s="1"/>
  <c r="S33" i="12"/>
  <c r="U33" i="12"/>
  <c r="T33" i="12"/>
  <c r="AC33" i="12"/>
  <c r="AE33" i="12" s="1"/>
  <c r="AF33" i="12"/>
  <c r="AG33" i="12"/>
  <c r="AH33" i="12"/>
  <c r="C34" i="12"/>
  <c r="P34" i="12"/>
  <c r="Q34" i="12"/>
  <c r="W34" i="12" s="1"/>
  <c r="S34" i="12"/>
  <c r="R34" i="12"/>
  <c r="U34" i="12"/>
  <c r="T34" i="12"/>
  <c r="AC34" i="12"/>
  <c r="AF34" i="12"/>
  <c r="AG34" i="12"/>
  <c r="AH34" i="12"/>
  <c r="C35" i="12"/>
  <c r="P35" i="12"/>
  <c r="Q35" i="12"/>
  <c r="W35" i="12"/>
  <c r="S35" i="12"/>
  <c r="R35" i="12"/>
  <c r="U35" i="12"/>
  <c r="AC35" i="12"/>
  <c r="AD35" i="12" s="1"/>
  <c r="AF35" i="12"/>
  <c r="AG35" i="12"/>
  <c r="AH35" i="12"/>
  <c r="C36" i="12"/>
  <c r="P36" i="12"/>
  <c r="Q36" i="12"/>
  <c r="W36" i="12" s="1"/>
  <c r="S36" i="12"/>
  <c r="R36" i="12"/>
  <c r="U36" i="12"/>
  <c r="AC36" i="12"/>
  <c r="AD36" i="12" s="1"/>
  <c r="AF36" i="12"/>
  <c r="AG36" i="12"/>
  <c r="AH36" i="12"/>
  <c r="C37" i="12"/>
  <c r="P37" i="12"/>
  <c r="Q37" i="12"/>
  <c r="W37" i="12"/>
  <c r="S37" i="12"/>
  <c r="R37" i="12" s="1"/>
  <c r="U37" i="12"/>
  <c r="T37" i="12" s="1"/>
  <c r="AC37" i="12"/>
  <c r="AD37" i="12" s="1"/>
  <c r="AF37" i="12"/>
  <c r="AG37" i="12"/>
  <c r="AH37" i="12"/>
  <c r="C38" i="12"/>
  <c r="P38" i="12"/>
  <c r="Q38" i="12"/>
  <c r="W38" i="12"/>
  <c r="S38" i="12"/>
  <c r="R38" i="12"/>
  <c r="U38" i="12"/>
  <c r="T38" i="12" s="1"/>
  <c r="AC38" i="12"/>
  <c r="AE38" i="12" s="1"/>
  <c r="AF38" i="12"/>
  <c r="AG38" i="12"/>
  <c r="AH38" i="12"/>
  <c r="C39" i="12"/>
  <c r="P39" i="12"/>
  <c r="Q39" i="12"/>
  <c r="W39" i="12" s="1"/>
  <c r="S39" i="12"/>
  <c r="R39" i="12"/>
  <c r="U39" i="12"/>
  <c r="AC39" i="12"/>
  <c r="AD39" i="12" s="1"/>
  <c r="AF39" i="12"/>
  <c r="AG39" i="12"/>
  <c r="AH39" i="12"/>
  <c r="C40" i="12"/>
  <c r="P40" i="12"/>
  <c r="Q40" i="12"/>
  <c r="W40" i="12"/>
  <c r="V40" i="12" s="1"/>
  <c r="S40" i="12"/>
  <c r="R40" i="12"/>
  <c r="U40" i="12"/>
  <c r="T40" i="12" s="1"/>
  <c r="AC40" i="12"/>
  <c r="AD40" i="12" s="1"/>
  <c r="AF40" i="12"/>
  <c r="AG40" i="12"/>
  <c r="AH40" i="12"/>
  <c r="C41" i="12"/>
  <c r="P41" i="12"/>
  <c r="Q41" i="12"/>
  <c r="W41" i="12"/>
  <c r="S41" i="12"/>
  <c r="U41" i="12"/>
  <c r="T41" i="12"/>
  <c r="AC41" i="12"/>
  <c r="AE41" i="12" s="1"/>
  <c r="AF41" i="12"/>
  <c r="AG41" i="12"/>
  <c r="AH41" i="12"/>
  <c r="C42" i="12"/>
  <c r="P42" i="12"/>
  <c r="Q42" i="12"/>
  <c r="W42" i="12" s="1"/>
  <c r="S42" i="12"/>
  <c r="U42" i="12"/>
  <c r="AC42" i="12"/>
  <c r="AE42" i="12" s="1"/>
  <c r="AF42" i="12"/>
  <c r="AG42" i="12"/>
  <c r="AH42" i="12"/>
  <c r="C43" i="12"/>
  <c r="P43" i="12"/>
  <c r="Q43" i="12"/>
  <c r="W43" i="12"/>
  <c r="S43" i="12"/>
  <c r="R43" i="12" s="1"/>
  <c r="U43" i="12"/>
  <c r="T43" i="12" s="1"/>
  <c r="AC43" i="12"/>
  <c r="AE43" i="12" s="1"/>
  <c r="AF43" i="12"/>
  <c r="AG43" i="12"/>
  <c r="AH43" i="12"/>
  <c r="C44" i="12"/>
  <c r="P44" i="12"/>
  <c r="Q44" i="12"/>
  <c r="W44" i="12" s="1"/>
  <c r="S44" i="12"/>
  <c r="R44" i="12"/>
  <c r="U44" i="12"/>
  <c r="T44" i="12"/>
  <c r="AC44" i="12"/>
  <c r="AE44" i="12" s="1"/>
  <c r="AF44" i="12"/>
  <c r="AG44" i="12"/>
  <c r="AH44" i="12"/>
  <c r="C45" i="12"/>
  <c r="P45" i="12"/>
  <c r="Q45" i="12"/>
  <c r="W45" i="12" s="1"/>
  <c r="S45" i="12"/>
  <c r="U45" i="12"/>
  <c r="T45" i="12"/>
  <c r="AC45" i="12"/>
  <c r="AD45" i="12" s="1"/>
  <c r="AF45" i="12"/>
  <c r="AG45" i="12"/>
  <c r="AH45" i="12"/>
  <c r="C46" i="12"/>
  <c r="P46" i="12"/>
  <c r="Q46" i="12"/>
  <c r="W46" i="12"/>
  <c r="S46" i="12"/>
  <c r="R46" i="12" s="1"/>
  <c r="U46" i="12"/>
  <c r="T46" i="12" s="1"/>
  <c r="AC46" i="12"/>
  <c r="AD46" i="12" s="1"/>
  <c r="AF46" i="12"/>
  <c r="AG46" i="12"/>
  <c r="AH46" i="12"/>
  <c r="C47" i="12"/>
  <c r="P47" i="12"/>
  <c r="Q47" i="12"/>
  <c r="W47" i="12"/>
  <c r="S47" i="12"/>
  <c r="R47" i="12"/>
  <c r="U47" i="12"/>
  <c r="T47" i="12"/>
  <c r="AC47" i="12"/>
  <c r="AD47" i="12" s="1"/>
  <c r="AF47" i="12"/>
  <c r="AG47" i="12"/>
  <c r="AH47" i="12"/>
  <c r="C48" i="12"/>
  <c r="P48" i="12"/>
  <c r="Q48" i="12"/>
  <c r="W48" i="12"/>
  <c r="S48" i="12"/>
  <c r="R48" i="12" s="1"/>
  <c r="U48" i="12"/>
  <c r="T48" i="12"/>
  <c r="AC48" i="12"/>
  <c r="AE48" i="12" s="1"/>
  <c r="AF48" i="12"/>
  <c r="AG48" i="12"/>
  <c r="AH48" i="12"/>
  <c r="C49" i="12"/>
  <c r="P49" i="12"/>
  <c r="Q49" i="12"/>
  <c r="W49" i="12" s="1"/>
  <c r="S49" i="12"/>
  <c r="U49" i="12"/>
  <c r="T49" i="12"/>
  <c r="AC49" i="12"/>
  <c r="AD49" i="12" s="1"/>
  <c r="AF49" i="12"/>
  <c r="AG49" i="12"/>
  <c r="AH49" i="12"/>
  <c r="C50" i="12"/>
  <c r="P50" i="12"/>
  <c r="Q50" i="12"/>
  <c r="W50" i="12" s="1"/>
  <c r="S50" i="12"/>
  <c r="R50" i="12"/>
  <c r="U50" i="12"/>
  <c r="T50" i="12"/>
  <c r="AC50" i="12"/>
  <c r="AE50" i="12" s="1"/>
  <c r="AF50" i="12"/>
  <c r="AG50" i="12"/>
  <c r="AH50" i="12"/>
  <c r="C51" i="12"/>
  <c r="P51" i="12"/>
  <c r="Q51" i="12"/>
  <c r="W51" i="12"/>
  <c r="S51" i="12"/>
  <c r="R51" i="12"/>
  <c r="U51" i="12"/>
  <c r="T51" i="12"/>
  <c r="AC51" i="12"/>
  <c r="AE51" i="12" s="1"/>
  <c r="AF51" i="12"/>
  <c r="AG51" i="12"/>
  <c r="AH51" i="12"/>
  <c r="C52" i="12"/>
  <c r="P52" i="12"/>
  <c r="Q52" i="12"/>
  <c r="W52" i="12"/>
  <c r="S52" i="12"/>
  <c r="R52" i="12" s="1"/>
  <c r="U52" i="12"/>
  <c r="T52" i="12" s="1"/>
  <c r="AC52" i="12"/>
  <c r="AE52" i="12" s="1"/>
  <c r="AF52" i="12"/>
  <c r="AG52" i="12"/>
  <c r="AH52" i="12"/>
  <c r="C53" i="12"/>
  <c r="P53" i="12"/>
  <c r="Q53" i="12"/>
  <c r="W53" i="12" s="1"/>
  <c r="S53" i="12"/>
  <c r="R53" i="12"/>
  <c r="U53" i="12"/>
  <c r="T53" i="12"/>
  <c r="AC53" i="12"/>
  <c r="AE53" i="12" s="1"/>
  <c r="AF53" i="12"/>
  <c r="AG53" i="12"/>
  <c r="AH53" i="12"/>
  <c r="C54" i="12"/>
  <c r="P54" i="12"/>
  <c r="Q54" i="12"/>
  <c r="W54" i="12"/>
  <c r="S54" i="12"/>
  <c r="V54" i="12" s="1"/>
  <c r="R54" i="12"/>
  <c r="U54" i="12"/>
  <c r="T54" i="12" s="1"/>
  <c r="AC54" i="12"/>
  <c r="AE54" i="12" s="1"/>
  <c r="AF54" i="12"/>
  <c r="AG54" i="12"/>
  <c r="AH54" i="12"/>
  <c r="C55" i="12"/>
  <c r="P55" i="12"/>
  <c r="Q55" i="12"/>
  <c r="W55" i="12"/>
  <c r="S55" i="12"/>
  <c r="U55" i="12"/>
  <c r="T55" i="12" s="1"/>
  <c r="AC55" i="12"/>
  <c r="AD55" i="12" s="1"/>
  <c r="AF55" i="12"/>
  <c r="AG55" i="12"/>
  <c r="AH55" i="12"/>
  <c r="C56" i="12"/>
  <c r="P56" i="12"/>
  <c r="Q56" i="12"/>
  <c r="W56" i="12"/>
  <c r="S56" i="12"/>
  <c r="R56" i="12" s="1"/>
  <c r="U56" i="12"/>
  <c r="T56" i="12"/>
  <c r="AC56" i="12"/>
  <c r="AF56" i="12"/>
  <c r="AG56" i="12"/>
  <c r="AH56" i="12"/>
  <c r="C57" i="12"/>
  <c r="P57" i="12"/>
  <c r="Q57" i="12"/>
  <c r="W57" i="12" s="1"/>
  <c r="S57" i="12"/>
  <c r="R57" i="12"/>
  <c r="U57" i="12"/>
  <c r="AC57" i="12"/>
  <c r="AD57" i="12" s="1"/>
  <c r="AF57" i="12"/>
  <c r="AG57" i="12"/>
  <c r="AH57" i="12"/>
  <c r="C58" i="12"/>
  <c r="P58" i="12"/>
  <c r="Q58" i="12"/>
  <c r="W58" i="12" s="1"/>
  <c r="S58" i="12"/>
  <c r="R58" i="12" s="1"/>
  <c r="U58" i="12"/>
  <c r="T58" i="12"/>
  <c r="AC58" i="12"/>
  <c r="AD58" i="12" s="1"/>
  <c r="AF58" i="12"/>
  <c r="AG58" i="12"/>
  <c r="AH58" i="12"/>
  <c r="C59" i="12"/>
  <c r="P59" i="12"/>
  <c r="Q59" i="12"/>
  <c r="W59" i="12" s="1"/>
  <c r="S59" i="12"/>
  <c r="R59" i="12"/>
  <c r="U59" i="12"/>
  <c r="T59" i="12"/>
  <c r="AC59" i="12"/>
  <c r="AD59" i="12" s="1"/>
  <c r="AF59" i="12"/>
  <c r="AG59" i="12"/>
  <c r="AH59" i="12"/>
  <c r="C60" i="12"/>
  <c r="P60" i="12"/>
  <c r="Q60" i="12"/>
  <c r="W60" i="12" s="1"/>
  <c r="V60" i="12" s="1"/>
  <c r="S60" i="12"/>
  <c r="R60" i="12"/>
  <c r="U60" i="12"/>
  <c r="T60" i="12"/>
  <c r="AC60" i="12"/>
  <c r="AF60" i="12"/>
  <c r="AG60" i="12"/>
  <c r="AH60" i="12"/>
  <c r="C61" i="12"/>
  <c r="P61" i="12"/>
  <c r="Q61" i="12"/>
  <c r="W61" i="12"/>
  <c r="S61" i="12"/>
  <c r="R61" i="12"/>
  <c r="U61" i="12"/>
  <c r="T61" i="12" s="1"/>
  <c r="AC61" i="12"/>
  <c r="AF61" i="12"/>
  <c r="AG61" i="12"/>
  <c r="AH61" i="12"/>
  <c r="C62" i="12"/>
  <c r="P62" i="12"/>
  <c r="Q62" i="12"/>
  <c r="W62" i="12"/>
  <c r="V62" i="12" s="1"/>
  <c r="S62" i="12"/>
  <c r="R62" i="12" s="1"/>
  <c r="U62" i="12"/>
  <c r="T62" i="12" s="1"/>
  <c r="AC62" i="12"/>
  <c r="AE62" i="12" s="1"/>
  <c r="AF62" i="12"/>
  <c r="AG62" i="12"/>
  <c r="AH62" i="12"/>
  <c r="V24" i="12"/>
  <c r="V19" i="12"/>
  <c r="V7" i="12"/>
  <c r="V61" i="12"/>
  <c r="V51" i="12"/>
  <c r="V47" i="12"/>
  <c r="T42" i="12"/>
  <c r="V38" i="12"/>
  <c r="V34" i="12"/>
  <c r="V13" i="12"/>
  <c r="V53" i="12"/>
  <c r="V9" i="12"/>
  <c r="V59" i="12"/>
  <c r="V43" i="12"/>
  <c r="T22" i="12"/>
  <c r="T17" i="12"/>
  <c r="V15" i="12"/>
  <c r="T9" i="12"/>
  <c r="R33" i="12"/>
  <c r="V31" i="12"/>
  <c r="T31" i="12"/>
  <c r="V58" i="12"/>
  <c r="V50" i="12"/>
  <c r="V46" i="12"/>
  <c r="V37" i="12"/>
  <c r="V35" i="12"/>
  <c r="T35" i="12"/>
  <c r="R20" i="12"/>
  <c r="V20" i="12"/>
  <c r="T18" i="12"/>
  <c r="R8" i="12"/>
  <c r="R45" i="12"/>
  <c r="V45" i="12"/>
  <c r="R41" i="12"/>
  <c r="V41" i="12"/>
  <c r="V39" i="12"/>
  <c r="T39" i="12"/>
  <c r="V25" i="12"/>
  <c r="V23" i="12"/>
  <c r="T23" i="12"/>
  <c r="R12" i="12"/>
  <c r="T10" i="12"/>
  <c r="V56" i="12"/>
  <c r="V48" i="12"/>
  <c r="V44" i="12"/>
  <c r="T27" i="12"/>
  <c r="R16" i="12"/>
  <c r="V14" i="12"/>
  <c r="AH17" i="11"/>
  <c r="AH16" i="11"/>
  <c r="AH15" i="11"/>
  <c r="AG15" i="11"/>
  <c r="AH49" i="10"/>
  <c r="AG49" i="10"/>
  <c r="AH48" i="10"/>
  <c r="AG48" i="10"/>
  <c r="AH46" i="10"/>
  <c r="AG46" i="10"/>
  <c r="AH45" i="10"/>
  <c r="AG45" i="10"/>
  <c r="AH47" i="10"/>
  <c r="AG47" i="10"/>
  <c r="AH44" i="10"/>
  <c r="AG44" i="10"/>
  <c r="AH35" i="10"/>
  <c r="AG35" i="10"/>
  <c r="AH34" i="10"/>
  <c r="AG34" i="10"/>
  <c r="AH33" i="10"/>
  <c r="AG33" i="10"/>
  <c r="U35" i="10"/>
  <c r="U34" i="10"/>
  <c r="AH17" i="10"/>
  <c r="AH16" i="10"/>
  <c r="AH15" i="10"/>
  <c r="AG15" i="10"/>
  <c r="AH152" i="35"/>
  <c r="AG152" i="35"/>
  <c r="AH151" i="35"/>
  <c r="AG151" i="35"/>
  <c r="AH150" i="35"/>
  <c r="AG150" i="35"/>
  <c r="AH146" i="9"/>
  <c r="AG146" i="9"/>
  <c r="AH145" i="9"/>
  <c r="AG145" i="9"/>
  <c r="AH144" i="9"/>
  <c r="AG144" i="9"/>
  <c r="AH143" i="9"/>
  <c r="AG143" i="9"/>
  <c r="AH142" i="9"/>
  <c r="AG142" i="9"/>
  <c r="AH141" i="9"/>
  <c r="AG141" i="9"/>
  <c r="AH125" i="9"/>
  <c r="AG125" i="9"/>
  <c r="AH124" i="9"/>
  <c r="AG124" i="9"/>
  <c r="AH123" i="9"/>
  <c r="AG123" i="9"/>
  <c r="AH121" i="9"/>
  <c r="AH120" i="9"/>
  <c r="AH119" i="9"/>
  <c r="AG119" i="9"/>
  <c r="AG121" i="9"/>
  <c r="AG120" i="9"/>
  <c r="AH111" i="9"/>
  <c r="AH110" i="9"/>
  <c r="AH109" i="9"/>
  <c r="AG109" i="9"/>
  <c r="AH108" i="9"/>
  <c r="AH107" i="9"/>
  <c r="AH106" i="9"/>
  <c r="AG106" i="9"/>
  <c r="AH46" i="9"/>
  <c r="AH45" i="9"/>
  <c r="AH44" i="9"/>
  <c r="AG44" i="9"/>
  <c r="AH43" i="9"/>
  <c r="AH42" i="9"/>
  <c r="AH41" i="9"/>
  <c r="AG41" i="9"/>
  <c r="AH32" i="9"/>
  <c r="AH31" i="9"/>
  <c r="AH30" i="9"/>
  <c r="AG30" i="9"/>
  <c r="AH16" i="9"/>
  <c r="AH15" i="9"/>
  <c r="AH14" i="9"/>
  <c r="AG14" i="9"/>
  <c r="AH145" i="14"/>
  <c r="AG145" i="14"/>
  <c r="AH144" i="14"/>
  <c r="AG144" i="14"/>
  <c r="AH143" i="14"/>
  <c r="AG143" i="14"/>
  <c r="AH142" i="14"/>
  <c r="AG142" i="14"/>
  <c r="AH141" i="14"/>
  <c r="AG141" i="14"/>
  <c r="AH140" i="14"/>
  <c r="AG140" i="14"/>
  <c r="AH120" i="14"/>
  <c r="AG120" i="14"/>
  <c r="AF120" i="14"/>
  <c r="AC120" i="14"/>
  <c r="AD120" i="14" s="1"/>
  <c r="U120" i="14"/>
  <c r="V120" i="14" s="1"/>
  <c r="Q120" i="14"/>
  <c r="W120" i="14"/>
  <c r="P120" i="14"/>
  <c r="C120" i="14"/>
  <c r="AH119" i="14"/>
  <c r="AG119" i="14"/>
  <c r="AH118" i="14"/>
  <c r="AG118" i="14"/>
  <c r="S120" i="14"/>
  <c r="R120" i="14"/>
  <c r="AG122" i="14"/>
  <c r="AH123" i="14"/>
  <c r="AH122" i="14"/>
  <c r="AH110" i="14"/>
  <c r="AH109" i="14"/>
  <c r="AH108" i="14"/>
  <c r="AG108" i="14"/>
  <c r="AH107" i="14"/>
  <c r="AH106" i="14"/>
  <c r="AH105" i="14"/>
  <c r="AG105" i="14"/>
  <c r="AH46" i="14"/>
  <c r="AH45" i="14"/>
  <c r="AH44" i="14"/>
  <c r="AG44" i="14"/>
  <c r="AH43" i="14"/>
  <c r="AH42" i="14"/>
  <c r="AH41" i="14"/>
  <c r="AG41" i="14"/>
  <c r="AH31" i="14"/>
  <c r="AH30" i="14"/>
  <c r="AH29" i="14"/>
  <c r="AG29" i="14"/>
  <c r="AH16" i="14"/>
  <c r="AH15" i="14"/>
  <c r="AH14" i="14"/>
  <c r="AG14" i="14"/>
  <c r="AH144" i="25"/>
  <c r="AH143" i="25"/>
  <c r="AH142" i="25"/>
  <c r="AG142" i="25"/>
  <c r="AH141" i="25"/>
  <c r="AG141" i="25"/>
  <c r="AH140" i="25"/>
  <c r="AG140" i="25"/>
  <c r="AH139" i="25"/>
  <c r="AG139" i="25"/>
  <c r="AH123" i="25"/>
  <c r="AG123" i="25"/>
  <c r="AH122" i="25"/>
  <c r="AG122" i="25"/>
  <c r="AH121" i="25"/>
  <c r="AG121" i="25"/>
  <c r="AH119" i="25"/>
  <c r="AH118" i="25"/>
  <c r="AH117" i="25"/>
  <c r="AG117" i="25"/>
  <c r="AH109" i="25"/>
  <c r="AG109" i="25"/>
  <c r="AH108" i="25"/>
  <c r="AG108" i="25"/>
  <c r="AH107" i="25"/>
  <c r="AG107" i="25"/>
  <c r="AH106" i="25"/>
  <c r="AH105" i="25"/>
  <c r="AH104" i="25"/>
  <c r="AG104" i="25"/>
  <c r="AH45" i="25"/>
  <c r="AH44" i="25"/>
  <c r="AH43" i="25"/>
  <c r="AG43" i="25"/>
  <c r="AH42" i="25"/>
  <c r="AH41" i="25"/>
  <c r="AH40" i="25"/>
  <c r="AG40" i="25"/>
  <c r="AH31" i="25"/>
  <c r="AH30" i="25"/>
  <c r="AH29" i="25"/>
  <c r="AG29" i="25"/>
  <c r="AH16" i="25"/>
  <c r="AH15" i="25"/>
  <c r="AH14" i="25"/>
  <c r="AG14" i="25"/>
  <c r="AG45" i="29"/>
  <c r="AH142" i="29"/>
  <c r="AH141" i="29"/>
  <c r="AH140" i="29"/>
  <c r="AG140" i="29"/>
  <c r="AH139" i="29"/>
  <c r="AH138" i="29"/>
  <c r="AH137" i="29"/>
  <c r="AG137" i="29"/>
  <c r="AG119" i="29"/>
  <c r="AG118" i="29"/>
  <c r="AG117" i="29"/>
  <c r="AH109" i="29"/>
  <c r="AH108" i="29"/>
  <c r="AH107" i="29"/>
  <c r="AG109" i="29"/>
  <c r="AG108" i="29"/>
  <c r="AG107" i="29"/>
  <c r="AH106" i="29"/>
  <c r="AG106" i="29"/>
  <c r="AH105" i="29"/>
  <c r="AG105" i="29"/>
  <c r="AH104" i="29"/>
  <c r="AG104" i="29"/>
  <c r="AH45" i="29"/>
  <c r="AH44" i="29"/>
  <c r="AG44" i="29"/>
  <c r="AH43" i="29"/>
  <c r="AG43" i="29"/>
  <c r="AH42" i="29"/>
  <c r="AG42" i="29"/>
  <c r="AH41" i="29"/>
  <c r="AG41" i="29"/>
  <c r="AH40" i="29"/>
  <c r="AG40" i="29"/>
  <c r="AH31" i="29"/>
  <c r="AH30" i="29"/>
  <c r="AH29" i="29"/>
  <c r="AH129" i="32"/>
  <c r="AG129" i="32"/>
  <c r="AH128" i="32"/>
  <c r="AG128" i="32"/>
  <c r="AH127" i="32"/>
  <c r="AG127" i="32"/>
  <c r="AH144" i="33"/>
  <c r="AH143" i="33"/>
  <c r="AH142" i="33"/>
  <c r="AG144" i="33"/>
  <c r="AG143" i="33"/>
  <c r="AG142" i="33"/>
  <c r="AH15" i="35"/>
  <c r="AG15" i="35"/>
  <c r="AH14" i="35"/>
  <c r="AG14" i="35"/>
  <c r="AH13" i="35"/>
  <c r="AH123" i="35"/>
  <c r="AG123" i="35"/>
  <c r="AH122" i="35"/>
  <c r="AG122" i="35"/>
  <c r="AH121" i="35"/>
  <c r="AG121" i="35"/>
  <c r="AH146" i="35"/>
  <c r="AG146" i="35"/>
  <c r="AH145" i="35"/>
  <c r="AG145" i="35"/>
  <c r="AH144" i="35"/>
  <c r="AG144" i="35"/>
  <c r="AH149" i="35"/>
  <c r="AG149" i="35"/>
  <c r="AH148" i="35"/>
  <c r="AG148" i="35"/>
  <c r="AH147" i="35"/>
  <c r="AG147" i="35"/>
  <c r="AH46" i="35"/>
  <c r="AG46" i="35"/>
  <c r="AH45" i="35"/>
  <c r="AG45" i="35"/>
  <c r="AH44" i="35"/>
  <c r="AG44" i="35"/>
  <c r="AH43" i="35"/>
  <c r="AG43" i="35"/>
  <c r="AH42" i="35"/>
  <c r="AG42" i="35"/>
  <c r="AH41" i="35"/>
  <c r="AG41" i="35"/>
  <c r="AH31" i="35"/>
  <c r="AG31" i="35"/>
  <c r="AH30" i="35"/>
  <c r="AG30" i="35"/>
  <c r="AH29" i="35"/>
  <c r="AG29" i="35"/>
  <c r="AH123" i="33"/>
  <c r="AG123" i="33"/>
  <c r="AH122" i="33"/>
  <c r="AG122" i="33"/>
  <c r="AH121" i="33"/>
  <c r="AG121" i="33"/>
  <c r="AH141" i="33"/>
  <c r="AG141" i="33"/>
  <c r="AH140" i="33"/>
  <c r="AG140" i="33"/>
  <c r="AH139" i="33"/>
  <c r="AG139" i="33"/>
  <c r="AH138" i="33"/>
  <c r="AG138" i="33"/>
  <c r="AH137" i="33"/>
  <c r="AG137" i="33"/>
  <c r="AH136" i="33"/>
  <c r="AG136" i="33"/>
  <c r="AH46" i="33"/>
  <c r="AG46" i="33"/>
  <c r="AH45" i="33"/>
  <c r="AG45" i="33"/>
  <c r="AH44" i="33"/>
  <c r="AG44" i="33"/>
  <c r="AH43" i="33"/>
  <c r="AG43" i="33"/>
  <c r="AH42" i="33"/>
  <c r="AG42" i="33"/>
  <c r="AH41" i="33"/>
  <c r="AG41" i="33"/>
  <c r="AH16" i="33"/>
  <c r="AG16" i="33"/>
  <c r="AH15" i="33"/>
  <c r="AG15" i="33"/>
  <c r="AH14" i="33"/>
  <c r="AG14" i="33"/>
  <c r="AH34" i="32"/>
  <c r="AH33" i="32"/>
  <c r="AH31" i="33"/>
  <c r="AG31" i="33"/>
  <c r="AH29" i="33"/>
  <c r="AG29" i="33"/>
  <c r="AG30" i="33"/>
  <c r="AH30" i="33"/>
  <c r="AH32" i="32"/>
  <c r="AG34" i="32"/>
  <c r="AG33" i="32"/>
  <c r="AG32" i="32"/>
  <c r="AH50" i="32"/>
  <c r="AG50" i="32"/>
  <c r="AH49" i="32"/>
  <c r="AG49" i="32"/>
  <c r="AH48" i="32"/>
  <c r="AG48" i="32"/>
  <c r="AH46" i="32"/>
  <c r="AG46" i="32"/>
  <c r="AH44" i="32"/>
  <c r="AG44" i="32"/>
  <c r="AH42" i="32"/>
  <c r="AG42" i="32"/>
  <c r="AH143" i="32"/>
  <c r="AG143" i="32"/>
  <c r="AH142" i="32"/>
  <c r="AG142" i="32"/>
  <c r="AH141" i="32"/>
  <c r="AG141" i="32"/>
  <c r="AH146" i="32"/>
  <c r="AG146" i="32"/>
  <c r="AH145" i="32"/>
  <c r="AG145" i="32"/>
  <c r="AH144" i="32"/>
  <c r="AG144" i="32"/>
  <c r="AH17" i="32"/>
  <c r="AH16" i="32"/>
  <c r="AH15" i="32"/>
  <c r="AG17" i="32"/>
  <c r="AG16" i="32"/>
  <c r="AG15" i="32"/>
  <c r="AI108" i="31"/>
  <c r="AI107" i="31"/>
  <c r="AI106" i="31"/>
  <c r="AH108" i="31"/>
  <c r="AH107" i="31"/>
  <c r="AH106" i="31"/>
  <c r="AI139" i="31"/>
  <c r="AH139" i="31"/>
  <c r="AI138" i="31"/>
  <c r="AH138" i="31"/>
  <c r="AI137" i="31"/>
  <c r="AH137" i="31"/>
  <c r="AI136" i="31"/>
  <c r="AH136" i="31"/>
  <c r="AI135" i="31"/>
  <c r="AH135" i="31"/>
  <c r="AI134" i="31"/>
  <c r="AH134" i="31"/>
  <c r="AI45" i="31"/>
  <c r="AH45" i="31"/>
  <c r="AI44" i="31"/>
  <c r="AH44" i="31"/>
  <c r="AI43" i="31"/>
  <c r="AH43" i="31"/>
  <c r="AI42" i="31"/>
  <c r="AH42" i="31"/>
  <c r="AI41" i="31"/>
  <c r="AH41" i="31"/>
  <c r="AI40" i="31"/>
  <c r="AH40" i="31"/>
  <c r="AH16" i="29"/>
  <c r="AG16" i="29"/>
  <c r="AH15" i="29"/>
  <c r="AG15" i="29"/>
  <c r="AH14" i="29"/>
  <c r="AG14" i="29"/>
  <c r="AG142" i="29"/>
  <c r="AG141" i="29"/>
  <c r="AG139" i="29"/>
  <c r="AG138" i="29"/>
  <c r="AG31" i="29"/>
  <c r="AG30" i="29"/>
  <c r="AG29" i="29"/>
  <c r="AG144" i="25"/>
  <c r="AG143" i="25"/>
  <c r="AH120" i="25"/>
  <c r="AG120" i="25"/>
  <c r="AG119" i="25"/>
  <c r="AG118" i="25"/>
  <c r="AG106" i="25"/>
  <c r="AG105" i="25"/>
  <c r="AG45" i="25"/>
  <c r="AG44" i="25"/>
  <c r="AG42" i="25"/>
  <c r="AG41" i="25"/>
  <c r="AG31" i="25"/>
  <c r="AG30" i="25"/>
  <c r="AG16" i="25"/>
  <c r="AG15" i="25"/>
  <c r="AG17" i="11"/>
  <c r="AG16" i="11"/>
  <c r="AG92" i="10"/>
  <c r="AG91" i="10"/>
  <c r="AG90" i="10"/>
  <c r="AG95" i="10"/>
  <c r="AG94" i="10"/>
  <c r="AG93" i="10"/>
  <c r="AG17" i="10"/>
  <c r="AG16" i="10"/>
  <c r="AG111" i="9"/>
  <c r="AG110" i="9"/>
  <c r="AG108" i="9"/>
  <c r="AG107" i="9"/>
  <c r="AG46" i="9"/>
  <c r="AG45" i="9"/>
  <c r="AG43" i="9"/>
  <c r="AG42" i="9"/>
  <c r="AG32" i="9"/>
  <c r="AG31" i="9"/>
  <c r="AG16" i="9"/>
  <c r="AG15" i="9"/>
  <c r="AC30" i="9"/>
  <c r="AD30" i="9" s="1"/>
  <c r="AF30" i="9"/>
  <c r="AC31" i="9"/>
  <c r="AF31" i="9"/>
  <c r="AC32" i="9"/>
  <c r="AF32" i="9"/>
  <c r="AC33" i="9"/>
  <c r="AE33" i="9" s="1"/>
  <c r="AF33" i="9"/>
  <c r="AG33" i="9"/>
  <c r="AH33" i="9"/>
  <c r="AC34" i="9"/>
  <c r="AF34" i="9"/>
  <c r="AG34" i="9"/>
  <c r="AH34" i="9"/>
  <c r="AC35" i="9"/>
  <c r="AE35" i="9" s="1"/>
  <c r="AF35" i="9"/>
  <c r="AG35" i="9"/>
  <c r="AH35" i="9"/>
  <c r="AC36" i="9"/>
  <c r="AD36" i="9" s="1"/>
  <c r="AF36" i="9"/>
  <c r="AG36" i="9"/>
  <c r="AH36" i="9"/>
  <c r="AC37" i="9"/>
  <c r="AD37" i="9" s="1"/>
  <c r="AF37" i="9"/>
  <c r="AG37" i="9"/>
  <c r="AH37" i="9"/>
  <c r="AC38" i="9"/>
  <c r="AD38" i="9" s="1"/>
  <c r="AF38" i="9"/>
  <c r="AG38" i="9"/>
  <c r="AH38" i="9"/>
  <c r="AC39" i="9"/>
  <c r="AD39" i="9" s="1"/>
  <c r="AF39" i="9"/>
  <c r="AG39" i="9"/>
  <c r="AH39" i="9"/>
  <c r="AC40" i="9"/>
  <c r="AD40" i="9" s="1"/>
  <c r="AF40" i="9"/>
  <c r="AG40" i="9"/>
  <c r="AH40" i="9"/>
  <c r="AC41" i="9"/>
  <c r="AD41" i="9" s="1"/>
  <c r="AF41" i="9"/>
  <c r="AC42" i="9"/>
  <c r="AD42" i="9" s="1"/>
  <c r="AF42" i="9"/>
  <c r="AC43" i="9"/>
  <c r="AD43" i="9" s="1"/>
  <c r="AF43" i="9"/>
  <c r="AC44" i="9"/>
  <c r="AD44" i="9" s="1"/>
  <c r="AF44" i="9"/>
  <c r="AC45" i="9"/>
  <c r="AE45" i="9" s="1"/>
  <c r="AF45" i="9"/>
  <c r="AC46" i="9"/>
  <c r="AF46" i="9"/>
  <c r="AC47" i="9"/>
  <c r="AE47" i="9" s="1"/>
  <c r="AF47" i="9"/>
  <c r="AG47" i="9"/>
  <c r="AH47" i="9"/>
  <c r="AC48" i="9"/>
  <c r="AE48" i="9" s="1"/>
  <c r="AF48" i="9"/>
  <c r="AG48" i="9"/>
  <c r="AH48" i="9"/>
  <c r="AC49" i="9"/>
  <c r="AE49" i="9" s="1"/>
  <c r="AF49" i="9"/>
  <c r="AG49" i="9"/>
  <c r="AH49" i="9"/>
  <c r="AC50" i="9"/>
  <c r="AD50" i="9" s="1"/>
  <c r="AF50" i="9"/>
  <c r="AG50" i="9"/>
  <c r="AH50" i="9"/>
  <c r="AC51" i="9"/>
  <c r="AD51" i="9" s="1"/>
  <c r="AF51" i="9"/>
  <c r="AG51" i="9"/>
  <c r="AH51" i="9"/>
  <c r="AC52" i="9"/>
  <c r="AD52" i="9" s="1"/>
  <c r="AF52" i="9"/>
  <c r="AG52" i="9"/>
  <c r="AH52" i="9"/>
  <c r="AC53" i="9"/>
  <c r="AD53" i="9" s="1"/>
  <c r="AF53" i="9"/>
  <c r="AG53" i="9"/>
  <c r="AH53" i="9"/>
  <c r="AC54" i="9"/>
  <c r="AF54" i="9"/>
  <c r="AG54" i="9"/>
  <c r="AH54" i="9"/>
  <c r="AC55" i="9"/>
  <c r="AD55" i="9" s="1"/>
  <c r="AF55" i="9"/>
  <c r="AG55" i="9"/>
  <c r="AH55" i="9"/>
  <c r="AC56" i="9"/>
  <c r="AD56" i="9" s="1"/>
  <c r="AF56" i="9"/>
  <c r="AG56" i="9"/>
  <c r="AH56" i="9"/>
  <c r="AC57" i="9"/>
  <c r="AD57" i="9" s="1"/>
  <c r="AF57" i="9"/>
  <c r="AG57" i="9"/>
  <c r="AH57" i="9"/>
  <c r="AC58" i="9"/>
  <c r="AF58" i="9"/>
  <c r="AG58" i="9"/>
  <c r="AH58" i="9"/>
  <c r="AC59" i="9"/>
  <c r="AE59" i="9" s="1"/>
  <c r="AF59" i="9"/>
  <c r="AG59" i="9"/>
  <c r="AH59" i="9"/>
  <c r="AC60" i="9"/>
  <c r="AD60" i="9" s="1"/>
  <c r="AF60" i="9"/>
  <c r="AG60" i="9"/>
  <c r="AH60" i="9"/>
  <c r="AC61" i="9"/>
  <c r="AE61" i="9" s="1"/>
  <c r="AF61" i="9"/>
  <c r="AG61" i="9"/>
  <c r="AH61" i="9"/>
  <c r="AC62" i="9"/>
  <c r="AD62" i="9" s="1"/>
  <c r="AF62" i="9"/>
  <c r="AG62" i="9"/>
  <c r="AH62" i="9"/>
  <c r="AC63" i="9"/>
  <c r="AD63" i="9" s="1"/>
  <c r="AF63" i="9"/>
  <c r="AG63" i="9"/>
  <c r="AH63" i="9"/>
  <c r="AC64" i="9"/>
  <c r="AD64" i="9" s="1"/>
  <c r="AF64" i="9"/>
  <c r="AG64" i="9"/>
  <c r="AH64" i="9"/>
  <c r="AC65" i="9"/>
  <c r="AE65" i="9" s="1"/>
  <c r="AF65" i="9"/>
  <c r="AG65" i="9"/>
  <c r="AH65" i="9"/>
  <c r="AC66" i="9"/>
  <c r="AD66" i="9" s="1"/>
  <c r="AF66" i="9"/>
  <c r="AG66" i="9"/>
  <c r="AH66" i="9"/>
  <c r="AC67" i="9"/>
  <c r="AD67" i="9" s="1"/>
  <c r="AF67" i="9"/>
  <c r="AG67" i="9"/>
  <c r="AH67" i="9"/>
  <c r="AC68" i="9"/>
  <c r="AF68" i="9"/>
  <c r="AG68" i="9"/>
  <c r="AH68" i="9"/>
  <c r="AC69" i="9"/>
  <c r="AD69" i="9" s="1"/>
  <c r="AF69" i="9"/>
  <c r="AG69" i="9"/>
  <c r="AH69" i="9"/>
  <c r="AC70" i="9"/>
  <c r="AD70" i="9" s="1"/>
  <c r="AF70" i="9"/>
  <c r="AG70" i="9"/>
  <c r="AH70" i="9"/>
  <c r="AC71" i="9"/>
  <c r="AD71" i="9" s="1"/>
  <c r="AF71" i="9"/>
  <c r="AG71" i="9"/>
  <c r="AH71" i="9"/>
  <c r="AC72" i="9"/>
  <c r="AD72" i="9" s="1"/>
  <c r="AF72" i="9"/>
  <c r="AG72" i="9"/>
  <c r="AH72" i="9"/>
  <c r="AC73" i="9"/>
  <c r="AE73" i="9" s="1"/>
  <c r="AF73" i="9"/>
  <c r="AG73" i="9"/>
  <c r="AH73" i="9"/>
  <c r="AC74" i="9"/>
  <c r="AD74" i="9" s="1"/>
  <c r="AF74" i="9"/>
  <c r="AG74" i="9"/>
  <c r="AH74" i="9"/>
  <c r="AC75" i="9"/>
  <c r="AD75" i="9" s="1"/>
  <c r="AF75" i="9"/>
  <c r="AG75" i="9"/>
  <c r="AH75" i="9"/>
  <c r="AC76" i="9"/>
  <c r="AD76" i="9" s="1"/>
  <c r="AF76" i="9"/>
  <c r="AG76" i="9"/>
  <c r="AH76" i="9"/>
  <c r="AC77" i="9"/>
  <c r="AF77" i="9"/>
  <c r="AG77" i="9"/>
  <c r="AH77" i="9"/>
  <c r="AC78" i="9"/>
  <c r="AF78" i="9"/>
  <c r="AG78" i="9"/>
  <c r="AH78" i="9"/>
  <c r="AC79" i="9"/>
  <c r="AF79" i="9"/>
  <c r="AG79" i="9"/>
  <c r="AH79" i="9"/>
  <c r="AC80" i="9"/>
  <c r="AE80" i="9" s="1"/>
  <c r="AF80" i="9"/>
  <c r="AG80" i="9"/>
  <c r="AH80" i="9"/>
  <c r="AC81" i="9"/>
  <c r="AE81" i="9" s="1"/>
  <c r="AF81" i="9"/>
  <c r="AG81" i="9"/>
  <c r="AH81" i="9"/>
  <c r="AC82" i="9"/>
  <c r="AD82" i="9" s="1"/>
  <c r="AF82" i="9"/>
  <c r="AG82" i="9"/>
  <c r="AH82" i="9"/>
  <c r="AC83" i="9"/>
  <c r="AF83" i="9"/>
  <c r="AG83" i="9"/>
  <c r="AH83" i="9"/>
  <c r="AC84" i="9"/>
  <c r="AE84" i="9" s="1"/>
  <c r="AF84" i="9"/>
  <c r="AG84" i="9"/>
  <c r="AH84" i="9"/>
  <c r="AC85" i="9"/>
  <c r="AD85" i="9" s="1"/>
  <c r="AF85" i="9"/>
  <c r="AG85" i="9"/>
  <c r="AH85" i="9"/>
  <c r="AC86" i="9"/>
  <c r="AF86" i="9"/>
  <c r="AG86" i="9"/>
  <c r="AH86" i="9"/>
  <c r="AC87" i="9"/>
  <c r="AD87" i="9" s="1"/>
  <c r="AF87" i="9"/>
  <c r="AG87" i="9"/>
  <c r="AH87" i="9"/>
  <c r="AC88" i="9"/>
  <c r="AF88" i="9"/>
  <c r="AG88" i="9"/>
  <c r="AH88" i="9"/>
  <c r="AC89" i="9"/>
  <c r="AD89" i="9" s="1"/>
  <c r="AF89" i="9"/>
  <c r="AG89" i="9"/>
  <c r="AH89" i="9"/>
  <c r="AC90" i="9"/>
  <c r="AD90" i="9" s="1"/>
  <c r="AF90" i="9"/>
  <c r="AG90" i="9"/>
  <c r="AH90" i="9"/>
  <c r="AC91" i="9"/>
  <c r="AF91" i="9"/>
  <c r="AG91" i="9"/>
  <c r="AH91" i="9"/>
  <c r="AC92" i="9"/>
  <c r="AD92" i="9" s="1"/>
  <c r="AF92" i="9"/>
  <c r="AG92" i="9"/>
  <c r="AH92" i="9"/>
  <c r="AC93" i="9"/>
  <c r="AF93" i="9"/>
  <c r="AG93" i="9"/>
  <c r="AH93" i="9"/>
  <c r="AC94" i="9"/>
  <c r="AD94" i="9" s="1"/>
  <c r="AF94" i="9"/>
  <c r="AG94" i="9"/>
  <c r="AH94" i="9"/>
  <c r="AC95" i="9"/>
  <c r="AD95" i="9" s="1"/>
  <c r="AF95" i="9"/>
  <c r="AG95" i="9"/>
  <c r="AH95" i="9"/>
  <c r="AC96" i="9"/>
  <c r="AD96" i="9" s="1"/>
  <c r="AF96" i="9"/>
  <c r="AG96" i="9"/>
  <c r="AH96" i="9"/>
  <c r="AC97" i="9"/>
  <c r="AD97" i="9" s="1"/>
  <c r="AF97" i="9"/>
  <c r="AG97" i="9"/>
  <c r="AH97" i="9"/>
  <c r="AC98" i="9"/>
  <c r="AD98" i="9" s="1"/>
  <c r="AF98" i="9"/>
  <c r="AG98" i="9"/>
  <c r="AH98" i="9"/>
  <c r="AC99" i="9"/>
  <c r="AD99" i="9" s="1"/>
  <c r="AF99" i="9"/>
  <c r="AG99" i="9"/>
  <c r="AH99" i="9"/>
  <c r="AC100" i="9"/>
  <c r="AD100" i="9" s="1"/>
  <c r="AF100" i="9"/>
  <c r="AG100" i="9"/>
  <c r="AH100" i="9"/>
  <c r="AC101" i="9"/>
  <c r="AD101" i="9" s="1"/>
  <c r="AF101" i="9"/>
  <c r="AG101" i="9"/>
  <c r="AH101" i="9"/>
  <c r="AC102" i="9"/>
  <c r="AD102" i="9" s="1"/>
  <c r="AF102" i="9"/>
  <c r="AG102" i="9"/>
  <c r="AH102" i="9"/>
  <c r="AC103" i="9"/>
  <c r="AF103" i="9"/>
  <c r="AG103" i="9"/>
  <c r="AH103" i="9"/>
  <c r="AC104" i="9"/>
  <c r="AD104" i="9" s="1"/>
  <c r="AF104" i="9"/>
  <c r="AG104" i="9"/>
  <c r="AH104" i="9"/>
  <c r="AC105" i="9"/>
  <c r="AF105" i="9"/>
  <c r="AG105" i="9"/>
  <c r="AH105" i="9"/>
  <c r="AC106" i="9"/>
  <c r="AD106" i="9" s="1"/>
  <c r="AF106" i="9"/>
  <c r="AC107" i="9"/>
  <c r="AD107" i="9" s="1"/>
  <c r="AF107" i="9"/>
  <c r="AC108" i="9"/>
  <c r="AE108" i="9" s="1"/>
  <c r="AF108" i="9"/>
  <c r="AC109" i="9"/>
  <c r="AE109" i="9" s="1"/>
  <c r="AF109" i="9"/>
  <c r="AC110" i="9"/>
  <c r="AF110" i="9"/>
  <c r="AC111" i="9"/>
  <c r="AF111" i="9"/>
  <c r="AC112" i="9"/>
  <c r="AE112" i="9" s="1"/>
  <c r="AF112" i="9"/>
  <c r="AG112" i="9"/>
  <c r="AH112" i="9"/>
  <c r="AC113" i="9"/>
  <c r="AF113" i="9"/>
  <c r="AG113" i="9"/>
  <c r="AH113" i="9"/>
  <c r="AC114" i="9"/>
  <c r="AD114" i="9" s="1"/>
  <c r="AF114" i="9"/>
  <c r="AG114" i="9"/>
  <c r="AH114" i="9"/>
  <c r="AC115" i="9"/>
  <c r="AE115" i="9" s="1"/>
  <c r="AF115" i="9"/>
  <c r="AG115" i="9"/>
  <c r="AH115" i="9"/>
  <c r="AC116" i="9"/>
  <c r="AF116" i="9"/>
  <c r="AG116" i="9"/>
  <c r="AH116" i="9"/>
  <c r="AC117" i="9"/>
  <c r="AD117" i="9" s="1"/>
  <c r="AF117" i="9"/>
  <c r="AG117" i="9"/>
  <c r="AH117" i="9"/>
  <c r="AC118" i="9"/>
  <c r="AE118" i="9" s="1"/>
  <c r="AF118" i="9"/>
  <c r="AG118" i="9"/>
  <c r="AH118" i="9"/>
  <c r="AC119" i="9"/>
  <c r="AD119" i="9" s="1"/>
  <c r="AF119" i="9"/>
  <c r="AC120" i="9"/>
  <c r="AD120" i="9" s="1"/>
  <c r="AF120" i="9"/>
  <c r="AC121" i="9"/>
  <c r="AE121" i="9" s="1"/>
  <c r="AF121" i="9"/>
  <c r="AC122" i="9"/>
  <c r="AF122" i="9"/>
  <c r="AG122" i="9"/>
  <c r="AH122" i="9"/>
  <c r="AC123" i="9"/>
  <c r="AF123" i="9"/>
  <c r="AC124" i="9"/>
  <c r="AF124" i="9"/>
  <c r="AC125" i="9"/>
  <c r="AF125" i="9"/>
  <c r="AC126" i="9"/>
  <c r="AD126" i="9" s="1"/>
  <c r="AF126" i="9"/>
  <c r="AG126" i="9"/>
  <c r="AH126" i="9"/>
  <c r="AC127" i="9"/>
  <c r="AD127" i="9" s="1"/>
  <c r="AF127" i="9"/>
  <c r="AG127" i="9"/>
  <c r="AH127" i="9"/>
  <c r="AC128" i="9"/>
  <c r="AE128" i="9" s="1"/>
  <c r="AF128" i="9"/>
  <c r="AG128" i="9"/>
  <c r="AH128" i="9"/>
  <c r="AC129" i="9"/>
  <c r="AE129" i="9" s="1"/>
  <c r="AF129" i="9"/>
  <c r="AG129" i="9"/>
  <c r="AH129" i="9"/>
  <c r="AC130" i="9"/>
  <c r="AF130" i="9"/>
  <c r="AG130" i="9"/>
  <c r="AH130" i="9"/>
  <c r="AC131" i="9"/>
  <c r="AD131" i="9" s="1"/>
  <c r="AF131" i="9"/>
  <c r="AG131" i="9"/>
  <c r="AH131" i="9"/>
  <c r="AC132" i="9"/>
  <c r="AD132" i="9" s="1"/>
  <c r="AF132" i="9"/>
  <c r="AG132" i="9"/>
  <c r="AH132" i="9"/>
  <c r="AC133" i="9"/>
  <c r="AF133" i="9"/>
  <c r="AG133" i="9"/>
  <c r="AH133" i="9"/>
  <c r="AC134" i="9"/>
  <c r="AD134" i="9" s="1"/>
  <c r="AF134" i="9"/>
  <c r="AG134" i="9"/>
  <c r="AH134" i="9"/>
  <c r="AC135" i="9"/>
  <c r="AD135" i="9" s="1"/>
  <c r="AF135" i="9"/>
  <c r="AG135" i="9"/>
  <c r="AH135" i="9"/>
  <c r="AC136" i="9"/>
  <c r="AD136" i="9" s="1"/>
  <c r="AF136" i="9"/>
  <c r="AG136" i="9"/>
  <c r="AH136" i="9"/>
  <c r="AC137" i="9"/>
  <c r="AE137" i="9" s="1"/>
  <c r="AF137" i="9"/>
  <c r="AG137" i="9"/>
  <c r="AH137" i="9"/>
  <c r="AC138" i="9"/>
  <c r="AF138" i="9"/>
  <c r="AG138" i="9"/>
  <c r="AH138" i="9"/>
  <c r="AC139" i="9"/>
  <c r="AD139" i="9" s="1"/>
  <c r="AF139" i="9"/>
  <c r="AG139" i="9"/>
  <c r="AH139" i="9"/>
  <c r="AC140" i="9"/>
  <c r="AD140" i="9" s="1"/>
  <c r="AF140" i="9"/>
  <c r="AG140" i="9"/>
  <c r="AH140" i="9"/>
  <c r="AC141" i="9"/>
  <c r="AD141" i="9" s="1"/>
  <c r="AF141" i="9"/>
  <c r="AC142" i="9"/>
  <c r="AE142" i="9" s="1"/>
  <c r="AF142" i="9"/>
  <c r="AC143" i="9"/>
  <c r="AD143" i="9" s="1"/>
  <c r="AF143" i="9"/>
  <c r="AC144" i="9"/>
  <c r="AF144" i="9"/>
  <c r="AC145" i="9"/>
  <c r="AF145" i="9"/>
  <c r="AC146" i="9"/>
  <c r="AD146" i="9" s="1"/>
  <c r="AF146" i="9"/>
  <c r="AC147" i="9"/>
  <c r="AD147" i="9" s="1"/>
  <c r="AF147" i="9"/>
  <c r="AG147" i="9"/>
  <c r="AH147" i="9"/>
  <c r="AC148" i="9"/>
  <c r="AE148" i="9" s="1"/>
  <c r="AF148" i="9"/>
  <c r="AG148" i="9"/>
  <c r="AH148" i="9"/>
  <c r="AC149" i="9"/>
  <c r="AE149" i="9" s="1"/>
  <c r="AF149" i="9"/>
  <c r="AG149" i="9"/>
  <c r="AH149" i="9"/>
  <c r="AC150" i="9"/>
  <c r="AF150" i="9"/>
  <c r="AG150" i="9"/>
  <c r="AH150" i="9"/>
  <c r="AC151" i="9"/>
  <c r="AF151" i="9"/>
  <c r="AG151" i="9"/>
  <c r="AH151" i="9"/>
  <c r="AC152" i="9"/>
  <c r="AD152" i="9" s="1"/>
  <c r="AF152" i="9"/>
  <c r="AG152" i="9"/>
  <c r="AH152" i="9"/>
  <c r="AC153" i="9"/>
  <c r="AE153" i="9" s="1"/>
  <c r="AF153" i="9"/>
  <c r="AG153" i="9"/>
  <c r="AH153" i="9"/>
  <c r="AC154" i="9"/>
  <c r="AD154" i="9" s="1"/>
  <c r="AF154" i="9"/>
  <c r="AG154" i="9"/>
  <c r="AH154" i="9"/>
  <c r="AC155" i="9"/>
  <c r="AF155" i="9"/>
  <c r="AG155" i="9"/>
  <c r="AH155" i="9"/>
  <c r="AC156" i="9"/>
  <c r="AE156" i="9" s="1"/>
  <c r="AF156" i="9"/>
  <c r="AG156" i="9"/>
  <c r="AH156" i="9"/>
  <c r="AG107" i="14"/>
  <c r="AG106" i="14"/>
  <c r="AG110" i="14"/>
  <c r="AG109" i="14"/>
  <c r="AG124" i="14"/>
  <c r="AG123" i="14"/>
  <c r="AG46" i="14"/>
  <c r="AG45" i="14"/>
  <c r="AG43" i="14"/>
  <c r="AG42" i="14"/>
  <c r="AG31" i="14"/>
  <c r="AG30" i="14"/>
  <c r="AG16" i="14"/>
  <c r="AG15" i="14"/>
  <c r="AG13" i="14"/>
  <c r="S8" i="29"/>
  <c r="S9" i="29"/>
  <c r="S10" i="29"/>
  <c r="S11" i="29"/>
  <c r="S12" i="29"/>
  <c r="S13" i="29"/>
  <c r="S14" i="29"/>
  <c r="S15" i="29"/>
  <c r="S16" i="29"/>
  <c r="S17" i="29"/>
  <c r="S18" i="29"/>
  <c r="S19" i="29"/>
  <c r="S20" i="29"/>
  <c r="S21" i="29"/>
  <c r="S22" i="29"/>
  <c r="S23" i="29"/>
  <c r="S24" i="29"/>
  <c r="S25" i="29"/>
  <c r="S26" i="29"/>
  <c r="S27" i="29"/>
  <c r="S28" i="29"/>
  <c r="S29" i="29"/>
  <c r="S30" i="29"/>
  <c r="S31" i="29"/>
  <c r="S32" i="29"/>
  <c r="S33" i="29"/>
  <c r="S34" i="29"/>
  <c r="S35" i="29"/>
  <c r="S36" i="29"/>
  <c r="S37" i="29"/>
  <c r="S38" i="29"/>
  <c r="S39" i="29"/>
  <c r="S40" i="29"/>
  <c r="S41" i="29"/>
  <c r="S42" i="29"/>
  <c r="S43" i="29"/>
  <c r="S44" i="29"/>
  <c r="S45" i="29"/>
  <c r="S46" i="29"/>
  <c r="S47" i="29"/>
  <c r="S48" i="29"/>
  <c r="S49" i="29"/>
  <c r="S50" i="29"/>
  <c r="S51" i="29"/>
  <c r="S52" i="29"/>
  <c r="S53" i="29"/>
  <c r="S54" i="29"/>
  <c r="S55" i="29"/>
  <c r="S56" i="29"/>
  <c r="S57" i="29"/>
  <c r="S58" i="29"/>
  <c r="S59" i="29"/>
  <c r="S60" i="29"/>
  <c r="S61" i="29"/>
  <c r="S62" i="29"/>
  <c r="S63" i="29"/>
  <c r="S64" i="29"/>
  <c r="S65" i="29"/>
  <c r="S66" i="29"/>
  <c r="S67" i="29"/>
  <c r="S68" i="29"/>
  <c r="S69" i="29"/>
  <c r="S70" i="29"/>
  <c r="S71" i="29"/>
  <c r="S72" i="29"/>
  <c r="S73" i="29"/>
  <c r="S74" i="29"/>
  <c r="S75" i="29"/>
  <c r="S76" i="29"/>
  <c r="S77" i="29"/>
  <c r="S78" i="29"/>
  <c r="S79" i="29"/>
  <c r="S80" i="29"/>
  <c r="S81" i="29"/>
  <c r="S82" i="29"/>
  <c r="S83" i="29"/>
  <c r="S84" i="29"/>
  <c r="S85" i="29"/>
  <c r="S86" i="29"/>
  <c r="S87" i="29"/>
  <c r="S88" i="29"/>
  <c r="S89" i="29"/>
  <c r="S90" i="29"/>
  <c r="S91" i="29"/>
  <c r="S92" i="29"/>
  <c r="S93" i="29"/>
  <c r="S94" i="29"/>
  <c r="S95" i="29"/>
  <c r="S96" i="29"/>
  <c r="S97" i="29"/>
  <c r="S98" i="29"/>
  <c r="S99" i="29"/>
  <c r="S100" i="29"/>
  <c r="S101" i="29"/>
  <c r="S102" i="29"/>
  <c r="S103" i="29"/>
  <c r="S104" i="29"/>
  <c r="S105" i="29"/>
  <c r="S106" i="29"/>
  <c r="S107" i="29"/>
  <c r="S108" i="29"/>
  <c r="S109" i="29"/>
  <c r="S110" i="29"/>
  <c r="S111" i="29"/>
  <c r="S112" i="29"/>
  <c r="S113" i="29"/>
  <c r="S114" i="29"/>
  <c r="S115" i="29"/>
  <c r="S116" i="29"/>
  <c r="S117" i="29"/>
  <c r="S118" i="29"/>
  <c r="S119" i="29"/>
  <c r="S120" i="29"/>
  <c r="S121" i="29"/>
  <c r="S122" i="29"/>
  <c r="S123" i="29"/>
  <c r="S124" i="29"/>
  <c r="S125" i="29"/>
  <c r="S126" i="29"/>
  <c r="S127" i="29"/>
  <c r="S128" i="29"/>
  <c r="S129" i="29"/>
  <c r="S130" i="29"/>
  <c r="S131" i="29"/>
  <c r="S132" i="29"/>
  <c r="S133" i="29"/>
  <c r="S134" i="29"/>
  <c r="S135" i="29"/>
  <c r="S136" i="29"/>
  <c r="S137" i="29"/>
  <c r="S138" i="29"/>
  <c r="S139" i="29"/>
  <c r="S140" i="29"/>
  <c r="S141" i="29"/>
  <c r="S142" i="29"/>
  <c r="S143" i="29"/>
  <c r="S144" i="29"/>
  <c r="S145" i="29"/>
  <c r="S146" i="29"/>
  <c r="S147" i="29"/>
  <c r="S148" i="29"/>
  <c r="S149" i="29"/>
  <c r="S150" i="29"/>
  <c r="S151" i="29"/>
  <c r="S152" i="29"/>
  <c r="U8" i="29"/>
  <c r="U9" i="29"/>
  <c r="U10" i="29"/>
  <c r="U11" i="29"/>
  <c r="U12" i="29"/>
  <c r="U13" i="29"/>
  <c r="U14" i="29"/>
  <c r="U15" i="29"/>
  <c r="U16" i="29"/>
  <c r="U17" i="29"/>
  <c r="U18" i="29"/>
  <c r="U19" i="29"/>
  <c r="U20" i="29"/>
  <c r="U21" i="29"/>
  <c r="U22" i="29"/>
  <c r="U23" i="29"/>
  <c r="U24" i="29"/>
  <c r="U25" i="29"/>
  <c r="U26" i="29"/>
  <c r="U27" i="29"/>
  <c r="U28" i="29"/>
  <c r="U29" i="29"/>
  <c r="U30" i="29"/>
  <c r="U31" i="29"/>
  <c r="U32" i="29"/>
  <c r="U33" i="29"/>
  <c r="U34" i="29"/>
  <c r="U35" i="29"/>
  <c r="U36" i="29"/>
  <c r="U37" i="29"/>
  <c r="U38" i="29"/>
  <c r="U39" i="29"/>
  <c r="U40" i="29"/>
  <c r="U41" i="29"/>
  <c r="U42" i="29"/>
  <c r="U43" i="29"/>
  <c r="U44" i="29"/>
  <c r="U45" i="29"/>
  <c r="U46" i="29"/>
  <c r="U47" i="29"/>
  <c r="U48" i="29"/>
  <c r="U49" i="29"/>
  <c r="U50" i="29"/>
  <c r="U51" i="29"/>
  <c r="U52" i="29"/>
  <c r="U53" i="29"/>
  <c r="U54" i="29"/>
  <c r="U55" i="29"/>
  <c r="U56" i="29"/>
  <c r="U57" i="29"/>
  <c r="U58" i="29"/>
  <c r="U59" i="29"/>
  <c r="U60" i="29"/>
  <c r="U61" i="29"/>
  <c r="U62" i="29"/>
  <c r="U63" i="29"/>
  <c r="U64" i="29"/>
  <c r="U65" i="29"/>
  <c r="U66" i="29"/>
  <c r="U67" i="29"/>
  <c r="U68" i="29"/>
  <c r="U69" i="29"/>
  <c r="U70" i="29"/>
  <c r="U71" i="29"/>
  <c r="U72" i="29"/>
  <c r="U73" i="29"/>
  <c r="U74" i="29"/>
  <c r="U75" i="29"/>
  <c r="U76" i="29"/>
  <c r="U77" i="29"/>
  <c r="U78" i="29"/>
  <c r="U79" i="29"/>
  <c r="U80" i="29"/>
  <c r="U81" i="29"/>
  <c r="U82" i="29"/>
  <c r="U83" i="29"/>
  <c r="U84" i="29"/>
  <c r="U85" i="29"/>
  <c r="U86" i="29"/>
  <c r="U87" i="29"/>
  <c r="U88" i="29"/>
  <c r="U89" i="29"/>
  <c r="U90" i="29"/>
  <c r="U91" i="29"/>
  <c r="U92" i="29"/>
  <c r="U93" i="29"/>
  <c r="U94" i="29"/>
  <c r="U95" i="29"/>
  <c r="U96" i="29"/>
  <c r="U97" i="29"/>
  <c r="U98" i="29"/>
  <c r="U99" i="29"/>
  <c r="U100" i="29"/>
  <c r="U101" i="29"/>
  <c r="U102" i="29"/>
  <c r="U103" i="29"/>
  <c r="U104" i="29"/>
  <c r="U105" i="29"/>
  <c r="U106" i="29"/>
  <c r="U107" i="29"/>
  <c r="U108" i="29"/>
  <c r="U109" i="29"/>
  <c r="U110" i="29"/>
  <c r="U111" i="29"/>
  <c r="U112" i="29"/>
  <c r="U113" i="29"/>
  <c r="U114" i="29"/>
  <c r="U115" i="29"/>
  <c r="U116" i="29"/>
  <c r="U117" i="29"/>
  <c r="U118" i="29"/>
  <c r="U119" i="29"/>
  <c r="U120" i="29"/>
  <c r="U121" i="29"/>
  <c r="U122" i="29"/>
  <c r="U123" i="29"/>
  <c r="U124" i="29"/>
  <c r="U125" i="29"/>
  <c r="U126" i="29"/>
  <c r="U127" i="29"/>
  <c r="U128" i="29"/>
  <c r="U129" i="29"/>
  <c r="U130" i="29"/>
  <c r="U131" i="29"/>
  <c r="U132" i="29"/>
  <c r="U133" i="29"/>
  <c r="U134" i="29"/>
  <c r="U135" i="29"/>
  <c r="U136" i="29"/>
  <c r="U137" i="29"/>
  <c r="U138" i="29"/>
  <c r="U139" i="29"/>
  <c r="U140" i="29"/>
  <c r="U141" i="29"/>
  <c r="U142" i="29"/>
  <c r="U143" i="29"/>
  <c r="U144" i="29"/>
  <c r="U145" i="29"/>
  <c r="U146" i="29"/>
  <c r="U147" i="29"/>
  <c r="U148" i="29"/>
  <c r="U149" i="29"/>
  <c r="U150" i="29"/>
  <c r="U151" i="29"/>
  <c r="U152" i="29"/>
  <c r="C130" i="9"/>
  <c r="C30" i="9"/>
  <c r="AF154" i="33"/>
  <c r="AC154" i="33"/>
  <c r="AD154" i="33" s="1"/>
  <c r="AF153" i="33"/>
  <c r="AC153" i="33"/>
  <c r="AE153" i="33" s="1"/>
  <c r="AF152" i="33"/>
  <c r="AC152" i="33"/>
  <c r="AE152" i="33" s="1"/>
  <c r="AF151" i="33"/>
  <c r="AC151" i="33"/>
  <c r="AD151" i="33" s="1"/>
  <c r="AF150" i="33"/>
  <c r="AC150" i="33"/>
  <c r="AE150" i="33" s="1"/>
  <c r="AF149" i="33"/>
  <c r="AC149" i="33"/>
  <c r="AE149" i="33" s="1"/>
  <c r="AF148" i="33"/>
  <c r="AC148" i="33"/>
  <c r="AD148" i="33" s="1"/>
  <c r="AF147" i="33"/>
  <c r="AC147" i="33"/>
  <c r="AF146" i="33"/>
  <c r="AC146" i="33"/>
  <c r="AE146" i="33" s="1"/>
  <c r="AF145" i="33"/>
  <c r="AC145" i="33"/>
  <c r="AD145" i="33" s="1"/>
  <c r="AF144" i="33"/>
  <c r="AC144" i="33"/>
  <c r="AD144" i="33" s="1"/>
  <c r="AF143" i="33"/>
  <c r="AC143" i="33"/>
  <c r="AD143" i="33" s="1"/>
  <c r="AF142" i="33"/>
  <c r="AC142" i="33"/>
  <c r="AD142" i="33" s="1"/>
  <c r="AF141" i="33"/>
  <c r="AC141" i="33"/>
  <c r="AE141" i="33" s="1"/>
  <c r="AF140" i="33"/>
  <c r="AC140" i="33"/>
  <c r="AE140" i="33" s="1"/>
  <c r="AF139" i="33"/>
  <c r="AC139" i="33"/>
  <c r="AD139" i="33" s="1"/>
  <c r="AF138" i="33"/>
  <c r="AC138" i="33"/>
  <c r="AE138" i="33" s="1"/>
  <c r="AF137" i="33"/>
  <c r="AC137" i="33"/>
  <c r="AD137" i="33" s="1"/>
  <c r="AF136" i="33"/>
  <c r="AC136" i="33"/>
  <c r="AD136" i="33" s="1"/>
  <c r="AF135" i="33"/>
  <c r="AC135" i="33"/>
  <c r="AE135" i="33" s="1"/>
  <c r="AF134" i="33"/>
  <c r="AC134" i="33"/>
  <c r="AD134" i="33" s="1"/>
  <c r="AF133" i="33"/>
  <c r="AC133" i="33"/>
  <c r="AE133" i="33" s="1"/>
  <c r="AF132" i="33"/>
  <c r="AC132" i="33"/>
  <c r="AE132" i="33" s="1"/>
  <c r="AF131" i="33"/>
  <c r="AC131" i="33"/>
  <c r="AF130" i="33"/>
  <c r="AC130" i="33"/>
  <c r="AD130" i="33" s="1"/>
  <c r="AF129" i="33"/>
  <c r="AC129" i="33"/>
  <c r="AD129" i="33" s="1"/>
  <c r="AF128" i="33"/>
  <c r="AC128" i="33"/>
  <c r="AD128" i="33" s="1"/>
  <c r="AF127" i="33"/>
  <c r="AC127" i="33"/>
  <c r="AD127" i="33" s="1"/>
  <c r="AF126" i="33"/>
  <c r="AC126" i="33"/>
  <c r="AD126" i="33" s="1"/>
  <c r="AF125" i="33"/>
  <c r="AC125" i="33"/>
  <c r="AD125" i="33" s="1"/>
  <c r="AF124" i="33"/>
  <c r="AC124" i="33"/>
  <c r="AE124" i="33" s="1"/>
  <c r="AF123" i="33"/>
  <c r="AC123" i="33"/>
  <c r="AD123" i="33" s="1"/>
  <c r="AF122" i="33"/>
  <c r="AC122" i="33"/>
  <c r="AE122" i="33" s="1"/>
  <c r="AF121" i="33"/>
  <c r="AC121" i="33"/>
  <c r="AD121" i="33" s="1"/>
  <c r="AF120" i="33"/>
  <c r="AC120" i="33"/>
  <c r="AD120" i="33" s="1"/>
  <c r="AF119" i="33"/>
  <c r="AC119" i="33"/>
  <c r="AE119" i="33" s="1"/>
  <c r="AF118" i="33"/>
  <c r="AC118" i="33"/>
  <c r="AD118" i="33" s="1"/>
  <c r="AF117" i="33"/>
  <c r="AC117" i="33"/>
  <c r="AD117" i="33" s="1"/>
  <c r="AF116" i="33"/>
  <c r="AC116" i="33"/>
  <c r="AE116" i="33" s="1"/>
  <c r="AF115" i="33"/>
  <c r="AC115" i="33"/>
  <c r="AD115" i="33" s="1"/>
  <c r="AF114" i="33"/>
  <c r="AC114" i="33"/>
  <c r="AE114" i="33" s="1"/>
  <c r="AF113" i="33"/>
  <c r="AC113" i="33"/>
  <c r="AD113" i="33" s="1"/>
  <c r="AF112" i="33"/>
  <c r="AC112" i="33"/>
  <c r="AE112" i="33" s="1"/>
  <c r="AF111" i="33"/>
  <c r="AC111" i="33"/>
  <c r="AD111" i="33" s="1"/>
  <c r="AF110" i="33"/>
  <c r="AC110" i="33"/>
  <c r="AD110" i="33" s="1"/>
  <c r="AF109" i="33"/>
  <c r="AC109" i="33"/>
  <c r="AF108" i="33"/>
  <c r="AC108" i="33"/>
  <c r="AE108" i="33" s="1"/>
  <c r="AF107" i="33"/>
  <c r="AC107" i="33"/>
  <c r="AD107" i="33" s="1"/>
  <c r="AF106" i="33"/>
  <c r="AC106" i="33"/>
  <c r="AE106" i="33" s="1"/>
  <c r="AF105" i="33"/>
  <c r="AC105" i="33"/>
  <c r="AE105" i="33" s="1"/>
  <c r="AF104" i="33"/>
  <c r="AC104" i="33"/>
  <c r="AE104" i="33" s="1"/>
  <c r="AF103" i="33"/>
  <c r="AC103" i="33"/>
  <c r="AF102" i="33"/>
  <c r="AC102" i="33"/>
  <c r="AE102" i="33" s="1"/>
  <c r="AF101" i="33"/>
  <c r="AC101" i="33"/>
  <c r="AD101" i="33" s="1"/>
  <c r="AF100" i="33"/>
  <c r="AC100" i="33"/>
  <c r="AE100" i="33" s="1"/>
  <c r="AF99" i="33"/>
  <c r="AC99" i="33"/>
  <c r="AD99" i="33" s="1"/>
  <c r="AF98" i="33"/>
  <c r="AC98" i="33"/>
  <c r="AD98" i="33" s="1"/>
  <c r="AF97" i="33"/>
  <c r="AC97" i="33"/>
  <c r="AD97" i="33" s="1"/>
  <c r="AF96" i="33"/>
  <c r="AC96" i="33"/>
  <c r="AE96" i="33" s="1"/>
  <c r="AF95" i="33"/>
  <c r="AC95" i="33"/>
  <c r="AE95" i="33" s="1"/>
  <c r="AF94" i="33"/>
  <c r="AC94" i="33"/>
  <c r="AD94" i="33" s="1"/>
  <c r="AF93" i="33"/>
  <c r="AC93" i="33"/>
  <c r="AE93" i="33" s="1"/>
  <c r="AF92" i="33"/>
  <c r="AC92" i="33"/>
  <c r="AE92" i="33" s="1"/>
  <c r="AF91" i="33"/>
  <c r="AC91" i="33"/>
  <c r="AD91" i="33" s="1"/>
  <c r="AF90" i="33"/>
  <c r="AC90" i="33"/>
  <c r="AD90" i="33" s="1"/>
  <c r="AF89" i="33"/>
  <c r="AC89" i="33"/>
  <c r="AD89" i="33" s="1"/>
  <c r="AF88" i="33"/>
  <c r="AC88" i="33"/>
  <c r="AD88" i="33" s="1"/>
  <c r="AF87" i="33"/>
  <c r="AC87" i="33"/>
  <c r="AD87" i="33" s="1"/>
  <c r="AF86" i="33"/>
  <c r="AC86" i="33"/>
  <c r="AD86" i="33" s="1"/>
  <c r="AF85" i="33"/>
  <c r="AC85" i="33"/>
  <c r="AD85" i="33" s="1"/>
  <c r="AF84" i="33"/>
  <c r="AC84" i="33"/>
  <c r="AE84" i="33" s="1"/>
  <c r="AF83" i="33"/>
  <c r="AC83" i="33"/>
  <c r="AD83" i="33" s="1"/>
  <c r="AF82" i="33"/>
  <c r="AC82" i="33"/>
  <c r="AD82" i="33" s="1"/>
  <c r="AF81" i="33"/>
  <c r="AC81" i="33"/>
  <c r="AD81" i="33" s="1"/>
  <c r="AF80" i="33"/>
  <c r="AC80" i="33"/>
  <c r="AE80" i="33" s="1"/>
  <c r="AF79" i="33"/>
  <c r="AC79" i="33"/>
  <c r="AD79" i="33" s="1"/>
  <c r="AF78" i="33"/>
  <c r="AC78" i="33"/>
  <c r="AD78" i="33" s="1"/>
  <c r="AF77" i="33"/>
  <c r="AC77" i="33"/>
  <c r="AD77" i="33" s="1"/>
  <c r="AF76" i="33"/>
  <c r="AC76" i="33"/>
  <c r="AE76" i="33" s="1"/>
  <c r="AF75" i="33"/>
  <c r="AC75" i="33"/>
  <c r="AF74" i="33"/>
  <c r="AC74" i="33"/>
  <c r="AD74" i="33" s="1"/>
  <c r="AF73" i="33"/>
  <c r="AC73" i="33"/>
  <c r="AF72" i="33"/>
  <c r="AC72" i="33"/>
  <c r="AD72" i="33" s="1"/>
  <c r="AF71" i="33"/>
  <c r="AC71" i="33"/>
  <c r="AE71" i="33" s="1"/>
  <c r="AF70" i="33"/>
  <c r="AC70" i="33"/>
  <c r="AE70" i="33" s="1"/>
  <c r="AF69" i="33"/>
  <c r="AC69" i="33"/>
  <c r="AD69" i="33" s="1"/>
  <c r="AF68" i="33"/>
  <c r="AC68" i="33"/>
  <c r="AE68" i="33" s="1"/>
  <c r="AF67" i="33"/>
  <c r="AC67" i="33"/>
  <c r="AD67" i="33" s="1"/>
  <c r="AF66" i="33"/>
  <c r="AC66" i="33"/>
  <c r="AD66" i="33" s="1"/>
  <c r="AF65" i="33"/>
  <c r="AC65" i="33"/>
  <c r="AF64" i="33"/>
  <c r="AC64" i="33"/>
  <c r="AD64" i="33" s="1"/>
  <c r="AF63" i="33"/>
  <c r="AC63" i="33"/>
  <c r="AE63" i="33" s="1"/>
  <c r="AF62" i="33"/>
  <c r="AC62" i="33"/>
  <c r="AE62" i="33" s="1"/>
  <c r="AF61" i="33"/>
  <c r="AC61" i="33"/>
  <c r="AD61" i="33" s="1"/>
  <c r="AF60" i="33"/>
  <c r="AC60" i="33"/>
  <c r="AD60" i="33" s="1"/>
  <c r="AF59" i="33"/>
  <c r="AC59" i="33"/>
  <c r="AD59" i="33" s="1"/>
  <c r="AF58" i="33"/>
  <c r="AC58" i="33"/>
  <c r="AD58" i="33" s="1"/>
  <c r="AF57" i="33"/>
  <c r="AC57" i="33"/>
  <c r="AF56" i="33"/>
  <c r="AC56" i="33"/>
  <c r="AF55" i="33"/>
  <c r="AC55" i="33"/>
  <c r="AE55" i="33" s="1"/>
  <c r="AF54" i="33"/>
  <c r="AC54" i="33"/>
  <c r="AE54" i="33" s="1"/>
  <c r="AF53" i="33"/>
  <c r="AC53" i="33"/>
  <c r="AE53" i="33" s="1"/>
  <c r="AF52" i="33"/>
  <c r="AC52" i="33"/>
  <c r="AD52" i="33" s="1"/>
  <c r="AF51" i="33"/>
  <c r="AC51" i="33"/>
  <c r="AD51" i="33" s="1"/>
  <c r="AF50" i="33"/>
  <c r="AC50" i="33"/>
  <c r="AD50" i="33" s="1"/>
  <c r="AF49" i="33"/>
  <c r="AC49" i="33"/>
  <c r="AE49" i="33" s="1"/>
  <c r="AF48" i="33"/>
  <c r="AC48" i="33"/>
  <c r="AE48" i="33" s="1"/>
  <c r="AF47" i="33"/>
  <c r="AC47" i="33"/>
  <c r="AF46" i="33"/>
  <c r="AC46" i="33"/>
  <c r="AD46" i="33" s="1"/>
  <c r="AF45" i="33"/>
  <c r="AC45" i="33"/>
  <c r="AE45" i="33" s="1"/>
  <c r="AF44" i="33"/>
  <c r="AC44" i="33"/>
  <c r="AD44" i="33" s="1"/>
  <c r="AF43" i="33"/>
  <c r="AC43" i="33"/>
  <c r="AD43" i="33" s="1"/>
  <c r="AF42" i="33"/>
  <c r="AC42" i="33"/>
  <c r="AD42" i="33" s="1"/>
  <c r="AF41" i="33"/>
  <c r="AC41" i="33"/>
  <c r="AD41" i="33" s="1"/>
  <c r="AF39" i="33"/>
  <c r="AC39" i="33"/>
  <c r="AD39" i="33" s="1"/>
  <c r="AF38" i="33"/>
  <c r="AC38" i="33"/>
  <c r="AE38" i="33" s="1"/>
  <c r="AF37" i="33"/>
  <c r="AC37" i="33"/>
  <c r="AE37" i="33" s="1"/>
  <c r="AF35" i="33"/>
  <c r="AC35" i="33"/>
  <c r="AD35" i="33" s="1"/>
  <c r="AF34" i="33"/>
  <c r="AC34" i="33"/>
  <c r="AD34" i="33" s="1"/>
  <c r="AF33" i="33"/>
  <c r="AC33" i="33"/>
  <c r="AD33" i="33" s="1"/>
  <c r="AF32" i="33"/>
  <c r="AC32" i="33"/>
  <c r="AD32" i="33" s="1"/>
  <c r="AF31" i="33"/>
  <c r="AC31" i="33"/>
  <c r="AD31" i="33" s="1"/>
  <c r="AF30" i="33"/>
  <c r="AC30" i="33"/>
  <c r="AD30" i="33" s="1"/>
  <c r="AF29" i="33"/>
  <c r="AC29" i="33"/>
  <c r="AD29" i="33" s="1"/>
  <c r="AF28" i="33"/>
  <c r="AC28" i="33"/>
  <c r="AD28" i="33" s="1"/>
  <c r="AF27" i="33"/>
  <c r="AC27" i="33"/>
  <c r="AE27" i="33" s="1"/>
  <c r="AF26" i="33"/>
  <c r="AC26" i="33"/>
  <c r="AF25" i="33"/>
  <c r="AC25" i="33"/>
  <c r="AD25" i="33" s="1"/>
  <c r="AF24" i="33"/>
  <c r="AC24" i="33"/>
  <c r="AD24" i="33" s="1"/>
  <c r="AF23" i="33"/>
  <c r="AC23" i="33"/>
  <c r="AE23" i="33" s="1"/>
  <c r="AF22" i="33"/>
  <c r="AC22" i="33"/>
  <c r="AD22" i="33" s="1"/>
  <c r="AF21" i="33"/>
  <c r="AC21" i="33"/>
  <c r="AE21" i="33" s="1"/>
  <c r="AF20" i="33"/>
  <c r="AC20" i="33"/>
  <c r="AD20" i="33" s="1"/>
  <c r="AF19" i="33"/>
  <c r="AC19" i="33"/>
  <c r="AD19" i="33" s="1"/>
  <c r="AF18" i="33"/>
  <c r="AC18" i="33"/>
  <c r="AD18" i="33" s="1"/>
  <c r="AF17" i="33"/>
  <c r="AC17" i="33"/>
  <c r="AF16" i="33"/>
  <c r="AC16" i="33"/>
  <c r="AD16" i="33" s="1"/>
  <c r="AF15" i="33"/>
  <c r="AC15" i="33"/>
  <c r="AD15" i="33" s="1"/>
  <c r="AF14" i="33"/>
  <c r="AC14" i="33"/>
  <c r="AE14" i="33" s="1"/>
  <c r="AF13" i="33"/>
  <c r="AC13" i="33"/>
  <c r="AD13" i="33" s="1"/>
  <c r="AF11" i="33"/>
  <c r="AC11" i="33"/>
  <c r="AD11" i="33" s="1"/>
  <c r="AF10" i="33"/>
  <c r="AC10" i="33"/>
  <c r="AD10" i="33" s="1"/>
  <c r="AF9" i="33"/>
  <c r="AC9" i="33"/>
  <c r="AF8" i="33"/>
  <c r="AC8" i="33"/>
  <c r="AD8" i="33" s="1"/>
  <c r="AF7" i="33"/>
  <c r="AC7" i="33"/>
  <c r="AF156" i="32"/>
  <c r="AC156" i="32"/>
  <c r="AE156" i="32" s="1"/>
  <c r="AF155" i="32"/>
  <c r="AC155" i="32"/>
  <c r="AF154" i="32"/>
  <c r="AC154" i="32"/>
  <c r="AD154" i="32" s="1"/>
  <c r="AF153" i="32"/>
  <c r="AC153" i="32"/>
  <c r="AD153" i="32" s="1"/>
  <c r="AF152" i="32"/>
  <c r="AC152" i="32"/>
  <c r="AE152" i="32" s="1"/>
  <c r="AF151" i="32"/>
  <c r="AC151" i="32"/>
  <c r="AE151" i="32" s="1"/>
  <c r="AF150" i="32"/>
  <c r="AC150" i="32"/>
  <c r="AF149" i="32"/>
  <c r="AC149" i="32"/>
  <c r="AD149" i="32" s="1"/>
  <c r="AF148" i="32"/>
  <c r="AC148" i="32"/>
  <c r="AE148" i="32" s="1"/>
  <c r="AF147" i="32"/>
  <c r="AC147" i="32"/>
  <c r="AE147" i="32" s="1"/>
  <c r="AF146" i="32"/>
  <c r="AC146" i="32"/>
  <c r="AE146" i="32" s="1"/>
  <c r="AF145" i="32"/>
  <c r="AC145" i="32"/>
  <c r="AE145" i="32" s="1"/>
  <c r="AF144" i="32"/>
  <c r="AC144" i="32"/>
  <c r="AF143" i="32"/>
  <c r="AC143" i="32"/>
  <c r="AE143" i="32" s="1"/>
  <c r="AF142" i="32"/>
  <c r="AC142" i="32"/>
  <c r="AE142" i="32" s="1"/>
  <c r="AF141" i="32"/>
  <c r="AC141" i="32"/>
  <c r="AE141" i="32" s="1"/>
  <c r="AF140" i="32"/>
  <c r="AC140" i="32"/>
  <c r="AF139" i="32"/>
  <c r="AC139" i="32"/>
  <c r="AF138" i="32"/>
  <c r="AC138" i="32"/>
  <c r="AD138" i="32" s="1"/>
  <c r="AF137" i="32"/>
  <c r="AC137" i="32"/>
  <c r="AD137" i="32" s="1"/>
  <c r="AF136" i="32"/>
  <c r="AC136" i="32"/>
  <c r="AF135" i="32"/>
  <c r="AC135" i="32"/>
  <c r="AD135" i="32" s="1"/>
  <c r="AF134" i="32"/>
  <c r="AC134" i="32"/>
  <c r="AF133" i="32"/>
  <c r="AC133" i="32"/>
  <c r="AD133" i="32" s="1"/>
  <c r="AF132" i="32"/>
  <c r="AC132" i="32"/>
  <c r="AD132" i="32" s="1"/>
  <c r="AF131" i="32"/>
  <c r="AC131" i="32"/>
  <c r="AD131" i="32" s="1"/>
  <c r="AF130" i="32"/>
  <c r="AC130" i="32"/>
  <c r="AD130" i="32" s="1"/>
  <c r="AF129" i="32"/>
  <c r="AC129" i="32"/>
  <c r="AE129" i="32" s="1"/>
  <c r="AF128" i="32"/>
  <c r="AC128" i="32"/>
  <c r="AE128" i="32" s="1"/>
  <c r="AF127" i="32"/>
  <c r="AC127" i="32"/>
  <c r="AE127" i="32" s="1"/>
  <c r="AF126" i="32"/>
  <c r="AC126" i="32"/>
  <c r="AF125" i="32"/>
  <c r="AC125" i="32"/>
  <c r="AD125" i="32" s="1"/>
  <c r="AF124" i="32"/>
  <c r="AC124" i="32"/>
  <c r="AE124" i="32" s="1"/>
  <c r="AF123" i="32"/>
  <c r="AC123" i="32"/>
  <c r="AE123" i="32" s="1"/>
  <c r="AF122" i="32"/>
  <c r="AC122" i="32"/>
  <c r="AE122" i="32" s="1"/>
  <c r="AF121" i="32"/>
  <c r="AC121" i="32"/>
  <c r="AD121" i="32" s="1"/>
  <c r="AF120" i="32"/>
  <c r="AC120" i="32"/>
  <c r="AD120" i="32" s="1"/>
  <c r="AF119" i="32"/>
  <c r="AC119" i="32"/>
  <c r="AE119" i="32" s="1"/>
  <c r="AF118" i="32"/>
  <c r="AC118" i="32"/>
  <c r="AF117" i="32"/>
  <c r="AC117" i="32"/>
  <c r="AE117" i="32" s="1"/>
  <c r="AF116" i="32"/>
  <c r="AC116" i="32"/>
  <c r="AF115" i="32"/>
  <c r="AC115" i="32"/>
  <c r="AD115" i="32" s="1"/>
  <c r="AF114" i="32"/>
  <c r="AC114" i="32"/>
  <c r="AE114" i="32" s="1"/>
  <c r="AF113" i="32"/>
  <c r="AC113" i="32"/>
  <c r="AE113" i="32" s="1"/>
  <c r="AF112" i="32"/>
  <c r="AC112" i="32"/>
  <c r="AD112" i="32" s="1"/>
  <c r="AF111" i="32"/>
  <c r="AC111" i="32"/>
  <c r="AE111" i="32" s="1"/>
  <c r="AF110" i="32"/>
  <c r="AC110" i="32"/>
  <c r="AE110" i="32" s="1"/>
  <c r="AF109" i="32"/>
  <c r="AC109" i="32"/>
  <c r="AE109" i="32" s="1"/>
  <c r="AF108" i="32"/>
  <c r="AC108" i="32"/>
  <c r="AE108" i="32" s="1"/>
  <c r="AF107" i="32"/>
  <c r="AC107" i="32"/>
  <c r="AE107" i="32" s="1"/>
  <c r="AF106" i="32"/>
  <c r="AC106" i="32"/>
  <c r="AF105" i="32"/>
  <c r="AC105" i="32"/>
  <c r="AE105" i="32" s="1"/>
  <c r="AF104" i="32"/>
  <c r="AC104" i="32"/>
  <c r="AE104" i="32" s="1"/>
  <c r="AF103" i="32"/>
  <c r="AC103" i="32"/>
  <c r="AF102" i="32"/>
  <c r="AC102" i="32"/>
  <c r="AF101" i="32"/>
  <c r="AC101" i="32"/>
  <c r="AE101" i="32" s="1"/>
  <c r="AF100" i="32"/>
  <c r="AC100" i="32"/>
  <c r="AD100" i="32" s="1"/>
  <c r="AF99" i="32"/>
  <c r="AC99" i="32"/>
  <c r="AD99" i="32" s="1"/>
  <c r="AF98" i="32"/>
  <c r="AC98" i="32"/>
  <c r="AF97" i="32"/>
  <c r="AC97" i="32"/>
  <c r="AE97" i="32" s="1"/>
  <c r="AF96" i="32"/>
  <c r="AC96" i="32"/>
  <c r="AD96" i="32" s="1"/>
  <c r="AF95" i="32"/>
  <c r="AC95" i="32"/>
  <c r="AD95" i="32" s="1"/>
  <c r="AF94" i="32"/>
  <c r="AC94" i="32"/>
  <c r="AE94" i="32" s="1"/>
  <c r="AF93" i="32"/>
  <c r="AC93" i="32"/>
  <c r="AF92" i="32"/>
  <c r="AC92" i="32"/>
  <c r="AE92" i="32" s="1"/>
  <c r="AF91" i="32"/>
  <c r="AC91" i="32"/>
  <c r="AD91" i="32" s="1"/>
  <c r="AF90" i="32"/>
  <c r="AC90" i="32"/>
  <c r="AE90" i="32" s="1"/>
  <c r="AF89" i="32"/>
  <c r="AC89" i="32"/>
  <c r="AE89" i="32" s="1"/>
  <c r="AF88" i="32"/>
  <c r="AC88" i="32"/>
  <c r="AF87" i="32"/>
  <c r="AC87" i="32"/>
  <c r="AE87" i="32" s="1"/>
  <c r="AF86" i="32"/>
  <c r="AC86" i="32"/>
  <c r="AE86" i="32" s="1"/>
  <c r="AF85" i="32"/>
  <c r="AC85" i="32"/>
  <c r="AE85" i="32" s="1"/>
  <c r="AF84" i="32"/>
  <c r="AC84" i="32"/>
  <c r="AE84" i="32" s="1"/>
  <c r="AF83" i="32"/>
  <c r="AC83" i="32"/>
  <c r="AE83" i="32" s="1"/>
  <c r="AF82" i="32"/>
  <c r="AC82" i="32"/>
  <c r="AE82" i="32" s="1"/>
  <c r="AF81" i="32"/>
  <c r="AC81" i="32"/>
  <c r="AF80" i="32"/>
  <c r="AC80" i="32"/>
  <c r="AE80" i="32" s="1"/>
  <c r="AF79" i="32"/>
  <c r="AC79" i="32"/>
  <c r="AD79" i="32" s="1"/>
  <c r="AF78" i="32"/>
  <c r="AC78" i="32"/>
  <c r="AF77" i="32"/>
  <c r="AC77" i="32"/>
  <c r="AE77" i="32" s="1"/>
  <c r="AF76" i="32"/>
  <c r="AC76" i="32"/>
  <c r="AE76" i="32" s="1"/>
  <c r="AF75" i="32"/>
  <c r="AC75" i="32"/>
  <c r="AE75" i="32" s="1"/>
  <c r="AF74" i="32"/>
  <c r="AC74" i="32"/>
  <c r="AF73" i="32"/>
  <c r="AC73" i="32"/>
  <c r="AE73" i="32" s="1"/>
  <c r="AF72" i="32"/>
  <c r="AC72" i="32"/>
  <c r="AE72" i="32" s="1"/>
  <c r="AF71" i="32"/>
  <c r="AC71" i="32"/>
  <c r="AD71" i="32" s="1"/>
  <c r="AF70" i="32"/>
  <c r="AC70" i="32"/>
  <c r="AD70" i="32" s="1"/>
  <c r="AF69" i="32"/>
  <c r="AC69" i="32"/>
  <c r="AE69" i="32" s="1"/>
  <c r="AF68" i="32"/>
  <c r="AC68" i="32"/>
  <c r="AE68" i="32" s="1"/>
  <c r="AF67" i="32"/>
  <c r="AC67" i="32"/>
  <c r="AF66" i="32"/>
  <c r="AC66" i="32"/>
  <c r="AD66" i="32" s="1"/>
  <c r="AF65" i="32"/>
  <c r="AC65" i="32"/>
  <c r="AE65" i="32" s="1"/>
  <c r="AF64" i="32"/>
  <c r="AC64" i="32"/>
  <c r="AF63" i="32"/>
  <c r="AC63" i="32"/>
  <c r="AE63" i="32" s="1"/>
  <c r="AF62" i="32"/>
  <c r="AC62" i="32"/>
  <c r="AF60" i="32"/>
  <c r="AC60" i="32"/>
  <c r="AF59" i="32"/>
  <c r="AC59" i="32"/>
  <c r="AE59" i="32" s="1"/>
  <c r="AF58" i="32"/>
  <c r="AC58" i="32"/>
  <c r="AE58" i="32" s="1"/>
  <c r="AF57" i="32"/>
  <c r="AC57" i="32"/>
  <c r="AE57" i="32" s="1"/>
  <c r="AF56" i="32"/>
  <c r="AC56" i="32"/>
  <c r="AD56" i="32" s="1"/>
  <c r="AF55" i="32"/>
  <c r="AC55" i="32"/>
  <c r="AF54" i="32"/>
  <c r="AC54" i="32"/>
  <c r="AE54" i="32" s="1"/>
  <c r="AF53" i="32"/>
  <c r="AC53" i="32"/>
  <c r="AD53" i="32" s="1"/>
  <c r="AF52" i="32"/>
  <c r="AC52" i="32"/>
  <c r="AD52" i="32" s="1"/>
  <c r="AF51" i="32"/>
  <c r="AC51" i="32"/>
  <c r="AE51" i="32" s="1"/>
  <c r="AF50" i="32"/>
  <c r="AC50" i="32"/>
  <c r="AE50" i="32" s="1"/>
  <c r="AF49" i="32"/>
  <c r="AC49" i="32"/>
  <c r="AF48" i="32"/>
  <c r="AC48" i="32"/>
  <c r="AE48" i="32" s="1"/>
  <c r="AF46" i="32"/>
  <c r="AC46" i="32"/>
  <c r="AD46" i="32" s="1"/>
  <c r="AF44" i="32"/>
  <c r="AC44" i="32"/>
  <c r="AD44" i="32" s="1"/>
  <c r="AF42" i="32"/>
  <c r="AC42" i="32"/>
  <c r="AE42" i="32" s="1"/>
  <c r="AF41" i="32"/>
  <c r="AC41" i="32"/>
  <c r="AE41" i="32" s="1"/>
  <c r="AF40" i="32"/>
  <c r="AC40" i="32"/>
  <c r="AE40" i="32" s="1"/>
  <c r="AF39" i="32"/>
  <c r="AC39" i="32"/>
  <c r="AD39" i="32" s="1"/>
  <c r="AF38" i="32"/>
  <c r="AC38" i="32"/>
  <c r="AF37" i="32"/>
  <c r="AC37" i="32"/>
  <c r="AE37" i="32" s="1"/>
  <c r="AF36" i="32"/>
  <c r="AC36" i="32"/>
  <c r="AE36" i="32" s="1"/>
  <c r="AF35" i="32"/>
  <c r="AC35" i="32"/>
  <c r="AD35" i="32" s="1"/>
  <c r="AF34" i="32"/>
  <c r="AC34" i="32"/>
  <c r="AE34" i="32" s="1"/>
  <c r="AF33" i="32"/>
  <c r="AC33" i="32"/>
  <c r="AD33" i="32" s="1"/>
  <c r="AF32" i="32"/>
  <c r="AC32" i="32"/>
  <c r="AF31" i="32"/>
  <c r="AC31" i="32"/>
  <c r="AD31" i="32" s="1"/>
  <c r="AF30" i="32"/>
  <c r="AC30" i="32"/>
  <c r="AF29" i="32"/>
  <c r="AC29" i="32"/>
  <c r="AF28" i="32"/>
  <c r="AC28" i="32"/>
  <c r="AE28" i="32" s="1"/>
  <c r="AF27" i="32"/>
  <c r="AC27" i="32"/>
  <c r="AD27" i="32" s="1"/>
  <c r="AF26" i="32"/>
  <c r="AC26" i="32"/>
  <c r="AF25" i="32"/>
  <c r="AC25" i="32"/>
  <c r="AE25" i="32" s="1"/>
  <c r="AF23" i="32"/>
  <c r="AC23" i="32"/>
  <c r="AD23" i="32" s="1"/>
  <c r="AF22" i="32"/>
  <c r="AC22" i="32"/>
  <c r="AE22" i="32" s="1"/>
  <c r="AF21" i="32"/>
  <c r="AC21" i="32"/>
  <c r="AE21" i="32" s="1"/>
  <c r="AF20" i="32"/>
  <c r="AC20" i="32"/>
  <c r="AE20" i="32" s="1"/>
  <c r="AF18" i="32"/>
  <c r="AC18" i="32"/>
  <c r="AE18" i="32" s="1"/>
  <c r="AF17" i="32"/>
  <c r="AC17" i="32"/>
  <c r="AE17" i="32" s="1"/>
  <c r="AF16" i="32"/>
  <c r="AC16" i="32"/>
  <c r="AE16" i="32" s="1"/>
  <c r="AF15" i="32"/>
  <c r="AC15" i="32"/>
  <c r="AE15" i="32" s="1"/>
  <c r="AF14" i="32"/>
  <c r="AC14" i="32"/>
  <c r="AD14" i="32" s="1"/>
  <c r="AF12" i="32"/>
  <c r="AC12" i="32"/>
  <c r="AD12" i="32" s="1"/>
  <c r="AF11" i="32"/>
  <c r="AC11" i="32"/>
  <c r="AF10" i="32"/>
  <c r="AC10" i="32"/>
  <c r="AE10" i="32" s="1"/>
  <c r="AF9" i="32"/>
  <c r="AC9" i="32"/>
  <c r="AD9" i="32" s="1"/>
  <c r="AF7" i="32"/>
  <c r="AC7" i="32"/>
  <c r="AD7" i="32" s="1"/>
  <c r="AG149" i="31"/>
  <c r="AD149" i="31"/>
  <c r="AF149" i="31" s="1"/>
  <c r="AG148" i="31"/>
  <c r="AD148" i="31"/>
  <c r="AE148" i="31" s="1"/>
  <c r="AG147" i="31"/>
  <c r="AD147" i="31"/>
  <c r="AG146" i="31"/>
  <c r="AD146" i="31"/>
  <c r="AE146" i="31" s="1"/>
  <c r="AG145" i="31"/>
  <c r="AD145" i="31"/>
  <c r="AF145" i="31" s="1"/>
  <c r="AG144" i="31"/>
  <c r="AD144" i="31"/>
  <c r="AF144" i="31" s="1"/>
  <c r="AG143" i="31"/>
  <c r="AD143" i="31"/>
  <c r="AF143" i="31" s="1"/>
  <c r="AG142" i="31"/>
  <c r="AD142" i="31"/>
  <c r="AG141" i="31"/>
  <c r="AD141" i="31"/>
  <c r="AE141" i="31" s="1"/>
  <c r="AG140" i="31"/>
  <c r="AD140" i="31"/>
  <c r="AE140" i="31" s="1"/>
  <c r="AG139" i="31"/>
  <c r="AD139" i="31"/>
  <c r="AF139" i="31" s="1"/>
  <c r="AG138" i="31"/>
  <c r="AD138" i="31"/>
  <c r="AE138" i="31" s="1"/>
  <c r="AG137" i="31"/>
  <c r="AD137" i="31"/>
  <c r="AF137" i="31" s="1"/>
  <c r="AG136" i="31"/>
  <c r="AD136" i="31"/>
  <c r="AF136" i="31" s="1"/>
  <c r="AG135" i="31"/>
  <c r="AD135" i="31"/>
  <c r="AF135" i="31" s="1"/>
  <c r="AG134" i="31"/>
  <c r="AD134" i="31"/>
  <c r="AF134" i="31" s="1"/>
  <c r="AG133" i="31"/>
  <c r="AD133" i="31"/>
  <c r="AG132" i="31"/>
  <c r="AD132" i="31"/>
  <c r="AG131" i="31"/>
  <c r="AD131" i="31"/>
  <c r="AE131" i="31" s="1"/>
  <c r="AG130" i="31"/>
  <c r="AD130" i="31"/>
  <c r="AE130" i="31" s="1"/>
  <c r="AG129" i="31"/>
  <c r="AD129" i="31"/>
  <c r="AG128" i="31"/>
  <c r="AD128" i="31"/>
  <c r="AF128" i="31" s="1"/>
  <c r="AG127" i="31"/>
  <c r="AD127" i="31"/>
  <c r="AG126" i="31"/>
  <c r="AD126" i="31"/>
  <c r="AE126" i="31" s="1"/>
  <c r="AG125" i="31"/>
  <c r="AD125" i="31"/>
  <c r="AE125" i="31" s="1"/>
  <c r="AG124" i="31"/>
  <c r="AD124" i="31"/>
  <c r="AE124" i="31" s="1"/>
  <c r="AG123" i="31"/>
  <c r="AD123" i="31"/>
  <c r="AE123" i="31" s="1"/>
  <c r="AG122" i="31"/>
  <c r="AD122" i="31"/>
  <c r="AE122" i="31" s="1"/>
  <c r="AG121" i="31"/>
  <c r="AD121" i="31"/>
  <c r="AF121" i="31" s="1"/>
  <c r="AG120" i="31"/>
  <c r="AD120" i="31"/>
  <c r="AE120" i="31" s="1"/>
  <c r="AG119" i="31"/>
  <c r="AD119" i="31"/>
  <c r="AG118" i="31"/>
  <c r="AD118" i="31"/>
  <c r="AF118" i="31" s="1"/>
  <c r="AG117" i="31"/>
  <c r="AD117" i="31"/>
  <c r="AE117" i="31" s="1"/>
  <c r="AG116" i="31"/>
  <c r="AD116" i="31"/>
  <c r="AE116" i="31" s="1"/>
  <c r="AG115" i="31"/>
  <c r="AD115" i="31"/>
  <c r="AF115" i="31" s="1"/>
  <c r="AG114" i="31"/>
  <c r="AD114" i="31"/>
  <c r="AE114" i="31" s="1"/>
  <c r="AG113" i="31"/>
  <c r="AD113" i="31"/>
  <c r="AF113" i="31" s="1"/>
  <c r="AG112" i="31"/>
  <c r="AD112" i="31"/>
  <c r="AF112" i="31" s="1"/>
  <c r="AG111" i="31"/>
  <c r="AD111" i="31"/>
  <c r="AF111" i="31" s="1"/>
  <c r="AG110" i="31"/>
  <c r="AD110" i="31"/>
  <c r="AE110" i="31" s="1"/>
  <c r="AG109" i="31"/>
  <c r="AD109" i="31"/>
  <c r="AE109" i="31" s="1"/>
  <c r="AG108" i="31"/>
  <c r="AD108" i="31"/>
  <c r="AE108" i="31" s="1"/>
  <c r="AG107" i="31"/>
  <c r="AD107" i="31"/>
  <c r="AF107" i="31" s="1"/>
  <c r="AG106" i="31"/>
  <c r="AD106" i="31"/>
  <c r="AE106" i="31" s="1"/>
  <c r="AG105" i="31"/>
  <c r="AD105" i="31"/>
  <c r="AG104" i="31"/>
  <c r="AD104" i="31"/>
  <c r="AF104" i="31" s="1"/>
  <c r="AG103" i="31"/>
  <c r="AD103" i="31"/>
  <c r="AF103" i="31" s="1"/>
  <c r="AG102" i="31"/>
  <c r="AD102" i="31"/>
  <c r="AE102" i="31" s="1"/>
  <c r="AG101" i="31"/>
  <c r="AD101" i="31"/>
  <c r="AG100" i="31"/>
  <c r="AD100" i="31"/>
  <c r="AG99" i="31"/>
  <c r="AD99" i="31"/>
  <c r="AG98" i="31"/>
  <c r="AD98" i="31"/>
  <c r="AE98" i="31" s="1"/>
  <c r="AG97" i="31"/>
  <c r="AD97" i="31"/>
  <c r="AF97" i="31" s="1"/>
  <c r="AG96" i="31"/>
  <c r="AD96" i="31"/>
  <c r="AE96" i="31" s="1"/>
  <c r="AG95" i="31"/>
  <c r="AD95" i="31"/>
  <c r="AF95" i="31" s="1"/>
  <c r="AG94" i="31"/>
  <c r="AD94" i="31"/>
  <c r="AE94" i="31" s="1"/>
  <c r="AG93" i="31"/>
  <c r="AD93" i="31"/>
  <c r="AF93" i="31" s="1"/>
  <c r="AG92" i="31"/>
  <c r="AD92" i="31"/>
  <c r="AE92" i="31" s="1"/>
  <c r="AG91" i="31"/>
  <c r="AD91" i="31"/>
  <c r="AG90" i="31"/>
  <c r="AD90" i="31"/>
  <c r="AE90" i="31" s="1"/>
  <c r="AG89" i="31"/>
  <c r="AD89" i="31"/>
  <c r="AF89" i="31" s="1"/>
  <c r="AG88" i="31"/>
  <c r="AD88" i="31"/>
  <c r="AE88" i="31" s="1"/>
  <c r="AG87" i="31"/>
  <c r="AD87" i="31"/>
  <c r="AF87" i="31" s="1"/>
  <c r="AG86" i="31"/>
  <c r="AD86" i="31"/>
  <c r="AF86" i="31" s="1"/>
  <c r="AG85" i="31"/>
  <c r="AD85" i="31"/>
  <c r="AE85" i="31" s="1"/>
  <c r="AG84" i="31"/>
  <c r="AD84" i="31"/>
  <c r="AE84" i="31" s="1"/>
  <c r="AG83" i="31"/>
  <c r="AD83" i="31"/>
  <c r="AF83" i="31" s="1"/>
  <c r="AG82" i="31"/>
  <c r="AD82" i="31"/>
  <c r="AE82" i="31" s="1"/>
  <c r="AG81" i="31"/>
  <c r="AD81" i="31"/>
  <c r="AF81" i="31" s="1"/>
  <c r="AG80" i="31"/>
  <c r="AD80" i="31"/>
  <c r="AF80" i="31" s="1"/>
  <c r="AG79" i="31"/>
  <c r="AD79" i="31"/>
  <c r="AF79" i="31" s="1"/>
  <c r="AG78" i="31"/>
  <c r="AD78" i="31"/>
  <c r="AF78" i="31" s="1"/>
  <c r="AG77" i="31"/>
  <c r="AD77" i="31"/>
  <c r="AG76" i="31"/>
  <c r="AD76" i="31"/>
  <c r="AE76" i="31" s="1"/>
  <c r="AG75" i="31"/>
  <c r="AD75" i="31"/>
  <c r="AE75" i="31" s="1"/>
  <c r="AG74" i="31"/>
  <c r="AD74" i="31"/>
  <c r="AE74" i="31" s="1"/>
  <c r="AG73" i="31"/>
  <c r="AD73" i="31"/>
  <c r="AF73" i="31" s="1"/>
  <c r="AG72" i="31"/>
  <c r="AD72" i="31"/>
  <c r="AF72" i="31" s="1"/>
  <c r="AG71" i="31"/>
  <c r="AD71" i="31"/>
  <c r="AF71" i="31" s="1"/>
  <c r="AG70" i="31"/>
  <c r="AD70" i="31"/>
  <c r="AF70" i="31" s="1"/>
  <c r="AG69" i="31"/>
  <c r="AD69" i="31"/>
  <c r="AF69" i="31" s="1"/>
  <c r="AG68" i="31"/>
  <c r="AD68" i="31"/>
  <c r="AG67" i="31"/>
  <c r="AD67" i="31"/>
  <c r="AF67" i="31" s="1"/>
  <c r="AG66" i="31"/>
  <c r="AD66" i="31"/>
  <c r="AE66" i="31" s="1"/>
  <c r="AG65" i="31"/>
  <c r="AD65" i="31"/>
  <c r="AG64" i="31"/>
  <c r="AD64" i="31"/>
  <c r="AE64" i="31" s="1"/>
  <c r="AG63" i="31"/>
  <c r="AD63" i="31"/>
  <c r="AG62" i="31"/>
  <c r="AD62" i="31"/>
  <c r="AE62" i="31" s="1"/>
  <c r="AG61" i="31"/>
  <c r="AD61" i="31"/>
  <c r="AE61" i="31" s="1"/>
  <c r="AG60" i="31"/>
  <c r="AD60" i="31"/>
  <c r="AE60" i="31" s="1"/>
  <c r="AG59" i="31"/>
  <c r="AD59" i="31"/>
  <c r="AE59" i="31" s="1"/>
  <c r="AG58" i="31"/>
  <c r="AD58" i="31"/>
  <c r="AE58" i="31" s="1"/>
  <c r="AG57" i="31"/>
  <c r="AD57" i="31"/>
  <c r="AF57" i="31" s="1"/>
  <c r="AG56" i="31"/>
  <c r="AD56" i="31"/>
  <c r="AE56" i="31" s="1"/>
  <c r="AG55" i="31"/>
  <c r="AD55" i="31"/>
  <c r="AF55" i="31" s="1"/>
  <c r="AG54" i="31"/>
  <c r="AD54" i="31"/>
  <c r="AF54" i="31" s="1"/>
  <c r="AG53" i="31"/>
  <c r="AD53" i="31"/>
  <c r="AF53" i="31" s="1"/>
  <c r="AG52" i="31"/>
  <c r="AD52" i="31"/>
  <c r="AE52" i="31" s="1"/>
  <c r="AG51" i="31"/>
  <c r="AD51" i="31"/>
  <c r="AF51" i="31" s="1"/>
  <c r="AG50" i="31"/>
  <c r="AD50" i="31"/>
  <c r="AE50" i="31" s="1"/>
  <c r="AG49" i="31"/>
  <c r="AD49" i="31"/>
  <c r="AG48" i="31"/>
  <c r="AD48" i="31"/>
  <c r="AF48" i="31" s="1"/>
  <c r="AG47" i="31"/>
  <c r="AD47" i="31"/>
  <c r="AG46" i="31"/>
  <c r="AD46" i="31"/>
  <c r="AF46" i="31" s="1"/>
  <c r="AG45" i="31"/>
  <c r="AD45" i="31"/>
  <c r="AE45" i="31" s="1"/>
  <c r="AG44" i="31"/>
  <c r="AD44" i="31"/>
  <c r="AE44" i="31" s="1"/>
  <c r="AG43" i="31"/>
  <c r="AD43" i="31"/>
  <c r="AF43" i="31" s="1"/>
  <c r="AG42" i="31"/>
  <c r="AD42" i="31"/>
  <c r="AE42" i="31" s="1"/>
  <c r="AG41" i="31"/>
  <c r="AD41" i="31"/>
  <c r="AF41" i="31" s="1"/>
  <c r="AG40" i="31"/>
  <c r="AD40" i="31"/>
  <c r="AE40" i="31" s="1"/>
  <c r="AG39" i="31"/>
  <c r="AD39" i="31"/>
  <c r="AF39" i="31" s="1"/>
  <c r="AG38" i="31"/>
  <c r="AD38" i="31"/>
  <c r="AE38" i="31" s="1"/>
  <c r="AG37" i="31"/>
  <c r="AD37" i="31"/>
  <c r="AF37" i="31" s="1"/>
  <c r="AG36" i="31"/>
  <c r="AD36" i="31"/>
  <c r="AG35" i="31"/>
  <c r="AD35" i="31"/>
  <c r="AG34" i="31"/>
  <c r="AD34" i="31"/>
  <c r="AG33" i="31"/>
  <c r="AD33" i="31"/>
  <c r="AG32" i="31"/>
  <c r="AD32" i="31"/>
  <c r="AF32" i="31" s="1"/>
  <c r="AG31" i="31"/>
  <c r="AD31" i="31"/>
  <c r="AF31" i="31" s="1"/>
  <c r="AG30" i="31"/>
  <c r="AD30" i="31"/>
  <c r="AE30" i="31" s="1"/>
  <c r="AG29" i="31"/>
  <c r="AD29" i="31"/>
  <c r="AE29" i="31" s="1"/>
  <c r="AG28" i="31"/>
  <c r="AD28" i="31"/>
  <c r="AE28" i="31" s="1"/>
  <c r="AG27" i="31"/>
  <c r="AD27" i="31"/>
  <c r="AE27" i="31" s="1"/>
  <c r="AG26" i="31"/>
  <c r="AD26" i="31"/>
  <c r="AE26" i="31" s="1"/>
  <c r="AG25" i="31"/>
  <c r="AD25" i="31"/>
  <c r="AF25" i="31" s="1"/>
  <c r="AG24" i="31"/>
  <c r="AD24" i="31"/>
  <c r="AG23" i="31"/>
  <c r="AD23" i="31"/>
  <c r="AF23" i="31" s="1"/>
  <c r="AG22" i="31"/>
  <c r="AD22" i="31"/>
  <c r="AG21" i="31"/>
  <c r="AD21" i="31"/>
  <c r="AF21" i="31" s="1"/>
  <c r="AG20" i="31"/>
  <c r="AD20" i="31"/>
  <c r="AE20" i="31" s="1"/>
  <c r="AG19" i="31"/>
  <c r="AD19" i="31"/>
  <c r="AG18" i="31"/>
  <c r="AD18" i="31"/>
  <c r="AE18" i="31" s="1"/>
  <c r="AG17" i="31"/>
  <c r="AD17" i="31"/>
  <c r="AF17" i="31" s="1"/>
  <c r="AG16" i="31"/>
  <c r="AD16" i="31"/>
  <c r="AF16" i="31" s="1"/>
  <c r="AG15" i="31"/>
  <c r="AD15" i="31"/>
  <c r="AF15" i="31" s="1"/>
  <c r="AG14" i="31"/>
  <c r="AD14" i="31"/>
  <c r="AE14" i="31" s="1"/>
  <c r="AG13" i="31"/>
  <c r="AD13" i="31"/>
  <c r="AE13" i="31" s="1"/>
  <c r="AG12" i="31"/>
  <c r="AD12" i="31"/>
  <c r="AE12" i="31" s="1"/>
  <c r="AG11" i="31"/>
  <c r="AD11" i="31"/>
  <c r="AF11" i="31" s="1"/>
  <c r="AG10" i="31"/>
  <c r="AD10" i="31"/>
  <c r="AE10" i="31" s="1"/>
  <c r="AG9" i="31"/>
  <c r="AD9" i="31"/>
  <c r="AF9" i="31" s="1"/>
  <c r="AG8" i="31"/>
  <c r="AD8" i="31"/>
  <c r="AE8" i="31" s="1"/>
  <c r="AG7" i="31"/>
  <c r="AD7" i="31"/>
  <c r="AF7" i="31" s="1"/>
  <c r="AF152" i="29"/>
  <c r="AC152" i="29"/>
  <c r="AE152" i="29" s="1"/>
  <c r="AF151" i="29"/>
  <c r="AC151" i="29"/>
  <c r="AD151" i="29" s="1"/>
  <c r="AF150" i="29"/>
  <c r="AC150" i="29"/>
  <c r="AE150" i="29" s="1"/>
  <c r="AF149" i="29"/>
  <c r="AC149" i="29"/>
  <c r="AD149" i="29" s="1"/>
  <c r="AF148" i="29"/>
  <c r="AC148" i="29"/>
  <c r="AE148" i="29" s="1"/>
  <c r="AF147" i="29"/>
  <c r="AC147" i="29"/>
  <c r="AD147" i="29" s="1"/>
  <c r="AF146" i="29"/>
  <c r="AC146" i="29"/>
  <c r="AF145" i="29"/>
  <c r="AC145" i="29"/>
  <c r="AF144" i="29"/>
  <c r="AC144" i="29"/>
  <c r="AE144" i="29" s="1"/>
  <c r="AF143" i="29"/>
  <c r="AC143" i="29"/>
  <c r="AF142" i="29"/>
  <c r="AC142" i="29"/>
  <c r="AD142" i="29" s="1"/>
  <c r="AF141" i="29"/>
  <c r="AC141" i="29"/>
  <c r="AD141" i="29" s="1"/>
  <c r="AF140" i="29"/>
  <c r="AC140" i="29"/>
  <c r="AE140" i="29" s="1"/>
  <c r="AF139" i="29"/>
  <c r="AC139" i="29"/>
  <c r="AD139" i="29" s="1"/>
  <c r="AF138" i="29"/>
  <c r="AC138" i="29"/>
  <c r="AF137" i="29"/>
  <c r="AC137" i="29"/>
  <c r="AF136" i="29"/>
  <c r="AC136" i="29"/>
  <c r="AE136" i="29" s="1"/>
  <c r="AF135" i="29"/>
  <c r="AC135" i="29"/>
  <c r="AD135" i="29" s="1"/>
  <c r="AF134" i="29"/>
  <c r="AC134" i="29"/>
  <c r="AE134" i="29" s="1"/>
  <c r="AF133" i="29"/>
  <c r="AC133" i="29"/>
  <c r="AF132" i="29"/>
  <c r="AC132" i="29"/>
  <c r="AF131" i="29"/>
  <c r="AC131" i="29"/>
  <c r="AE131" i="29" s="1"/>
  <c r="AF130" i="29"/>
  <c r="AC130" i="29"/>
  <c r="AD130" i="29" s="1"/>
  <c r="AF129" i="29"/>
  <c r="AC129" i="29"/>
  <c r="AF128" i="29"/>
  <c r="AC128" i="29"/>
  <c r="AE128" i="29" s="1"/>
  <c r="AF127" i="29"/>
  <c r="AC127" i="29"/>
  <c r="AE127" i="29" s="1"/>
  <c r="AF126" i="29"/>
  <c r="AC126" i="29"/>
  <c r="AD126" i="29" s="1"/>
  <c r="AF125" i="29"/>
  <c r="AC125" i="29"/>
  <c r="AF124" i="29"/>
  <c r="AC124" i="29"/>
  <c r="AE124" i="29" s="1"/>
  <c r="AF123" i="29"/>
  <c r="AC123" i="29"/>
  <c r="AD123" i="29" s="1"/>
  <c r="AF122" i="29"/>
  <c r="AC122" i="29"/>
  <c r="AE122" i="29" s="1"/>
  <c r="AF121" i="29"/>
  <c r="AC121" i="29"/>
  <c r="AE121" i="29" s="1"/>
  <c r="AF120" i="29"/>
  <c r="AC120" i="29"/>
  <c r="AD120" i="29" s="1"/>
  <c r="AF119" i="29"/>
  <c r="AC119" i="29"/>
  <c r="AD119" i="29" s="1"/>
  <c r="AF118" i="29"/>
  <c r="AC118" i="29"/>
  <c r="AD118" i="29" s="1"/>
  <c r="AF117" i="29"/>
  <c r="AC117" i="29"/>
  <c r="AD117" i="29" s="1"/>
  <c r="AF116" i="29"/>
  <c r="AC116" i="29"/>
  <c r="AF115" i="29"/>
  <c r="AC115" i="29"/>
  <c r="AF114" i="29"/>
  <c r="AC114" i="29"/>
  <c r="AE114" i="29" s="1"/>
  <c r="AF113" i="29"/>
  <c r="AC113" i="29"/>
  <c r="AD113" i="29" s="1"/>
  <c r="AF112" i="29"/>
  <c r="AC112" i="29"/>
  <c r="AD112" i="29" s="1"/>
  <c r="AF111" i="29"/>
  <c r="AC111" i="29"/>
  <c r="AD111" i="29" s="1"/>
  <c r="AF110" i="29"/>
  <c r="AC110" i="29"/>
  <c r="AD110" i="29" s="1"/>
  <c r="AF109" i="29"/>
  <c r="AC109" i="29"/>
  <c r="AF108" i="29"/>
  <c r="AC108" i="29"/>
  <c r="AE108" i="29" s="1"/>
  <c r="AF107" i="29"/>
  <c r="AC107" i="29"/>
  <c r="AE107" i="29" s="1"/>
  <c r="AF106" i="29"/>
  <c r="AC106" i="29"/>
  <c r="AD106" i="29" s="1"/>
  <c r="AF105" i="29"/>
  <c r="AC105" i="29"/>
  <c r="AF104" i="29"/>
  <c r="AC104" i="29"/>
  <c r="AE104" i="29" s="1"/>
  <c r="AF103" i="29"/>
  <c r="AC103" i="29"/>
  <c r="AE103" i="29" s="1"/>
  <c r="AF102" i="29"/>
  <c r="AC102" i="29"/>
  <c r="AF101" i="29"/>
  <c r="AC101" i="29"/>
  <c r="AE101" i="29" s="1"/>
  <c r="AF100" i="29"/>
  <c r="AC100" i="29"/>
  <c r="AE100" i="29" s="1"/>
  <c r="AF99" i="29"/>
  <c r="AC99" i="29"/>
  <c r="AD99" i="29" s="1"/>
  <c r="AF98" i="29"/>
  <c r="AC98" i="29"/>
  <c r="AE98" i="29" s="1"/>
  <c r="AF97" i="29"/>
  <c r="AC97" i="29"/>
  <c r="AD97" i="29" s="1"/>
  <c r="AF96" i="29"/>
  <c r="AC96" i="29"/>
  <c r="AD96" i="29" s="1"/>
  <c r="AF95" i="29"/>
  <c r="AC95" i="29"/>
  <c r="AE95" i="29" s="1"/>
  <c r="AF94" i="29"/>
  <c r="AC94" i="29"/>
  <c r="AD94" i="29" s="1"/>
  <c r="AF93" i="29"/>
  <c r="AC93" i="29"/>
  <c r="AE93" i="29" s="1"/>
  <c r="AF92" i="29"/>
  <c r="AC92" i="29"/>
  <c r="AE92" i="29" s="1"/>
  <c r="AF91" i="29"/>
  <c r="AC91" i="29"/>
  <c r="AE91" i="29" s="1"/>
  <c r="AF90" i="29"/>
  <c r="AC90" i="29"/>
  <c r="AD90" i="29" s="1"/>
  <c r="AF89" i="29"/>
  <c r="AC89" i="29"/>
  <c r="AE89" i="29" s="1"/>
  <c r="AF88" i="29"/>
  <c r="AC88" i="29"/>
  <c r="AF87" i="29"/>
  <c r="AC87" i="29"/>
  <c r="AE87" i="29" s="1"/>
  <c r="AF86" i="29"/>
  <c r="AC86" i="29"/>
  <c r="AF85" i="29"/>
  <c r="AC85" i="29"/>
  <c r="AD85" i="29" s="1"/>
  <c r="AF84" i="29"/>
  <c r="AC84" i="29"/>
  <c r="AF83" i="29"/>
  <c r="AC83" i="29"/>
  <c r="AD83" i="29" s="1"/>
  <c r="AF82" i="29"/>
  <c r="AC82" i="29"/>
  <c r="AF81" i="29"/>
  <c r="AC81" i="29"/>
  <c r="AE81" i="29" s="1"/>
  <c r="AF80" i="29"/>
  <c r="AC80" i="29"/>
  <c r="AE80" i="29" s="1"/>
  <c r="AF79" i="29"/>
  <c r="AC79" i="29"/>
  <c r="AF78" i="29"/>
  <c r="AC78" i="29"/>
  <c r="AE78" i="29" s="1"/>
  <c r="AF77" i="29"/>
  <c r="AC77" i="29"/>
  <c r="AE77" i="29" s="1"/>
  <c r="AF76" i="29"/>
  <c r="AC76" i="29"/>
  <c r="AE76" i="29" s="1"/>
  <c r="AF75" i="29"/>
  <c r="AC75" i="29"/>
  <c r="AE75" i="29" s="1"/>
  <c r="AF74" i="29"/>
  <c r="AC74" i="29"/>
  <c r="AD74" i="29" s="1"/>
  <c r="AF73" i="29"/>
  <c r="AC73" i="29"/>
  <c r="AF72" i="29"/>
  <c r="AC72" i="29"/>
  <c r="AE72" i="29" s="1"/>
  <c r="AF71" i="29"/>
  <c r="AC71" i="29"/>
  <c r="AE71" i="29" s="1"/>
  <c r="AF70" i="29"/>
  <c r="AC70" i="29"/>
  <c r="AD70" i="29" s="1"/>
  <c r="AF69" i="29"/>
  <c r="AC69" i="29"/>
  <c r="AE69" i="29" s="1"/>
  <c r="AF68" i="29"/>
  <c r="AC68" i="29"/>
  <c r="AE68" i="29" s="1"/>
  <c r="AF67" i="29"/>
  <c r="AC67" i="29"/>
  <c r="AF66" i="29"/>
  <c r="AC66" i="29"/>
  <c r="AD66" i="29" s="1"/>
  <c r="AF65" i="29"/>
  <c r="AC65" i="29"/>
  <c r="AF64" i="29"/>
  <c r="AC64" i="29"/>
  <c r="AD64" i="29" s="1"/>
  <c r="AF63" i="29"/>
  <c r="AC63" i="29"/>
  <c r="AD63" i="29" s="1"/>
  <c r="AF62" i="29"/>
  <c r="AC62" i="29"/>
  <c r="AD62" i="29" s="1"/>
  <c r="AF61" i="29"/>
  <c r="AC61" i="29"/>
  <c r="AF60" i="29"/>
  <c r="AC60" i="29"/>
  <c r="AD60" i="29" s="1"/>
  <c r="AF59" i="29"/>
  <c r="AC59" i="29"/>
  <c r="AF58" i="29"/>
  <c r="AC58" i="29"/>
  <c r="AE58" i="29" s="1"/>
  <c r="AF57" i="29"/>
  <c r="AC57" i="29"/>
  <c r="AD57" i="29" s="1"/>
  <c r="AF56" i="29"/>
  <c r="AC56" i="29"/>
  <c r="AD56" i="29" s="1"/>
  <c r="AF55" i="29"/>
  <c r="AC55" i="29"/>
  <c r="AF54" i="29"/>
  <c r="AC54" i="29"/>
  <c r="AF53" i="29"/>
  <c r="AC53" i="29"/>
  <c r="AE53" i="29" s="1"/>
  <c r="AF52" i="29"/>
  <c r="AC52" i="29"/>
  <c r="AF51" i="29"/>
  <c r="AC51" i="29"/>
  <c r="AE51" i="29" s="1"/>
  <c r="AF50" i="29"/>
  <c r="AC50" i="29"/>
  <c r="AF49" i="29"/>
  <c r="AC49" i="29"/>
  <c r="AD49" i="29" s="1"/>
  <c r="AF48" i="29"/>
  <c r="AC48" i="29"/>
  <c r="AE48" i="29" s="1"/>
  <c r="AF47" i="29"/>
  <c r="AC47" i="29"/>
  <c r="AF46" i="29"/>
  <c r="AC46" i="29"/>
  <c r="AD46" i="29" s="1"/>
  <c r="AF45" i="29"/>
  <c r="AC45" i="29"/>
  <c r="AE45" i="29" s="1"/>
  <c r="AF44" i="29"/>
  <c r="AC44" i="29"/>
  <c r="AE44" i="29" s="1"/>
  <c r="AF43" i="29"/>
  <c r="AC43" i="29"/>
  <c r="AE43" i="29" s="1"/>
  <c r="AF42" i="29"/>
  <c r="AC42" i="29"/>
  <c r="AE42" i="29" s="1"/>
  <c r="AF41" i="29"/>
  <c r="AC41" i="29"/>
  <c r="AE41" i="29" s="1"/>
  <c r="AF40" i="29"/>
  <c r="AC40" i="29"/>
  <c r="AF39" i="29"/>
  <c r="AC39" i="29"/>
  <c r="AE39" i="29" s="1"/>
  <c r="AF38" i="29"/>
  <c r="AC38" i="29"/>
  <c r="AE38" i="29" s="1"/>
  <c r="AF37" i="29"/>
  <c r="AC37" i="29"/>
  <c r="AE37" i="29" s="1"/>
  <c r="AF36" i="29"/>
  <c r="AC36" i="29"/>
  <c r="AE36" i="29" s="1"/>
  <c r="AF35" i="29"/>
  <c r="AC35" i="29"/>
  <c r="AE35" i="29" s="1"/>
  <c r="AF34" i="29"/>
  <c r="AC34" i="29"/>
  <c r="AE34" i="29" s="1"/>
  <c r="AF33" i="29"/>
  <c r="AC33" i="29"/>
  <c r="AD33" i="29" s="1"/>
  <c r="AF32" i="29"/>
  <c r="AC32" i="29"/>
  <c r="AE32" i="29" s="1"/>
  <c r="AF31" i="29"/>
  <c r="AC31" i="29"/>
  <c r="AD31" i="29" s="1"/>
  <c r="AF30" i="29"/>
  <c r="AC30" i="29"/>
  <c r="AE30" i="29" s="1"/>
  <c r="AF29" i="29"/>
  <c r="AC29" i="29"/>
  <c r="AE29" i="29" s="1"/>
  <c r="AF28" i="29"/>
  <c r="AC28" i="29"/>
  <c r="AF27" i="29"/>
  <c r="AC27" i="29"/>
  <c r="AF26" i="29"/>
  <c r="AC26" i="29"/>
  <c r="AE26" i="29" s="1"/>
  <c r="AF25" i="29"/>
  <c r="AC25" i="29"/>
  <c r="AF24" i="29"/>
  <c r="AC24" i="29"/>
  <c r="AD24" i="29" s="1"/>
  <c r="AF23" i="29"/>
  <c r="AC23" i="29"/>
  <c r="AF22" i="29"/>
  <c r="AC22" i="29"/>
  <c r="AD22" i="29" s="1"/>
  <c r="AF21" i="29"/>
  <c r="AC21" i="29"/>
  <c r="AD21" i="29" s="1"/>
  <c r="AF20" i="29"/>
  <c r="AC20" i="29"/>
  <c r="AE20" i="29" s="1"/>
  <c r="AF19" i="29"/>
  <c r="AC19" i="29"/>
  <c r="AD19" i="29" s="1"/>
  <c r="AF18" i="29"/>
  <c r="AC18" i="29"/>
  <c r="AF17" i="29"/>
  <c r="AC17" i="29"/>
  <c r="AF16" i="29"/>
  <c r="AC16" i="29"/>
  <c r="AF15" i="29"/>
  <c r="AC15" i="29"/>
  <c r="AD15" i="29" s="1"/>
  <c r="AF14" i="29"/>
  <c r="AC14" i="29"/>
  <c r="AD14" i="29" s="1"/>
  <c r="AF13" i="29"/>
  <c r="AC13" i="29"/>
  <c r="AF12" i="29"/>
  <c r="AC12" i="29"/>
  <c r="AE12" i="29" s="1"/>
  <c r="AF11" i="29"/>
  <c r="AC11" i="29"/>
  <c r="AF10" i="29"/>
  <c r="AC10" i="29"/>
  <c r="AE10" i="29" s="1"/>
  <c r="AF7" i="29"/>
  <c r="AC7" i="29"/>
  <c r="AD7" i="29" s="1"/>
  <c r="AF154" i="25"/>
  <c r="AC154" i="25"/>
  <c r="AF153" i="25"/>
  <c r="AC153" i="25"/>
  <c r="AF152" i="25"/>
  <c r="AC152" i="25"/>
  <c r="AE154" i="25" s="1"/>
  <c r="AF151" i="25"/>
  <c r="AC151" i="25"/>
  <c r="AE151" i="25" s="1"/>
  <c r="AF150" i="25"/>
  <c r="AC150" i="25"/>
  <c r="AD152" i="25" s="1"/>
  <c r="AF149" i="25"/>
  <c r="AC149" i="25"/>
  <c r="AF148" i="25"/>
  <c r="AC148" i="25"/>
  <c r="AF147" i="25"/>
  <c r="AC147" i="25"/>
  <c r="AE147" i="25" s="1"/>
  <c r="AF146" i="25"/>
  <c r="AC146" i="25"/>
  <c r="AD146" i="25" s="1"/>
  <c r="AF145" i="25"/>
  <c r="AC145" i="25"/>
  <c r="AD145" i="25" s="1"/>
  <c r="AF144" i="25"/>
  <c r="AC144" i="25"/>
  <c r="AE144" i="25" s="1"/>
  <c r="AF143" i="25"/>
  <c r="AC143" i="25"/>
  <c r="AE143" i="25" s="1"/>
  <c r="AF142" i="25"/>
  <c r="AC142" i="25"/>
  <c r="AE142" i="25" s="1"/>
  <c r="AF141" i="25"/>
  <c r="AC141" i="25"/>
  <c r="AD141" i="25" s="1"/>
  <c r="AF140" i="25"/>
  <c r="AC140" i="25"/>
  <c r="AD140" i="25" s="1"/>
  <c r="AF139" i="25"/>
  <c r="AC139" i="25"/>
  <c r="AD139" i="25" s="1"/>
  <c r="AF138" i="25"/>
  <c r="AC138" i="25"/>
  <c r="AD138" i="25" s="1"/>
  <c r="AF137" i="25"/>
  <c r="AC137" i="25"/>
  <c r="AE137" i="25" s="1"/>
  <c r="AF136" i="25"/>
  <c r="AC136" i="25"/>
  <c r="AD136" i="25" s="1"/>
  <c r="AF135" i="25"/>
  <c r="AC135" i="25"/>
  <c r="AF134" i="25"/>
  <c r="AC134" i="25"/>
  <c r="AE134" i="25" s="1"/>
  <c r="AF133" i="25"/>
  <c r="AC133" i="25"/>
  <c r="AF132" i="25"/>
  <c r="AC132" i="25"/>
  <c r="AD132" i="25" s="1"/>
  <c r="AF131" i="25"/>
  <c r="AC131" i="25"/>
  <c r="AE131" i="25" s="1"/>
  <c r="AF130" i="25"/>
  <c r="AC130" i="25"/>
  <c r="AD130" i="25" s="1"/>
  <c r="AF129" i="25"/>
  <c r="AC129" i="25"/>
  <c r="AD129" i="25" s="1"/>
  <c r="AF128" i="25"/>
  <c r="AC128" i="25"/>
  <c r="AE128" i="25" s="1"/>
  <c r="AF127" i="25"/>
  <c r="AC127" i="25"/>
  <c r="AE127" i="25" s="1"/>
  <c r="AF126" i="25"/>
  <c r="AC126" i="25"/>
  <c r="AE126" i="25" s="1"/>
  <c r="AF125" i="25"/>
  <c r="AC125" i="25"/>
  <c r="AD125" i="25" s="1"/>
  <c r="AF124" i="25"/>
  <c r="AC124" i="25"/>
  <c r="AD124" i="25" s="1"/>
  <c r="AF123" i="25"/>
  <c r="AC123" i="25"/>
  <c r="AF122" i="25"/>
  <c r="AC122" i="25"/>
  <c r="AF121" i="25"/>
  <c r="AC121" i="25"/>
  <c r="AE121" i="25" s="1"/>
  <c r="AF120" i="25"/>
  <c r="AC120" i="25"/>
  <c r="AD120" i="25" s="1"/>
  <c r="AF119" i="25"/>
  <c r="AC119" i="25"/>
  <c r="AD119" i="25" s="1"/>
  <c r="AF118" i="25"/>
  <c r="AC118" i="25"/>
  <c r="AE118" i="25" s="1"/>
  <c r="AF117" i="25"/>
  <c r="AC117" i="25"/>
  <c r="AD117" i="25" s="1"/>
  <c r="AF116" i="25"/>
  <c r="AC116" i="25"/>
  <c r="AD116" i="25" s="1"/>
  <c r="AF115" i="25"/>
  <c r="AC115" i="25"/>
  <c r="AD115" i="25" s="1"/>
  <c r="AF114" i="25"/>
  <c r="AC114" i="25"/>
  <c r="AD114" i="25" s="1"/>
  <c r="AF113" i="25"/>
  <c r="AC113" i="25"/>
  <c r="AF112" i="25"/>
  <c r="AC112" i="25"/>
  <c r="AE112" i="25" s="1"/>
  <c r="AF111" i="25"/>
  <c r="AC111" i="25"/>
  <c r="AE111" i="25" s="1"/>
  <c r="AF110" i="25"/>
  <c r="AC110" i="25"/>
  <c r="AE110" i="25" s="1"/>
  <c r="AF109" i="25"/>
  <c r="AC109" i="25"/>
  <c r="AE109" i="25" s="1"/>
  <c r="AF108" i="25"/>
  <c r="AC108" i="25"/>
  <c r="AD108" i="25" s="1"/>
  <c r="AF107" i="25"/>
  <c r="AC107" i="25"/>
  <c r="AF106" i="25"/>
  <c r="AC106" i="25"/>
  <c r="AD106" i="25" s="1"/>
  <c r="AF105" i="25"/>
  <c r="AC105" i="25"/>
  <c r="AE105" i="25" s="1"/>
  <c r="AF104" i="25"/>
  <c r="AC104" i="25"/>
  <c r="AE104" i="25" s="1"/>
  <c r="AF103" i="25"/>
  <c r="AC103" i="25"/>
  <c r="AF102" i="25"/>
  <c r="AC102" i="25"/>
  <c r="AE102" i="25" s="1"/>
  <c r="AF101" i="25"/>
  <c r="AC101" i="25"/>
  <c r="AE101" i="25" s="1"/>
  <c r="AF100" i="25"/>
  <c r="AC100" i="25"/>
  <c r="AF99" i="25"/>
  <c r="AC99" i="25"/>
  <c r="AF98" i="25"/>
  <c r="AC98" i="25"/>
  <c r="AD98" i="25" s="1"/>
  <c r="AF97" i="25"/>
  <c r="AC97" i="25"/>
  <c r="AF96" i="25"/>
  <c r="AC96" i="25"/>
  <c r="AE96" i="25" s="1"/>
  <c r="AF95" i="25"/>
  <c r="AC95" i="25"/>
  <c r="AD95" i="25" s="1"/>
  <c r="AF94" i="25"/>
  <c r="AC94" i="25"/>
  <c r="AE94" i="25" s="1"/>
  <c r="AF93" i="25"/>
  <c r="AC93" i="25"/>
  <c r="AE93" i="25" s="1"/>
  <c r="AF92" i="25"/>
  <c r="AC92" i="25"/>
  <c r="AD92" i="25" s="1"/>
  <c r="AF91" i="25"/>
  <c r="AC91" i="25"/>
  <c r="AF90" i="25"/>
  <c r="AC90" i="25"/>
  <c r="AD90" i="25" s="1"/>
  <c r="AF89" i="25"/>
  <c r="AC89" i="25"/>
  <c r="AF88" i="25"/>
  <c r="AC88" i="25"/>
  <c r="AE88" i="25" s="1"/>
  <c r="AF87" i="25"/>
  <c r="AC87" i="25"/>
  <c r="AF86" i="25"/>
  <c r="AC86" i="25"/>
  <c r="AE86" i="25" s="1"/>
  <c r="AF85" i="25"/>
  <c r="AC85" i="25"/>
  <c r="AF84" i="25"/>
  <c r="AC84" i="25"/>
  <c r="AD84" i="25" s="1"/>
  <c r="AF83" i="25"/>
  <c r="AC83" i="25"/>
  <c r="AE83" i="25" s="1"/>
  <c r="AF82" i="25"/>
  <c r="AC82" i="25"/>
  <c r="AD82" i="25" s="1"/>
  <c r="AF81" i="25"/>
  <c r="AC81" i="25"/>
  <c r="AE81" i="25" s="1"/>
  <c r="AF80" i="25"/>
  <c r="AC80" i="25"/>
  <c r="AE80" i="25" s="1"/>
  <c r="AF79" i="25"/>
  <c r="AC79" i="25"/>
  <c r="AE79" i="25" s="1"/>
  <c r="AF78" i="25"/>
  <c r="AC78" i="25"/>
  <c r="AE78" i="25" s="1"/>
  <c r="AF77" i="25"/>
  <c r="AC77" i="25"/>
  <c r="AD77" i="25" s="1"/>
  <c r="AF76" i="25"/>
  <c r="AC76" i="25"/>
  <c r="AD76" i="25" s="1"/>
  <c r="AF75" i="25"/>
  <c r="AC75" i="25"/>
  <c r="AD75" i="25" s="1"/>
  <c r="AF74" i="25"/>
  <c r="AC74" i="25"/>
  <c r="AD74" i="25" s="1"/>
  <c r="AF73" i="25"/>
  <c r="AC73" i="25"/>
  <c r="AF72" i="25"/>
  <c r="AC72" i="25"/>
  <c r="AD72" i="25" s="1"/>
  <c r="AF71" i="25"/>
  <c r="AC71" i="25"/>
  <c r="AF70" i="25"/>
  <c r="AC70" i="25"/>
  <c r="AE70" i="25" s="1"/>
  <c r="AF69" i="25"/>
  <c r="AC69" i="25"/>
  <c r="AE69" i="25" s="1"/>
  <c r="AF68" i="25"/>
  <c r="AC68" i="25"/>
  <c r="AD68" i="25" s="1"/>
  <c r="AF67" i="25"/>
  <c r="AC67" i="25"/>
  <c r="AE67" i="25" s="1"/>
  <c r="AF66" i="25"/>
  <c r="AC66" i="25"/>
  <c r="AD66" i="25" s="1"/>
  <c r="AF65" i="25"/>
  <c r="AC65" i="25"/>
  <c r="AE65" i="25" s="1"/>
  <c r="AF64" i="25"/>
  <c r="AC64" i="25"/>
  <c r="AE64" i="25" s="1"/>
  <c r="AF63" i="25"/>
  <c r="AC63" i="25"/>
  <c r="AF62" i="25"/>
  <c r="AC62" i="25"/>
  <c r="AE62" i="25" s="1"/>
  <c r="AF61" i="25"/>
  <c r="AC61" i="25"/>
  <c r="AD61" i="25" s="1"/>
  <c r="AF60" i="25"/>
  <c r="AC60" i="25"/>
  <c r="AD60" i="25" s="1"/>
  <c r="AF59" i="25"/>
  <c r="AC59" i="25"/>
  <c r="AF58" i="25"/>
  <c r="AC58" i="25"/>
  <c r="AD58" i="25" s="1"/>
  <c r="AF57" i="25"/>
  <c r="AC57" i="25"/>
  <c r="AE57" i="25" s="1"/>
  <c r="AF56" i="25"/>
  <c r="AC56" i="25"/>
  <c r="AD56" i="25" s="1"/>
  <c r="AF55" i="25"/>
  <c r="AC55" i="25"/>
  <c r="AF54" i="25"/>
  <c r="AC54" i="25"/>
  <c r="AE54" i="25" s="1"/>
  <c r="AF53" i="25"/>
  <c r="AC53" i="25"/>
  <c r="AF52" i="25"/>
  <c r="AC52" i="25"/>
  <c r="AD52" i="25" s="1"/>
  <c r="AF51" i="25"/>
  <c r="AC51" i="25"/>
  <c r="AE51" i="25" s="1"/>
  <c r="AF50" i="25"/>
  <c r="AC50" i="25"/>
  <c r="AD50" i="25" s="1"/>
  <c r="AF49" i="25"/>
  <c r="AC49" i="25"/>
  <c r="AE49" i="25" s="1"/>
  <c r="AF48" i="25"/>
  <c r="AC48" i="25"/>
  <c r="AE48" i="25" s="1"/>
  <c r="AF47" i="25"/>
  <c r="AC47" i="25"/>
  <c r="AD47" i="25" s="1"/>
  <c r="AF46" i="25"/>
  <c r="AC46" i="25"/>
  <c r="AE46" i="25" s="1"/>
  <c r="AF45" i="25"/>
  <c r="AC45" i="25"/>
  <c r="AD45" i="25" s="1"/>
  <c r="AF44" i="25"/>
  <c r="AC44" i="25"/>
  <c r="AD44" i="25" s="1"/>
  <c r="AF43" i="25"/>
  <c r="AC43" i="25"/>
  <c r="AF42" i="25"/>
  <c r="AC42" i="25"/>
  <c r="AD42" i="25" s="1"/>
  <c r="AF41" i="25"/>
  <c r="AC41" i="25"/>
  <c r="AF40" i="25"/>
  <c r="AC40" i="25"/>
  <c r="AE40" i="25" s="1"/>
  <c r="AF39" i="25"/>
  <c r="AC39" i="25"/>
  <c r="AE39" i="25" s="1"/>
  <c r="AF38" i="25"/>
  <c r="AC38" i="25"/>
  <c r="AE38" i="25" s="1"/>
  <c r="AF37" i="25"/>
  <c r="AC37" i="25"/>
  <c r="AE37" i="25" s="1"/>
  <c r="AF36" i="25"/>
  <c r="AC36" i="25"/>
  <c r="AD36" i="25" s="1"/>
  <c r="AF35" i="25"/>
  <c r="AC35" i="25"/>
  <c r="AE35" i="25" s="1"/>
  <c r="AF34" i="25"/>
  <c r="AC34" i="25"/>
  <c r="AD34" i="25" s="1"/>
  <c r="AF33" i="25"/>
  <c r="AC33" i="25"/>
  <c r="AF32" i="25"/>
  <c r="AC32" i="25"/>
  <c r="AE32" i="25" s="1"/>
  <c r="AF31" i="25"/>
  <c r="AC31" i="25"/>
  <c r="AE31" i="25" s="1"/>
  <c r="AF30" i="25"/>
  <c r="AC30" i="25"/>
  <c r="AE30" i="25" s="1"/>
  <c r="AF29" i="25"/>
  <c r="AC29" i="25"/>
  <c r="AD29" i="25" s="1"/>
  <c r="AF28" i="25"/>
  <c r="AC28" i="25"/>
  <c r="AD28" i="25" s="1"/>
  <c r="AF27" i="25"/>
  <c r="AC27" i="25"/>
  <c r="AE27" i="25" s="1"/>
  <c r="AF26" i="25"/>
  <c r="AC26" i="25"/>
  <c r="AF25" i="25"/>
  <c r="AC25" i="25"/>
  <c r="AE25" i="25" s="1"/>
  <c r="AF24" i="25"/>
  <c r="AC24" i="25"/>
  <c r="AE24" i="25" s="1"/>
  <c r="AF23" i="25"/>
  <c r="AC23" i="25"/>
  <c r="AD23" i="25" s="1"/>
  <c r="AF22" i="25"/>
  <c r="AC22" i="25"/>
  <c r="AE22" i="25" s="1"/>
  <c r="AF21" i="25"/>
  <c r="AC21" i="25"/>
  <c r="AD21" i="25" s="1"/>
  <c r="AF20" i="25"/>
  <c r="AC20" i="25"/>
  <c r="AD20" i="25" s="1"/>
  <c r="AF19" i="25"/>
  <c r="AC19" i="25"/>
  <c r="AF18" i="25"/>
  <c r="AC18" i="25"/>
  <c r="AD18" i="25" s="1"/>
  <c r="AF17" i="25"/>
  <c r="AC17" i="25"/>
  <c r="AF16" i="25"/>
  <c r="AC16" i="25"/>
  <c r="AE16" i="25" s="1"/>
  <c r="AF15" i="25"/>
  <c r="AC15" i="25"/>
  <c r="AE15" i="25" s="1"/>
  <c r="AF14" i="25"/>
  <c r="AC14" i="25"/>
  <c r="AE14" i="25" s="1"/>
  <c r="AF13" i="25"/>
  <c r="AC13" i="25"/>
  <c r="AF12" i="25"/>
  <c r="AC12" i="25"/>
  <c r="AD12" i="25" s="1"/>
  <c r="AF11" i="25"/>
  <c r="AC11" i="25"/>
  <c r="AE11" i="25" s="1"/>
  <c r="AF10" i="25"/>
  <c r="AC10" i="25"/>
  <c r="AD10" i="25" s="1"/>
  <c r="AF9" i="25"/>
  <c r="AC9" i="25"/>
  <c r="AE9" i="25" s="1"/>
  <c r="AF8" i="25"/>
  <c r="AC8" i="25"/>
  <c r="AD8" i="25" s="1"/>
  <c r="AF7" i="25"/>
  <c r="AC7" i="25"/>
  <c r="AE7" i="25" s="1"/>
  <c r="AF156" i="14"/>
  <c r="AC156" i="14"/>
  <c r="AF155" i="14"/>
  <c r="AC155" i="14"/>
  <c r="AF154" i="14"/>
  <c r="AC154" i="14"/>
  <c r="AF153" i="14"/>
  <c r="AC153" i="14"/>
  <c r="AE156" i="14" s="1"/>
  <c r="AF152" i="14"/>
  <c r="AC152" i="14"/>
  <c r="AE154" i="14" s="1"/>
  <c r="AF151" i="14"/>
  <c r="AC151" i="14"/>
  <c r="AD151" i="14" s="1"/>
  <c r="AF150" i="14"/>
  <c r="AC150" i="14"/>
  <c r="AE150" i="14" s="1"/>
  <c r="AF149" i="14"/>
  <c r="AC149" i="14"/>
  <c r="AE149" i="14" s="1"/>
  <c r="AF148" i="14"/>
  <c r="AC148" i="14"/>
  <c r="AE148" i="14" s="1"/>
  <c r="AF147" i="14"/>
  <c r="AC147" i="14"/>
  <c r="AE147" i="14" s="1"/>
  <c r="AF146" i="14"/>
  <c r="AC146" i="14"/>
  <c r="AE146" i="14" s="1"/>
  <c r="AF145" i="14"/>
  <c r="AC145" i="14"/>
  <c r="AD145" i="14" s="1"/>
  <c r="AF144" i="14"/>
  <c r="AC144" i="14"/>
  <c r="AE144" i="14" s="1"/>
  <c r="AF143" i="14"/>
  <c r="AC143" i="14"/>
  <c r="AF142" i="14"/>
  <c r="AC142" i="14"/>
  <c r="AD142" i="14" s="1"/>
  <c r="AF141" i="14"/>
  <c r="AC141" i="14"/>
  <c r="AE141" i="14" s="1"/>
  <c r="AF140" i="14"/>
  <c r="AC140" i="14"/>
  <c r="AE140" i="14" s="1"/>
  <c r="AF139" i="14"/>
  <c r="AC139" i="14"/>
  <c r="AE139" i="14" s="1"/>
  <c r="AF138" i="14"/>
  <c r="AC138" i="14"/>
  <c r="AE138" i="14" s="1"/>
  <c r="AF137" i="14"/>
  <c r="AC137" i="14"/>
  <c r="AE137" i="14" s="1"/>
  <c r="AF136" i="14"/>
  <c r="AC136" i="14"/>
  <c r="AE136" i="14" s="1"/>
  <c r="AF135" i="14"/>
  <c r="AC135" i="14"/>
  <c r="AD135" i="14" s="1"/>
  <c r="AF134" i="14"/>
  <c r="AC134" i="14"/>
  <c r="AE134" i="14" s="1"/>
  <c r="AF133" i="14"/>
  <c r="AC133" i="14"/>
  <c r="AE133" i="14" s="1"/>
  <c r="AF132" i="14"/>
  <c r="AC132" i="14"/>
  <c r="AF131" i="14"/>
  <c r="AC131" i="14"/>
  <c r="AE131" i="14" s="1"/>
  <c r="AF130" i="14"/>
  <c r="AC130" i="14"/>
  <c r="AE130" i="14" s="1"/>
  <c r="AF129" i="14"/>
  <c r="AC129" i="14"/>
  <c r="AD129" i="14" s="1"/>
  <c r="AF128" i="14"/>
  <c r="AC128" i="14"/>
  <c r="AE128" i="14" s="1"/>
  <c r="AF127" i="14"/>
  <c r="AC127" i="14"/>
  <c r="AF126" i="14"/>
  <c r="AC126" i="14"/>
  <c r="AD126" i="14" s="1"/>
  <c r="AF125" i="14"/>
  <c r="AC125" i="14"/>
  <c r="AE125" i="14" s="1"/>
  <c r="AF124" i="14"/>
  <c r="AC124" i="14"/>
  <c r="AD124" i="14" s="1"/>
  <c r="AF123" i="14"/>
  <c r="AC123" i="14"/>
  <c r="AF122" i="14"/>
  <c r="AC122" i="14"/>
  <c r="AE122" i="14" s="1"/>
  <c r="AF121" i="14"/>
  <c r="AC121" i="14"/>
  <c r="AD121" i="14" s="1"/>
  <c r="AF119" i="14"/>
  <c r="AC119" i="14"/>
  <c r="AE119" i="14" s="1"/>
  <c r="AF118" i="14"/>
  <c r="AC118" i="14"/>
  <c r="AF117" i="14"/>
  <c r="AC117" i="14"/>
  <c r="AE117" i="14" s="1"/>
  <c r="AF116" i="14"/>
  <c r="AC116" i="14"/>
  <c r="AD116" i="14" s="1"/>
  <c r="AF115" i="14"/>
  <c r="AC115" i="14"/>
  <c r="AD115" i="14" s="1"/>
  <c r="AF114" i="14"/>
  <c r="AC114" i="14"/>
  <c r="AE114" i="14" s="1"/>
  <c r="AF113" i="14"/>
  <c r="AC113" i="14"/>
  <c r="AE113" i="14" s="1"/>
  <c r="AF112" i="14"/>
  <c r="AC112" i="14"/>
  <c r="AD112" i="14" s="1"/>
  <c r="AF111" i="14"/>
  <c r="AC111" i="14"/>
  <c r="AE111" i="14" s="1"/>
  <c r="AF110" i="14"/>
  <c r="AC110" i="14"/>
  <c r="AE110" i="14" s="1"/>
  <c r="AF109" i="14"/>
  <c r="AC109" i="14"/>
  <c r="AD109" i="14" s="1"/>
  <c r="AF108" i="14"/>
  <c r="AC108" i="14"/>
  <c r="AE108" i="14" s="1"/>
  <c r="AF107" i="14"/>
  <c r="AC107" i="14"/>
  <c r="AD107" i="14" s="1"/>
  <c r="AF106" i="14"/>
  <c r="AC106" i="14"/>
  <c r="AE106" i="14" s="1"/>
  <c r="AF105" i="14"/>
  <c r="AC105" i="14"/>
  <c r="AE105" i="14" s="1"/>
  <c r="AF104" i="14"/>
  <c r="AC104" i="14"/>
  <c r="AD104" i="14" s="1"/>
  <c r="AF103" i="14"/>
  <c r="AC103" i="14"/>
  <c r="AE103" i="14" s="1"/>
  <c r="AF102" i="14"/>
  <c r="AC102" i="14"/>
  <c r="AD102" i="14" s="1"/>
  <c r="AF101" i="14"/>
  <c r="AC101" i="14"/>
  <c r="AD101" i="14" s="1"/>
  <c r="AF100" i="14"/>
  <c r="AC100" i="14"/>
  <c r="AD100" i="14" s="1"/>
  <c r="AF99" i="14"/>
  <c r="AC99" i="14"/>
  <c r="AD99" i="14" s="1"/>
  <c r="AF98" i="14"/>
  <c r="AC98" i="14"/>
  <c r="AE98" i="14" s="1"/>
  <c r="AF97" i="14"/>
  <c r="AC97" i="14"/>
  <c r="AF96" i="14"/>
  <c r="AC96" i="14"/>
  <c r="AD96" i="14" s="1"/>
  <c r="AF95" i="14"/>
  <c r="AC95" i="14"/>
  <c r="AE95" i="14" s="1"/>
  <c r="AF94" i="14"/>
  <c r="AC94" i="14"/>
  <c r="AF93" i="14"/>
  <c r="AC93" i="14"/>
  <c r="AE93" i="14" s="1"/>
  <c r="AF92" i="14"/>
  <c r="AC92" i="14"/>
  <c r="AF91" i="14"/>
  <c r="AC91" i="14"/>
  <c r="AD91" i="14" s="1"/>
  <c r="AF90" i="14"/>
  <c r="AC90" i="14"/>
  <c r="AE90" i="14" s="1"/>
  <c r="AF89" i="14"/>
  <c r="AC89" i="14"/>
  <c r="AE89" i="14" s="1"/>
  <c r="AF88" i="14"/>
  <c r="AC88" i="14"/>
  <c r="AD88" i="14" s="1"/>
  <c r="AF87" i="14"/>
  <c r="AC87" i="14"/>
  <c r="AD87" i="14" s="1"/>
  <c r="AF86" i="14"/>
  <c r="AC86" i="14"/>
  <c r="AD86" i="14" s="1"/>
  <c r="AF85" i="14"/>
  <c r="AC85" i="14"/>
  <c r="AE85" i="14" s="1"/>
  <c r="AF84" i="14"/>
  <c r="AC84" i="14"/>
  <c r="AD84" i="14" s="1"/>
  <c r="AF83" i="14"/>
  <c r="AC83" i="14"/>
  <c r="AD83" i="14" s="1"/>
  <c r="AF82" i="14"/>
  <c r="AC82" i="14"/>
  <c r="AE82" i="14" s="1"/>
  <c r="AF81" i="14"/>
  <c r="AC81" i="14"/>
  <c r="AE81" i="14" s="1"/>
  <c r="AF80" i="14"/>
  <c r="AC80" i="14"/>
  <c r="AD80" i="14" s="1"/>
  <c r="AF79" i="14"/>
  <c r="AC79" i="14"/>
  <c r="AD79" i="14" s="1"/>
  <c r="AF78" i="14"/>
  <c r="AC78" i="14"/>
  <c r="AE78" i="14" s="1"/>
  <c r="AF77" i="14"/>
  <c r="AC77" i="14"/>
  <c r="AD77" i="14" s="1"/>
  <c r="AF76" i="14"/>
  <c r="AC76" i="14"/>
  <c r="AE76" i="14" s="1"/>
  <c r="AF75" i="14"/>
  <c r="AC75" i="14"/>
  <c r="AE75" i="14" s="1"/>
  <c r="AF74" i="14"/>
  <c r="AC74" i="14"/>
  <c r="AE74" i="14" s="1"/>
  <c r="AF73" i="14"/>
  <c r="AC73" i="14"/>
  <c r="AD73" i="14" s="1"/>
  <c r="AF72" i="14"/>
  <c r="AC72" i="14"/>
  <c r="AD72" i="14" s="1"/>
  <c r="AF71" i="14"/>
  <c r="AC71" i="14"/>
  <c r="AD71" i="14" s="1"/>
  <c r="AF70" i="14"/>
  <c r="AC70" i="14"/>
  <c r="AD70" i="14" s="1"/>
  <c r="AF69" i="14"/>
  <c r="AC69" i="14"/>
  <c r="AE69" i="14" s="1"/>
  <c r="AF68" i="14"/>
  <c r="AC68" i="14"/>
  <c r="AD68" i="14" s="1"/>
  <c r="AF67" i="14"/>
  <c r="AC67" i="14"/>
  <c r="AE67" i="14" s="1"/>
  <c r="AF66" i="14"/>
  <c r="AC66" i="14"/>
  <c r="AE66" i="14" s="1"/>
  <c r="AF65" i="14"/>
  <c r="AC65" i="14"/>
  <c r="AD65" i="14" s="1"/>
  <c r="AF64" i="14"/>
  <c r="AC64" i="14"/>
  <c r="AD64" i="14" s="1"/>
  <c r="AF63" i="14"/>
  <c r="AC63" i="14"/>
  <c r="AD63" i="14" s="1"/>
  <c r="AF62" i="14"/>
  <c r="AC62" i="14"/>
  <c r="AE62" i="14" s="1"/>
  <c r="AF61" i="14"/>
  <c r="AC61" i="14"/>
  <c r="AD61" i="14" s="1"/>
  <c r="AF60" i="14"/>
  <c r="AC60" i="14"/>
  <c r="AE60" i="14" s="1"/>
  <c r="AF59" i="14"/>
  <c r="AC59" i="14"/>
  <c r="AD59" i="14" s="1"/>
  <c r="AF58" i="14"/>
  <c r="AC58" i="14"/>
  <c r="AF57" i="14"/>
  <c r="AC57" i="14"/>
  <c r="AE57" i="14" s="1"/>
  <c r="AF56" i="14"/>
  <c r="AC56" i="14"/>
  <c r="AD56" i="14" s="1"/>
  <c r="AF55" i="14"/>
  <c r="AC55" i="14"/>
  <c r="AD55" i="14" s="1"/>
  <c r="AF54" i="14"/>
  <c r="AC54" i="14"/>
  <c r="AD54" i="14" s="1"/>
  <c r="AF53" i="14"/>
  <c r="AC53" i="14"/>
  <c r="AE53" i="14" s="1"/>
  <c r="AF52" i="14"/>
  <c r="AC52" i="14"/>
  <c r="AE52" i="14" s="1"/>
  <c r="AF51" i="14"/>
  <c r="AC51" i="14"/>
  <c r="AD51" i="14" s="1"/>
  <c r="AF50" i="14"/>
  <c r="AC50" i="14"/>
  <c r="AE50" i="14" s="1"/>
  <c r="AF49" i="14"/>
  <c r="AC49" i="14"/>
  <c r="AE49" i="14" s="1"/>
  <c r="AF48" i="14"/>
  <c r="AC48" i="14"/>
  <c r="AD48" i="14" s="1"/>
  <c r="AF47" i="14"/>
  <c r="AC47" i="14"/>
  <c r="AD47" i="14" s="1"/>
  <c r="AF46" i="14"/>
  <c r="AC46" i="14"/>
  <c r="AE46" i="14" s="1"/>
  <c r="AF45" i="14"/>
  <c r="AC45" i="14"/>
  <c r="AE45" i="14" s="1"/>
  <c r="AF44" i="14"/>
  <c r="AC44" i="14"/>
  <c r="AE44" i="14" s="1"/>
  <c r="AF43" i="14"/>
  <c r="AC43" i="14"/>
  <c r="AE43" i="14" s="1"/>
  <c r="AF42" i="14"/>
  <c r="AC42" i="14"/>
  <c r="AE42" i="14" s="1"/>
  <c r="AF41" i="14"/>
  <c r="AC41" i="14"/>
  <c r="AE41" i="14" s="1"/>
  <c r="AF40" i="14"/>
  <c r="AC40" i="14"/>
  <c r="AD40" i="14" s="1"/>
  <c r="AF39" i="14"/>
  <c r="AC39" i="14"/>
  <c r="AD39" i="14" s="1"/>
  <c r="AF37" i="14"/>
  <c r="AC37" i="14"/>
  <c r="AD37" i="14" s="1"/>
  <c r="AF36" i="14"/>
  <c r="AC36" i="14"/>
  <c r="AE36" i="14" s="1"/>
  <c r="AF35" i="14"/>
  <c r="AC35" i="14"/>
  <c r="AF34" i="14"/>
  <c r="AC34" i="14"/>
  <c r="AE34" i="14" s="1"/>
  <c r="AF33" i="14"/>
  <c r="AC33" i="14"/>
  <c r="AE33" i="14" s="1"/>
  <c r="AF32" i="14"/>
  <c r="AC32" i="14"/>
  <c r="AE32" i="14" s="1"/>
  <c r="AF31" i="14"/>
  <c r="AC31" i="14"/>
  <c r="AD31" i="14" s="1"/>
  <c r="AF30" i="14"/>
  <c r="AC30" i="14"/>
  <c r="AD30" i="14" s="1"/>
  <c r="AF29" i="14"/>
  <c r="AC29" i="14"/>
  <c r="AE29" i="14" s="1"/>
  <c r="AF28" i="14"/>
  <c r="AC28" i="14"/>
  <c r="AE28" i="14" s="1"/>
  <c r="AF27" i="14"/>
  <c r="AC27" i="14"/>
  <c r="AE27" i="14" s="1"/>
  <c r="AF26" i="14"/>
  <c r="AC26" i="14"/>
  <c r="AD26" i="14" s="1"/>
  <c r="AF25" i="14"/>
  <c r="AC25" i="14"/>
  <c r="AF24" i="14"/>
  <c r="AC24" i="14"/>
  <c r="AD24" i="14" s="1"/>
  <c r="AF23" i="14"/>
  <c r="AC23" i="14"/>
  <c r="AD23" i="14" s="1"/>
  <c r="AF22" i="14"/>
  <c r="AC22" i="14"/>
  <c r="AD22" i="14" s="1"/>
  <c r="AF21" i="14"/>
  <c r="AC21" i="14"/>
  <c r="AE21" i="14" s="1"/>
  <c r="AF20" i="14"/>
  <c r="AC20" i="14"/>
  <c r="AF19" i="14"/>
  <c r="AC19" i="14"/>
  <c r="AE19" i="14" s="1"/>
  <c r="AF18" i="14"/>
  <c r="AC18" i="14"/>
  <c r="AD18" i="14" s="1"/>
  <c r="AF17" i="14"/>
  <c r="AC17" i="14"/>
  <c r="AE17" i="14" s="1"/>
  <c r="AF16" i="14"/>
  <c r="AC16" i="14"/>
  <c r="AE16" i="14" s="1"/>
  <c r="AF15" i="14"/>
  <c r="AC15" i="14"/>
  <c r="AD15" i="14" s="1"/>
  <c r="AF14" i="14"/>
  <c r="AC14" i="14"/>
  <c r="AD14" i="14" s="1"/>
  <c r="AF13" i="14"/>
  <c r="AC13" i="14"/>
  <c r="AE13" i="14" s="1"/>
  <c r="AF12" i="14"/>
  <c r="AC12" i="14"/>
  <c r="AD12" i="14" s="1"/>
  <c r="AF11" i="14"/>
  <c r="AC11" i="14"/>
  <c r="AF10" i="14"/>
  <c r="AC10" i="14"/>
  <c r="AE10" i="14" s="1"/>
  <c r="AF9" i="14"/>
  <c r="AC9" i="14"/>
  <c r="AE9" i="14" s="1"/>
  <c r="AF8" i="14"/>
  <c r="AC8" i="14"/>
  <c r="AE8" i="14" s="1"/>
  <c r="AF7" i="14"/>
  <c r="AC7" i="14"/>
  <c r="AF29" i="9"/>
  <c r="AC29" i="9"/>
  <c r="AD29" i="9" s="1"/>
  <c r="AF28" i="9"/>
  <c r="AC28" i="9"/>
  <c r="AF27" i="9"/>
  <c r="AC27" i="9"/>
  <c r="AE27" i="9" s="1"/>
  <c r="AF26" i="9"/>
  <c r="AC26" i="9"/>
  <c r="AD26" i="9" s="1"/>
  <c r="AF25" i="9"/>
  <c r="AC25" i="9"/>
  <c r="AE25" i="9" s="1"/>
  <c r="AF24" i="9"/>
  <c r="AC24" i="9"/>
  <c r="AE24" i="9" s="1"/>
  <c r="AF23" i="9"/>
  <c r="AC23" i="9"/>
  <c r="AE23" i="9" s="1"/>
  <c r="AF22" i="9"/>
  <c r="AC22" i="9"/>
  <c r="AD22" i="9" s="1"/>
  <c r="AF21" i="9"/>
  <c r="AC21" i="9"/>
  <c r="AD21" i="9" s="1"/>
  <c r="AF20" i="9"/>
  <c r="AC20" i="9"/>
  <c r="AE20" i="9" s="1"/>
  <c r="AF19" i="9"/>
  <c r="AC19" i="9"/>
  <c r="AD19" i="9" s="1"/>
  <c r="AF18" i="9"/>
  <c r="AC18" i="9"/>
  <c r="AD18" i="9" s="1"/>
  <c r="AF17" i="9"/>
  <c r="AC17" i="9"/>
  <c r="AE17" i="9" s="1"/>
  <c r="AF16" i="9"/>
  <c r="AC16" i="9"/>
  <c r="AD16" i="9" s="1"/>
  <c r="AF15" i="9"/>
  <c r="AC15" i="9"/>
  <c r="AD15" i="9" s="1"/>
  <c r="AF14" i="9"/>
  <c r="AC14" i="9"/>
  <c r="AE14" i="9" s="1"/>
  <c r="AF13" i="9"/>
  <c r="AC13" i="9"/>
  <c r="AD13" i="9" s="1"/>
  <c r="AF12" i="9"/>
  <c r="AC12" i="9"/>
  <c r="AE12" i="9" s="1"/>
  <c r="AF11" i="9"/>
  <c r="AC11" i="9"/>
  <c r="AE11" i="9" s="1"/>
  <c r="AF10" i="9"/>
  <c r="AC10" i="9"/>
  <c r="AD10" i="9" s="1"/>
  <c r="AF9" i="9"/>
  <c r="AC9" i="9"/>
  <c r="AD9" i="9" s="1"/>
  <c r="AF8" i="9"/>
  <c r="AC8" i="9"/>
  <c r="AE8" i="9" s="1"/>
  <c r="AF7" i="9"/>
  <c r="AC7" i="9"/>
  <c r="AE7" i="9" s="1"/>
  <c r="AF106" i="10"/>
  <c r="AC106" i="10"/>
  <c r="AD106" i="10" s="1"/>
  <c r="AF105" i="10"/>
  <c r="AC105" i="10"/>
  <c r="AD105" i="10" s="1"/>
  <c r="AF104" i="10"/>
  <c r="AC104" i="10"/>
  <c r="AD104" i="10" s="1"/>
  <c r="AF103" i="10"/>
  <c r="AC103" i="10"/>
  <c r="AE103" i="10" s="1"/>
  <c r="AF102" i="10"/>
  <c r="AC102" i="10"/>
  <c r="AD102" i="10" s="1"/>
  <c r="AF101" i="10"/>
  <c r="AC101" i="10"/>
  <c r="AD101" i="10" s="1"/>
  <c r="AF100" i="10"/>
  <c r="AC100" i="10"/>
  <c r="AD100" i="10" s="1"/>
  <c r="AF99" i="10"/>
  <c r="AC99" i="10"/>
  <c r="AE99" i="10" s="1"/>
  <c r="AF98" i="10"/>
  <c r="AC98" i="10"/>
  <c r="AD98" i="10" s="1"/>
  <c r="AF97" i="10"/>
  <c r="AC97" i="10"/>
  <c r="AD97" i="10" s="1"/>
  <c r="AF96" i="10"/>
  <c r="AC96" i="10"/>
  <c r="AF95" i="10"/>
  <c r="AC95" i="10"/>
  <c r="AE95" i="10" s="1"/>
  <c r="AF94" i="10"/>
  <c r="AC94" i="10"/>
  <c r="AE94" i="10" s="1"/>
  <c r="AF93" i="10"/>
  <c r="AC93" i="10"/>
  <c r="AE93" i="10" s="1"/>
  <c r="AF92" i="10"/>
  <c r="AC92" i="10"/>
  <c r="AD92" i="10" s="1"/>
  <c r="AF91" i="10"/>
  <c r="AC91" i="10"/>
  <c r="AD91" i="10" s="1"/>
  <c r="AF90" i="10"/>
  <c r="AC90" i="10"/>
  <c r="AE90" i="10" s="1"/>
  <c r="AF89" i="10"/>
  <c r="AC89" i="10"/>
  <c r="AE89" i="10" s="1"/>
  <c r="AF88" i="10"/>
  <c r="AC88" i="10"/>
  <c r="AD88" i="10" s="1"/>
  <c r="AF87" i="10"/>
  <c r="AC87" i="10"/>
  <c r="AE87" i="10" s="1"/>
  <c r="AF86" i="10"/>
  <c r="AC86" i="10"/>
  <c r="AE86" i="10" s="1"/>
  <c r="AF85" i="10"/>
  <c r="AC85" i="10"/>
  <c r="AD85" i="10" s="1"/>
  <c r="AF84" i="10"/>
  <c r="AC84" i="10"/>
  <c r="AD84" i="10" s="1"/>
  <c r="AF83" i="10"/>
  <c r="AC83" i="10"/>
  <c r="AE83" i="10" s="1"/>
  <c r="AF82" i="10"/>
  <c r="AC82" i="10"/>
  <c r="AE82" i="10" s="1"/>
  <c r="AF81" i="10"/>
  <c r="AC81" i="10"/>
  <c r="AD81" i="10" s="1"/>
  <c r="AF80" i="10"/>
  <c r="AC80" i="10"/>
  <c r="AF79" i="10"/>
  <c r="AC79" i="10"/>
  <c r="AD79" i="10" s="1"/>
  <c r="AF78" i="10"/>
  <c r="AC78" i="10"/>
  <c r="AF77" i="10"/>
  <c r="AC77" i="10"/>
  <c r="AD77" i="10" s="1"/>
  <c r="AF76" i="10"/>
  <c r="AC76" i="10"/>
  <c r="AD76" i="10" s="1"/>
  <c r="AF75" i="10"/>
  <c r="AC75" i="10"/>
  <c r="AD75" i="10" s="1"/>
  <c r="AF74" i="10"/>
  <c r="AC74" i="10"/>
  <c r="AE74" i="10" s="1"/>
  <c r="AF73" i="10"/>
  <c r="AC73" i="10"/>
  <c r="AD73" i="10" s="1"/>
  <c r="AF72" i="10"/>
  <c r="AC72" i="10"/>
  <c r="AE72" i="10" s="1"/>
  <c r="AF71" i="10"/>
  <c r="AC71" i="10"/>
  <c r="AD71" i="10" s="1"/>
  <c r="AF70" i="10"/>
  <c r="AC70" i="10"/>
  <c r="AE70" i="10" s="1"/>
  <c r="AF69" i="10"/>
  <c r="AC69" i="10"/>
  <c r="AE69" i="10" s="1"/>
  <c r="AF68" i="10"/>
  <c r="AC68" i="10"/>
  <c r="AE68" i="10" s="1"/>
  <c r="AF67" i="10"/>
  <c r="AC67" i="10"/>
  <c r="AE67" i="10" s="1"/>
  <c r="AF66" i="10"/>
  <c r="AC66" i="10"/>
  <c r="AE66" i="10" s="1"/>
  <c r="AF65" i="10"/>
  <c r="AC65" i="10"/>
  <c r="AD65" i="10" s="1"/>
  <c r="AF64" i="10"/>
  <c r="AC64" i="10"/>
  <c r="AD64" i="10" s="1"/>
  <c r="AF63" i="10"/>
  <c r="AC63" i="10"/>
  <c r="AE63" i="10" s="1"/>
  <c r="AF62" i="10"/>
  <c r="AC62" i="10"/>
  <c r="AE62" i="10" s="1"/>
  <c r="AF61" i="10"/>
  <c r="AC61" i="10"/>
  <c r="AF60" i="10"/>
  <c r="AC60" i="10"/>
  <c r="AD60" i="10" s="1"/>
  <c r="AF59" i="10"/>
  <c r="AC59" i="10"/>
  <c r="AE59" i="10" s="1"/>
  <c r="AF58" i="10"/>
  <c r="AC58" i="10"/>
  <c r="AD58" i="10" s="1"/>
  <c r="AF57" i="10"/>
  <c r="AC57" i="10"/>
  <c r="AE57" i="10" s="1"/>
  <c r="AF56" i="10"/>
  <c r="AC56" i="10"/>
  <c r="AF55" i="10"/>
  <c r="AC55" i="10"/>
  <c r="AE55" i="10" s="1"/>
  <c r="AF54" i="10"/>
  <c r="AC54" i="10"/>
  <c r="AF53" i="10"/>
  <c r="AC53" i="10"/>
  <c r="AE53" i="10" s="1"/>
  <c r="AF52" i="10"/>
  <c r="AC52" i="10"/>
  <c r="AD52" i="10" s="1"/>
  <c r="AF51" i="10"/>
  <c r="AC51" i="10"/>
  <c r="AD51" i="10" s="1"/>
  <c r="AF50" i="10"/>
  <c r="AC50" i="10"/>
  <c r="AE50" i="10" s="1"/>
  <c r="AF49" i="10"/>
  <c r="AC49" i="10"/>
  <c r="AE49" i="10" s="1"/>
  <c r="AF48" i="10"/>
  <c r="AC48" i="10"/>
  <c r="AD48" i="10" s="1"/>
  <c r="AF47" i="10"/>
  <c r="AC47" i="10"/>
  <c r="AD47" i="10" s="1"/>
  <c r="AF46" i="10"/>
  <c r="AC46" i="10"/>
  <c r="AD46" i="10" s="1"/>
  <c r="AF45" i="10"/>
  <c r="AC45" i="10"/>
  <c r="AE45" i="10" s="1"/>
  <c r="AF44" i="10"/>
  <c r="AC44" i="10"/>
  <c r="AF43" i="10"/>
  <c r="AC43" i="10"/>
  <c r="AE43" i="10" s="1"/>
  <c r="AF42" i="10"/>
  <c r="AC42" i="10"/>
  <c r="AE42" i="10" s="1"/>
  <c r="AF41" i="10"/>
  <c r="AC41" i="10"/>
  <c r="AE41" i="10" s="1"/>
  <c r="AF40" i="10"/>
  <c r="AC40" i="10"/>
  <c r="AE40" i="10" s="1"/>
  <c r="AF39" i="10"/>
  <c r="AC39" i="10"/>
  <c r="AE39" i="10" s="1"/>
  <c r="AF38" i="10"/>
  <c r="AC38" i="10"/>
  <c r="AE38" i="10" s="1"/>
  <c r="AF37" i="10"/>
  <c r="AC37" i="10"/>
  <c r="AF36" i="10"/>
  <c r="AC36" i="10"/>
  <c r="AF35" i="10"/>
  <c r="AC35" i="10"/>
  <c r="AD35" i="10" s="1"/>
  <c r="AF34" i="10"/>
  <c r="AC34" i="10"/>
  <c r="AD34" i="10" s="1"/>
  <c r="AF33" i="10"/>
  <c r="AC33" i="10"/>
  <c r="AD33" i="10" s="1"/>
  <c r="AF32" i="10"/>
  <c r="AC32" i="10"/>
  <c r="AD32" i="10" s="1"/>
  <c r="AF31" i="10"/>
  <c r="AC31" i="10"/>
  <c r="AE31" i="10" s="1"/>
  <c r="AF30" i="10"/>
  <c r="AC30" i="10"/>
  <c r="AE30" i="10" s="1"/>
  <c r="AF28" i="10"/>
  <c r="AC28" i="10"/>
  <c r="AD28" i="10" s="1"/>
  <c r="AF27" i="10"/>
  <c r="AC27" i="10"/>
  <c r="AD27" i="10" s="1"/>
  <c r="AF26" i="10"/>
  <c r="AC26" i="10"/>
  <c r="AE26" i="10" s="1"/>
  <c r="AF25" i="10"/>
  <c r="AC25" i="10"/>
  <c r="AD25" i="10" s="1"/>
  <c r="AF24" i="10"/>
  <c r="AC24" i="10"/>
  <c r="AD24" i="10" s="1"/>
  <c r="AF23" i="10"/>
  <c r="AC23" i="10"/>
  <c r="AE23" i="10" s="1"/>
  <c r="AF21" i="10"/>
  <c r="AC21" i="10"/>
  <c r="AD21" i="10" s="1"/>
  <c r="AF20" i="10"/>
  <c r="AC20" i="10"/>
  <c r="AE20" i="10" s="1"/>
  <c r="AF19" i="10"/>
  <c r="AC19" i="10"/>
  <c r="AD19" i="10" s="1"/>
  <c r="AF18" i="10"/>
  <c r="AC18" i="10"/>
  <c r="AE18" i="10" s="1"/>
  <c r="AF17" i="10"/>
  <c r="AC17" i="10"/>
  <c r="AD17" i="10" s="1"/>
  <c r="AF16" i="10"/>
  <c r="AC16" i="10"/>
  <c r="AD16" i="10" s="1"/>
  <c r="AF15" i="10"/>
  <c r="AC15" i="10"/>
  <c r="AD15" i="10" s="1"/>
  <c r="AF14" i="10"/>
  <c r="AC14" i="10"/>
  <c r="AD14" i="10" s="1"/>
  <c r="AF13" i="10"/>
  <c r="AC13" i="10"/>
  <c r="AD13" i="10" s="1"/>
  <c r="AF12" i="10"/>
  <c r="AC12" i="10"/>
  <c r="AE12" i="10" s="1"/>
  <c r="AF11" i="10"/>
  <c r="AC11" i="10"/>
  <c r="AE11" i="10" s="1"/>
  <c r="AF10" i="10"/>
  <c r="AC10" i="10"/>
  <c r="AF9" i="10"/>
  <c r="AC9" i="10"/>
  <c r="AD9" i="10" s="1"/>
  <c r="AF8" i="10"/>
  <c r="AC8" i="10"/>
  <c r="AF7" i="10"/>
  <c r="AC7" i="10"/>
  <c r="AD7" i="10" s="1"/>
  <c r="AF62" i="11"/>
  <c r="AC62" i="11"/>
  <c r="AD62" i="11" s="1"/>
  <c r="AF61" i="11"/>
  <c r="AC61" i="11"/>
  <c r="AE61" i="11" s="1"/>
  <c r="AF60" i="11"/>
  <c r="AC60" i="11"/>
  <c r="AD60" i="11" s="1"/>
  <c r="AF59" i="11"/>
  <c r="AC59" i="11"/>
  <c r="AE59" i="11" s="1"/>
  <c r="AF58" i="11"/>
  <c r="AC58" i="11"/>
  <c r="AE58" i="11" s="1"/>
  <c r="AF57" i="11"/>
  <c r="AC57" i="11"/>
  <c r="AD57" i="11" s="1"/>
  <c r="AF56" i="11"/>
  <c r="AC56" i="11"/>
  <c r="AE56" i="11" s="1"/>
  <c r="AF55" i="11"/>
  <c r="AC55" i="11"/>
  <c r="AD55" i="11" s="1"/>
  <c r="AF54" i="11"/>
  <c r="AC54" i="11"/>
  <c r="AE54" i="11" s="1"/>
  <c r="AF53" i="11"/>
  <c r="AC53" i="11"/>
  <c r="AE53" i="11" s="1"/>
  <c r="AF52" i="11"/>
  <c r="AC52" i="11"/>
  <c r="AD52" i="11" s="1"/>
  <c r="AF51" i="11"/>
  <c r="AC51" i="11"/>
  <c r="AE51" i="11" s="1"/>
  <c r="AF50" i="11"/>
  <c r="AC50" i="11"/>
  <c r="AF49" i="11"/>
  <c r="AC49" i="11"/>
  <c r="AE49" i="11" s="1"/>
  <c r="AF48" i="11"/>
  <c r="AC48" i="11"/>
  <c r="AD48" i="11" s="1"/>
  <c r="AF47" i="11"/>
  <c r="AC47" i="11"/>
  <c r="AD47" i="11" s="1"/>
  <c r="AF46" i="11"/>
  <c r="AC46" i="11"/>
  <c r="AD46" i="11" s="1"/>
  <c r="AF45" i="11"/>
  <c r="AC45" i="11"/>
  <c r="AE45" i="11" s="1"/>
  <c r="AF44" i="11"/>
  <c r="AC44" i="11"/>
  <c r="AE44" i="11" s="1"/>
  <c r="AF43" i="11"/>
  <c r="AC43" i="11"/>
  <c r="AE43" i="11" s="1"/>
  <c r="AF42" i="11"/>
  <c r="AC42" i="11"/>
  <c r="AD42" i="11" s="1"/>
  <c r="AF41" i="11"/>
  <c r="AC41" i="11"/>
  <c r="AD41" i="11" s="1"/>
  <c r="AF40" i="11"/>
  <c r="AC40" i="11"/>
  <c r="AD40" i="11" s="1"/>
  <c r="AF39" i="11"/>
  <c r="AC39" i="11"/>
  <c r="AD39" i="11" s="1"/>
  <c r="AF38" i="11"/>
  <c r="AC38" i="11"/>
  <c r="AF37" i="11"/>
  <c r="AC37" i="11"/>
  <c r="AD37" i="11" s="1"/>
  <c r="AF36" i="11"/>
  <c r="AC36" i="11"/>
  <c r="AD36" i="11" s="1"/>
  <c r="AF35" i="11"/>
  <c r="AC35" i="11"/>
  <c r="AE35" i="11" s="1"/>
  <c r="AF34" i="11"/>
  <c r="AC34" i="11"/>
  <c r="AD34" i="11" s="1"/>
  <c r="AF33" i="11"/>
  <c r="AC33" i="11"/>
  <c r="AE33" i="11" s="1"/>
  <c r="AF32" i="11"/>
  <c r="AC32" i="11"/>
  <c r="AE32" i="11" s="1"/>
  <c r="AF31" i="11"/>
  <c r="AC31" i="11"/>
  <c r="AE31" i="11" s="1"/>
  <c r="AF30" i="11"/>
  <c r="AC30" i="11"/>
  <c r="AD30" i="11" s="1"/>
  <c r="AF29" i="11"/>
  <c r="AC29" i="11"/>
  <c r="AE29" i="11" s="1"/>
  <c r="AF28" i="11"/>
  <c r="AC28" i="11"/>
  <c r="AD28" i="11" s="1"/>
  <c r="AF27" i="11"/>
  <c r="AC27" i="11"/>
  <c r="AF25" i="11"/>
  <c r="AC25" i="11"/>
  <c r="AE25" i="11" s="1"/>
  <c r="AF24" i="11"/>
  <c r="AC24" i="11"/>
  <c r="AD24" i="11" s="1"/>
  <c r="AF23" i="11"/>
  <c r="AC23" i="11"/>
  <c r="AF22" i="11"/>
  <c r="AC22" i="11"/>
  <c r="AE22" i="11" s="1"/>
  <c r="AF21" i="11"/>
  <c r="AC21" i="11"/>
  <c r="AE21" i="11" s="1"/>
  <c r="AF20" i="11"/>
  <c r="AC20" i="11"/>
  <c r="AD20" i="11" s="1"/>
  <c r="AF19" i="11"/>
  <c r="AC19" i="11"/>
  <c r="AD19" i="11" s="1"/>
  <c r="AF18" i="11"/>
  <c r="AC18" i="11"/>
  <c r="AE18" i="11" s="1"/>
  <c r="AF17" i="11"/>
  <c r="AC17" i="11"/>
  <c r="AD17" i="11" s="1"/>
  <c r="AF16" i="11"/>
  <c r="AC16" i="11"/>
  <c r="AE16" i="11" s="1"/>
  <c r="AF15" i="11"/>
  <c r="AC15" i="11"/>
  <c r="AF14" i="11"/>
  <c r="AC14" i="11"/>
  <c r="AE14" i="11" s="1"/>
  <c r="AF13" i="11"/>
  <c r="AC13" i="11"/>
  <c r="AD13" i="11" s="1"/>
  <c r="AF12" i="11"/>
  <c r="AC12" i="11"/>
  <c r="AE12" i="11" s="1"/>
  <c r="AF11" i="11"/>
  <c r="AC11" i="11"/>
  <c r="AD11" i="11" s="1"/>
  <c r="AF10" i="11"/>
  <c r="AC10" i="11"/>
  <c r="AD10" i="11" s="1"/>
  <c r="AF9" i="11"/>
  <c r="AC9" i="11"/>
  <c r="AD9" i="11" s="1"/>
  <c r="AF8" i="11"/>
  <c r="AC8" i="11"/>
  <c r="AD8" i="11" s="1"/>
  <c r="AF7" i="11"/>
  <c r="AC7" i="11"/>
  <c r="AE7" i="11" s="1"/>
  <c r="AF9" i="29"/>
  <c r="AC9" i="29"/>
  <c r="AD9" i="29" s="1"/>
  <c r="AF8" i="29"/>
  <c r="AC8" i="29"/>
  <c r="AF162" i="35"/>
  <c r="AC162" i="35"/>
  <c r="AE162" i="35" s="1"/>
  <c r="AF161" i="35"/>
  <c r="AC161" i="35"/>
  <c r="AE161" i="35" s="1"/>
  <c r="AF160" i="35"/>
  <c r="AC160" i="35"/>
  <c r="AD160" i="35" s="1"/>
  <c r="AF159" i="35"/>
  <c r="AC159" i="35"/>
  <c r="AD159" i="35" s="1"/>
  <c r="AF158" i="35"/>
  <c r="AC158" i="35"/>
  <c r="AF157" i="35"/>
  <c r="AC157" i="35"/>
  <c r="AF156" i="35"/>
  <c r="AC156" i="35"/>
  <c r="AE156" i="35" s="1"/>
  <c r="AF155" i="35"/>
  <c r="AC155" i="35"/>
  <c r="AF154" i="35"/>
  <c r="AC154" i="35"/>
  <c r="AE154" i="35" s="1"/>
  <c r="AF153" i="35"/>
  <c r="AC153" i="35"/>
  <c r="AE153" i="35" s="1"/>
  <c r="AF152" i="35"/>
  <c r="AC152" i="35"/>
  <c r="AE152" i="35" s="1"/>
  <c r="AF151" i="35"/>
  <c r="AC151" i="35"/>
  <c r="AE151" i="35" s="1"/>
  <c r="AF150" i="35"/>
  <c r="AC150" i="35"/>
  <c r="AD150" i="35" s="1"/>
  <c r="AF149" i="35"/>
  <c r="AC149" i="35"/>
  <c r="AE149" i="35" s="1"/>
  <c r="AF148" i="35"/>
  <c r="AC148" i="35"/>
  <c r="AE148" i="35" s="1"/>
  <c r="AF147" i="35"/>
  <c r="AC147" i="35"/>
  <c r="AD147" i="35" s="1"/>
  <c r="AF146" i="35"/>
  <c r="AC146" i="35"/>
  <c r="AD146" i="35" s="1"/>
  <c r="AF145" i="35"/>
  <c r="AC145" i="35"/>
  <c r="AE145" i="35" s="1"/>
  <c r="AF144" i="35"/>
  <c r="AC144" i="35"/>
  <c r="AF143" i="35"/>
  <c r="AC143" i="35"/>
  <c r="AE143" i="35" s="1"/>
  <c r="AF142" i="35"/>
  <c r="AC142" i="35"/>
  <c r="AD142" i="35" s="1"/>
  <c r="AF141" i="35"/>
  <c r="AC141" i="35"/>
  <c r="AE141" i="35" s="1"/>
  <c r="AF140" i="35"/>
  <c r="AC140" i="35"/>
  <c r="AE140" i="35" s="1"/>
  <c r="AF139" i="35"/>
  <c r="AC139" i="35"/>
  <c r="AE139" i="35" s="1"/>
  <c r="AF138" i="35"/>
  <c r="AC138" i="35"/>
  <c r="AE138" i="35" s="1"/>
  <c r="AF137" i="35"/>
  <c r="AC137" i="35"/>
  <c r="AD137" i="35" s="1"/>
  <c r="AF136" i="35"/>
  <c r="AC136" i="35"/>
  <c r="AD136" i="35" s="1"/>
  <c r="AF135" i="35"/>
  <c r="AC135" i="35"/>
  <c r="AD135" i="35" s="1"/>
  <c r="AF134" i="35"/>
  <c r="AC134" i="35"/>
  <c r="AE134" i="35" s="1"/>
  <c r="AF133" i="35"/>
  <c r="AC133" i="35"/>
  <c r="AE133" i="35" s="1"/>
  <c r="AF132" i="35"/>
  <c r="AC132" i="35"/>
  <c r="AF131" i="35"/>
  <c r="AC131" i="35"/>
  <c r="AE131" i="35" s="1"/>
  <c r="AF130" i="35"/>
  <c r="AC130" i="35"/>
  <c r="AE130" i="35" s="1"/>
  <c r="AF129" i="35"/>
  <c r="AC129" i="35"/>
  <c r="AD129" i="35" s="1"/>
  <c r="AF128" i="35"/>
  <c r="AC128" i="35"/>
  <c r="AD128" i="35" s="1"/>
  <c r="AF127" i="35"/>
  <c r="AC127" i="35"/>
  <c r="AE127" i="35" s="1"/>
  <c r="AF126" i="35"/>
  <c r="AC126" i="35"/>
  <c r="AD126" i="35" s="1"/>
  <c r="AF125" i="35"/>
  <c r="AC125" i="35"/>
  <c r="AD125" i="35" s="1"/>
  <c r="AF124" i="35"/>
  <c r="AC124" i="35"/>
  <c r="AE124" i="35" s="1"/>
  <c r="AF123" i="35"/>
  <c r="AC123" i="35"/>
  <c r="AE123" i="35" s="1"/>
  <c r="AF122" i="35"/>
  <c r="AC122" i="35"/>
  <c r="AF121" i="35"/>
  <c r="AC121" i="35"/>
  <c r="AE121" i="35" s="1"/>
  <c r="AF120" i="35"/>
  <c r="AC120" i="35"/>
  <c r="AD120" i="35" s="1"/>
  <c r="AF119" i="35"/>
  <c r="AC119" i="35"/>
  <c r="AE119" i="35" s="1"/>
  <c r="AF118" i="35"/>
  <c r="AC118" i="35"/>
  <c r="AE118" i="35" s="1"/>
  <c r="AF117" i="35"/>
  <c r="AC117" i="35"/>
  <c r="AE117" i="35" s="1"/>
  <c r="AF116" i="35"/>
  <c r="AC116" i="35"/>
  <c r="AE116" i="35" s="1"/>
  <c r="AF115" i="35"/>
  <c r="AC115" i="35"/>
  <c r="AF114" i="35"/>
  <c r="AC114" i="35"/>
  <c r="AD114" i="35" s="1"/>
  <c r="AF113" i="35"/>
  <c r="AC113" i="35"/>
  <c r="AE113" i="35" s="1"/>
  <c r="AF112" i="35"/>
  <c r="AC112" i="35"/>
  <c r="AE112" i="35" s="1"/>
  <c r="AF111" i="35"/>
  <c r="AC111" i="35"/>
  <c r="AF110" i="35"/>
  <c r="AC110" i="35"/>
  <c r="AE110" i="35" s="1"/>
  <c r="AF109" i="35"/>
  <c r="AC109" i="35"/>
  <c r="AE109" i="35" s="1"/>
  <c r="AF108" i="35"/>
  <c r="AC108" i="35"/>
  <c r="AE108" i="35" s="1"/>
  <c r="AF107" i="35"/>
  <c r="AC107" i="35"/>
  <c r="AD107" i="35" s="1"/>
  <c r="AF106" i="35"/>
  <c r="AC106" i="35"/>
  <c r="AD106" i="35" s="1"/>
  <c r="AF105" i="35"/>
  <c r="AC105" i="35"/>
  <c r="AE105" i="35" s="1"/>
  <c r="AF104" i="35"/>
  <c r="AC104" i="35"/>
  <c r="AE104" i="35" s="1"/>
  <c r="AF103" i="35"/>
  <c r="AC103" i="35"/>
  <c r="AD103" i="35" s="1"/>
  <c r="AF102" i="35"/>
  <c r="AC102" i="35"/>
  <c r="AE102" i="35" s="1"/>
  <c r="AF101" i="35"/>
  <c r="AC101" i="35"/>
  <c r="AE101" i="35" s="1"/>
  <c r="AF100" i="35"/>
  <c r="AC100" i="35"/>
  <c r="AE100" i="35" s="1"/>
  <c r="AF99" i="35"/>
  <c r="AC99" i="35"/>
  <c r="AE99" i="35" s="1"/>
  <c r="AF98" i="35"/>
  <c r="AC98" i="35"/>
  <c r="AF97" i="35"/>
  <c r="AC97" i="35"/>
  <c r="AD97" i="35" s="1"/>
  <c r="AF96" i="35"/>
  <c r="AC96" i="35"/>
  <c r="AF95" i="35"/>
  <c r="AC95" i="35"/>
  <c r="AE95" i="35" s="1"/>
  <c r="AF94" i="35"/>
  <c r="AC94" i="35"/>
  <c r="AE94" i="35" s="1"/>
  <c r="AF93" i="35"/>
  <c r="AC93" i="35"/>
  <c r="AF92" i="35"/>
  <c r="AC92" i="35"/>
  <c r="AF91" i="35"/>
  <c r="AC91" i="35"/>
  <c r="AF90" i="35"/>
  <c r="AC90" i="35"/>
  <c r="AD90" i="35" s="1"/>
  <c r="AF89" i="35"/>
  <c r="AC89" i="35"/>
  <c r="AD89" i="35" s="1"/>
  <c r="AF88" i="35"/>
  <c r="AC88" i="35"/>
  <c r="AE88" i="35" s="1"/>
  <c r="AF87" i="35"/>
  <c r="AC87" i="35"/>
  <c r="AF86" i="35"/>
  <c r="AC86" i="35"/>
  <c r="AF85" i="35"/>
  <c r="AC85" i="35"/>
  <c r="AF84" i="35"/>
  <c r="AC84" i="35"/>
  <c r="AE84" i="35" s="1"/>
  <c r="AF83" i="35"/>
  <c r="AC83" i="35"/>
  <c r="AD83" i="35" s="1"/>
  <c r="AF82" i="35"/>
  <c r="AC82" i="35"/>
  <c r="AF81" i="35"/>
  <c r="AC81" i="35"/>
  <c r="AD81" i="35" s="1"/>
  <c r="AF80" i="35"/>
  <c r="AC80" i="35"/>
  <c r="AE80" i="35" s="1"/>
  <c r="AF79" i="35"/>
  <c r="AC79" i="35"/>
  <c r="AE79" i="35" s="1"/>
  <c r="AF78" i="35"/>
  <c r="AC78" i="35"/>
  <c r="AF77" i="35"/>
  <c r="AC77" i="35"/>
  <c r="AD77" i="35" s="1"/>
  <c r="AF76" i="35"/>
  <c r="AC76" i="35"/>
  <c r="AF75" i="35"/>
  <c r="AC75" i="35"/>
  <c r="AF74" i="35"/>
  <c r="AC74" i="35"/>
  <c r="AE74" i="35" s="1"/>
  <c r="AF73" i="35"/>
  <c r="AC73" i="35"/>
  <c r="AE73" i="35" s="1"/>
  <c r="AF72" i="35"/>
  <c r="AC72" i="35"/>
  <c r="AE72" i="35" s="1"/>
  <c r="AF71" i="35"/>
  <c r="AC71" i="35"/>
  <c r="AE71" i="35" s="1"/>
  <c r="AF70" i="35"/>
  <c r="AC70" i="35"/>
  <c r="AD70" i="35" s="1"/>
  <c r="AF69" i="35"/>
  <c r="AC69" i="35"/>
  <c r="AF68" i="35"/>
  <c r="AC68" i="35"/>
  <c r="AE68" i="35" s="1"/>
  <c r="AF66" i="35"/>
  <c r="AC66" i="35"/>
  <c r="AD66" i="35" s="1"/>
  <c r="AF65" i="35"/>
  <c r="AC65" i="35"/>
  <c r="AF64" i="35"/>
  <c r="AC64" i="35"/>
  <c r="AE64" i="35" s="1"/>
  <c r="AF63" i="35"/>
  <c r="AC63" i="35"/>
  <c r="AD63" i="35" s="1"/>
  <c r="AF62" i="35"/>
  <c r="AC62" i="35"/>
  <c r="AE62" i="35" s="1"/>
  <c r="AF61" i="35"/>
  <c r="AC61" i="35"/>
  <c r="AF60" i="35"/>
  <c r="AC60" i="35"/>
  <c r="AD60" i="35" s="1"/>
  <c r="AF59" i="35"/>
  <c r="AC59" i="35"/>
  <c r="AE59" i="35" s="1"/>
  <c r="AF58" i="35"/>
  <c r="AC58" i="35"/>
  <c r="AE58" i="35" s="1"/>
  <c r="AF57" i="35"/>
  <c r="AC57" i="35"/>
  <c r="AE57" i="35" s="1"/>
  <c r="AF56" i="35"/>
  <c r="AC56" i="35"/>
  <c r="AE56" i="35" s="1"/>
  <c r="AF55" i="35"/>
  <c r="AC55" i="35"/>
  <c r="AD55" i="35" s="1"/>
  <c r="AF54" i="35"/>
  <c r="AC54" i="35"/>
  <c r="AE54" i="35" s="1"/>
  <c r="AF53" i="35"/>
  <c r="AC53" i="35"/>
  <c r="AF52" i="35"/>
  <c r="AC52" i="35"/>
  <c r="AF51" i="35"/>
  <c r="AC51" i="35"/>
  <c r="AE51" i="35" s="1"/>
  <c r="AF50" i="35"/>
  <c r="AC50" i="35"/>
  <c r="AF49" i="35"/>
  <c r="AC49" i="35"/>
  <c r="AF48" i="35"/>
  <c r="AC48" i="35"/>
  <c r="AE48" i="35" s="1"/>
  <c r="AF47" i="35"/>
  <c r="AC47" i="35"/>
  <c r="AE47" i="35" s="1"/>
  <c r="AF46" i="35"/>
  <c r="AC46" i="35"/>
  <c r="AE46" i="35" s="1"/>
  <c r="AF45" i="35"/>
  <c r="AC45" i="35"/>
  <c r="AE45" i="35" s="1"/>
  <c r="AF44" i="35"/>
  <c r="AC44" i="35"/>
  <c r="AE44" i="35" s="1"/>
  <c r="AF43" i="35"/>
  <c r="AC43" i="35"/>
  <c r="AE43" i="35" s="1"/>
  <c r="AF42" i="35"/>
  <c r="AC42" i="35"/>
  <c r="AD42" i="35" s="1"/>
  <c r="AF41" i="35"/>
  <c r="AC41" i="35"/>
  <c r="AD41" i="35" s="1"/>
  <c r="AF39" i="35"/>
  <c r="AC39" i="35"/>
  <c r="AD39" i="35" s="1"/>
  <c r="AF38" i="35"/>
  <c r="AC38" i="35"/>
  <c r="AD38" i="35" s="1"/>
  <c r="AF37" i="35"/>
  <c r="AC37" i="35"/>
  <c r="AD37" i="35" s="1"/>
  <c r="AF36" i="35"/>
  <c r="AC36" i="35"/>
  <c r="AE36" i="35" s="1"/>
  <c r="AF34" i="35"/>
  <c r="AC34" i="35"/>
  <c r="AF33" i="35"/>
  <c r="AC33" i="35"/>
  <c r="AF32" i="35"/>
  <c r="AC32" i="35"/>
  <c r="AD32" i="35" s="1"/>
  <c r="AF31" i="35"/>
  <c r="AC31" i="35"/>
  <c r="AF30" i="35"/>
  <c r="AC30" i="35"/>
  <c r="AE30" i="35" s="1"/>
  <c r="AF29" i="35"/>
  <c r="AC29" i="35"/>
  <c r="AD29" i="35" s="1"/>
  <c r="AF28" i="35"/>
  <c r="AC28" i="35"/>
  <c r="AE28" i="35" s="1"/>
  <c r="AF27" i="35"/>
  <c r="AC27" i="35"/>
  <c r="AF26" i="35"/>
  <c r="AC26" i="35"/>
  <c r="AD26" i="35" s="1"/>
  <c r="AF25" i="35"/>
  <c r="AC25" i="35"/>
  <c r="AE25" i="35" s="1"/>
  <c r="AF24" i="35"/>
  <c r="AC24" i="35"/>
  <c r="AE24" i="35" s="1"/>
  <c r="AF23" i="35"/>
  <c r="AC23" i="35"/>
  <c r="AF22" i="35"/>
  <c r="AC22" i="35"/>
  <c r="AE22" i="35" s="1"/>
  <c r="AF21" i="35"/>
  <c r="AC21" i="35"/>
  <c r="AE21" i="35" s="1"/>
  <c r="AF19" i="35"/>
  <c r="AC19" i="35"/>
  <c r="AE19" i="35" s="1"/>
  <c r="AF18" i="35"/>
  <c r="AC18" i="35"/>
  <c r="AD18" i="35" s="1"/>
  <c r="AF17" i="35"/>
  <c r="AC17" i="35"/>
  <c r="AE17" i="35" s="1"/>
  <c r="AF16" i="35"/>
  <c r="AC16" i="35"/>
  <c r="AE16" i="35" s="1"/>
  <c r="AF15" i="35"/>
  <c r="AC15" i="35"/>
  <c r="AD15" i="35" s="1"/>
  <c r="AF14" i="35"/>
  <c r="AC14" i="35"/>
  <c r="AE14" i="35" s="1"/>
  <c r="AF13" i="35"/>
  <c r="AC13" i="35"/>
  <c r="AE13" i="35" s="1"/>
  <c r="AF12" i="35"/>
  <c r="AC12" i="35"/>
  <c r="AF11" i="35"/>
  <c r="AC11" i="35"/>
  <c r="AE11" i="35" s="1"/>
  <c r="AF10" i="35"/>
  <c r="AC10" i="35"/>
  <c r="AD10" i="35" s="1"/>
  <c r="AF9" i="35"/>
  <c r="AC9" i="35"/>
  <c r="AD9" i="35" s="1"/>
  <c r="AF8" i="35"/>
  <c r="AC8" i="35"/>
  <c r="AD8" i="35" s="1"/>
  <c r="AF7" i="35"/>
  <c r="AC7" i="35"/>
  <c r="AD7" i="35" s="1"/>
  <c r="C9" i="29"/>
  <c r="C8" i="29"/>
  <c r="AH9" i="29"/>
  <c r="AG9" i="29"/>
  <c r="T9" i="29"/>
  <c r="Q9" i="29"/>
  <c r="W9" i="29"/>
  <c r="P9" i="29"/>
  <c r="AH8" i="29"/>
  <c r="AG8" i="29"/>
  <c r="T8" i="29"/>
  <c r="Q8" i="29"/>
  <c r="W8" i="29" s="1"/>
  <c r="AI8" i="29" s="1"/>
  <c r="P8" i="29"/>
  <c r="AH162" i="35"/>
  <c r="AG162" i="35"/>
  <c r="U162" i="35"/>
  <c r="T162" i="35" s="1"/>
  <c r="S162" i="35"/>
  <c r="R162" i="35"/>
  <c r="Q162" i="35"/>
  <c r="W162" i="35" s="1"/>
  <c r="AI162" i="35" s="1"/>
  <c r="O162" i="35"/>
  <c r="P162" i="35" s="1"/>
  <c r="AH161" i="35"/>
  <c r="AG161" i="35"/>
  <c r="U161" i="35"/>
  <c r="T161" i="35" s="1"/>
  <c r="S161" i="35"/>
  <c r="R161" i="35"/>
  <c r="Q161" i="35"/>
  <c r="W161" i="35"/>
  <c r="O161" i="35"/>
  <c r="P161" i="35"/>
  <c r="AH160" i="35"/>
  <c r="AG160" i="35"/>
  <c r="U160" i="35"/>
  <c r="T160" i="35"/>
  <c r="S160" i="35"/>
  <c r="Q160" i="35"/>
  <c r="W160" i="35" s="1"/>
  <c r="V160" i="35" s="1"/>
  <c r="O160" i="35"/>
  <c r="P160" i="35"/>
  <c r="AH159" i="35"/>
  <c r="AG159" i="35"/>
  <c r="U159" i="35"/>
  <c r="T159" i="35" s="1"/>
  <c r="S159" i="35"/>
  <c r="Q159" i="35"/>
  <c r="W159" i="35" s="1"/>
  <c r="AI159" i="35" s="1"/>
  <c r="O159" i="35"/>
  <c r="P159" i="35"/>
  <c r="AH158" i="35"/>
  <c r="AG158" i="35"/>
  <c r="U158" i="35"/>
  <c r="S158" i="35"/>
  <c r="R158" i="35"/>
  <c r="Q158" i="35"/>
  <c r="W158" i="35"/>
  <c r="AI158" i="35" s="1"/>
  <c r="O158" i="35"/>
  <c r="P158" i="35"/>
  <c r="AH157" i="35"/>
  <c r="AG157" i="35"/>
  <c r="U157" i="35"/>
  <c r="S157" i="35"/>
  <c r="R157" i="35" s="1"/>
  <c r="Q157" i="35"/>
  <c r="W157" i="35" s="1"/>
  <c r="O157" i="35"/>
  <c r="P157" i="35" s="1"/>
  <c r="AH156" i="35"/>
  <c r="AG156" i="35"/>
  <c r="U156" i="35"/>
  <c r="T156" i="35" s="1"/>
  <c r="S156" i="35"/>
  <c r="Q156" i="35"/>
  <c r="W156" i="35" s="1"/>
  <c r="O156" i="35"/>
  <c r="P156" i="35" s="1"/>
  <c r="AH155" i="35"/>
  <c r="AG155" i="35"/>
  <c r="U155" i="35"/>
  <c r="T155" i="35" s="1"/>
  <c r="S155" i="35"/>
  <c r="R155" i="35" s="1"/>
  <c r="Q155" i="35"/>
  <c r="W155" i="35"/>
  <c r="O155" i="35"/>
  <c r="AH154" i="35"/>
  <c r="AG154" i="35"/>
  <c r="U154" i="35"/>
  <c r="T154" i="35" s="1"/>
  <c r="S154" i="35"/>
  <c r="R154" i="35"/>
  <c r="Q154" i="35"/>
  <c r="W154" i="35" s="1"/>
  <c r="O154" i="35"/>
  <c r="AH153" i="35"/>
  <c r="AG153" i="35"/>
  <c r="U153" i="35"/>
  <c r="T153" i="35" s="1"/>
  <c r="S153" i="35"/>
  <c r="R153" i="35" s="1"/>
  <c r="Q153" i="35"/>
  <c r="W153" i="35"/>
  <c r="O153" i="35"/>
  <c r="P153" i="35" s="1"/>
  <c r="U152" i="35"/>
  <c r="S152" i="35"/>
  <c r="R152" i="35"/>
  <c r="Q152" i="35"/>
  <c r="W152" i="35" s="1"/>
  <c r="O152" i="35"/>
  <c r="P152" i="35" s="1"/>
  <c r="U151" i="35"/>
  <c r="T151" i="35"/>
  <c r="S151" i="35"/>
  <c r="R151" i="35" s="1"/>
  <c r="Q151" i="35"/>
  <c r="W151" i="35" s="1"/>
  <c r="O151" i="35"/>
  <c r="P151" i="35" s="1"/>
  <c r="U150" i="35"/>
  <c r="T150" i="35"/>
  <c r="S150" i="35"/>
  <c r="Q150" i="35"/>
  <c r="W150" i="35"/>
  <c r="O150" i="35"/>
  <c r="P150" i="35" s="1"/>
  <c r="U149" i="35"/>
  <c r="T149" i="35"/>
  <c r="S149" i="35"/>
  <c r="R149" i="35"/>
  <c r="Q149" i="35"/>
  <c r="W149" i="35"/>
  <c r="O149" i="35"/>
  <c r="P149" i="35" s="1"/>
  <c r="U148" i="35"/>
  <c r="S148" i="35"/>
  <c r="R148" i="35" s="1"/>
  <c r="Q148" i="35"/>
  <c r="W148" i="35"/>
  <c r="O148" i="35"/>
  <c r="U147" i="35"/>
  <c r="T147" i="35" s="1"/>
  <c r="S147" i="35"/>
  <c r="Q147" i="35"/>
  <c r="W147" i="35" s="1"/>
  <c r="O147" i="35"/>
  <c r="P147" i="35" s="1"/>
  <c r="U146" i="35"/>
  <c r="S146" i="35"/>
  <c r="Q146" i="35"/>
  <c r="W146" i="35" s="1"/>
  <c r="O146" i="35"/>
  <c r="U145" i="35"/>
  <c r="T145" i="35"/>
  <c r="S145" i="35"/>
  <c r="R145" i="35"/>
  <c r="Q145" i="35"/>
  <c r="W145" i="35"/>
  <c r="O145" i="35"/>
  <c r="U144" i="35"/>
  <c r="T144" i="35" s="1"/>
  <c r="S144" i="35"/>
  <c r="R144" i="35"/>
  <c r="Q144" i="35"/>
  <c r="W144" i="35"/>
  <c r="V144" i="35" s="1"/>
  <c r="O144" i="35"/>
  <c r="AH143" i="35"/>
  <c r="AG143" i="35"/>
  <c r="U143" i="35"/>
  <c r="T143" i="35"/>
  <c r="S143" i="35"/>
  <c r="Q143" i="35"/>
  <c r="W143" i="35"/>
  <c r="O143" i="35"/>
  <c r="P143" i="35"/>
  <c r="AH142" i="35"/>
  <c r="AG142" i="35"/>
  <c r="U142" i="35"/>
  <c r="T142" i="35"/>
  <c r="S142" i="35"/>
  <c r="R142" i="35" s="1"/>
  <c r="Q142" i="35"/>
  <c r="W142" i="35" s="1"/>
  <c r="O142" i="35"/>
  <c r="P142" i="35"/>
  <c r="AH141" i="35"/>
  <c r="AG141" i="35"/>
  <c r="U141" i="35"/>
  <c r="T141" i="35" s="1"/>
  <c r="S141" i="35"/>
  <c r="Q141" i="35"/>
  <c r="W141" i="35" s="1"/>
  <c r="O141" i="35"/>
  <c r="P141" i="35"/>
  <c r="AH140" i="35"/>
  <c r="AG140" i="35"/>
  <c r="U140" i="35"/>
  <c r="T140" i="35" s="1"/>
  <c r="S140" i="35"/>
  <c r="V140" i="35" s="1"/>
  <c r="R140" i="35"/>
  <c r="Q140" i="35"/>
  <c r="W140" i="35"/>
  <c r="O140" i="35"/>
  <c r="P140" i="35"/>
  <c r="AH139" i="35"/>
  <c r="AG139" i="35"/>
  <c r="U139" i="35"/>
  <c r="V139" i="35" s="1"/>
  <c r="T139" i="35"/>
  <c r="S139" i="35"/>
  <c r="Q139" i="35"/>
  <c r="W139" i="35"/>
  <c r="O139" i="35"/>
  <c r="P139" i="35" s="1"/>
  <c r="AH138" i="35"/>
  <c r="AG138" i="35"/>
  <c r="U138" i="35"/>
  <c r="T138" i="35" s="1"/>
  <c r="S138" i="35"/>
  <c r="Q138" i="35"/>
  <c r="W138" i="35"/>
  <c r="O138" i="35"/>
  <c r="P138" i="35" s="1"/>
  <c r="AH137" i="35"/>
  <c r="AG137" i="35"/>
  <c r="U137" i="35"/>
  <c r="T137" i="35"/>
  <c r="S137" i="35"/>
  <c r="R137" i="35"/>
  <c r="Q137" i="35"/>
  <c r="W137" i="35" s="1"/>
  <c r="V137" i="35" s="1"/>
  <c r="O137" i="35"/>
  <c r="P137" i="35"/>
  <c r="AH136" i="35"/>
  <c r="AG136" i="35"/>
  <c r="U136" i="35"/>
  <c r="T136" i="35"/>
  <c r="S136" i="35"/>
  <c r="Q136" i="35"/>
  <c r="W136" i="35"/>
  <c r="O136" i="35"/>
  <c r="AH135" i="35"/>
  <c r="AG135" i="35"/>
  <c r="U135" i="35"/>
  <c r="T135" i="35"/>
  <c r="S135" i="35"/>
  <c r="Q135" i="35"/>
  <c r="W135" i="35"/>
  <c r="O135" i="35"/>
  <c r="AH134" i="35"/>
  <c r="AG134" i="35"/>
  <c r="U134" i="35"/>
  <c r="T134" i="35"/>
  <c r="S134" i="35"/>
  <c r="Q134" i="35"/>
  <c r="W134" i="35"/>
  <c r="O134" i="35"/>
  <c r="AH133" i="35"/>
  <c r="AG133" i="35"/>
  <c r="U133" i="35"/>
  <c r="T133" i="35"/>
  <c r="S133" i="35"/>
  <c r="Q133" i="35"/>
  <c r="W133" i="35" s="1"/>
  <c r="O133" i="35"/>
  <c r="P133" i="35" s="1"/>
  <c r="AH132" i="35"/>
  <c r="AG132" i="35"/>
  <c r="U132" i="35"/>
  <c r="T132" i="35" s="1"/>
  <c r="S132" i="35"/>
  <c r="R132" i="35" s="1"/>
  <c r="Q132" i="35"/>
  <c r="W132" i="35"/>
  <c r="O132" i="35"/>
  <c r="P132" i="35" s="1"/>
  <c r="AH131" i="35"/>
  <c r="AG131" i="35"/>
  <c r="U131" i="35"/>
  <c r="S131" i="35"/>
  <c r="Q131" i="35"/>
  <c r="W131" i="35"/>
  <c r="AI131" i="35" s="1"/>
  <c r="O131" i="35"/>
  <c r="P131" i="35"/>
  <c r="AH130" i="35"/>
  <c r="AG130" i="35"/>
  <c r="U130" i="35"/>
  <c r="T130" i="35" s="1"/>
  <c r="S130" i="35"/>
  <c r="R130" i="35"/>
  <c r="Q130" i="35"/>
  <c r="W130" i="35" s="1"/>
  <c r="O130" i="35"/>
  <c r="P130" i="35"/>
  <c r="AH129" i="35"/>
  <c r="AG129" i="35"/>
  <c r="U129" i="35"/>
  <c r="T129" i="35" s="1"/>
  <c r="S129" i="35"/>
  <c r="R129" i="35" s="1"/>
  <c r="Q129" i="35"/>
  <c r="W129" i="35" s="1"/>
  <c r="O129" i="35"/>
  <c r="P129" i="35" s="1"/>
  <c r="AH128" i="35"/>
  <c r="AG128" i="35"/>
  <c r="U128" i="35"/>
  <c r="S128" i="35"/>
  <c r="R128" i="35" s="1"/>
  <c r="Q128" i="35"/>
  <c r="W128" i="35" s="1"/>
  <c r="O128" i="35"/>
  <c r="P128" i="35"/>
  <c r="AH127" i="35"/>
  <c r="AG127" i="35"/>
  <c r="U127" i="35"/>
  <c r="T127" i="35" s="1"/>
  <c r="S127" i="35"/>
  <c r="V127" i="35" s="1"/>
  <c r="R127" i="35"/>
  <c r="Q127" i="35"/>
  <c r="W127" i="35"/>
  <c r="O127" i="35"/>
  <c r="P127" i="35" s="1"/>
  <c r="AH126" i="35"/>
  <c r="AG126" i="35"/>
  <c r="U126" i="35"/>
  <c r="T126" i="35"/>
  <c r="S126" i="35"/>
  <c r="Q126" i="35"/>
  <c r="W126" i="35"/>
  <c r="O126" i="35"/>
  <c r="P126" i="35"/>
  <c r="AH125" i="35"/>
  <c r="AG125" i="35"/>
  <c r="U125" i="35"/>
  <c r="T125" i="35" s="1"/>
  <c r="S125" i="35"/>
  <c r="Q125" i="35"/>
  <c r="W125" i="35"/>
  <c r="O125" i="35"/>
  <c r="P125" i="35" s="1"/>
  <c r="AH124" i="35"/>
  <c r="AG124" i="35"/>
  <c r="U124" i="35"/>
  <c r="T124" i="35" s="1"/>
  <c r="S124" i="35"/>
  <c r="Q124" i="35"/>
  <c r="W124" i="35"/>
  <c r="O124" i="35"/>
  <c r="P124" i="35"/>
  <c r="U123" i="35"/>
  <c r="T123" i="35"/>
  <c r="S123" i="35"/>
  <c r="R123" i="35"/>
  <c r="Q123" i="35"/>
  <c r="W123" i="35"/>
  <c r="O123" i="35"/>
  <c r="P123" i="35" s="1"/>
  <c r="U122" i="35"/>
  <c r="T122" i="35" s="1"/>
  <c r="S122" i="35"/>
  <c r="Q122" i="35"/>
  <c r="W122" i="35" s="1"/>
  <c r="O122" i="35"/>
  <c r="U121" i="35"/>
  <c r="T121" i="35" s="1"/>
  <c r="S121" i="35"/>
  <c r="Q121" i="35"/>
  <c r="W121" i="35"/>
  <c r="O121" i="35"/>
  <c r="P121" i="35" s="1"/>
  <c r="AH120" i="35"/>
  <c r="AG120" i="35"/>
  <c r="U120" i="35"/>
  <c r="T120" i="35" s="1"/>
  <c r="S120" i="35"/>
  <c r="Q120" i="35"/>
  <c r="W120" i="35"/>
  <c r="O120" i="35"/>
  <c r="P120" i="35" s="1"/>
  <c r="AH119" i="35"/>
  <c r="AG119" i="35"/>
  <c r="U119" i="35"/>
  <c r="S119" i="35"/>
  <c r="R119" i="35"/>
  <c r="Q119" i="35"/>
  <c r="W119" i="35" s="1"/>
  <c r="O119" i="35"/>
  <c r="P119" i="35"/>
  <c r="AH118" i="35"/>
  <c r="AG118" i="35"/>
  <c r="U118" i="35"/>
  <c r="T118" i="35"/>
  <c r="S118" i="35"/>
  <c r="Q118" i="35"/>
  <c r="W118" i="35"/>
  <c r="O118" i="35"/>
  <c r="P118" i="35" s="1"/>
  <c r="AH117" i="35"/>
  <c r="AG117" i="35"/>
  <c r="U117" i="35"/>
  <c r="T117" i="35"/>
  <c r="S117" i="35"/>
  <c r="Q117" i="35"/>
  <c r="W117" i="35"/>
  <c r="V117" i="35" s="1"/>
  <c r="O117" i="35"/>
  <c r="P117" i="35" s="1"/>
  <c r="AH116" i="35"/>
  <c r="AG116" i="35"/>
  <c r="U116" i="35"/>
  <c r="T116" i="35" s="1"/>
  <c r="S116" i="35"/>
  <c r="R116" i="35" s="1"/>
  <c r="Q116" i="35"/>
  <c r="W116" i="35" s="1"/>
  <c r="O116" i="35"/>
  <c r="P116" i="35" s="1"/>
  <c r="AH115" i="35"/>
  <c r="AG115" i="35"/>
  <c r="U115" i="35"/>
  <c r="S115" i="35"/>
  <c r="R115" i="35"/>
  <c r="Q115" i="35"/>
  <c r="W115" i="35" s="1"/>
  <c r="O115" i="35"/>
  <c r="P115" i="35"/>
  <c r="AH114" i="35"/>
  <c r="AG114" i="35"/>
  <c r="U114" i="35"/>
  <c r="T114" i="35"/>
  <c r="S114" i="35"/>
  <c r="Q114" i="35"/>
  <c r="W114" i="35"/>
  <c r="O114" i="35"/>
  <c r="P114" i="35" s="1"/>
  <c r="AH113" i="35"/>
  <c r="AG113" i="35"/>
  <c r="U113" i="35"/>
  <c r="T113" i="35"/>
  <c r="S113" i="35"/>
  <c r="Q113" i="35"/>
  <c r="W113" i="35"/>
  <c r="V113" i="35" s="1"/>
  <c r="O113" i="35"/>
  <c r="P113" i="35"/>
  <c r="AH112" i="35"/>
  <c r="AG112" i="35"/>
  <c r="U112" i="35"/>
  <c r="T112" i="35" s="1"/>
  <c r="S112" i="35"/>
  <c r="Q112" i="35"/>
  <c r="W112" i="35"/>
  <c r="O112" i="35"/>
  <c r="P112" i="35" s="1"/>
  <c r="AH111" i="35"/>
  <c r="AG111" i="35"/>
  <c r="U111" i="35"/>
  <c r="T111" i="35" s="1"/>
  <c r="S111" i="35"/>
  <c r="R111" i="35"/>
  <c r="Q111" i="35"/>
  <c r="W111" i="35"/>
  <c r="V111" i="35" s="1"/>
  <c r="O111" i="35"/>
  <c r="P111" i="35"/>
  <c r="AH110" i="35"/>
  <c r="AG110" i="35"/>
  <c r="U110" i="35"/>
  <c r="T110" i="35"/>
  <c r="S110" i="35"/>
  <c r="Q110" i="35"/>
  <c r="W110" i="35" s="1"/>
  <c r="V110" i="35" s="1"/>
  <c r="O110" i="35"/>
  <c r="P110" i="35" s="1"/>
  <c r="AH109" i="35"/>
  <c r="AG109" i="35"/>
  <c r="U109" i="35"/>
  <c r="T109" i="35"/>
  <c r="S109" i="35"/>
  <c r="V109" i="35" s="1"/>
  <c r="Q109" i="35"/>
  <c r="W109" i="35" s="1"/>
  <c r="O109" i="35"/>
  <c r="P109" i="35"/>
  <c r="AH108" i="35"/>
  <c r="AG108" i="35"/>
  <c r="U108" i="35"/>
  <c r="T108" i="35"/>
  <c r="S108" i="35"/>
  <c r="Q108" i="35"/>
  <c r="W108" i="35"/>
  <c r="O108" i="35"/>
  <c r="P108" i="35" s="1"/>
  <c r="AH107" i="35"/>
  <c r="AG107" i="35"/>
  <c r="U107" i="35"/>
  <c r="T107" i="35" s="1"/>
  <c r="S107" i="35"/>
  <c r="R107" i="35"/>
  <c r="Q107" i="35"/>
  <c r="W107" i="35" s="1"/>
  <c r="O107" i="35"/>
  <c r="P107" i="35" s="1"/>
  <c r="AH106" i="35"/>
  <c r="AG106" i="35"/>
  <c r="U106" i="35"/>
  <c r="T106" i="35"/>
  <c r="S106" i="35"/>
  <c r="Q106" i="35"/>
  <c r="W106" i="35"/>
  <c r="O106" i="35"/>
  <c r="P106" i="35" s="1"/>
  <c r="AH105" i="35"/>
  <c r="AG105" i="35"/>
  <c r="U105" i="35"/>
  <c r="T105" i="35"/>
  <c r="S105" i="35"/>
  <c r="Q105" i="35"/>
  <c r="W105" i="35"/>
  <c r="O105" i="35"/>
  <c r="P105" i="35" s="1"/>
  <c r="AH104" i="35"/>
  <c r="AG104" i="35"/>
  <c r="U104" i="35"/>
  <c r="T104" i="35"/>
  <c r="S104" i="35"/>
  <c r="Q104" i="35"/>
  <c r="W104" i="35"/>
  <c r="O104" i="35"/>
  <c r="P104" i="35" s="1"/>
  <c r="AH103" i="35"/>
  <c r="AG103" i="35"/>
  <c r="U103" i="35"/>
  <c r="T103" i="35" s="1"/>
  <c r="S103" i="35"/>
  <c r="R103" i="35"/>
  <c r="Q103" i="35"/>
  <c r="W103" i="35" s="1"/>
  <c r="O103" i="35"/>
  <c r="AH102" i="35"/>
  <c r="AG102" i="35"/>
  <c r="U102" i="35"/>
  <c r="T102" i="35"/>
  <c r="S102" i="35"/>
  <c r="R102" i="35" s="1"/>
  <c r="Q102" i="35"/>
  <c r="W102" i="35" s="1"/>
  <c r="O102" i="35"/>
  <c r="AH101" i="35"/>
  <c r="AG101" i="35"/>
  <c r="U101" i="35"/>
  <c r="T101" i="35"/>
  <c r="S101" i="35"/>
  <c r="Q101" i="35"/>
  <c r="W101" i="35" s="1"/>
  <c r="O101" i="35"/>
  <c r="AH100" i="35"/>
  <c r="AG100" i="35"/>
  <c r="U100" i="35"/>
  <c r="T100" i="35"/>
  <c r="S100" i="35"/>
  <c r="Q100" i="35"/>
  <c r="W100" i="35" s="1"/>
  <c r="O100" i="35"/>
  <c r="P100" i="35" s="1"/>
  <c r="AH99" i="35"/>
  <c r="AG99" i="35"/>
  <c r="U99" i="35"/>
  <c r="T99" i="35"/>
  <c r="S99" i="35"/>
  <c r="Q99" i="35"/>
  <c r="W99" i="35"/>
  <c r="O99" i="35"/>
  <c r="P99" i="35"/>
  <c r="AH98" i="35"/>
  <c r="AG98" i="35"/>
  <c r="U98" i="35"/>
  <c r="T98" i="35" s="1"/>
  <c r="S98" i="35"/>
  <c r="Q98" i="35"/>
  <c r="W98" i="35" s="1"/>
  <c r="O98" i="35"/>
  <c r="P98" i="35" s="1"/>
  <c r="AH97" i="35"/>
  <c r="AG97" i="35"/>
  <c r="U97" i="35"/>
  <c r="T97" i="35" s="1"/>
  <c r="S97" i="35"/>
  <c r="Q97" i="35"/>
  <c r="W97" i="35"/>
  <c r="O97" i="35"/>
  <c r="P97" i="35" s="1"/>
  <c r="AH96" i="35"/>
  <c r="AG96" i="35"/>
  <c r="U96" i="35"/>
  <c r="T96" i="35"/>
  <c r="S96" i="35"/>
  <c r="R96" i="35"/>
  <c r="Q96" i="35"/>
  <c r="W96" i="35" s="1"/>
  <c r="V96" i="35" s="1"/>
  <c r="O96" i="35"/>
  <c r="P96" i="35"/>
  <c r="AH95" i="35"/>
  <c r="AG95" i="35"/>
  <c r="U95" i="35"/>
  <c r="T95" i="35" s="1"/>
  <c r="S95" i="35"/>
  <c r="Q95" i="35"/>
  <c r="W95" i="35" s="1"/>
  <c r="O95" i="35"/>
  <c r="P95" i="35"/>
  <c r="AH94" i="35"/>
  <c r="AG94" i="35"/>
  <c r="U94" i="35"/>
  <c r="T94" i="35" s="1"/>
  <c r="S94" i="35"/>
  <c r="Q94" i="35"/>
  <c r="W94" i="35" s="1"/>
  <c r="O94" i="35"/>
  <c r="P94" i="35" s="1"/>
  <c r="AH93" i="35"/>
  <c r="AG93" i="35"/>
  <c r="U93" i="35"/>
  <c r="T93" i="35" s="1"/>
  <c r="S93" i="35"/>
  <c r="Q93" i="35"/>
  <c r="W93" i="35"/>
  <c r="O93" i="35"/>
  <c r="P93" i="35"/>
  <c r="AH92" i="35"/>
  <c r="AG92" i="35"/>
  <c r="U92" i="35"/>
  <c r="T92" i="35"/>
  <c r="S92" i="35"/>
  <c r="R92" i="35"/>
  <c r="Q92" i="35"/>
  <c r="W92" i="35"/>
  <c r="O92" i="35"/>
  <c r="P92" i="35" s="1"/>
  <c r="AH91" i="35"/>
  <c r="AG91" i="35"/>
  <c r="U91" i="35"/>
  <c r="T91" i="35"/>
  <c r="S91" i="35"/>
  <c r="R91" i="35"/>
  <c r="Q91" i="35"/>
  <c r="W91" i="35" s="1"/>
  <c r="V91" i="35" s="1"/>
  <c r="O91" i="35"/>
  <c r="AH90" i="35"/>
  <c r="AG90" i="35"/>
  <c r="U90" i="35"/>
  <c r="T90" i="35" s="1"/>
  <c r="S90" i="35"/>
  <c r="R90" i="35" s="1"/>
  <c r="Q90" i="35"/>
  <c r="W90" i="35"/>
  <c r="O90" i="35"/>
  <c r="P90" i="35"/>
  <c r="AH89" i="35"/>
  <c r="AG89" i="35"/>
  <c r="U89" i="35"/>
  <c r="T89" i="35"/>
  <c r="S89" i="35"/>
  <c r="Q89" i="35"/>
  <c r="W89" i="35" s="1"/>
  <c r="O89" i="35"/>
  <c r="P89" i="35" s="1"/>
  <c r="AH88" i="35"/>
  <c r="AG88" i="35"/>
  <c r="U88" i="35"/>
  <c r="T88" i="35"/>
  <c r="S88" i="35"/>
  <c r="Q88" i="35"/>
  <c r="W88" i="35" s="1"/>
  <c r="O88" i="35"/>
  <c r="P88" i="35"/>
  <c r="AH87" i="35"/>
  <c r="AG87" i="35"/>
  <c r="U87" i="35"/>
  <c r="T87" i="35" s="1"/>
  <c r="S87" i="35"/>
  <c r="Q87" i="35"/>
  <c r="W87" i="35"/>
  <c r="O87" i="35"/>
  <c r="AH86" i="35"/>
  <c r="AG86" i="35"/>
  <c r="U86" i="35"/>
  <c r="S86" i="35"/>
  <c r="R86" i="35" s="1"/>
  <c r="Q86" i="35"/>
  <c r="W86" i="35"/>
  <c r="O86" i="35"/>
  <c r="P86" i="35" s="1"/>
  <c r="AH85" i="35"/>
  <c r="AG85" i="35"/>
  <c r="U85" i="35"/>
  <c r="S85" i="35"/>
  <c r="Q85" i="35"/>
  <c r="W85" i="35"/>
  <c r="O85" i="35"/>
  <c r="P85" i="35" s="1"/>
  <c r="AH84" i="35"/>
  <c r="AG84" i="35"/>
  <c r="U84" i="35"/>
  <c r="S84" i="35"/>
  <c r="Q84" i="35"/>
  <c r="W84" i="35"/>
  <c r="O84" i="35"/>
  <c r="P84" i="35" s="1"/>
  <c r="AH83" i="35"/>
  <c r="AG83" i="35"/>
  <c r="U83" i="35"/>
  <c r="T83" i="35" s="1"/>
  <c r="S83" i="35"/>
  <c r="Q83" i="35"/>
  <c r="W83" i="35" s="1"/>
  <c r="O83" i="35"/>
  <c r="P83" i="35" s="1"/>
  <c r="AH82" i="35"/>
  <c r="AG82" i="35"/>
  <c r="U82" i="35"/>
  <c r="T82" i="35"/>
  <c r="S82" i="35"/>
  <c r="R82" i="35" s="1"/>
  <c r="Q82" i="35"/>
  <c r="W82" i="35" s="1"/>
  <c r="O82" i="35"/>
  <c r="P82" i="35"/>
  <c r="AH81" i="35"/>
  <c r="AG81" i="35"/>
  <c r="U81" i="35"/>
  <c r="T81" i="35"/>
  <c r="S81" i="35"/>
  <c r="R81" i="35" s="1"/>
  <c r="Q81" i="35"/>
  <c r="W81" i="35"/>
  <c r="O81" i="35"/>
  <c r="P81" i="35" s="1"/>
  <c r="AH80" i="35"/>
  <c r="AG80" i="35"/>
  <c r="U80" i="35"/>
  <c r="T80" i="35"/>
  <c r="S80" i="35"/>
  <c r="Q80" i="35"/>
  <c r="W80" i="35"/>
  <c r="O80" i="35"/>
  <c r="P80" i="35"/>
  <c r="AH79" i="35"/>
  <c r="AG79" i="35"/>
  <c r="U79" i="35"/>
  <c r="S79" i="35"/>
  <c r="R79" i="35" s="1"/>
  <c r="Q79" i="35"/>
  <c r="W79" i="35" s="1"/>
  <c r="O79" i="35"/>
  <c r="P79" i="35"/>
  <c r="AH78" i="35"/>
  <c r="AG78" i="35"/>
  <c r="U78" i="35"/>
  <c r="S78" i="35"/>
  <c r="Q78" i="35"/>
  <c r="W78" i="35"/>
  <c r="O78" i="35"/>
  <c r="P78" i="35" s="1"/>
  <c r="AH77" i="35"/>
  <c r="AG77" i="35"/>
  <c r="U77" i="35"/>
  <c r="T77" i="35" s="1"/>
  <c r="S77" i="35"/>
  <c r="R77" i="35"/>
  <c r="Q77" i="35"/>
  <c r="W77" i="35" s="1"/>
  <c r="V77" i="35" s="1"/>
  <c r="O77" i="35"/>
  <c r="P77" i="35"/>
  <c r="AH76" i="35"/>
  <c r="AG76" i="35"/>
  <c r="U76" i="35"/>
  <c r="T76" i="35"/>
  <c r="S76" i="35"/>
  <c r="V76" i="35" s="1"/>
  <c r="Q76" i="35"/>
  <c r="W76" i="35"/>
  <c r="O76" i="35"/>
  <c r="P76" i="35"/>
  <c r="AH75" i="35"/>
  <c r="AG75" i="35"/>
  <c r="U75" i="35"/>
  <c r="T75" i="35"/>
  <c r="S75" i="35"/>
  <c r="Q75" i="35"/>
  <c r="W75" i="35"/>
  <c r="V75" i="35" s="1"/>
  <c r="O75" i="35"/>
  <c r="P75" i="35" s="1"/>
  <c r="AH74" i="35"/>
  <c r="AG74" i="35"/>
  <c r="U74" i="35"/>
  <c r="T74" i="35" s="1"/>
  <c r="S74" i="35"/>
  <c r="Q74" i="35"/>
  <c r="W74" i="35" s="1"/>
  <c r="O74" i="35"/>
  <c r="P74" i="35" s="1"/>
  <c r="AH73" i="35"/>
  <c r="AG73" i="35"/>
  <c r="U73" i="35"/>
  <c r="T73" i="35" s="1"/>
  <c r="S73" i="35"/>
  <c r="R73" i="35"/>
  <c r="Q73" i="35"/>
  <c r="W73" i="35" s="1"/>
  <c r="V73" i="35" s="1"/>
  <c r="O73" i="35"/>
  <c r="P73" i="35"/>
  <c r="AH72" i="35"/>
  <c r="AG72" i="35"/>
  <c r="U72" i="35"/>
  <c r="T72" i="35"/>
  <c r="S72" i="35"/>
  <c r="R72" i="35" s="1"/>
  <c r="Q72" i="35"/>
  <c r="W72" i="35"/>
  <c r="O72" i="35"/>
  <c r="P72" i="35" s="1"/>
  <c r="AH71" i="35"/>
  <c r="AG71" i="35"/>
  <c r="U71" i="35"/>
  <c r="T71" i="35"/>
  <c r="S71" i="35"/>
  <c r="Q71" i="35"/>
  <c r="W71" i="35"/>
  <c r="O71" i="35"/>
  <c r="P71" i="35" s="1"/>
  <c r="AH70" i="35"/>
  <c r="AG70" i="35"/>
  <c r="U70" i="35"/>
  <c r="T70" i="35"/>
  <c r="S70" i="35"/>
  <c r="Q70" i="35"/>
  <c r="W70" i="35" s="1"/>
  <c r="O70" i="35"/>
  <c r="AH69" i="35"/>
  <c r="AG69" i="35"/>
  <c r="U69" i="35"/>
  <c r="T69" i="35"/>
  <c r="S69" i="35"/>
  <c r="R69" i="35"/>
  <c r="Q69" i="35"/>
  <c r="W69" i="35"/>
  <c r="O69" i="35"/>
  <c r="P69" i="35" s="1"/>
  <c r="AH68" i="35"/>
  <c r="AG68" i="35"/>
  <c r="U68" i="35"/>
  <c r="T68" i="35"/>
  <c r="S68" i="35"/>
  <c r="Q68" i="35"/>
  <c r="W68" i="35"/>
  <c r="V68" i="35" s="1"/>
  <c r="O68" i="35"/>
  <c r="P68" i="35" s="1"/>
  <c r="AH66" i="35"/>
  <c r="AG66" i="35"/>
  <c r="U66" i="35"/>
  <c r="T66" i="35"/>
  <c r="S66" i="35"/>
  <c r="Q66" i="35"/>
  <c r="W66" i="35"/>
  <c r="O66" i="35"/>
  <c r="AH65" i="35"/>
  <c r="AG65" i="35"/>
  <c r="U65" i="35"/>
  <c r="T65" i="35"/>
  <c r="S65" i="35"/>
  <c r="R65" i="35"/>
  <c r="Q65" i="35"/>
  <c r="W65" i="35" s="1"/>
  <c r="O65" i="35"/>
  <c r="AH64" i="35"/>
  <c r="AG64" i="35"/>
  <c r="U64" i="35"/>
  <c r="T64" i="35" s="1"/>
  <c r="S64" i="35"/>
  <c r="Q64" i="35"/>
  <c r="W64" i="35" s="1"/>
  <c r="O64" i="35"/>
  <c r="P64" i="35" s="1"/>
  <c r="AH63" i="35"/>
  <c r="AG63" i="35"/>
  <c r="U63" i="35"/>
  <c r="T63" i="35"/>
  <c r="S63" i="35"/>
  <c r="Q63" i="35"/>
  <c r="W63" i="35" s="1"/>
  <c r="O63" i="35"/>
  <c r="AH62" i="35"/>
  <c r="AG62" i="35"/>
  <c r="U62" i="35"/>
  <c r="T62" i="35"/>
  <c r="S62" i="35"/>
  <c r="Q62" i="35"/>
  <c r="W62" i="35" s="1"/>
  <c r="AI62" i="35" s="1"/>
  <c r="O62" i="35"/>
  <c r="P62" i="35"/>
  <c r="AH61" i="35"/>
  <c r="AG61" i="35"/>
  <c r="U61" i="35"/>
  <c r="T61" i="35" s="1"/>
  <c r="S61" i="35"/>
  <c r="R61" i="35" s="1"/>
  <c r="Q61" i="35"/>
  <c r="W61" i="35"/>
  <c r="O61" i="35"/>
  <c r="P61" i="35" s="1"/>
  <c r="AH60" i="35"/>
  <c r="AG60" i="35"/>
  <c r="U60" i="35"/>
  <c r="S60" i="35"/>
  <c r="R60" i="35"/>
  <c r="Q60" i="35"/>
  <c r="W60" i="35" s="1"/>
  <c r="O60" i="35"/>
  <c r="P60" i="35"/>
  <c r="AH59" i="35"/>
  <c r="AG59" i="35"/>
  <c r="U59" i="35"/>
  <c r="T59" i="35"/>
  <c r="S59" i="35"/>
  <c r="Q59" i="35"/>
  <c r="W59" i="35"/>
  <c r="O59" i="35"/>
  <c r="P59" i="35" s="1"/>
  <c r="AH58" i="35"/>
  <c r="AG58" i="35"/>
  <c r="U58" i="35"/>
  <c r="T58" i="35"/>
  <c r="S58" i="35"/>
  <c r="Q58" i="35"/>
  <c r="W58" i="35"/>
  <c r="V58" i="35" s="1"/>
  <c r="O58" i="35"/>
  <c r="P58" i="35" s="1"/>
  <c r="AH57" i="35"/>
  <c r="AG57" i="35"/>
  <c r="U57" i="35"/>
  <c r="T57" i="35" s="1"/>
  <c r="S57" i="35"/>
  <c r="R57" i="35"/>
  <c r="Q57" i="35"/>
  <c r="W57" i="35" s="1"/>
  <c r="O57" i="35"/>
  <c r="P57" i="35"/>
  <c r="AH56" i="35"/>
  <c r="AG56" i="35"/>
  <c r="U56" i="35"/>
  <c r="T56" i="35"/>
  <c r="S56" i="35"/>
  <c r="R56" i="35" s="1"/>
  <c r="Q56" i="35"/>
  <c r="W56" i="35"/>
  <c r="V56" i="35" s="1"/>
  <c r="O56" i="35"/>
  <c r="P56" i="35" s="1"/>
  <c r="AH55" i="35"/>
  <c r="AG55" i="35"/>
  <c r="U55" i="35"/>
  <c r="T55" i="35" s="1"/>
  <c r="S55" i="35"/>
  <c r="Q55" i="35"/>
  <c r="W55" i="35" s="1"/>
  <c r="V55" i="35" s="1"/>
  <c r="O55" i="35"/>
  <c r="P55" i="35"/>
  <c r="AH54" i="35"/>
  <c r="AG54" i="35"/>
  <c r="U54" i="35"/>
  <c r="T54" i="35" s="1"/>
  <c r="S54" i="35"/>
  <c r="Q54" i="35"/>
  <c r="W54" i="35" s="1"/>
  <c r="O54" i="35"/>
  <c r="P54" i="35"/>
  <c r="AH53" i="35"/>
  <c r="AG53" i="35"/>
  <c r="U53" i="35"/>
  <c r="T53" i="35"/>
  <c r="S53" i="35"/>
  <c r="Q53" i="35"/>
  <c r="W53" i="35"/>
  <c r="O53" i="35"/>
  <c r="P53" i="35"/>
  <c r="AH52" i="35"/>
  <c r="AG52" i="35"/>
  <c r="U52" i="35"/>
  <c r="S52" i="35"/>
  <c r="R52" i="35"/>
  <c r="Q52" i="35"/>
  <c r="W52" i="35"/>
  <c r="O52" i="35"/>
  <c r="P52" i="35"/>
  <c r="AH51" i="35"/>
  <c r="AG51" i="35"/>
  <c r="U51" i="35"/>
  <c r="T51" i="35"/>
  <c r="S51" i="35"/>
  <c r="Q51" i="35"/>
  <c r="W51" i="35" s="1"/>
  <c r="O51" i="35"/>
  <c r="P51" i="35"/>
  <c r="AH50" i="35"/>
  <c r="AG50" i="35"/>
  <c r="U50" i="35"/>
  <c r="T50" i="35"/>
  <c r="S50" i="35"/>
  <c r="R50" i="35" s="1"/>
  <c r="Q50" i="35"/>
  <c r="W50" i="35"/>
  <c r="O50" i="35"/>
  <c r="P50" i="35"/>
  <c r="AH49" i="35"/>
  <c r="AG49" i="35"/>
  <c r="U49" i="35"/>
  <c r="T49" i="35" s="1"/>
  <c r="S49" i="35"/>
  <c r="R49" i="35"/>
  <c r="Q49" i="35"/>
  <c r="W49" i="35" s="1"/>
  <c r="V49" i="35" s="1"/>
  <c r="O49" i="35"/>
  <c r="P49" i="35" s="1"/>
  <c r="AH48" i="35"/>
  <c r="AG48" i="35"/>
  <c r="U48" i="35"/>
  <c r="T48" i="35"/>
  <c r="S48" i="35"/>
  <c r="R48" i="35"/>
  <c r="Q48" i="35"/>
  <c r="W48" i="35" s="1"/>
  <c r="O48" i="35"/>
  <c r="P48" i="35"/>
  <c r="AH47" i="35"/>
  <c r="AG47" i="35"/>
  <c r="U47" i="35"/>
  <c r="T47" i="35" s="1"/>
  <c r="S47" i="35"/>
  <c r="Q47" i="35"/>
  <c r="W47" i="35"/>
  <c r="O47" i="35"/>
  <c r="P47" i="35" s="1"/>
  <c r="U46" i="35"/>
  <c r="T46" i="35" s="1"/>
  <c r="S46" i="35"/>
  <c r="Q46" i="35"/>
  <c r="W46" i="35" s="1"/>
  <c r="O46" i="35"/>
  <c r="U45" i="35"/>
  <c r="T45" i="35" s="1"/>
  <c r="S45" i="35"/>
  <c r="R45" i="35"/>
  <c r="Q45" i="35"/>
  <c r="W45" i="35"/>
  <c r="O45" i="35"/>
  <c r="P45" i="35" s="1"/>
  <c r="U44" i="35"/>
  <c r="S44" i="35"/>
  <c r="R44" i="35"/>
  <c r="Q44" i="35"/>
  <c r="W44" i="35" s="1"/>
  <c r="O44" i="35"/>
  <c r="U43" i="35"/>
  <c r="S43" i="35"/>
  <c r="Q43" i="35"/>
  <c r="W43" i="35"/>
  <c r="O43" i="35"/>
  <c r="P43" i="35" s="1"/>
  <c r="U42" i="35"/>
  <c r="T42" i="35"/>
  <c r="S42" i="35"/>
  <c r="R42" i="35" s="1"/>
  <c r="Q42" i="35"/>
  <c r="W42" i="35" s="1"/>
  <c r="O42" i="35"/>
  <c r="U41" i="35"/>
  <c r="T41" i="35"/>
  <c r="S41" i="35"/>
  <c r="R41" i="35"/>
  <c r="Q41" i="35"/>
  <c r="W41" i="35" s="1"/>
  <c r="V41" i="35" s="1"/>
  <c r="O41" i="35"/>
  <c r="AH39" i="35"/>
  <c r="AG39" i="35"/>
  <c r="U39" i="35"/>
  <c r="T39" i="35" s="1"/>
  <c r="S39" i="35"/>
  <c r="Q39" i="35"/>
  <c r="W39" i="35" s="1"/>
  <c r="O39" i="35"/>
  <c r="P39" i="35"/>
  <c r="AH38" i="35"/>
  <c r="AG38" i="35"/>
  <c r="U38" i="35"/>
  <c r="T38" i="35" s="1"/>
  <c r="S38" i="35"/>
  <c r="Q38" i="35"/>
  <c r="W38" i="35" s="1"/>
  <c r="O38" i="35"/>
  <c r="P38" i="35" s="1"/>
  <c r="AH37" i="35"/>
  <c r="AG37" i="35"/>
  <c r="U37" i="35"/>
  <c r="T37" i="35"/>
  <c r="S37" i="35"/>
  <c r="Q37" i="35"/>
  <c r="W37" i="35"/>
  <c r="V37" i="35" s="1"/>
  <c r="O37" i="35"/>
  <c r="P37" i="35"/>
  <c r="AH36" i="35"/>
  <c r="AG36" i="35"/>
  <c r="U36" i="35"/>
  <c r="S36" i="35"/>
  <c r="R36" i="35"/>
  <c r="Q36" i="35"/>
  <c r="W36" i="35"/>
  <c r="O36" i="35"/>
  <c r="P36" i="35"/>
  <c r="AH34" i="35"/>
  <c r="AG34" i="35"/>
  <c r="U34" i="35"/>
  <c r="S34" i="35"/>
  <c r="R34" i="35" s="1"/>
  <c r="Q34" i="35"/>
  <c r="W34" i="35" s="1"/>
  <c r="AI34" i="35" s="1"/>
  <c r="O34" i="35"/>
  <c r="P34" i="35"/>
  <c r="AH33" i="35"/>
  <c r="AG33" i="35"/>
  <c r="U33" i="35"/>
  <c r="T33" i="35" s="1"/>
  <c r="S33" i="35"/>
  <c r="Q33" i="35"/>
  <c r="W33" i="35"/>
  <c r="O33" i="35"/>
  <c r="P33" i="35"/>
  <c r="AH32" i="35"/>
  <c r="AG32" i="35"/>
  <c r="U32" i="35"/>
  <c r="T32" i="35" s="1"/>
  <c r="S32" i="35"/>
  <c r="R32" i="35"/>
  <c r="Q32" i="35"/>
  <c r="W32" i="35" s="1"/>
  <c r="V32" i="35" s="1"/>
  <c r="O32" i="35"/>
  <c r="P32" i="35"/>
  <c r="U31" i="35"/>
  <c r="S31" i="35"/>
  <c r="Q31" i="35"/>
  <c r="W31" i="35"/>
  <c r="O31" i="35"/>
  <c r="P31" i="35" s="1"/>
  <c r="U30" i="35"/>
  <c r="T30" i="35"/>
  <c r="S30" i="35"/>
  <c r="V30" i="35" s="1"/>
  <c r="Q30" i="35"/>
  <c r="W30" i="35" s="1"/>
  <c r="O30" i="35"/>
  <c r="P30" i="35" s="1"/>
  <c r="U29" i="35"/>
  <c r="T29" i="35"/>
  <c r="S29" i="35"/>
  <c r="R29" i="35"/>
  <c r="Q29" i="35"/>
  <c r="W29" i="35" s="1"/>
  <c r="V29" i="35" s="1"/>
  <c r="O29" i="35"/>
  <c r="AH28" i="35"/>
  <c r="AG28" i="35"/>
  <c r="U28" i="35"/>
  <c r="S28" i="35"/>
  <c r="R28" i="35" s="1"/>
  <c r="Q28" i="35"/>
  <c r="W28" i="35"/>
  <c r="O28" i="35"/>
  <c r="P28" i="35" s="1"/>
  <c r="AH27" i="35"/>
  <c r="AG27" i="35"/>
  <c r="U27" i="35"/>
  <c r="T27" i="35"/>
  <c r="S27" i="35"/>
  <c r="Q27" i="35"/>
  <c r="W27" i="35" s="1"/>
  <c r="O27" i="35"/>
  <c r="P27" i="35" s="1"/>
  <c r="AH26" i="35"/>
  <c r="AG26" i="35"/>
  <c r="U26" i="35"/>
  <c r="T26" i="35"/>
  <c r="S26" i="35"/>
  <c r="R26" i="35" s="1"/>
  <c r="Q26" i="35"/>
  <c r="W26" i="35"/>
  <c r="AI26" i="35" s="1"/>
  <c r="O26" i="35"/>
  <c r="P26" i="35" s="1"/>
  <c r="AH25" i="35"/>
  <c r="AG25" i="35"/>
  <c r="U25" i="35"/>
  <c r="T25" i="35"/>
  <c r="S25" i="35"/>
  <c r="R25" i="35" s="1"/>
  <c r="Q25" i="35"/>
  <c r="W25" i="35"/>
  <c r="O25" i="35"/>
  <c r="P25" i="35"/>
  <c r="AH24" i="35"/>
  <c r="AG24" i="35"/>
  <c r="U24" i="35"/>
  <c r="T24" i="35" s="1"/>
  <c r="S24" i="35"/>
  <c r="Q24" i="35"/>
  <c r="W24" i="35" s="1"/>
  <c r="V24" i="35" s="1"/>
  <c r="O24" i="35"/>
  <c r="P24" i="35"/>
  <c r="AH23" i="35"/>
  <c r="AG23" i="35"/>
  <c r="U23" i="35"/>
  <c r="T23" i="35" s="1"/>
  <c r="S23" i="35"/>
  <c r="Q23" i="35"/>
  <c r="W23" i="35" s="1"/>
  <c r="O23" i="35"/>
  <c r="P23" i="35" s="1"/>
  <c r="AH22" i="35"/>
  <c r="AG22" i="35"/>
  <c r="U22" i="35"/>
  <c r="T22" i="35" s="1"/>
  <c r="S22" i="35"/>
  <c r="Q22" i="35"/>
  <c r="W22" i="35" s="1"/>
  <c r="O22" i="35"/>
  <c r="P22" i="35" s="1"/>
  <c r="AH21" i="35"/>
  <c r="AG21" i="35"/>
  <c r="U21" i="35"/>
  <c r="T21" i="35" s="1"/>
  <c r="S21" i="35"/>
  <c r="Q21" i="35"/>
  <c r="W21" i="35"/>
  <c r="O21" i="35"/>
  <c r="AH19" i="35"/>
  <c r="AG19" i="35"/>
  <c r="U19" i="35"/>
  <c r="T19" i="35" s="1"/>
  <c r="S19" i="35"/>
  <c r="Q19" i="35"/>
  <c r="W19" i="35"/>
  <c r="O19" i="35"/>
  <c r="P19" i="35" s="1"/>
  <c r="AH18" i="35"/>
  <c r="AG18" i="35"/>
  <c r="U18" i="35"/>
  <c r="T18" i="35"/>
  <c r="S18" i="35"/>
  <c r="R18" i="35"/>
  <c r="Q18" i="35"/>
  <c r="W18" i="35" s="1"/>
  <c r="V18" i="35" s="1"/>
  <c r="O18" i="35"/>
  <c r="AH17" i="35"/>
  <c r="AG17" i="35"/>
  <c r="U17" i="35"/>
  <c r="T17" i="35" s="1"/>
  <c r="S17" i="35"/>
  <c r="Q17" i="35"/>
  <c r="W17" i="35"/>
  <c r="O17" i="35"/>
  <c r="AH16" i="35"/>
  <c r="AG16" i="35"/>
  <c r="U16" i="35"/>
  <c r="T16" i="35" s="1"/>
  <c r="S16" i="35"/>
  <c r="Q16" i="35"/>
  <c r="W16" i="35"/>
  <c r="O16" i="35"/>
  <c r="U15" i="35"/>
  <c r="T15" i="35" s="1"/>
  <c r="S15" i="35"/>
  <c r="Q15" i="35"/>
  <c r="W15" i="35" s="1"/>
  <c r="O15" i="35"/>
  <c r="P15" i="35" s="1"/>
  <c r="U14" i="35"/>
  <c r="S14" i="35"/>
  <c r="R14" i="35" s="1"/>
  <c r="Q14" i="35"/>
  <c r="W14" i="35" s="1"/>
  <c r="O14" i="35"/>
  <c r="P14" i="35" s="1"/>
  <c r="U13" i="35"/>
  <c r="T13" i="35"/>
  <c r="S13" i="35"/>
  <c r="R13" i="35" s="1"/>
  <c r="Q13" i="35"/>
  <c r="W13" i="35" s="1"/>
  <c r="O13" i="35"/>
  <c r="AH12" i="35"/>
  <c r="AG12" i="35"/>
  <c r="U12" i="35"/>
  <c r="T12" i="35" s="1"/>
  <c r="S12" i="35"/>
  <c r="Q12" i="35"/>
  <c r="W12" i="35" s="1"/>
  <c r="O12" i="35"/>
  <c r="AH11" i="35"/>
  <c r="AG11" i="35"/>
  <c r="U11" i="35"/>
  <c r="S11" i="35"/>
  <c r="Q11" i="35"/>
  <c r="W11" i="35" s="1"/>
  <c r="O11" i="35"/>
  <c r="P11" i="35" s="1"/>
  <c r="AH10" i="35"/>
  <c r="AG10" i="35"/>
  <c r="U10" i="35"/>
  <c r="V10" i="35" s="1"/>
  <c r="T10" i="35"/>
  <c r="S10" i="35"/>
  <c r="R10" i="35" s="1"/>
  <c r="Q10" i="35"/>
  <c r="W10" i="35"/>
  <c r="O10" i="35"/>
  <c r="P10" i="35" s="1"/>
  <c r="AH9" i="35"/>
  <c r="AG9" i="35"/>
  <c r="U9" i="35"/>
  <c r="T9" i="35"/>
  <c r="S9" i="35"/>
  <c r="R9" i="35" s="1"/>
  <c r="Q9" i="35"/>
  <c r="W9" i="35"/>
  <c r="O9" i="35"/>
  <c r="P9" i="35" s="1"/>
  <c r="AH8" i="35"/>
  <c r="AG8" i="35"/>
  <c r="U8" i="35"/>
  <c r="T8" i="35"/>
  <c r="S8" i="35"/>
  <c r="Q8" i="35"/>
  <c r="W8" i="35"/>
  <c r="O8" i="35"/>
  <c r="P8" i="35" s="1"/>
  <c r="AH7" i="35"/>
  <c r="AG7" i="35"/>
  <c r="U7" i="35"/>
  <c r="T7" i="35" s="1"/>
  <c r="S7" i="35"/>
  <c r="Q7" i="35"/>
  <c r="W7" i="35"/>
  <c r="V7" i="35" s="1"/>
  <c r="O7" i="35"/>
  <c r="AI129" i="35"/>
  <c r="AI160" i="35"/>
  <c r="AI132" i="35"/>
  <c r="AI150" i="35"/>
  <c r="AI152" i="35"/>
  <c r="AI106" i="35"/>
  <c r="AI154" i="35"/>
  <c r="AI151" i="35"/>
  <c r="AI153" i="35"/>
  <c r="AE7" i="35"/>
  <c r="P13" i="35"/>
  <c r="P144" i="35"/>
  <c r="P148" i="35"/>
  <c r="P17" i="35"/>
  <c r="V107" i="35"/>
  <c r="V123" i="35"/>
  <c r="P12" i="35"/>
  <c r="P29" i="35"/>
  <c r="P66" i="35"/>
  <c r="P7" i="35"/>
  <c r="P42" i="35"/>
  <c r="P63" i="35"/>
  <c r="P134" i="35"/>
  <c r="P136" i="35"/>
  <c r="P154" i="35"/>
  <c r="T158" i="35"/>
  <c r="V158" i="35"/>
  <c r="P41" i="35"/>
  <c r="P91" i="35"/>
  <c r="P101" i="35"/>
  <c r="R117" i="35"/>
  <c r="P16" i="35"/>
  <c r="P18" i="35"/>
  <c r="V25" i="35"/>
  <c r="R31" i="35"/>
  <c r="V61" i="35"/>
  <c r="P70" i="35"/>
  <c r="V83" i="35"/>
  <c r="P87" i="35"/>
  <c r="P102" i="35"/>
  <c r="P103" i="35"/>
  <c r="P135" i="35"/>
  <c r="P145" i="35"/>
  <c r="R109" i="35"/>
  <c r="P146" i="35"/>
  <c r="P155" i="35"/>
  <c r="V12" i="35"/>
  <c r="P21" i="35"/>
  <c r="P44" i="35"/>
  <c r="P46" i="35"/>
  <c r="V9" i="35"/>
  <c r="V21" i="35"/>
  <c r="R37" i="35"/>
  <c r="P65" i="35"/>
  <c r="V121" i="35"/>
  <c r="R121" i="35"/>
  <c r="P122" i="35"/>
  <c r="V9" i="29"/>
  <c r="R9" i="29"/>
  <c r="R8" i="29"/>
  <c r="V13" i="35"/>
  <c r="V22" i="35"/>
  <c r="V92" i="35"/>
  <c r="R17" i="35"/>
  <c r="R22" i="35"/>
  <c r="R30" i="35"/>
  <c r="T34" i="35"/>
  <c r="R78" i="35"/>
  <c r="V93" i="35"/>
  <c r="R93" i="35"/>
  <c r="R101" i="35"/>
  <c r="V46" i="35"/>
  <c r="R46" i="35"/>
  <c r="V82" i="35"/>
  <c r="R8" i="35"/>
  <c r="R12" i="35"/>
  <c r="R21" i="35"/>
  <c r="V42" i="35"/>
  <c r="V47" i="35"/>
  <c r="V50" i="35"/>
  <c r="V57" i="35"/>
  <c r="R58" i="35"/>
  <c r="V66" i="35"/>
  <c r="R66" i="35"/>
  <c r="V69" i="35"/>
  <c r="V72" i="35"/>
  <c r="V48" i="35"/>
  <c r="R84" i="35"/>
  <c r="R85" i="35"/>
  <c r="R7" i="35"/>
  <c r="R11" i="35"/>
  <c r="R24" i="35"/>
  <c r="R33" i="35"/>
  <c r="V98" i="35"/>
  <c r="R98" i="35"/>
  <c r="R43" i="35"/>
  <c r="R47" i="35"/>
  <c r="R51" i="35"/>
  <c r="R55" i="35"/>
  <c r="R68" i="35"/>
  <c r="R76" i="35"/>
  <c r="R89" i="35"/>
  <c r="R97" i="35"/>
  <c r="V155" i="35"/>
  <c r="R75" i="35"/>
  <c r="R83" i="35"/>
  <c r="R94" i="35"/>
  <c r="V102" i="35"/>
  <c r="V150" i="35"/>
  <c r="R150" i="35"/>
  <c r="V103" i="35"/>
  <c r="R139" i="35"/>
  <c r="R110" i="35"/>
  <c r="V120" i="35"/>
  <c r="R120" i="35"/>
  <c r="R134" i="35"/>
  <c r="R113" i="35"/>
  <c r="R131" i="35"/>
  <c r="R126" i="35"/>
  <c r="V149" i="35"/>
  <c r="R146" i="35"/>
  <c r="T157" i="35"/>
  <c r="V143" i="35"/>
  <c r="R143" i="35"/>
  <c r="V153" i="35"/>
  <c r="R156" i="35"/>
  <c r="R160" i="35"/>
  <c r="AH154" i="33"/>
  <c r="AG154" i="33"/>
  <c r="AH153" i="33"/>
  <c r="AG153" i="33"/>
  <c r="AH152" i="33"/>
  <c r="AG152" i="33"/>
  <c r="AH151" i="33"/>
  <c r="AG151" i="33"/>
  <c r="AH150" i="33"/>
  <c r="AG150" i="33"/>
  <c r="AH149" i="33"/>
  <c r="AG149" i="33"/>
  <c r="AH148" i="33"/>
  <c r="AG148" i="33"/>
  <c r="AH147" i="33"/>
  <c r="AG147" i="33"/>
  <c r="AH146" i="33"/>
  <c r="AG146" i="33"/>
  <c r="AH145" i="33"/>
  <c r="AG145" i="33"/>
  <c r="U154" i="33"/>
  <c r="T154" i="33" s="1"/>
  <c r="S154" i="33"/>
  <c r="R154" i="33" s="1"/>
  <c r="U153" i="33"/>
  <c r="T153" i="33"/>
  <c r="S153" i="33"/>
  <c r="R153" i="33"/>
  <c r="U152" i="33"/>
  <c r="T152" i="33"/>
  <c r="S152" i="33"/>
  <c r="U151" i="33"/>
  <c r="T151" i="33"/>
  <c r="S151" i="33"/>
  <c r="U150" i="33"/>
  <c r="T150" i="33" s="1"/>
  <c r="S150" i="33"/>
  <c r="R150" i="33"/>
  <c r="U149" i="33"/>
  <c r="S149" i="33"/>
  <c r="R149" i="33"/>
  <c r="U148" i="33"/>
  <c r="S148" i="33"/>
  <c r="R148" i="33"/>
  <c r="U147" i="33"/>
  <c r="T147" i="33"/>
  <c r="S147" i="33"/>
  <c r="U146" i="33"/>
  <c r="T146" i="33" s="1"/>
  <c r="S146" i="33"/>
  <c r="R146" i="33" s="1"/>
  <c r="U145" i="33"/>
  <c r="S145" i="33"/>
  <c r="R145" i="33"/>
  <c r="U144" i="33"/>
  <c r="S144" i="33"/>
  <c r="R144" i="33"/>
  <c r="Q154" i="33"/>
  <c r="W154" i="33" s="1"/>
  <c r="O154" i="33"/>
  <c r="P154" i="33"/>
  <c r="Q153" i="33"/>
  <c r="W153" i="33" s="1"/>
  <c r="O153" i="33"/>
  <c r="P153" i="33"/>
  <c r="Q152" i="33"/>
  <c r="W152" i="33" s="1"/>
  <c r="O152" i="33"/>
  <c r="P152" i="33" s="1"/>
  <c r="Q151" i="33"/>
  <c r="W151" i="33" s="1"/>
  <c r="O151" i="33"/>
  <c r="P151" i="33" s="1"/>
  <c r="Q150" i="33"/>
  <c r="W150" i="33" s="1"/>
  <c r="V150" i="33" s="1"/>
  <c r="O150" i="33"/>
  <c r="P150" i="33" s="1"/>
  <c r="Q149" i="33"/>
  <c r="W149" i="33" s="1"/>
  <c r="O149" i="33"/>
  <c r="P149" i="33" s="1"/>
  <c r="Q148" i="33"/>
  <c r="W148" i="33" s="1"/>
  <c r="AI148" i="33" s="1"/>
  <c r="O148" i="33"/>
  <c r="P148" i="33"/>
  <c r="Q147" i="33"/>
  <c r="O147" i="33"/>
  <c r="P147" i="33"/>
  <c r="Q146" i="33"/>
  <c r="W146" i="33" s="1"/>
  <c r="O146" i="33"/>
  <c r="P146" i="33" s="1"/>
  <c r="Q145" i="33"/>
  <c r="W145" i="33" s="1"/>
  <c r="V145" i="33" s="1"/>
  <c r="O145" i="33"/>
  <c r="P145" i="33"/>
  <c r="Q144" i="33"/>
  <c r="W144" i="33" s="1"/>
  <c r="O144" i="33"/>
  <c r="P144" i="33" s="1"/>
  <c r="Q143" i="33"/>
  <c r="O143" i="33"/>
  <c r="Q142" i="33"/>
  <c r="O142" i="33"/>
  <c r="P142" i="33" s="1"/>
  <c r="Q141" i="33"/>
  <c r="O141" i="33"/>
  <c r="P141" i="33" s="1"/>
  <c r="Q140" i="33"/>
  <c r="O140" i="33"/>
  <c r="P140" i="33" s="1"/>
  <c r="Q139" i="33"/>
  <c r="O139" i="33"/>
  <c r="Q138" i="33"/>
  <c r="O138" i="33"/>
  <c r="Q137" i="33"/>
  <c r="O137" i="33"/>
  <c r="P137" i="33" s="1"/>
  <c r="Q136" i="33"/>
  <c r="O136" i="33"/>
  <c r="P136" i="33" s="1"/>
  <c r="Q135" i="33"/>
  <c r="O135" i="33"/>
  <c r="P135" i="33"/>
  <c r="Q134" i="33"/>
  <c r="O134" i="33"/>
  <c r="P134" i="33"/>
  <c r="Q133" i="33"/>
  <c r="O133" i="33"/>
  <c r="P133" i="33" s="1"/>
  <c r="Q132" i="33"/>
  <c r="O132" i="33"/>
  <c r="P132" i="33" s="1"/>
  <c r="Q131" i="33"/>
  <c r="O131" i="33"/>
  <c r="P131" i="33" s="1"/>
  <c r="Q130" i="33"/>
  <c r="O130" i="33"/>
  <c r="P130" i="33" s="1"/>
  <c r="Q129" i="33"/>
  <c r="O129" i="33"/>
  <c r="P129" i="33" s="1"/>
  <c r="Q128" i="33"/>
  <c r="O128" i="33"/>
  <c r="P128" i="33" s="1"/>
  <c r="Q127" i="33"/>
  <c r="O127" i="33"/>
  <c r="P127" i="33"/>
  <c r="Q126" i="33"/>
  <c r="O126" i="33"/>
  <c r="P126" i="33"/>
  <c r="Q125" i="33"/>
  <c r="O125" i="33"/>
  <c r="P125" i="33"/>
  <c r="Q124" i="33"/>
  <c r="O124" i="33"/>
  <c r="P124" i="33"/>
  <c r="Q123" i="33"/>
  <c r="O123" i="33"/>
  <c r="Q122" i="33"/>
  <c r="O122" i="33"/>
  <c r="Q121" i="33"/>
  <c r="O121" i="33"/>
  <c r="Q120" i="33"/>
  <c r="O120" i="33"/>
  <c r="P120" i="33" s="1"/>
  <c r="Q119" i="33"/>
  <c r="O119" i="33"/>
  <c r="P119" i="33" s="1"/>
  <c r="Q118" i="33"/>
  <c r="O118" i="33"/>
  <c r="P118" i="33"/>
  <c r="Q117" i="33"/>
  <c r="O117" i="33"/>
  <c r="P117" i="33"/>
  <c r="Q116" i="33"/>
  <c r="O116" i="33"/>
  <c r="P116" i="33"/>
  <c r="Q115" i="33"/>
  <c r="O115" i="33"/>
  <c r="P115" i="33"/>
  <c r="Q114" i="33"/>
  <c r="O114" i="33"/>
  <c r="P114" i="33"/>
  <c r="Q113" i="33"/>
  <c r="O113" i="33"/>
  <c r="P113" i="33" s="1"/>
  <c r="Q112" i="33"/>
  <c r="O112" i="33"/>
  <c r="P112" i="33"/>
  <c r="Q111" i="33"/>
  <c r="O111" i="33"/>
  <c r="P111" i="33"/>
  <c r="Q110" i="33"/>
  <c r="O110" i="33"/>
  <c r="P110" i="33"/>
  <c r="Q109" i="33"/>
  <c r="O109" i="33"/>
  <c r="P109" i="33" s="1"/>
  <c r="Q108" i="33"/>
  <c r="O108" i="33"/>
  <c r="P108" i="33" s="1"/>
  <c r="Q107" i="33"/>
  <c r="O107" i="33"/>
  <c r="P107" i="33" s="1"/>
  <c r="Q106" i="33"/>
  <c r="O106" i="33"/>
  <c r="P106" i="33"/>
  <c r="Q105" i="33"/>
  <c r="O105" i="33"/>
  <c r="P105" i="33" s="1"/>
  <c r="Q104" i="33"/>
  <c r="O104" i="33"/>
  <c r="P104" i="33" s="1"/>
  <c r="Q103" i="33"/>
  <c r="O103" i="33"/>
  <c r="P103" i="33"/>
  <c r="Q102" i="33"/>
  <c r="O102" i="33"/>
  <c r="P102" i="33"/>
  <c r="Q101" i="33"/>
  <c r="O101" i="33"/>
  <c r="P101" i="33"/>
  <c r="Q100" i="33"/>
  <c r="O100" i="33"/>
  <c r="P100" i="33" s="1"/>
  <c r="Q99" i="33"/>
  <c r="O99" i="33"/>
  <c r="P99" i="33" s="1"/>
  <c r="Q98" i="33"/>
  <c r="O98" i="33"/>
  <c r="P98" i="33" s="1"/>
  <c r="Q97" i="33"/>
  <c r="O97" i="33"/>
  <c r="P97" i="33" s="1"/>
  <c r="Q96" i="33"/>
  <c r="O96" i="33"/>
  <c r="P96" i="33"/>
  <c r="Q95" i="33"/>
  <c r="O95" i="33"/>
  <c r="P95" i="33" s="1"/>
  <c r="Q94" i="33"/>
  <c r="O94" i="33"/>
  <c r="P94" i="33"/>
  <c r="Q93" i="33"/>
  <c r="O93" i="33"/>
  <c r="P93" i="33" s="1"/>
  <c r="Q92" i="33"/>
  <c r="O92" i="33"/>
  <c r="P92" i="33"/>
  <c r="Q91" i="33"/>
  <c r="O91" i="33"/>
  <c r="P91" i="33"/>
  <c r="Q90" i="33"/>
  <c r="O90" i="33"/>
  <c r="P90" i="33"/>
  <c r="Q89" i="33"/>
  <c r="O89" i="33"/>
  <c r="P89" i="33" s="1"/>
  <c r="Q88" i="33"/>
  <c r="O88" i="33"/>
  <c r="P88" i="33"/>
  <c r="Q87" i="33"/>
  <c r="O87" i="33"/>
  <c r="P87" i="33"/>
  <c r="Q86" i="33"/>
  <c r="O86" i="33"/>
  <c r="P86" i="33"/>
  <c r="Q85" i="33"/>
  <c r="O85" i="33"/>
  <c r="P85" i="33" s="1"/>
  <c r="Q84" i="33"/>
  <c r="O84" i="33"/>
  <c r="P84" i="33" s="1"/>
  <c r="Q83" i="33"/>
  <c r="O83" i="33"/>
  <c r="P83" i="33" s="1"/>
  <c r="Q82" i="33"/>
  <c r="O82" i="33"/>
  <c r="P82" i="33" s="1"/>
  <c r="Q81" i="33"/>
  <c r="O81" i="33"/>
  <c r="P81" i="33" s="1"/>
  <c r="Q80" i="33"/>
  <c r="O80" i="33"/>
  <c r="P80" i="33" s="1"/>
  <c r="Q79" i="33"/>
  <c r="O79" i="33"/>
  <c r="P79" i="33" s="1"/>
  <c r="Q78" i="33"/>
  <c r="O78" i="33"/>
  <c r="P78" i="33"/>
  <c r="Q77" i="33"/>
  <c r="O77" i="33"/>
  <c r="P77" i="33"/>
  <c r="Q76" i="33"/>
  <c r="O76" i="33"/>
  <c r="P76" i="33"/>
  <c r="Q75" i="33"/>
  <c r="O75" i="33"/>
  <c r="P75" i="33" s="1"/>
  <c r="Q74" i="33"/>
  <c r="O74" i="33"/>
  <c r="P74" i="33" s="1"/>
  <c r="Q73" i="33"/>
  <c r="O73" i="33"/>
  <c r="P73" i="33" s="1"/>
  <c r="Q72" i="33"/>
  <c r="O72" i="33"/>
  <c r="P72" i="33" s="1"/>
  <c r="Q71" i="33"/>
  <c r="O71" i="33"/>
  <c r="P71" i="33" s="1"/>
  <c r="Q70" i="33"/>
  <c r="O70" i="33"/>
  <c r="P70" i="33"/>
  <c r="Q69" i="33"/>
  <c r="O69" i="33"/>
  <c r="P69" i="33" s="1"/>
  <c r="Q68" i="33"/>
  <c r="O68" i="33"/>
  <c r="P68" i="33" s="1"/>
  <c r="Q67" i="33"/>
  <c r="O67" i="33"/>
  <c r="P67" i="33"/>
  <c r="Q66" i="33"/>
  <c r="O66" i="33"/>
  <c r="P66" i="33"/>
  <c r="Q65" i="33"/>
  <c r="O65" i="33"/>
  <c r="P65" i="33" s="1"/>
  <c r="Q64" i="33"/>
  <c r="O64" i="33"/>
  <c r="P64" i="33"/>
  <c r="Q63" i="33"/>
  <c r="O63" i="33"/>
  <c r="P63" i="33"/>
  <c r="Q62" i="33"/>
  <c r="O62" i="33"/>
  <c r="P62" i="33"/>
  <c r="Q61" i="33"/>
  <c r="O61" i="33"/>
  <c r="P61" i="33"/>
  <c r="Q60" i="33"/>
  <c r="O60" i="33"/>
  <c r="P60" i="33" s="1"/>
  <c r="Q59" i="33"/>
  <c r="O59" i="33"/>
  <c r="P59" i="33" s="1"/>
  <c r="Q58" i="33"/>
  <c r="O58" i="33"/>
  <c r="P58" i="33" s="1"/>
  <c r="Q57" i="33"/>
  <c r="O57" i="33"/>
  <c r="P57" i="33" s="1"/>
  <c r="Q56" i="33"/>
  <c r="O56" i="33"/>
  <c r="P56" i="33" s="1"/>
  <c r="Q55" i="33"/>
  <c r="O55" i="33"/>
  <c r="P55" i="33" s="1"/>
  <c r="Q54" i="33"/>
  <c r="O54" i="33"/>
  <c r="P54" i="33"/>
  <c r="Q53" i="33"/>
  <c r="O53" i="33"/>
  <c r="P53" i="33"/>
  <c r="Q52" i="33"/>
  <c r="O52" i="33"/>
  <c r="P52" i="33"/>
  <c r="Q51" i="33"/>
  <c r="O51" i="33"/>
  <c r="P51" i="33"/>
  <c r="Q50" i="33"/>
  <c r="O50" i="33"/>
  <c r="P50" i="33"/>
  <c r="Q49" i="33"/>
  <c r="O49" i="33"/>
  <c r="P49" i="33" s="1"/>
  <c r="Q48" i="33"/>
  <c r="O48" i="33"/>
  <c r="P48" i="33"/>
  <c r="Q47" i="33"/>
  <c r="O47" i="33"/>
  <c r="P47" i="33"/>
  <c r="Q46" i="33"/>
  <c r="O46" i="33"/>
  <c r="Q45" i="33"/>
  <c r="O45" i="33"/>
  <c r="Q44" i="33"/>
  <c r="O44" i="33"/>
  <c r="Q43" i="33"/>
  <c r="O43" i="33"/>
  <c r="P43" i="33" s="1"/>
  <c r="Q42" i="33"/>
  <c r="O42" i="33"/>
  <c r="Q41" i="33"/>
  <c r="O41" i="33"/>
  <c r="Q39" i="33"/>
  <c r="O39" i="33"/>
  <c r="P39" i="33"/>
  <c r="Q38" i="33"/>
  <c r="O38" i="33"/>
  <c r="P38" i="33" s="1"/>
  <c r="Q37" i="33"/>
  <c r="O37" i="33"/>
  <c r="P37" i="33" s="1"/>
  <c r="Q35" i="33"/>
  <c r="O35" i="33"/>
  <c r="P35" i="33"/>
  <c r="Q34" i="33"/>
  <c r="O34" i="33"/>
  <c r="P34" i="33"/>
  <c r="Q33" i="33"/>
  <c r="O33" i="33"/>
  <c r="P33" i="33"/>
  <c r="Q32" i="33"/>
  <c r="O32" i="33"/>
  <c r="P32" i="33" s="1"/>
  <c r="Q31" i="33"/>
  <c r="O31" i="33"/>
  <c r="Q30" i="33"/>
  <c r="O30" i="33"/>
  <c r="P30" i="33" s="1"/>
  <c r="Q29" i="33"/>
  <c r="O29" i="33"/>
  <c r="Q28" i="33"/>
  <c r="O28" i="33"/>
  <c r="P28" i="33" s="1"/>
  <c r="Q27" i="33"/>
  <c r="O27" i="33"/>
  <c r="P27" i="33"/>
  <c r="Q26" i="33"/>
  <c r="O26" i="33"/>
  <c r="P26" i="33" s="1"/>
  <c r="Q25" i="33"/>
  <c r="O25" i="33"/>
  <c r="P25" i="33"/>
  <c r="Q24" i="33"/>
  <c r="O24" i="33"/>
  <c r="P24" i="33" s="1"/>
  <c r="Q23" i="33"/>
  <c r="O23" i="33"/>
  <c r="P23" i="33"/>
  <c r="Q22" i="33"/>
  <c r="O22" i="33"/>
  <c r="P22" i="33"/>
  <c r="Q21" i="33"/>
  <c r="O21" i="33"/>
  <c r="P21" i="33"/>
  <c r="Q20" i="33"/>
  <c r="O20" i="33"/>
  <c r="P20" i="33" s="1"/>
  <c r="Q19" i="33"/>
  <c r="O19" i="33"/>
  <c r="P19" i="33"/>
  <c r="Q18" i="33"/>
  <c r="O18" i="33"/>
  <c r="P18" i="33"/>
  <c r="Q17" i="33"/>
  <c r="O17" i="33"/>
  <c r="P17" i="33"/>
  <c r="Q16" i="33"/>
  <c r="O16" i="33"/>
  <c r="Q15" i="33"/>
  <c r="O15" i="33"/>
  <c r="P15" i="33" s="1"/>
  <c r="Q14" i="33"/>
  <c r="O14" i="33"/>
  <c r="Q13" i="33"/>
  <c r="O13" i="33"/>
  <c r="P13" i="33" s="1"/>
  <c r="Q11" i="33"/>
  <c r="O11" i="33"/>
  <c r="P11" i="33" s="1"/>
  <c r="Q10" i="33"/>
  <c r="O10" i="33"/>
  <c r="P10" i="33" s="1"/>
  <c r="Q9" i="33"/>
  <c r="O9" i="33"/>
  <c r="P9" i="33" s="1"/>
  <c r="Q8" i="33"/>
  <c r="O8" i="33"/>
  <c r="P8" i="33" s="1"/>
  <c r="Q7" i="33"/>
  <c r="O7" i="33"/>
  <c r="P7" i="33"/>
  <c r="P29" i="33"/>
  <c r="P31" i="33"/>
  <c r="P41" i="33"/>
  <c r="P45" i="33"/>
  <c r="P121" i="33"/>
  <c r="P143" i="33"/>
  <c r="W147" i="33"/>
  <c r="P123" i="33"/>
  <c r="P139" i="33"/>
  <c r="P14" i="33"/>
  <c r="P16" i="33"/>
  <c r="P42" i="33"/>
  <c r="P44" i="33"/>
  <c r="P46" i="33"/>
  <c r="P122" i="33"/>
  <c r="P138" i="33"/>
  <c r="V153" i="33"/>
  <c r="V151" i="33"/>
  <c r="T145" i="33"/>
  <c r="R147" i="33"/>
  <c r="R151" i="33"/>
  <c r="V147" i="33"/>
  <c r="AH62" i="11"/>
  <c r="AG62" i="11"/>
  <c r="U62" i="11"/>
  <c r="T62" i="11" s="1"/>
  <c r="S62" i="11"/>
  <c r="R62" i="11"/>
  <c r="Q62" i="11"/>
  <c r="P62" i="11"/>
  <c r="AH61" i="11"/>
  <c r="AG61" i="11"/>
  <c r="U61" i="11"/>
  <c r="T61" i="11" s="1"/>
  <c r="S61" i="11"/>
  <c r="R61" i="11"/>
  <c r="Q61" i="11"/>
  <c r="P61" i="11"/>
  <c r="AH60" i="11"/>
  <c r="AG60" i="11"/>
  <c r="U60" i="11"/>
  <c r="T60" i="11" s="1"/>
  <c r="S60" i="11"/>
  <c r="R60" i="11"/>
  <c r="Q60" i="11"/>
  <c r="P60" i="11"/>
  <c r="AH59" i="11"/>
  <c r="AG59" i="11"/>
  <c r="U59" i="11"/>
  <c r="T59" i="11" s="1"/>
  <c r="S59" i="11"/>
  <c r="R59" i="11"/>
  <c r="Q59" i="11"/>
  <c r="W59" i="11" s="1"/>
  <c r="P59" i="11"/>
  <c r="AH58" i="11"/>
  <c r="AG58" i="11"/>
  <c r="U58" i="11"/>
  <c r="T58" i="11" s="1"/>
  <c r="S58" i="11"/>
  <c r="R58" i="11" s="1"/>
  <c r="Q58" i="11"/>
  <c r="W58" i="11"/>
  <c r="P58" i="11"/>
  <c r="AH57" i="11"/>
  <c r="AG57" i="11"/>
  <c r="U57" i="11"/>
  <c r="T57" i="11"/>
  <c r="S57" i="11"/>
  <c r="R57" i="11"/>
  <c r="Q57" i="11"/>
  <c r="W57" i="11" s="1"/>
  <c r="P57" i="11"/>
  <c r="AH56" i="11"/>
  <c r="AG56" i="11"/>
  <c r="U56" i="11"/>
  <c r="T56" i="11" s="1"/>
  <c r="S56" i="11"/>
  <c r="R56" i="11"/>
  <c r="Q56" i="11"/>
  <c r="W56" i="11"/>
  <c r="P56" i="11"/>
  <c r="AH55" i="11"/>
  <c r="AG55" i="11"/>
  <c r="U55" i="11"/>
  <c r="T55" i="11"/>
  <c r="S55" i="11"/>
  <c r="R55" i="11" s="1"/>
  <c r="Q55" i="11"/>
  <c r="W55" i="11"/>
  <c r="P55" i="11"/>
  <c r="AH54" i="11"/>
  <c r="AG54" i="11"/>
  <c r="U54" i="11"/>
  <c r="T54" i="11" s="1"/>
  <c r="S54" i="11"/>
  <c r="R54" i="11"/>
  <c r="Q54" i="11"/>
  <c r="W54" i="11" s="1"/>
  <c r="P54" i="11"/>
  <c r="AH53" i="11"/>
  <c r="AG53" i="11"/>
  <c r="U53" i="11"/>
  <c r="T53" i="11" s="1"/>
  <c r="S53" i="11"/>
  <c r="R53" i="11"/>
  <c r="Q53" i="11"/>
  <c r="P53" i="11"/>
  <c r="AH52" i="11"/>
  <c r="AG52" i="11"/>
  <c r="U52" i="11"/>
  <c r="T52" i="11" s="1"/>
  <c r="S52" i="11"/>
  <c r="R52" i="11"/>
  <c r="Q52" i="11"/>
  <c r="W52" i="11"/>
  <c r="P52" i="11"/>
  <c r="AH51" i="11"/>
  <c r="AG51" i="11"/>
  <c r="U51" i="11"/>
  <c r="T51" i="11" s="1"/>
  <c r="S51" i="11"/>
  <c r="R51" i="11" s="1"/>
  <c r="Q51" i="11"/>
  <c r="W51" i="11" s="1"/>
  <c r="P51" i="11"/>
  <c r="AH50" i="11"/>
  <c r="AG50" i="11"/>
  <c r="U50" i="11"/>
  <c r="S50" i="11"/>
  <c r="R50" i="11" s="1"/>
  <c r="Q50" i="11"/>
  <c r="W50" i="11"/>
  <c r="P50" i="11"/>
  <c r="AH49" i="11"/>
  <c r="AG49" i="11"/>
  <c r="U49" i="11"/>
  <c r="S49" i="11"/>
  <c r="R49" i="11" s="1"/>
  <c r="Q49" i="11"/>
  <c r="W49" i="11"/>
  <c r="P49" i="11"/>
  <c r="AH48" i="11"/>
  <c r="AG48" i="11"/>
  <c r="U48" i="11"/>
  <c r="S48" i="11"/>
  <c r="R48" i="11" s="1"/>
  <c r="Q48" i="11"/>
  <c r="W48" i="11" s="1"/>
  <c r="P48" i="11"/>
  <c r="AH47" i="11"/>
  <c r="AG47" i="11"/>
  <c r="U47" i="11"/>
  <c r="S47" i="11"/>
  <c r="R47" i="11" s="1"/>
  <c r="Q47" i="11"/>
  <c r="W47" i="11"/>
  <c r="P47" i="11"/>
  <c r="AH46" i="11"/>
  <c r="AG46" i="11"/>
  <c r="U46" i="11"/>
  <c r="S46" i="11"/>
  <c r="R46" i="11" s="1"/>
  <c r="Q46" i="11"/>
  <c r="W46" i="11"/>
  <c r="P46" i="11"/>
  <c r="AH45" i="11"/>
  <c r="AG45" i="11"/>
  <c r="U45" i="11"/>
  <c r="S45" i="11"/>
  <c r="R45" i="11" s="1"/>
  <c r="Q45" i="11"/>
  <c r="W45" i="11" s="1"/>
  <c r="P45" i="11"/>
  <c r="AH44" i="11"/>
  <c r="AG44" i="11"/>
  <c r="U44" i="11"/>
  <c r="T44" i="11" s="1"/>
  <c r="S44" i="11"/>
  <c r="R44" i="11"/>
  <c r="Q44" i="11"/>
  <c r="W44" i="11"/>
  <c r="P44" i="11"/>
  <c r="AH43" i="11"/>
  <c r="AG43" i="11"/>
  <c r="U43" i="11"/>
  <c r="T43" i="11" s="1"/>
  <c r="S43" i="11"/>
  <c r="R43" i="11"/>
  <c r="Q43" i="11"/>
  <c r="W43" i="11"/>
  <c r="P43" i="11"/>
  <c r="AH42" i="11"/>
  <c r="AG42" i="11"/>
  <c r="U42" i="11"/>
  <c r="T42" i="11"/>
  <c r="S42" i="11"/>
  <c r="R42" i="11" s="1"/>
  <c r="Q42" i="11"/>
  <c r="W42" i="11"/>
  <c r="P42" i="11"/>
  <c r="AH41" i="11"/>
  <c r="AG41" i="11"/>
  <c r="U41" i="11"/>
  <c r="T41" i="11"/>
  <c r="S41" i="11"/>
  <c r="Q41" i="11"/>
  <c r="W41" i="11"/>
  <c r="P41" i="11"/>
  <c r="AH40" i="11"/>
  <c r="AG40" i="11"/>
  <c r="U40" i="11"/>
  <c r="T40" i="11"/>
  <c r="S40" i="11"/>
  <c r="Q40" i="11"/>
  <c r="W40" i="11"/>
  <c r="P40" i="11"/>
  <c r="AH39" i="11"/>
  <c r="AG39" i="11"/>
  <c r="U39" i="11"/>
  <c r="T39" i="11"/>
  <c r="S39" i="11"/>
  <c r="Q39" i="11"/>
  <c r="W39" i="11"/>
  <c r="P39" i="11"/>
  <c r="AH38" i="11"/>
  <c r="AG38" i="11"/>
  <c r="U38" i="11"/>
  <c r="T38" i="11"/>
  <c r="S38" i="11"/>
  <c r="Q38" i="11"/>
  <c r="W38" i="11"/>
  <c r="P38" i="11"/>
  <c r="AH37" i="11"/>
  <c r="AG37" i="11"/>
  <c r="U37" i="11"/>
  <c r="T37" i="11"/>
  <c r="S37" i="11"/>
  <c r="Q37" i="11"/>
  <c r="W37" i="11"/>
  <c r="P37" i="11"/>
  <c r="AH36" i="11"/>
  <c r="AG36" i="11"/>
  <c r="U36" i="11"/>
  <c r="T36" i="11"/>
  <c r="S36" i="11"/>
  <c r="Q36" i="11"/>
  <c r="W36" i="11"/>
  <c r="P36" i="11"/>
  <c r="AH35" i="11"/>
  <c r="AG35" i="11"/>
  <c r="U35" i="11"/>
  <c r="T35" i="11"/>
  <c r="S35" i="11"/>
  <c r="Q35" i="11"/>
  <c r="W35" i="11"/>
  <c r="P35" i="11"/>
  <c r="AH34" i="11"/>
  <c r="AG34" i="11"/>
  <c r="U34" i="11"/>
  <c r="T34" i="11"/>
  <c r="S34" i="11"/>
  <c r="Q34" i="11"/>
  <c r="W34" i="11"/>
  <c r="P34" i="11"/>
  <c r="AH33" i="11"/>
  <c r="AG33" i="11"/>
  <c r="U33" i="11"/>
  <c r="T33" i="11"/>
  <c r="S33" i="11"/>
  <c r="Q33" i="11"/>
  <c r="W33" i="11"/>
  <c r="P33" i="11"/>
  <c r="AH32" i="11"/>
  <c r="AG32" i="11"/>
  <c r="U32" i="11"/>
  <c r="T32" i="11"/>
  <c r="S32" i="11"/>
  <c r="Q32" i="11"/>
  <c r="W32" i="11"/>
  <c r="P32" i="11"/>
  <c r="AH31" i="11"/>
  <c r="AG31" i="11"/>
  <c r="U31" i="11"/>
  <c r="T31" i="11"/>
  <c r="S31" i="11"/>
  <c r="Q31" i="11"/>
  <c r="W31" i="11"/>
  <c r="P31" i="11"/>
  <c r="AH30" i="11"/>
  <c r="AG30" i="11"/>
  <c r="U30" i="11"/>
  <c r="T30" i="11"/>
  <c r="S30" i="11"/>
  <c r="Q30" i="11"/>
  <c r="W30" i="11"/>
  <c r="P30" i="11"/>
  <c r="AH29" i="11"/>
  <c r="AG29" i="11"/>
  <c r="U29" i="11"/>
  <c r="T29" i="11"/>
  <c r="S29" i="11"/>
  <c r="Q29" i="11"/>
  <c r="W29" i="11"/>
  <c r="P29" i="11"/>
  <c r="AH28" i="11"/>
  <c r="AG28" i="11"/>
  <c r="U28" i="11"/>
  <c r="S28" i="11"/>
  <c r="R28" i="11" s="1"/>
  <c r="Q28" i="11"/>
  <c r="W28" i="11" s="1"/>
  <c r="P28" i="11"/>
  <c r="AH27" i="11"/>
  <c r="AG27" i="11"/>
  <c r="U27" i="11"/>
  <c r="S27" i="11"/>
  <c r="R27" i="11" s="1"/>
  <c r="Q27" i="11"/>
  <c r="W27" i="11"/>
  <c r="P27" i="11"/>
  <c r="U25" i="11"/>
  <c r="T25" i="11" s="1"/>
  <c r="S25" i="11"/>
  <c r="R25" i="11" s="1"/>
  <c r="Q25" i="11"/>
  <c r="W25" i="11" s="1"/>
  <c r="AH24" i="11"/>
  <c r="AG24" i="11"/>
  <c r="U24" i="11"/>
  <c r="T24" i="11" s="1"/>
  <c r="S24" i="11"/>
  <c r="R24" i="11" s="1"/>
  <c r="Q24" i="11"/>
  <c r="W24" i="11"/>
  <c r="P24" i="11"/>
  <c r="AH23" i="11"/>
  <c r="AG23" i="11"/>
  <c r="U23" i="11"/>
  <c r="T23" i="11"/>
  <c r="S23" i="11"/>
  <c r="Q23" i="11"/>
  <c r="W23" i="11"/>
  <c r="P23" i="11"/>
  <c r="AH22" i="11"/>
  <c r="AG22" i="11"/>
  <c r="U22" i="11"/>
  <c r="T22" i="11"/>
  <c r="S22" i="11"/>
  <c r="Q22" i="11"/>
  <c r="W22" i="11"/>
  <c r="P22" i="11"/>
  <c r="AH21" i="11"/>
  <c r="AG21" i="11"/>
  <c r="U21" i="11"/>
  <c r="T21" i="11"/>
  <c r="S21" i="11"/>
  <c r="Q21" i="11"/>
  <c r="W21" i="11"/>
  <c r="P21" i="11"/>
  <c r="AH20" i="11"/>
  <c r="AG20" i="11"/>
  <c r="U20" i="11"/>
  <c r="T20" i="11"/>
  <c r="S20" i="11"/>
  <c r="Q20" i="11"/>
  <c r="W20" i="11"/>
  <c r="P20" i="11"/>
  <c r="AH19" i="11"/>
  <c r="AG19" i="11"/>
  <c r="U19" i="11"/>
  <c r="T19" i="11"/>
  <c r="S19" i="11"/>
  <c r="Q19" i="11"/>
  <c r="W19" i="11"/>
  <c r="P19" i="11"/>
  <c r="AH18" i="11"/>
  <c r="AG18" i="11"/>
  <c r="U18" i="11"/>
  <c r="T18" i="11"/>
  <c r="S18" i="11"/>
  <c r="Q18" i="11"/>
  <c r="W18" i="11"/>
  <c r="P18" i="11"/>
  <c r="U17" i="11"/>
  <c r="T17" i="11"/>
  <c r="S17" i="11"/>
  <c r="Q17" i="11"/>
  <c r="W17" i="11" s="1"/>
  <c r="P17" i="11"/>
  <c r="U16" i="11"/>
  <c r="T16" i="11" s="1"/>
  <c r="S16" i="11"/>
  <c r="Q16" i="11"/>
  <c r="W16" i="11" s="1"/>
  <c r="P16" i="11"/>
  <c r="U15" i="11"/>
  <c r="T15" i="11"/>
  <c r="S15" i="11"/>
  <c r="Q15" i="11"/>
  <c r="W15" i="11" s="1"/>
  <c r="P15" i="11"/>
  <c r="AH14" i="11"/>
  <c r="AG14" i="11"/>
  <c r="U14" i="11"/>
  <c r="T14" i="11" s="1"/>
  <c r="S14" i="11"/>
  <c r="Q14" i="11"/>
  <c r="W14" i="11" s="1"/>
  <c r="P14" i="11"/>
  <c r="AH13" i="11"/>
  <c r="AG13" i="11"/>
  <c r="U13" i="11"/>
  <c r="T13" i="11"/>
  <c r="S13" i="11"/>
  <c r="Q13" i="11"/>
  <c r="P13" i="11"/>
  <c r="AH12" i="11"/>
  <c r="AG12" i="11"/>
  <c r="U12" i="11"/>
  <c r="T12" i="11"/>
  <c r="S12" i="11"/>
  <c r="Q12" i="11"/>
  <c r="W12" i="11"/>
  <c r="P12" i="11"/>
  <c r="AH11" i="11"/>
  <c r="AG11" i="11"/>
  <c r="U11" i="11"/>
  <c r="T11" i="11"/>
  <c r="S11" i="11"/>
  <c r="Q11" i="11"/>
  <c r="W11" i="11"/>
  <c r="P11" i="11"/>
  <c r="AH10" i="11"/>
  <c r="AG10" i="11"/>
  <c r="U10" i="11"/>
  <c r="T10" i="11"/>
  <c r="S10" i="11"/>
  <c r="Q10" i="11"/>
  <c r="W10" i="11"/>
  <c r="P10" i="11"/>
  <c r="AH9" i="11"/>
  <c r="AG9" i="11"/>
  <c r="U9" i="11"/>
  <c r="T9" i="11"/>
  <c r="S9" i="11"/>
  <c r="Q9" i="11"/>
  <c r="W9" i="11"/>
  <c r="P9" i="11"/>
  <c r="AH8" i="11"/>
  <c r="AG8" i="11"/>
  <c r="U8" i="11"/>
  <c r="T8" i="11"/>
  <c r="S8" i="11"/>
  <c r="Q8" i="11"/>
  <c r="W8" i="11"/>
  <c r="P8" i="11"/>
  <c r="AH7" i="11"/>
  <c r="AG7" i="11"/>
  <c r="U7" i="11"/>
  <c r="T7" i="11"/>
  <c r="S7" i="11"/>
  <c r="Q7" i="11"/>
  <c r="W7" i="11"/>
  <c r="P7" i="11"/>
  <c r="AH106" i="10"/>
  <c r="AG106" i="10"/>
  <c r="U106" i="10"/>
  <c r="T106" i="10"/>
  <c r="S106" i="10"/>
  <c r="Q106" i="10"/>
  <c r="P106" i="10"/>
  <c r="C106" i="10"/>
  <c r="AH105" i="10"/>
  <c r="AG105" i="10"/>
  <c r="U105" i="10"/>
  <c r="S105" i="10"/>
  <c r="R105" i="10" s="1"/>
  <c r="Q105" i="10"/>
  <c r="P105" i="10"/>
  <c r="C105" i="10"/>
  <c r="AH104" i="10"/>
  <c r="AG104" i="10"/>
  <c r="U104" i="10"/>
  <c r="T104" i="10"/>
  <c r="S104" i="10"/>
  <c r="R104" i="10"/>
  <c r="Q104" i="10"/>
  <c r="P104" i="10"/>
  <c r="C104" i="10"/>
  <c r="AH103" i="10"/>
  <c r="AG103" i="10"/>
  <c r="U103" i="10"/>
  <c r="T103" i="10" s="1"/>
  <c r="S103" i="10"/>
  <c r="Q103" i="10"/>
  <c r="W103" i="10"/>
  <c r="P103" i="10"/>
  <c r="C103" i="10"/>
  <c r="AH102" i="10"/>
  <c r="AG102" i="10"/>
  <c r="U102" i="10"/>
  <c r="T102" i="10"/>
  <c r="S102" i="10"/>
  <c r="Q102" i="10"/>
  <c r="W102" i="10" s="1"/>
  <c r="P102" i="10"/>
  <c r="C102" i="10"/>
  <c r="AH101" i="10"/>
  <c r="AG101" i="10"/>
  <c r="U101" i="10"/>
  <c r="S101" i="10"/>
  <c r="R101" i="10" s="1"/>
  <c r="Q101" i="10"/>
  <c r="W101" i="10"/>
  <c r="P101" i="10"/>
  <c r="C101" i="10"/>
  <c r="AH100" i="10"/>
  <c r="AG100" i="10"/>
  <c r="U100" i="10"/>
  <c r="T100" i="10" s="1"/>
  <c r="S100" i="10"/>
  <c r="Q100" i="10"/>
  <c r="W100" i="10" s="1"/>
  <c r="P100" i="10"/>
  <c r="C100" i="10"/>
  <c r="AH99" i="10"/>
  <c r="AG99" i="10"/>
  <c r="U99" i="10"/>
  <c r="T99" i="10" s="1"/>
  <c r="S99" i="10"/>
  <c r="Q99" i="10"/>
  <c r="W99" i="10" s="1"/>
  <c r="P99" i="10"/>
  <c r="C99" i="10"/>
  <c r="AH98" i="10"/>
  <c r="AG98" i="10"/>
  <c r="U98" i="10"/>
  <c r="T98" i="10"/>
  <c r="S98" i="10"/>
  <c r="Q98" i="10"/>
  <c r="W98" i="10"/>
  <c r="P98" i="10"/>
  <c r="C98" i="10"/>
  <c r="AH97" i="10"/>
  <c r="AG97" i="10"/>
  <c r="U97" i="10"/>
  <c r="S97" i="10"/>
  <c r="R97" i="10" s="1"/>
  <c r="Q97" i="10"/>
  <c r="P97" i="10"/>
  <c r="C97" i="10"/>
  <c r="AH96" i="10"/>
  <c r="AG96" i="10"/>
  <c r="U96" i="10"/>
  <c r="T96" i="10"/>
  <c r="S96" i="10"/>
  <c r="R96" i="10"/>
  <c r="Q96" i="10"/>
  <c r="W96" i="10" s="1"/>
  <c r="P96" i="10"/>
  <c r="C96" i="10"/>
  <c r="U95" i="10"/>
  <c r="T95" i="10" s="1"/>
  <c r="S95" i="10"/>
  <c r="Q95" i="10"/>
  <c r="W95" i="10" s="1"/>
  <c r="P95" i="10"/>
  <c r="C95" i="10"/>
  <c r="U94" i="10"/>
  <c r="T94" i="10"/>
  <c r="S94" i="10"/>
  <c r="R94" i="10" s="1"/>
  <c r="Q94" i="10"/>
  <c r="W94" i="10"/>
  <c r="P94" i="10"/>
  <c r="C94" i="10"/>
  <c r="U93" i="10"/>
  <c r="T93" i="10"/>
  <c r="S93" i="10"/>
  <c r="R93" i="10" s="1"/>
  <c r="Q93" i="10"/>
  <c r="W93" i="10"/>
  <c r="P93" i="10"/>
  <c r="C93" i="10"/>
  <c r="U92" i="10"/>
  <c r="T92" i="10"/>
  <c r="S92" i="10"/>
  <c r="Q92" i="10"/>
  <c r="W92" i="10"/>
  <c r="P92" i="10"/>
  <c r="C92" i="10"/>
  <c r="U91" i="10"/>
  <c r="T91" i="10" s="1"/>
  <c r="S91" i="10"/>
  <c r="Q91" i="10"/>
  <c r="W91" i="10" s="1"/>
  <c r="P91" i="10"/>
  <c r="C91" i="10"/>
  <c r="U90" i="10"/>
  <c r="T90" i="10" s="1"/>
  <c r="S90" i="10"/>
  <c r="R90" i="10"/>
  <c r="Q90" i="10"/>
  <c r="W90" i="10"/>
  <c r="P90" i="10"/>
  <c r="C90" i="10"/>
  <c r="AH89" i="10"/>
  <c r="AG89" i="10"/>
  <c r="U89" i="10"/>
  <c r="S89" i="10"/>
  <c r="R89" i="10"/>
  <c r="Q89" i="10"/>
  <c r="W89" i="10" s="1"/>
  <c r="P89" i="10"/>
  <c r="C89" i="10"/>
  <c r="AH88" i="10"/>
  <c r="AG88" i="10"/>
  <c r="U88" i="10"/>
  <c r="T88" i="10"/>
  <c r="S88" i="10"/>
  <c r="R88" i="10" s="1"/>
  <c r="Q88" i="10"/>
  <c r="W88" i="10" s="1"/>
  <c r="P88" i="10"/>
  <c r="C88" i="10"/>
  <c r="AH87" i="10"/>
  <c r="AG87" i="10"/>
  <c r="U87" i="10"/>
  <c r="T87" i="10" s="1"/>
  <c r="S87" i="10"/>
  <c r="Q87" i="10"/>
  <c r="W87" i="10" s="1"/>
  <c r="P87" i="10"/>
  <c r="C87" i="10"/>
  <c r="AH86" i="10"/>
  <c r="AG86" i="10"/>
  <c r="U86" i="10"/>
  <c r="T86" i="10"/>
  <c r="S86" i="10"/>
  <c r="R86" i="10" s="1"/>
  <c r="Q86" i="10"/>
  <c r="W86" i="10"/>
  <c r="P86" i="10"/>
  <c r="C86" i="10"/>
  <c r="AH85" i="10"/>
  <c r="AG85" i="10"/>
  <c r="U85" i="10"/>
  <c r="S85" i="10"/>
  <c r="R85" i="10" s="1"/>
  <c r="Q85" i="10"/>
  <c r="W85" i="10" s="1"/>
  <c r="P85" i="10"/>
  <c r="C85" i="10"/>
  <c r="AH84" i="10"/>
  <c r="AG84" i="10"/>
  <c r="U84" i="10"/>
  <c r="T84" i="10" s="1"/>
  <c r="S84" i="10"/>
  <c r="Q84" i="10"/>
  <c r="W84" i="10" s="1"/>
  <c r="P84" i="10"/>
  <c r="C84" i="10"/>
  <c r="AH83" i="10"/>
  <c r="AG83" i="10"/>
  <c r="U83" i="10"/>
  <c r="T83" i="10"/>
  <c r="S83" i="10"/>
  <c r="Q83" i="10"/>
  <c r="W83" i="10"/>
  <c r="P83" i="10"/>
  <c r="C83" i="10"/>
  <c r="AH82" i="10"/>
  <c r="AG82" i="10"/>
  <c r="U82" i="10"/>
  <c r="T82" i="10"/>
  <c r="S82" i="10"/>
  <c r="R82" i="10"/>
  <c r="Q82" i="10"/>
  <c r="W82" i="10" s="1"/>
  <c r="P82" i="10"/>
  <c r="C82" i="10"/>
  <c r="AH81" i="10"/>
  <c r="AG81" i="10"/>
  <c r="U81" i="10"/>
  <c r="T81" i="10"/>
  <c r="S81" i="10"/>
  <c r="Q81" i="10"/>
  <c r="W81" i="10"/>
  <c r="P81" i="10"/>
  <c r="C81" i="10"/>
  <c r="AH80" i="10"/>
  <c r="AG80" i="10"/>
  <c r="U80" i="10"/>
  <c r="T80" i="10"/>
  <c r="S80" i="10"/>
  <c r="Q80" i="10"/>
  <c r="W80" i="10" s="1"/>
  <c r="P80" i="10"/>
  <c r="C80" i="10"/>
  <c r="AH79" i="10"/>
  <c r="AG79" i="10"/>
  <c r="U79" i="10"/>
  <c r="S79" i="10"/>
  <c r="R79" i="10" s="1"/>
  <c r="Q79" i="10"/>
  <c r="W79" i="10"/>
  <c r="P79" i="10"/>
  <c r="C79" i="10"/>
  <c r="AH78" i="10"/>
  <c r="AG78" i="10"/>
  <c r="U78" i="10"/>
  <c r="T78" i="10" s="1"/>
  <c r="S78" i="10"/>
  <c r="Q78" i="10"/>
  <c r="W78" i="10" s="1"/>
  <c r="P78" i="10"/>
  <c r="C78" i="10"/>
  <c r="AH77" i="10"/>
  <c r="AG77" i="10"/>
  <c r="U77" i="10"/>
  <c r="T77" i="10" s="1"/>
  <c r="S77" i="10"/>
  <c r="Q77" i="10"/>
  <c r="W77" i="10" s="1"/>
  <c r="P77" i="10"/>
  <c r="C77" i="10"/>
  <c r="AH76" i="10"/>
  <c r="AG76" i="10"/>
  <c r="U76" i="10"/>
  <c r="T76" i="10"/>
  <c r="S76" i="10"/>
  <c r="R76" i="10" s="1"/>
  <c r="Q76" i="10"/>
  <c r="W76" i="10" s="1"/>
  <c r="P76" i="10"/>
  <c r="C76" i="10"/>
  <c r="AH75" i="10"/>
  <c r="AG75" i="10"/>
  <c r="U75" i="10"/>
  <c r="S75" i="10"/>
  <c r="R75" i="10"/>
  <c r="Q75" i="10"/>
  <c r="W75" i="10"/>
  <c r="P75" i="10"/>
  <c r="C75" i="10"/>
  <c r="AH74" i="10"/>
  <c r="AG74" i="10"/>
  <c r="U74" i="10"/>
  <c r="T74" i="10"/>
  <c r="S74" i="10"/>
  <c r="Q74" i="10"/>
  <c r="W74" i="10"/>
  <c r="P74" i="10"/>
  <c r="C74" i="10"/>
  <c r="AH73" i="10"/>
  <c r="AG73" i="10"/>
  <c r="U73" i="10"/>
  <c r="T73" i="10" s="1"/>
  <c r="S73" i="10"/>
  <c r="Q73" i="10"/>
  <c r="W73" i="10" s="1"/>
  <c r="P73" i="10"/>
  <c r="C73" i="10"/>
  <c r="AH72" i="10"/>
  <c r="AG72" i="10"/>
  <c r="U72" i="10"/>
  <c r="T72" i="10" s="1"/>
  <c r="S72" i="10"/>
  <c r="R72" i="10" s="1"/>
  <c r="Q72" i="10"/>
  <c r="W72" i="10" s="1"/>
  <c r="P72" i="10"/>
  <c r="C72" i="10"/>
  <c r="AH71" i="10"/>
  <c r="AG71" i="10"/>
  <c r="U71" i="10"/>
  <c r="S71" i="10"/>
  <c r="R71" i="10"/>
  <c r="Q71" i="10"/>
  <c r="W71" i="10"/>
  <c r="P71" i="10"/>
  <c r="C71" i="10"/>
  <c r="AH70" i="10"/>
  <c r="AG70" i="10"/>
  <c r="U70" i="10"/>
  <c r="T70" i="10"/>
  <c r="S70" i="10"/>
  <c r="Q70" i="10"/>
  <c r="W70" i="10"/>
  <c r="P70" i="10"/>
  <c r="C70" i="10"/>
  <c r="AH69" i="10"/>
  <c r="AG69" i="10"/>
  <c r="U69" i="10"/>
  <c r="T69" i="10" s="1"/>
  <c r="S69" i="10"/>
  <c r="Q69" i="10"/>
  <c r="W69" i="10" s="1"/>
  <c r="P69" i="10"/>
  <c r="C69" i="10"/>
  <c r="AH68" i="10"/>
  <c r="AG68" i="10"/>
  <c r="U68" i="10"/>
  <c r="T68" i="10"/>
  <c r="S68" i="10"/>
  <c r="R68" i="10" s="1"/>
  <c r="Q68" i="10"/>
  <c r="W68" i="10" s="1"/>
  <c r="P68" i="10"/>
  <c r="C68" i="10"/>
  <c r="AH67" i="10"/>
  <c r="AG67" i="10"/>
  <c r="U67" i="10"/>
  <c r="S67" i="10"/>
  <c r="R67" i="10"/>
  <c r="Q67" i="10"/>
  <c r="W67" i="10" s="1"/>
  <c r="P67" i="10"/>
  <c r="C67" i="10"/>
  <c r="AH66" i="10"/>
  <c r="AG66" i="10"/>
  <c r="U66" i="10"/>
  <c r="T66" i="10" s="1"/>
  <c r="S66" i="10"/>
  <c r="Q66" i="10"/>
  <c r="W66" i="10"/>
  <c r="P66" i="10"/>
  <c r="C66" i="10"/>
  <c r="AH65" i="10"/>
  <c r="AG65" i="10"/>
  <c r="U65" i="10"/>
  <c r="T65" i="10"/>
  <c r="S65" i="10"/>
  <c r="Q65" i="10"/>
  <c r="W65" i="10"/>
  <c r="P65" i="10"/>
  <c r="C65" i="10"/>
  <c r="AH64" i="10"/>
  <c r="AG64" i="10"/>
  <c r="U64" i="10"/>
  <c r="T64" i="10" s="1"/>
  <c r="S64" i="10"/>
  <c r="R64" i="10"/>
  <c r="Q64" i="10"/>
  <c r="W64" i="10" s="1"/>
  <c r="P64" i="10"/>
  <c r="C64" i="10"/>
  <c r="AH63" i="10"/>
  <c r="AG63" i="10"/>
  <c r="U63" i="10"/>
  <c r="S63" i="10"/>
  <c r="R63" i="10" s="1"/>
  <c r="Q63" i="10"/>
  <c r="W63" i="10"/>
  <c r="P63" i="10"/>
  <c r="C63" i="10"/>
  <c r="AH62" i="10"/>
  <c r="AG62" i="10"/>
  <c r="U62" i="10"/>
  <c r="T62" i="10" s="1"/>
  <c r="S62" i="10"/>
  <c r="Q62" i="10"/>
  <c r="W62" i="10"/>
  <c r="P62" i="10"/>
  <c r="C62" i="10"/>
  <c r="AH61" i="10"/>
  <c r="AG61" i="10"/>
  <c r="U61" i="10"/>
  <c r="T61" i="10" s="1"/>
  <c r="S61" i="10"/>
  <c r="R61" i="10" s="1"/>
  <c r="Q61" i="10"/>
  <c r="W61" i="10" s="1"/>
  <c r="P61" i="10"/>
  <c r="C61" i="10"/>
  <c r="AH60" i="10"/>
  <c r="AG60" i="10"/>
  <c r="U60" i="10"/>
  <c r="S60" i="10"/>
  <c r="R60" i="10" s="1"/>
  <c r="Q60" i="10"/>
  <c r="W60" i="10"/>
  <c r="P60" i="10"/>
  <c r="C60" i="10"/>
  <c r="AH59" i="10"/>
  <c r="AG59" i="10"/>
  <c r="U59" i="10"/>
  <c r="T59" i="10" s="1"/>
  <c r="S59" i="10"/>
  <c r="Q59" i="10"/>
  <c r="W59" i="10" s="1"/>
  <c r="P59" i="10"/>
  <c r="C59" i="10"/>
  <c r="AH58" i="10"/>
  <c r="AG58" i="10"/>
  <c r="U58" i="10"/>
  <c r="T58" i="10" s="1"/>
  <c r="S58" i="10"/>
  <c r="Q58" i="10"/>
  <c r="W58" i="10" s="1"/>
  <c r="P58" i="10"/>
  <c r="C58" i="10"/>
  <c r="AH57" i="10"/>
  <c r="AG57" i="10"/>
  <c r="U57" i="10"/>
  <c r="T57" i="10"/>
  <c r="S57" i="10"/>
  <c r="R57" i="10" s="1"/>
  <c r="Q57" i="10"/>
  <c r="W57" i="10"/>
  <c r="P57" i="10"/>
  <c r="C57" i="10"/>
  <c r="AH56" i="10"/>
  <c r="AG56" i="10"/>
  <c r="U56" i="10"/>
  <c r="T56" i="10" s="1"/>
  <c r="S56" i="10"/>
  <c r="Q56" i="10"/>
  <c r="W56" i="10" s="1"/>
  <c r="P56" i="10"/>
  <c r="C56" i="10"/>
  <c r="AH55" i="10"/>
  <c r="AG55" i="10"/>
  <c r="U55" i="10"/>
  <c r="T55" i="10"/>
  <c r="S55" i="10"/>
  <c r="R55" i="10" s="1"/>
  <c r="Q55" i="10"/>
  <c r="W55" i="10" s="1"/>
  <c r="P55" i="10"/>
  <c r="C55" i="10"/>
  <c r="AH54" i="10"/>
  <c r="AG54" i="10"/>
  <c r="U54" i="10"/>
  <c r="T54" i="10"/>
  <c r="S54" i="10"/>
  <c r="R54" i="10" s="1"/>
  <c r="Q54" i="10"/>
  <c r="W54" i="10"/>
  <c r="P54" i="10"/>
  <c r="C54" i="10"/>
  <c r="AH53" i="10"/>
  <c r="AG53" i="10"/>
  <c r="U53" i="10"/>
  <c r="T53" i="10" s="1"/>
  <c r="S53" i="10"/>
  <c r="Q53" i="10"/>
  <c r="W53" i="10"/>
  <c r="P53" i="10"/>
  <c r="C53" i="10"/>
  <c r="AH52" i="10"/>
  <c r="AG52" i="10"/>
  <c r="U52" i="10"/>
  <c r="T52" i="10"/>
  <c r="S52" i="10"/>
  <c r="Q52" i="10"/>
  <c r="W52" i="10" s="1"/>
  <c r="P52" i="10"/>
  <c r="C52" i="10"/>
  <c r="AH51" i="10"/>
  <c r="AG51" i="10"/>
  <c r="U51" i="10"/>
  <c r="T51" i="10"/>
  <c r="S51" i="10"/>
  <c r="R51" i="10" s="1"/>
  <c r="Q51" i="10"/>
  <c r="W51" i="10" s="1"/>
  <c r="P51" i="10"/>
  <c r="C51" i="10"/>
  <c r="AH50" i="10"/>
  <c r="AG50" i="10"/>
  <c r="U50" i="10"/>
  <c r="T50" i="10" s="1"/>
  <c r="S50" i="10"/>
  <c r="R50" i="10" s="1"/>
  <c r="Q50" i="10"/>
  <c r="W50" i="10" s="1"/>
  <c r="P50" i="10"/>
  <c r="C50" i="10"/>
  <c r="U49" i="10"/>
  <c r="T49" i="10"/>
  <c r="S49" i="10"/>
  <c r="R49" i="10"/>
  <c r="Q49" i="10"/>
  <c r="W49" i="10" s="1"/>
  <c r="P49" i="10"/>
  <c r="C49" i="10"/>
  <c r="U48" i="10"/>
  <c r="T48" i="10"/>
  <c r="S48" i="10"/>
  <c r="R48" i="10" s="1"/>
  <c r="Q48" i="10"/>
  <c r="W48" i="10" s="1"/>
  <c r="P48" i="10"/>
  <c r="C48" i="10"/>
  <c r="U47" i="10"/>
  <c r="T47" i="10" s="1"/>
  <c r="S47" i="10"/>
  <c r="R47" i="10"/>
  <c r="Q47" i="10"/>
  <c r="W47" i="10" s="1"/>
  <c r="P47" i="10"/>
  <c r="C47" i="10"/>
  <c r="U46" i="10"/>
  <c r="T46" i="10" s="1"/>
  <c r="S46" i="10"/>
  <c r="R46" i="10"/>
  <c r="Q46" i="10"/>
  <c r="W46" i="10" s="1"/>
  <c r="P46" i="10"/>
  <c r="C46" i="10"/>
  <c r="U45" i="10"/>
  <c r="T45" i="10"/>
  <c r="S45" i="10"/>
  <c r="R45" i="10" s="1"/>
  <c r="Q45" i="10"/>
  <c r="W45" i="10" s="1"/>
  <c r="P45" i="10"/>
  <c r="C45" i="10"/>
  <c r="U44" i="10"/>
  <c r="T44" i="10" s="1"/>
  <c r="S44" i="10"/>
  <c r="R44" i="10" s="1"/>
  <c r="Q44" i="10"/>
  <c r="W44" i="10" s="1"/>
  <c r="P44" i="10"/>
  <c r="C44" i="10"/>
  <c r="AH43" i="10"/>
  <c r="AG43" i="10"/>
  <c r="U43" i="10"/>
  <c r="T43" i="10"/>
  <c r="S43" i="10"/>
  <c r="R43" i="10" s="1"/>
  <c r="Q43" i="10"/>
  <c r="W43" i="10"/>
  <c r="P43" i="10"/>
  <c r="C43" i="10"/>
  <c r="AH42" i="10"/>
  <c r="AG42" i="10"/>
  <c r="U42" i="10"/>
  <c r="T42" i="10" s="1"/>
  <c r="S42" i="10"/>
  <c r="Q42" i="10"/>
  <c r="W42" i="10"/>
  <c r="P42" i="10"/>
  <c r="C42" i="10"/>
  <c r="AH41" i="10"/>
  <c r="AG41" i="10"/>
  <c r="U41" i="10"/>
  <c r="T41" i="10"/>
  <c r="S41" i="10"/>
  <c r="R41" i="10"/>
  <c r="Q41" i="10"/>
  <c r="W41" i="10" s="1"/>
  <c r="P41" i="10"/>
  <c r="C41" i="10"/>
  <c r="AH40" i="10"/>
  <c r="AG40" i="10"/>
  <c r="U40" i="10"/>
  <c r="T40" i="10"/>
  <c r="S40" i="10"/>
  <c r="R40" i="10" s="1"/>
  <c r="Q40" i="10"/>
  <c r="W40" i="10" s="1"/>
  <c r="P40" i="10"/>
  <c r="C40" i="10"/>
  <c r="AH39" i="10"/>
  <c r="AG39" i="10"/>
  <c r="U39" i="10"/>
  <c r="T39" i="10" s="1"/>
  <c r="S39" i="10"/>
  <c r="Q39" i="10"/>
  <c r="W39" i="10" s="1"/>
  <c r="P39" i="10"/>
  <c r="C39" i="10"/>
  <c r="AH38" i="10"/>
  <c r="AG38" i="10"/>
  <c r="U38" i="10"/>
  <c r="T38" i="10" s="1"/>
  <c r="S38" i="10"/>
  <c r="R38" i="10" s="1"/>
  <c r="Q38" i="10"/>
  <c r="W38" i="10"/>
  <c r="P38" i="10"/>
  <c r="C38" i="10"/>
  <c r="AH37" i="10"/>
  <c r="AG37" i="10"/>
  <c r="U37" i="10"/>
  <c r="T37" i="10" s="1"/>
  <c r="S37" i="10"/>
  <c r="Q37" i="10"/>
  <c r="W37" i="10"/>
  <c r="P37" i="10"/>
  <c r="C37" i="10"/>
  <c r="AH36" i="10"/>
  <c r="AG36" i="10"/>
  <c r="U36" i="10"/>
  <c r="T36" i="10"/>
  <c r="S36" i="10"/>
  <c r="Q36" i="10"/>
  <c r="W36" i="10"/>
  <c r="P36" i="10"/>
  <c r="C36" i="10"/>
  <c r="T35" i="10"/>
  <c r="S35" i="10"/>
  <c r="Q35" i="10"/>
  <c r="W35" i="10" s="1"/>
  <c r="P35" i="10"/>
  <c r="C35" i="10"/>
  <c r="T34" i="10"/>
  <c r="S34" i="10"/>
  <c r="Q34" i="10"/>
  <c r="W34" i="10" s="1"/>
  <c r="P34" i="10"/>
  <c r="C34" i="10"/>
  <c r="U33" i="10"/>
  <c r="T33" i="10"/>
  <c r="S33" i="10"/>
  <c r="Q33" i="10"/>
  <c r="W33" i="10"/>
  <c r="P33" i="10"/>
  <c r="C33" i="10"/>
  <c r="AH32" i="10"/>
  <c r="AG32" i="10"/>
  <c r="U32" i="10"/>
  <c r="T32" i="10" s="1"/>
  <c r="S32" i="10"/>
  <c r="Q32" i="10"/>
  <c r="W32" i="10" s="1"/>
  <c r="P32" i="10"/>
  <c r="C32" i="10"/>
  <c r="AH31" i="10"/>
  <c r="AG31" i="10"/>
  <c r="U31" i="10"/>
  <c r="T31" i="10" s="1"/>
  <c r="S31" i="10"/>
  <c r="R31" i="10" s="1"/>
  <c r="Q31" i="10"/>
  <c r="W31" i="10"/>
  <c r="P31" i="10"/>
  <c r="C31" i="10"/>
  <c r="AH30" i="10"/>
  <c r="AG30" i="10"/>
  <c r="U30" i="10"/>
  <c r="T30" i="10" s="1"/>
  <c r="S30" i="10"/>
  <c r="Q30" i="10"/>
  <c r="W30" i="10"/>
  <c r="P30" i="10"/>
  <c r="C30" i="10"/>
  <c r="AH28" i="10"/>
  <c r="AG28" i="10"/>
  <c r="U28" i="10"/>
  <c r="T28" i="10"/>
  <c r="S28" i="10"/>
  <c r="Q28" i="10"/>
  <c r="W28" i="10" s="1"/>
  <c r="P28" i="10"/>
  <c r="C28" i="10"/>
  <c r="AH27" i="10"/>
  <c r="AG27" i="10"/>
  <c r="U27" i="10"/>
  <c r="T27" i="10"/>
  <c r="S27" i="10"/>
  <c r="R27" i="10" s="1"/>
  <c r="Q27" i="10"/>
  <c r="W27" i="10" s="1"/>
  <c r="P27" i="10"/>
  <c r="C27" i="10"/>
  <c r="AH26" i="10"/>
  <c r="AG26" i="10"/>
  <c r="U26" i="10"/>
  <c r="T26" i="10" s="1"/>
  <c r="S26" i="10"/>
  <c r="Q26" i="10"/>
  <c r="W26" i="10"/>
  <c r="P26" i="10"/>
  <c r="C26" i="10"/>
  <c r="AH25" i="10"/>
  <c r="AG25" i="10"/>
  <c r="U25" i="10"/>
  <c r="T25" i="10"/>
  <c r="S25" i="10"/>
  <c r="R25" i="10"/>
  <c r="Q25" i="10"/>
  <c r="W25" i="10"/>
  <c r="P25" i="10"/>
  <c r="C25" i="10"/>
  <c r="AH24" i="10"/>
  <c r="AG24" i="10"/>
  <c r="U24" i="10"/>
  <c r="T24" i="10"/>
  <c r="S24" i="10"/>
  <c r="Q24" i="10"/>
  <c r="W24" i="10"/>
  <c r="P24" i="10"/>
  <c r="C24" i="10"/>
  <c r="AH23" i="10"/>
  <c r="AG23" i="10"/>
  <c r="U23" i="10"/>
  <c r="T23" i="10" s="1"/>
  <c r="S23" i="10"/>
  <c r="R23" i="10" s="1"/>
  <c r="Q23" i="10"/>
  <c r="W23" i="10" s="1"/>
  <c r="P23" i="10"/>
  <c r="C23" i="10"/>
  <c r="AH21" i="10"/>
  <c r="AG21" i="10"/>
  <c r="U21" i="10"/>
  <c r="T21" i="10" s="1"/>
  <c r="S21" i="10"/>
  <c r="Q21" i="10"/>
  <c r="W21" i="10" s="1"/>
  <c r="P21" i="10"/>
  <c r="C21" i="10"/>
  <c r="AH20" i="10"/>
  <c r="AG20" i="10"/>
  <c r="U20" i="10"/>
  <c r="T20" i="10"/>
  <c r="S20" i="10"/>
  <c r="R20" i="10" s="1"/>
  <c r="Q20" i="10"/>
  <c r="W20" i="10" s="1"/>
  <c r="P20" i="10"/>
  <c r="C20" i="10"/>
  <c r="AH19" i="10"/>
  <c r="AG19" i="10"/>
  <c r="U19" i="10"/>
  <c r="T19" i="10" s="1"/>
  <c r="S19" i="10"/>
  <c r="Q19" i="10"/>
  <c r="W19" i="10" s="1"/>
  <c r="P19" i="10"/>
  <c r="C19" i="10"/>
  <c r="AH18" i="10"/>
  <c r="AG18" i="10"/>
  <c r="U18" i="10"/>
  <c r="T18" i="10" s="1"/>
  <c r="S18" i="10"/>
  <c r="R18" i="10" s="1"/>
  <c r="Q18" i="10"/>
  <c r="W18" i="10"/>
  <c r="P18" i="10"/>
  <c r="C18" i="10"/>
  <c r="U17" i="10"/>
  <c r="T17" i="10" s="1"/>
  <c r="S17" i="10"/>
  <c r="Q17" i="10"/>
  <c r="W17" i="10"/>
  <c r="P17" i="10"/>
  <c r="C17" i="10"/>
  <c r="U16" i="10"/>
  <c r="T16" i="10"/>
  <c r="S16" i="10"/>
  <c r="R16" i="10" s="1"/>
  <c r="Q16" i="10"/>
  <c r="W16" i="10"/>
  <c r="P16" i="10"/>
  <c r="C16" i="10"/>
  <c r="U15" i="10"/>
  <c r="T15" i="10"/>
  <c r="S15" i="10"/>
  <c r="Q15" i="10"/>
  <c r="W15" i="10" s="1"/>
  <c r="P15" i="10"/>
  <c r="C15" i="10"/>
  <c r="AH14" i="10"/>
  <c r="AG14" i="10"/>
  <c r="U14" i="10"/>
  <c r="T14" i="10"/>
  <c r="S14" i="10"/>
  <c r="R14" i="10" s="1"/>
  <c r="Q14" i="10"/>
  <c r="W14" i="10"/>
  <c r="P14" i="10"/>
  <c r="C14" i="10"/>
  <c r="AH13" i="10"/>
  <c r="AG13" i="10"/>
  <c r="U13" i="10"/>
  <c r="T13" i="10" s="1"/>
  <c r="S13" i="10"/>
  <c r="Q13" i="10"/>
  <c r="P13" i="10"/>
  <c r="C13" i="10"/>
  <c r="AH12" i="10"/>
  <c r="AG12" i="10"/>
  <c r="U12" i="10"/>
  <c r="T12" i="10" s="1"/>
  <c r="S12" i="10"/>
  <c r="R12" i="10"/>
  <c r="Q12" i="10"/>
  <c r="W12" i="10"/>
  <c r="P12" i="10"/>
  <c r="C12" i="10"/>
  <c r="AH11" i="10"/>
  <c r="AG11" i="10"/>
  <c r="U11" i="10"/>
  <c r="T11" i="10"/>
  <c r="S11" i="10"/>
  <c r="Q11" i="10"/>
  <c r="W11" i="10" s="1"/>
  <c r="P11" i="10"/>
  <c r="C11" i="10"/>
  <c r="AH10" i="10"/>
  <c r="AG10" i="10"/>
  <c r="U10" i="10"/>
  <c r="T10" i="10" s="1"/>
  <c r="S10" i="10"/>
  <c r="Q10" i="10"/>
  <c r="W10" i="10"/>
  <c r="P10" i="10"/>
  <c r="C10" i="10"/>
  <c r="AH9" i="10"/>
  <c r="AG9" i="10"/>
  <c r="U9" i="10"/>
  <c r="T9" i="10"/>
  <c r="S9" i="10"/>
  <c r="Q9" i="10"/>
  <c r="W9" i="10"/>
  <c r="P9" i="10"/>
  <c r="C9" i="10"/>
  <c r="AH8" i="10"/>
  <c r="AG8" i="10"/>
  <c r="U8" i="10"/>
  <c r="T8" i="10" s="1"/>
  <c r="S8" i="10"/>
  <c r="Q8" i="10"/>
  <c r="W8" i="10" s="1"/>
  <c r="P8" i="10"/>
  <c r="C8" i="10"/>
  <c r="AH7" i="10"/>
  <c r="AG7" i="10"/>
  <c r="U7" i="10"/>
  <c r="T7" i="10" s="1"/>
  <c r="S7" i="10"/>
  <c r="R7" i="10" s="1"/>
  <c r="Q7" i="10"/>
  <c r="W7" i="10" s="1"/>
  <c r="P7" i="10"/>
  <c r="C7" i="10"/>
  <c r="U156" i="9"/>
  <c r="T156" i="9"/>
  <c r="S156" i="9"/>
  <c r="Q156" i="9"/>
  <c r="W156" i="9"/>
  <c r="P156" i="9"/>
  <c r="C156" i="9"/>
  <c r="U155" i="9"/>
  <c r="T155" i="9" s="1"/>
  <c r="S155" i="9"/>
  <c r="Q155" i="9"/>
  <c r="W155" i="9" s="1"/>
  <c r="P155" i="9"/>
  <c r="C155" i="9"/>
  <c r="U154" i="9"/>
  <c r="T154" i="9"/>
  <c r="S154" i="9"/>
  <c r="R154" i="9" s="1"/>
  <c r="Q154" i="9"/>
  <c r="W154" i="9" s="1"/>
  <c r="P154" i="9"/>
  <c r="C154" i="9"/>
  <c r="U153" i="9"/>
  <c r="T153" i="9" s="1"/>
  <c r="S153" i="9"/>
  <c r="Q153" i="9"/>
  <c r="W153" i="9" s="1"/>
  <c r="P153" i="9"/>
  <c r="C153" i="9"/>
  <c r="U152" i="9"/>
  <c r="T152" i="9" s="1"/>
  <c r="S152" i="9"/>
  <c r="R152" i="9"/>
  <c r="Q152" i="9"/>
  <c r="W152" i="9" s="1"/>
  <c r="P152" i="9"/>
  <c r="C152" i="9"/>
  <c r="U151" i="9"/>
  <c r="T151" i="9"/>
  <c r="S151" i="9"/>
  <c r="R151" i="9"/>
  <c r="Q151" i="9"/>
  <c r="P151" i="9"/>
  <c r="C151" i="9"/>
  <c r="U150" i="9"/>
  <c r="T150" i="9"/>
  <c r="S150" i="9"/>
  <c r="Q150" i="9"/>
  <c r="P150" i="9"/>
  <c r="C150" i="9"/>
  <c r="U149" i="9"/>
  <c r="T149" i="9" s="1"/>
  <c r="S149" i="9"/>
  <c r="R149" i="9" s="1"/>
  <c r="Q149" i="9"/>
  <c r="W149" i="9"/>
  <c r="P149" i="9"/>
  <c r="C149" i="9"/>
  <c r="U148" i="9"/>
  <c r="T148" i="9" s="1"/>
  <c r="S148" i="9"/>
  <c r="Q148" i="9"/>
  <c r="W148" i="9" s="1"/>
  <c r="P148" i="9"/>
  <c r="C148" i="9"/>
  <c r="U147" i="9"/>
  <c r="T147" i="9"/>
  <c r="S147" i="9"/>
  <c r="R147" i="9"/>
  <c r="Q147" i="9"/>
  <c r="W147" i="9" s="1"/>
  <c r="P147" i="9"/>
  <c r="C147" i="9"/>
  <c r="U146" i="9"/>
  <c r="T146" i="9"/>
  <c r="S146" i="9"/>
  <c r="R146" i="9"/>
  <c r="Q146" i="9"/>
  <c r="W146" i="9" s="1"/>
  <c r="P146" i="9"/>
  <c r="C146" i="9"/>
  <c r="U145" i="9"/>
  <c r="T145" i="9"/>
  <c r="S145" i="9"/>
  <c r="R145" i="9"/>
  <c r="Q145" i="9"/>
  <c r="W145" i="9" s="1"/>
  <c r="P145" i="9"/>
  <c r="C145" i="9"/>
  <c r="U144" i="9"/>
  <c r="T144" i="9"/>
  <c r="S144" i="9"/>
  <c r="R144" i="9"/>
  <c r="Q144" i="9"/>
  <c r="W144" i="9" s="1"/>
  <c r="P144" i="9"/>
  <c r="C144" i="9"/>
  <c r="U143" i="9"/>
  <c r="T143" i="9"/>
  <c r="S143" i="9"/>
  <c r="Q143" i="9"/>
  <c r="W143" i="9"/>
  <c r="P143" i="9"/>
  <c r="C143" i="9"/>
  <c r="U142" i="9"/>
  <c r="T142" i="9" s="1"/>
  <c r="S142" i="9"/>
  <c r="Q142" i="9"/>
  <c r="W142" i="9"/>
  <c r="P142" i="9"/>
  <c r="C142" i="9"/>
  <c r="U141" i="9"/>
  <c r="T141" i="9" s="1"/>
  <c r="S141" i="9"/>
  <c r="Q141" i="9"/>
  <c r="W141" i="9" s="1"/>
  <c r="P141" i="9"/>
  <c r="C141" i="9"/>
  <c r="U140" i="9"/>
  <c r="T140" i="9" s="1"/>
  <c r="S140" i="9"/>
  <c r="R140" i="9"/>
  <c r="Q140" i="9"/>
  <c r="W140" i="9" s="1"/>
  <c r="P140" i="9"/>
  <c r="C140" i="9"/>
  <c r="U139" i="9"/>
  <c r="T139" i="9"/>
  <c r="S139" i="9"/>
  <c r="Q139" i="9"/>
  <c r="W139" i="9"/>
  <c r="P139" i="9"/>
  <c r="C139" i="9"/>
  <c r="U138" i="9"/>
  <c r="T138" i="9" s="1"/>
  <c r="S138" i="9"/>
  <c r="Q138" i="9"/>
  <c r="W138" i="9"/>
  <c r="P138" i="9"/>
  <c r="C138" i="9"/>
  <c r="U137" i="9"/>
  <c r="T137" i="9" s="1"/>
  <c r="S137" i="9"/>
  <c r="Q137" i="9"/>
  <c r="W137" i="9" s="1"/>
  <c r="P137" i="9"/>
  <c r="C137" i="9"/>
  <c r="U136" i="9"/>
  <c r="T136" i="9"/>
  <c r="S136" i="9"/>
  <c r="Q136" i="9"/>
  <c r="W136" i="9"/>
  <c r="P136" i="9"/>
  <c r="C136" i="9"/>
  <c r="U135" i="9"/>
  <c r="T135" i="9" s="1"/>
  <c r="S135" i="9"/>
  <c r="Q135" i="9"/>
  <c r="W135" i="9" s="1"/>
  <c r="P135" i="9"/>
  <c r="C135" i="9"/>
  <c r="U134" i="9"/>
  <c r="T134" i="9"/>
  <c r="S134" i="9"/>
  <c r="Q134" i="9"/>
  <c r="W134" i="9"/>
  <c r="P134" i="9"/>
  <c r="C134" i="9"/>
  <c r="U133" i="9"/>
  <c r="T133" i="9" s="1"/>
  <c r="S133" i="9"/>
  <c r="R133" i="9" s="1"/>
  <c r="Q133" i="9"/>
  <c r="W133" i="9" s="1"/>
  <c r="P133" i="9"/>
  <c r="C133" i="9"/>
  <c r="U132" i="9"/>
  <c r="T132" i="9"/>
  <c r="S132" i="9"/>
  <c r="Q132" i="9"/>
  <c r="W132" i="9"/>
  <c r="P132" i="9"/>
  <c r="C132" i="9"/>
  <c r="U131" i="9"/>
  <c r="T131" i="9" s="1"/>
  <c r="S131" i="9"/>
  <c r="R131" i="9" s="1"/>
  <c r="Q131" i="9"/>
  <c r="W131" i="9"/>
  <c r="P131" i="9"/>
  <c r="C131" i="9"/>
  <c r="U130" i="9"/>
  <c r="T130" i="9" s="1"/>
  <c r="S130" i="9"/>
  <c r="Q130" i="9"/>
  <c r="P130" i="9"/>
  <c r="U129" i="9"/>
  <c r="T129" i="9" s="1"/>
  <c r="S129" i="9"/>
  <c r="R129" i="9"/>
  <c r="Q129" i="9"/>
  <c r="W129" i="9"/>
  <c r="P129" i="9"/>
  <c r="C129" i="9"/>
  <c r="U128" i="9"/>
  <c r="T128" i="9" s="1"/>
  <c r="S128" i="9"/>
  <c r="Q128" i="9"/>
  <c r="W128" i="9" s="1"/>
  <c r="P128" i="9"/>
  <c r="C128" i="9"/>
  <c r="U127" i="9"/>
  <c r="T127" i="9"/>
  <c r="S127" i="9"/>
  <c r="Q127" i="9"/>
  <c r="W127" i="9" s="1"/>
  <c r="P127" i="9"/>
  <c r="C127" i="9"/>
  <c r="U126" i="9"/>
  <c r="T126" i="9" s="1"/>
  <c r="S126" i="9"/>
  <c r="Q126" i="9"/>
  <c r="W126" i="9" s="1"/>
  <c r="P126" i="9"/>
  <c r="C126" i="9"/>
  <c r="U125" i="9"/>
  <c r="T125" i="9"/>
  <c r="S125" i="9"/>
  <c r="Q125" i="9"/>
  <c r="W125" i="9"/>
  <c r="P125" i="9"/>
  <c r="C125" i="9"/>
  <c r="U124" i="9"/>
  <c r="T124" i="9" s="1"/>
  <c r="S124" i="9"/>
  <c r="Q124" i="9"/>
  <c r="W124" i="9"/>
  <c r="P124" i="9"/>
  <c r="C124" i="9"/>
  <c r="U123" i="9"/>
  <c r="T123" i="9"/>
  <c r="S123" i="9"/>
  <c r="Q123" i="9"/>
  <c r="W123" i="9" s="1"/>
  <c r="P123" i="9"/>
  <c r="C123" i="9"/>
  <c r="U122" i="9"/>
  <c r="T122" i="9" s="1"/>
  <c r="S122" i="9"/>
  <c r="R122" i="9" s="1"/>
  <c r="Q122" i="9"/>
  <c r="W122" i="9" s="1"/>
  <c r="P122" i="9"/>
  <c r="C122" i="9"/>
  <c r="U121" i="9"/>
  <c r="T121" i="9"/>
  <c r="S121" i="9"/>
  <c r="R121" i="9"/>
  <c r="Q121" i="9"/>
  <c r="W121" i="9" s="1"/>
  <c r="P121" i="9"/>
  <c r="C121" i="9"/>
  <c r="U120" i="9"/>
  <c r="T120" i="9"/>
  <c r="S120" i="9"/>
  <c r="R120" i="9" s="1"/>
  <c r="Q120" i="9"/>
  <c r="W120" i="9" s="1"/>
  <c r="P120" i="9"/>
  <c r="C120" i="9"/>
  <c r="U119" i="9"/>
  <c r="T119" i="9" s="1"/>
  <c r="S119" i="9"/>
  <c r="R119" i="9"/>
  <c r="Q119" i="9"/>
  <c r="W119" i="9" s="1"/>
  <c r="P119" i="9"/>
  <c r="C119" i="9"/>
  <c r="U118" i="9"/>
  <c r="S118" i="9"/>
  <c r="R118" i="9" s="1"/>
  <c r="Q118" i="9"/>
  <c r="W118" i="9"/>
  <c r="P118" i="9"/>
  <c r="C118" i="9"/>
  <c r="U117" i="9"/>
  <c r="T117" i="9" s="1"/>
  <c r="S117" i="9"/>
  <c r="R117" i="9" s="1"/>
  <c r="Q117" i="9"/>
  <c r="W117" i="9" s="1"/>
  <c r="P117" i="9"/>
  <c r="C117" i="9"/>
  <c r="U116" i="9"/>
  <c r="T116" i="9" s="1"/>
  <c r="S116" i="9"/>
  <c r="Q116" i="9"/>
  <c r="W116" i="9"/>
  <c r="P116" i="9"/>
  <c r="C116" i="9"/>
  <c r="U115" i="9"/>
  <c r="T115" i="9"/>
  <c r="S115" i="9"/>
  <c r="R115" i="9"/>
  <c r="Q115" i="9"/>
  <c r="W115" i="9"/>
  <c r="P115" i="9"/>
  <c r="C115" i="9"/>
  <c r="U114" i="9"/>
  <c r="S114" i="9"/>
  <c r="R114" i="9" s="1"/>
  <c r="Q114" i="9"/>
  <c r="W114" i="9" s="1"/>
  <c r="P114" i="9"/>
  <c r="C114" i="9"/>
  <c r="U113" i="9"/>
  <c r="T113" i="9"/>
  <c r="S113" i="9"/>
  <c r="R113" i="9" s="1"/>
  <c r="Q113" i="9"/>
  <c r="W113" i="9" s="1"/>
  <c r="P113" i="9"/>
  <c r="C113" i="9"/>
  <c r="U112" i="9"/>
  <c r="T112" i="9"/>
  <c r="S112" i="9"/>
  <c r="Q112" i="9"/>
  <c r="W112" i="9"/>
  <c r="P112" i="9"/>
  <c r="C112" i="9"/>
  <c r="U111" i="9"/>
  <c r="T111" i="9" s="1"/>
  <c r="S111" i="9"/>
  <c r="R111" i="9"/>
  <c r="Q111" i="9"/>
  <c r="W111" i="9" s="1"/>
  <c r="P111" i="9"/>
  <c r="C111" i="9"/>
  <c r="U110" i="9"/>
  <c r="S110" i="9"/>
  <c r="R110" i="9"/>
  <c r="Q110" i="9"/>
  <c r="W110" i="9"/>
  <c r="P110" i="9"/>
  <c r="C110" i="9"/>
  <c r="U109" i="9"/>
  <c r="T109" i="9"/>
  <c r="S109" i="9"/>
  <c r="R109" i="9"/>
  <c r="Q109" i="9"/>
  <c r="W109" i="9"/>
  <c r="P109" i="9"/>
  <c r="C109" i="9"/>
  <c r="U108" i="9"/>
  <c r="T108" i="9"/>
  <c r="S108" i="9"/>
  <c r="Q108" i="9"/>
  <c r="W108" i="9"/>
  <c r="P108" i="9"/>
  <c r="C108" i="9"/>
  <c r="U107" i="9"/>
  <c r="T107" i="9" s="1"/>
  <c r="S107" i="9"/>
  <c r="Q107" i="9"/>
  <c r="W107" i="9"/>
  <c r="P107" i="9"/>
  <c r="C107" i="9"/>
  <c r="U106" i="9"/>
  <c r="T106" i="9"/>
  <c r="S106" i="9"/>
  <c r="R106" i="9"/>
  <c r="Q106" i="9"/>
  <c r="W106" i="9"/>
  <c r="P106" i="9"/>
  <c r="C106" i="9"/>
  <c r="U105" i="9"/>
  <c r="T105" i="9"/>
  <c r="S105" i="9"/>
  <c r="R105" i="9"/>
  <c r="Q105" i="9"/>
  <c r="W105" i="9"/>
  <c r="P105" i="9"/>
  <c r="C105" i="9"/>
  <c r="U104" i="9"/>
  <c r="T104" i="9"/>
  <c r="S104" i="9"/>
  <c r="Q104" i="9"/>
  <c r="W104" i="9" s="1"/>
  <c r="P104" i="9"/>
  <c r="C104" i="9"/>
  <c r="U103" i="9"/>
  <c r="T103" i="9" s="1"/>
  <c r="S103" i="9"/>
  <c r="R103" i="9"/>
  <c r="Q103" i="9"/>
  <c r="W103" i="9" s="1"/>
  <c r="P103" i="9"/>
  <c r="C103" i="9"/>
  <c r="U102" i="9"/>
  <c r="S102" i="9"/>
  <c r="R102" i="9" s="1"/>
  <c r="Q102" i="9"/>
  <c r="W102" i="9"/>
  <c r="P102" i="9"/>
  <c r="C102" i="9"/>
  <c r="U101" i="9"/>
  <c r="T101" i="9" s="1"/>
  <c r="S101" i="9"/>
  <c r="R101" i="9" s="1"/>
  <c r="Q101" i="9"/>
  <c r="W101" i="9"/>
  <c r="P101" i="9"/>
  <c r="C101" i="9"/>
  <c r="U100" i="9"/>
  <c r="T100" i="9" s="1"/>
  <c r="S100" i="9"/>
  <c r="Q100" i="9"/>
  <c r="W100" i="9" s="1"/>
  <c r="P100" i="9"/>
  <c r="C100" i="9"/>
  <c r="U99" i="9"/>
  <c r="T99" i="9" s="1"/>
  <c r="S99" i="9"/>
  <c r="R99" i="9"/>
  <c r="Q99" i="9"/>
  <c r="W99" i="9" s="1"/>
  <c r="P99" i="9"/>
  <c r="C99" i="9"/>
  <c r="U98" i="9"/>
  <c r="S98" i="9"/>
  <c r="R98" i="9" s="1"/>
  <c r="Q98" i="9"/>
  <c r="W98" i="9"/>
  <c r="P98" i="9"/>
  <c r="C98" i="9"/>
  <c r="U97" i="9"/>
  <c r="T97" i="9"/>
  <c r="S97" i="9"/>
  <c r="R97" i="9" s="1"/>
  <c r="Q97" i="9"/>
  <c r="W97" i="9" s="1"/>
  <c r="P97" i="9"/>
  <c r="C97" i="9"/>
  <c r="U96" i="9"/>
  <c r="T96" i="9"/>
  <c r="S96" i="9"/>
  <c r="Q96" i="9"/>
  <c r="W96" i="9"/>
  <c r="P96" i="9"/>
  <c r="C96" i="9"/>
  <c r="U95" i="9"/>
  <c r="T95" i="9" s="1"/>
  <c r="S95" i="9"/>
  <c r="R95" i="9"/>
  <c r="Q95" i="9"/>
  <c r="W95" i="9" s="1"/>
  <c r="P95" i="9"/>
  <c r="C95" i="9"/>
  <c r="U94" i="9"/>
  <c r="T94" i="9" s="1"/>
  <c r="S94" i="9"/>
  <c r="Q94" i="9"/>
  <c r="W94" i="9"/>
  <c r="P94" i="9"/>
  <c r="C94" i="9"/>
  <c r="U93" i="9"/>
  <c r="T93" i="9"/>
  <c r="S93" i="9"/>
  <c r="R93" i="9"/>
  <c r="Q93" i="9"/>
  <c r="W93" i="9"/>
  <c r="P93" i="9"/>
  <c r="C93" i="9"/>
  <c r="U92" i="9"/>
  <c r="S92" i="9"/>
  <c r="R92" i="9" s="1"/>
  <c r="Q92" i="9"/>
  <c r="W92" i="9"/>
  <c r="P92" i="9"/>
  <c r="C92" i="9"/>
  <c r="U91" i="9"/>
  <c r="S91" i="9"/>
  <c r="R91" i="9"/>
  <c r="Q91" i="9"/>
  <c r="W91" i="9"/>
  <c r="P91" i="9"/>
  <c r="C91" i="9"/>
  <c r="U90" i="9"/>
  <c r="T90" i="9"/>
  <c r="S90" i="9"/>
  <c r="Q90" i="9"/>
  <c r="W90" i="9" s="1"/>
  <c r="P90" i="9"/>
  <c r="C90" i="9"/>
  <c r="U89" i="9"/>
  <c r="T89" i="9" s="1"/>
  <c r="S89" i="9"/>
  <c r="R89" i="9"/>
  <c r="Q89" i="9"/>
  <c r="W89" i="9" s="1"/>
  <c r="P89" i="9"/>
  <c r="C89" i="9"/>
  <c r="U88" i="9"/>
  <c r="S88" i="9"/>
  <c r="R88" i="9" s="1"/>
  <c r="Q88" i="9"/>
  <c r="W88" i="9" s="1"/>
  <c r="P88" i="9"/>
  <c r="C88" i="9"/>
  <c r="U87" i="9"/>
  <c r="T87" i="9" s="1"/>
  <c r="S87" i="9"/>
  <c r="Q87" i="9"/>
  <c r="W87" i="9"/>
  <c r="P87" i="9"/>
  <c r="C87" i="9"/>
  <c r="U86" i="9"/>
  <c r="T86" i="9"/>
  <c r="S86" i="9"/>
  <c r="Q86" i="9"/>
  <c r="W86" i="9" s="1"/>
  <c r="P86" i="9"/>
  <c r="C86" i="9"/>
  <c r="U85" i="9"/>
  <c r="T85" i="9"/>
  <c r="S85" i="9"/>
  <c r="R85" i="9"/>
  <c r="Q85" i="9"/>
  <c r="W85" i="9" s="1"/>
  <c r="P85" i="9"/>
  <c r="C85" i="9"/>
  <c r="U84" i="9"/>
  <c r="S84" i="9"/>
  <c r="R84" i="9"/>
  <c r="Q84" i="9"/>
  <c r="W84" i="9"/>
  <c r="P84" i="9"/>
  <c r="C84" i="9"/>
  <c r="U83" i="9"/>
  <c r="S83" i="9"/>
  <c r="R83" i="9"/>
  <c r="Q83" i="9"/>
  <c r="W83" i="9"/>
  <c r="P83" i="9"/>
  <c r="C83" i="9"/>
  <c r="U82" i="9"/>
  <c r="T82" i="9" s="1"/>
  <c r="S82" i="9"/>
  <c r="Q82" i="9"/>
  <c r="W82" i="9"/>
  <c r="P82" i="9"/>
  <c r="C82" i="9"/>
  <c r="U81" i="9"/>
  <c r="S81" i="9"/>
  <c r="R81" i="9" s="1"/>
  <c r="Q81" i="9"/>
  <c r="W81" i="9"/>
  <c r="P81" i="9"/>
  <c r="C81" i="9"/>
  <c r="U80" i="9"/>
  <c r="T80" i="9" s="1"/>
  <c r="S80" i="9"/>
  <c r="Q80" i="9"/>
  <c r="W80" i="9" s="1"/>
  <c r="AI80" i="9" s="1"/>
  <c r="P80" i="9"/>
  <c r="C80" i="9"/>
  <c r="U79" i="9"/>
  <c r="S79" i="9"/>
  <c r="R79" i="9"/>
  <c r="Q79" i="9"/>
  <c r="W79" i="9"/>
  <c r="P79" i="9"/>
  <c r="C79" i="9"/>
  <c r="U78" i="9"/>
  <c r="T78" i="9" s="1"/>
  <c r="S78" i="9"/>
  <c r="Q78" i="9"/>
  <c r="W78" i="9" s="1"/>
  <c r="P78" i="9"/>
  <c r="C78" i="9"/>
  <c r="U77" i="9"/>
  <c r="T77" i="9"/>
  <c r="S77" i="9"/>
  <c r="R77" i="9" s="1"/>
  <c r="Q77" i="9"/>
  <c r="W77" i="9" s="1"/>
  <c r="P77" i="9"/>
  <c r="C77" i="9"/>
  <c r="U76" i="9"/>
  <c r="S76" i="9"/>
  <c r="R76" i="9" s="1"/>
  <c r="Q76" i="9"/>
  <c r="W76" i="9" s="1"/>
  <c r="P76" i="9"/>
  <c r="C76" i="9"/>
  <c r="U75" i="9"/>
  <c r="S75" i="9"/>
  <c r="R75" i="9"/>
  <c r="Q75" i="9"/>
  <c r="W75" i="9"/>
  <c r="P75" i="9"/>
  <c r="C75" i="9"/>
  <c r="U74" i="9"/>
  <c r="T74" i="9" s="1"/>
  <c r="S74" i="9"/>
  <c r="Q74" i="9"/>
  <c r="W74" i="9"/>
  <c r="P74" i="9"/>
  <c r="C74" i="9"/>
  <c r="U73" i="9"/>
  <c r="T73" i="9" s="1"/>
  <c r="S73" i="9"/>
  <c r="R73" i="9"/>
  <c r="Q73" i="9"/>
  <c r="W73" i="9"/>
  <c r="P73" i="9"/>
  <c r="C73" i="9"/>
  <c r="U72" i="9"/>
  <c r="S72" i="9"/>
  <c r="R72" i="9" s="1"/>
  <c r="Q72" i="9"/>
  <c r="W72" i="9"/>
  <c r="P72" i="9"/>
  <c r="C72" i="9"/>
  <c r="U71" i="9"/>
  <c r="T71" i="9" s="1"/>
  <c r="S71" i="9"/>
  <c r="Q71" i="9"/>
  <c r="W71" i="9"/>
  <c r="P71" i="9"/>
  <c r="C71" i="9"/>
  <c r="U70" i="9"/>
  <c r="T70" i="9"/>
  <c r="S70" i="9"/>
  <c r="R70" i="9"/>
  <c r="Q70" i="9"/>
  <c r="W70" i="9"/>
  <c r="P70" i="9"/>
  <c r="C70" i="9"/>
  <c r="U69" i="9"/>
  <c r="S69" i="9"/>
  <c r="R69" i="9" s="1"/>
  <c r="Q69" i="9"/>
  <c r="W69" i="9" s="1"/>
  <c r="P69" i="9"/>
  <c r="C69" i="9"/>
  <c r="U68" i="9"/>
  <c r="T68" i="9" s="1"/>
  <c r="S68" i="9"/>
  <c r="Q68" i="9"/>
  <c r="W68" i="9"/>
  <c r="P68" i="9"/>
  <c r="C68" i="9"/>
  <c r="U67" i="9"/>
  <c r="T67" i="9"/>
  <c r="S67" i="9"/>
  <c r="Q67" i="9"/>
  <c r="W67" i="9" s="1"/>
  <c r="P67" i="9"/>
  <c r="C67" i="9"/>
  <c r="U66" i="9"/>
  <c r="S66" i="9"/>
  <c r="R66" i="9"/>
  <c r="Q66" i="9"/>
  <c r="W66" i="9"/>
  <c r="P66" i="9"/>
  <c r="C66" i="9"/>
  <c r="U65" i="9"/>
  <c r="T65" i="9"/>
  <c r="S65" i="9"/>
  <c r="Q65" i="9"/>
  <c r="W65" i="9" s="1"/>
  <c r="P65" i="9"/>
  <c r="C65" i="9"/>
  <c r="U64" i="9"/>
  <c r="T64" i="9" s="1"/>
  <c r="S64" i="9"/>
  <c r="Q64" i="9"/>
  <c r="W64" i="9"/>
  <c r="P64" i="9"/>
  <c r="C64" i="9"/>
  <c r="U63" i="9"/>
  <c r="T63" i="9"/>
  <c r="S63" i="9"/>
  <c r="R63" i="9"/>
  <c r="Q63" i="9"/>
  <c r="W63" i="9"/>
  <c r="P63" i="9"/>
  <c r="C63" i="9"/>
  <c r="U62" i="9"/>
  <c r="S62" i="9"/>
  <c r="R62" i="9" s="1"/>
  <c r="Q62" i="9"/>
  <c r="W62" i="9"/>
  <c r="P62" i="9"/>
  <c r="C62" i="9"/>
  <c r="U61" i="9"/>
  <c r="T61" i="9" s="1"/>
  <c r="S61" i="9"/>
  <c r="Q61" i="9"/>
  <c r="W61" i="9"/>
  <c r="P61" i="9"/>
  <c r="C61" i="9"/>
  <c r="U60" i="9"/>
  <c r="T60" i="9"/>
  <c r="S60" i="9"/>
  <c r="R60" i="9"/>
  <c r="Q60" i="9"/>
  <c r="W60" i="9"/>
  <c r="P60" i="9"/>
  <c r="C60" i="9"/>
  <c r="U59" i="9"/>
  <c r="S59" i="9"/>
  <c r="R59" i="9" s="1"/>
  <c r="Q59" i="9"/>
  <c r="W59" i="9" s="1"/>
  <c r="P59" i="9"/>
  <c r="C59" i="9"/>
  <c r="U58" i="9"/>
  <c r="T58" i="9" s="1"/>
  <c r="S58" i="9"/>
  <c r="R58" i="9"/>
  <c r="Q58" i="9"/>
  <c r="W58" i="9" s="1"/>
  <c r="P58" i="9"/>
  <c r="C58" i="9"/>
  <c r="U57" i="9"/>
  <c r="T57" i="9"/>
  <c r="S57" i="9"/>
  <c r="Q57" i="9"/>
  <c r="W57" i="9"/>
  <c r="P57" i="9"/>
  <c r="C57" i="9"/>
  <c r="U56" i="9"/>
  <c r="T56" i="9"/>
  <c r="S56" i="9"/>
  <c r="R56" i="9" s="1"/>
  <c r="Q56" i="9"/>
  <c r="W56" i="9" s="1"/>
  <c r="P56" i="9"/>
  <c r="C56" i="9"/>
  <c r="U55" i="9"/>
  <c r="S55" i="9"/>
  <c r="R55" i="9"/>
  <c r="Q55" i="9"/>
  <c r="W55" i="9"/>
  <c r="P55" i="9"/>
  <c r="C55" i="9"/>
  <c r="U54" i="9"/>
  <c r="T54" i="9"/>
  <c r="S54" i="9"/>
  <c r="Q54" i="9"/>
  <c r="W54" i="9" s="1"/>
  <c r="P54" i="9"/>
  <c r="C54" i="9"/>
  <c r="U53" i="9"/>
  <c r="T53" i="9"/>
  <c r="S53" i="9"/>
  <c r="Q53" i="9"/>
  <c r="W53" i="9" s="1"/>
  <c r="P53" i="9"/>
  <c r="C53" i="9"/>
  <c r="U52" i="9"/>
  <c r="T52" i="9" s="1"/>
  <c r="S52" i="9"/>
  <c r="R52" i="9"/>
  <c r="Q52" i="9"/>
  <c r="W52" i="9"/>
  <c r="P52" i="9"/>
  <c r="C52" i="9"/>
  <c r="U51" i="9"/>
  <c r="S51" i="9"/>
  <c r="R51" i="9"/>
  <c r="Q51" i="9"/>
  <c r="W51" i="9" s="1"/>
  <c r="P51" i="9"/>
  <c r="C51" i="9"/>
  <c r="U50" i="9"/>
  <c r="T50" i="9"/>
  <c r="S50" i="9"/>
  <c r="R50" i="9"/>
  <c r="Q50" i="9"/>
  <c r="W50" i="9" s="1"/>
  <c r="P50" i="9"/>
  <c r="C50" i="9"/>
  <c r="U49" i="9"/>
  <c r="T49" i="9"/>
  <c r="S49" i="9"/>
  <c r="Q49" i="9"/>
  <c r="W49" i="9"/>
  <c r="P49" i="9"/>
  <c r="C49" i="9"/>
  <c r="U48" i="9"/>
  <c r="T48" i="9" s="1"/>
  <c r="S48" i="9"/>
  <c r="R48" i="9" s="1"/>
  <c r="Q48" i="9"/>
  <c r="W48" i="9" s="1"/>
  <c r="P48" i="9"/>
  <c r="C48" i="9"/>
  <c r="U47" i="9"/>
  <c r="S47" i="9"/>
  <c r="R47" i="9" s="1"/>
  <c r="Q47" i="9"/>
  <c r="W47" i="9"/>
  <c r="P47" i="9"/>
  <c r="C47" i="9"/>
  <c r="U46" i="9"/>
  <c r="T46" i="9" s="1"/>
  <c r="S46" i="9"/>
  <c r="R46" i="9" s="1"/>
  <c r="Q46" i="9"/>
  <c r="W46" i="9"/>
  <c r="P46" i="9"/>
  <c r="C46" i="9"/>
  <c r="U45" i="9"/>
  <c r="T45" i="9" s="1"/>
  <c r="S45" i="9"/>
  <c r="Q45" i="9"/>
  <c r="W45" i="9" s="1"/>
  <c r="P45" i="9"/>
  <c r="C45" i="9"/>
  <c r="U44" i="9"/>
  <c r="S44" i="9"/>
  <c r="R44" i="9"/>
  <c r="Q44" i="9"/>
  <c r="W44" i="9" s="1"/>
  <c r="P44" i="9"/>
  <c r="C44" i="9"/>
  <c r="U43" i="9"/>
  <c r="T43" i="9" s="1"/>
  <c r="S43" i="9"/>
  <c r="Q43" i="9"/>
  <c r="W43" i="9"/>
  <c r="P43" i="9"/>
  <c r="C43" i="9"/>
  <c r="U42" i="9"/>
  <c r="T42" i="9" s="1"/>
  <c r="S42" i="9"/>
  <c r="R42" i="9"/>
  <c r="Q42" i="9"/>
  <c r="W42" i="9"/>
  <c r="P42" i="9"/>
  <c r="C42" i="9"/>
  <c r="U41" i="9"/>
  <c r="S41" i="9"/>
  <c r="R41" i="9" s="1"/>
  <c r="Q41" i="9"/>
  <c r="W41" i="9" s="1"/>
  <c r="P41" i="9"/>
  <c r="C41" i="9"/>
  <c r="U40" i="9"/>
  <c r="T40" i="9"/>
  <c r="S40" i="9"/>
  <c r="R40" i="9" s="1"/>
  <c r="Q40" i="9"/>
  <c r="W40" i="9"/>
  <c r="P40" i="9"/>
  <c r="C40" i="9"/>
  <c r="U39" i="9"/>
  <c r="T39" i="9"/>
  <c r="S39" i="9"/>
  <c r="Q39" i="9"/>
  <c r="W39" i="9"/>
  <c r="P39" i="9"/>
  <c r="C39" i="9"/>
  <c r="U38" i="9"/>
  <c r="S38" i="9"/>
  <c r="R38" i="9"/>
  <c r="Q38" i="9"/>
  <c r="W38" i="9" s="1"/>
  <c r="P38" i="9"/>
  <c r="C38" i="9"/>
  <c r="U37" i="9"/>
  <c r="T37" i="9" s="1"/>
  <c r="S37" i="9"/>
  <c r="R37" i="9"/>
  <c r="Q37" i="9"/>
  <c r="W37" i="9" s="1"/>
  <c r="P37" i="9"/>
  <c r="C37" i="9"/>
  <c r="U36" i="9"/>
  <c r="T36" i="9"/>
  <c r="S36" i="9"/>
  <c r="R36" i="9"/>
  <c r="Q36" i="9"/>
  <c r="W36" i="9" s="1"/>
  <c r="P36" i="9"/>
  <c r="C36" i="9"/>
  <c r="U35" i="9"/>
  <c r="T35" i="9" s="1"/>
  <c r="S35" i="9"/>
  <c r="Q35" i="9"/>
  <c r="W35" i="9"/>
  <c r="P35" i="9"/>
  <c r="C35" i="9"/>
  <c r="U34" i="9"/>
  <c r="S34" i="9"/>
  <c r="R34" i="9" s="1"/>
  <c r="Q34" i="9"/>
  <c r="W34" i="9"/>
  <c r="P34" i="9"/>
  <c r="C34" i="9"/>
  <c r="U33" i="9"/>
  <c r="T33" i="9" s="1"/>
  <c r="S33" i="9"/>
  <c r="R33" i="9" s="1"/>
  <c r="Q33" i="9"/>
  <c r="W33" i="9"/>
  <c r="P33" i="9"/>
  <c r="C33" i="9"/>
  <c r="U32" i="9"/>
  <c r="T32" i="9" s="1"/>
  <c r="S32" i="9"/>
  <c r="Q32" i="9"/>
  <c r="W32" i="9" s="1"/>
  <c r="P32" i="9"/>
  <c r="C32" i="9"/>
  <c r="U31" i="9"/>
  <c r="T31" i="9" s="1"/>
  <c r="S31" i="9"/>
  <c r="Q31" i="9"/>
  <c r="W31" i="9" s="1"/>
  <c r="P31" i="9"/>
  <c r="C31" i="9"/>
  <c r="U30" i="9"/>
  <c r="T30" i="9" s="1"/>
  <c r="S30" i="9"/>
  <c r="R30" i="9"/>
  <c r="Q30" i="9"/>
  <c r="W30" i="9" s="1"/>
  <c r="P30" i="9"/>
  <c r="AH29" i="9"/>
  <c r="AG29" i="9"/>
  <c r="U29" i="9"/>
  <c r="T29" i="9" s="1"/>
  <c r="S29" i="9"/>
  <c r="R29" i="9"/>
  <c r="Q29" i="9"/>
  <c r="W29" i="9" s="1"/>
  <c r="P29" i="9"/>
  <c r="C29" i="9"/>
  <c r="AH28" i="9"/>
  <c r="AG28" i="9"/>
  <c r="U28" i="9"/>
  <c r="T28" i="9"/>
  <c r="S28" i="9"/>
  <c r="Q28" i="9"/>
  <c r="W28" i="9"/>
  <c r="P28" i="9"/>
  <c r="C28" i="9"/>
  <c r="AH27" i="9"/>
  <c r="AG27" i="9"/>
  <c r="U27" i="9"/>
  <c r="T27" i="9"/>
  <c r="S27" i="9"/>
  <c r="Q27" i="9"/>
  <c r="W27" i="9"/>
  <c r="P27" i="9"/>
  <c r="C27" i="9"/>
  <c r="AH26" i="9"/>
  <c r="AG26" i="9"/>
  <c r="U26" i="9"/>
  <c r="T26" i="9" s="1"/>
  <c r="S26" i="9"/>
  <c r="R26" i="9" s="1"/>
  <c r="Q26" i="9"/>
  <c r="W26" i="9" s="1"/>
  <c r="P26" i="9"/>
  <c r="C26" i="9"/>
  <c r="AH25" i="9"/>
  <c r="AG25" i="9"/>
  <c r="U25" i="9"/>
  <c r="T25" i="9" s="1"/>
  <c r="S25" i="9"/>
  <c r="Q25" i="9"/>
  <c r="W25" i="9"/>
  <c r="P25" i="9"/>
  <c r="C25" i="9"/>
  <c r="AH24" i="9"/>
  <c r="AG24" i="9"/>
  <c r="U24" i="9"/>
  <c r="T24" i="9"/>
  <c r="S24" i="9"/>
  <c r="Q24" i="9"/>
  <c r="W24" i="9" s="1"/>
  <c r="P24" i="9"/>
  <c r="C24" i="9"/>
  <c r="AH23" i="9"/>
  <c r="AG23" i="9"/>
  <c r="U23" i="9"/>
  <c r="T23" i="9" s="1"/>
  <c r="S23" i="9"/>
  <c r="R23" i="9" s="1"/>
  <c r="Q23" i="9"/>
  <c r="W23" i="9" s="1"/>
  <c r="P23" i="9"/>
  <c r="C23" i="9"/>
  <c r="AH22" i="9"/>
  <c r="AG22" i="9"/>
  <c r="U22" i="9"/>
  <c r="T22" i="9"/>
  <c r="S22" i="9"/>
  <c r="R22" i="9" s="1"/>
  <c r="Q22" i="9"/>
  <c r="W22" i="9"/>
  <c r="P22" i="9"/>
  <c r="C22" i="9"/>
  <c r="AH21" i="9"/>
  <c r="AG21" i="9"/>
  <c r="U21" i="9"/>
  <c r="T21" i="9" s="1"/>
  <c r="S21" i="9"/>
  <c r="Q21" i="9"/>
  <c r="W21" i="9"/>
  <c r="P21" i="9"/>
  <c r="C21" i="9"/>
  <c r="AH20" i="9"/>
  <c r="AG20" i="9"/>
  <c r="U20" i="9"/>
  <c r="T20" i="9"/>
  <c r="S20" i="9"/>
  <c r="Q20" i="9"/>
  <c r="W20" i="9"/>
  <c r="P20" i="9"/>
  <c r="C20" i="9"/>
  <c r="AH19" i="9"/>
  <c r="AG19" i="9"/>
  <c r="U19" i="9"/>
  <c r="T19" i="9"/>
  <c r="S19" i="9"/>
  <c r="Q19" i="9"/>
  <c r="W19" i="9" s="1"/>
  <c r="P19" i="9"/>
  <c r="C19" i="9"/>
  <c r="AH18" i="9"/>
  <c r="AG18" i="9"/>
  <c r="U18" i="9"/>
  <c r="T18" i="9"/>
  <c r="S18" i="9"/>
  <c r="R18" i="9" s="1"/>
  <c r="Q18" i="9"/>
  <c r="W18" i="9" s="1"/>
  <c r="P18" i="9"/>
  <c r="C18" i="9"/>
  <c r="AH17" i="9"/>
  <c r="AG17" i="9"/>
  <c r="U17" i="9"/>
  <c r="T17" i="9" s="1"/>
  <c r="S17" i="9"/>
  <c r="Q17" i="9"/>
  <c r="W17" i="9" s="1"/>
  <c r="P17" i="9"/>
  <c r="C17" i="9"/>
  <c r="U16" i="9"/>
  <c r="T16" i="9"/>
  <c r="S16" i="9"/>
  <c r="Q16" i="9"/>
  <c r="W16" i="9"/>
  <c r="P16" i="9"/>
  <c r="C16" i="9"/>
  <c r="U15" i="9"/>
  <c r="T15" i="9"/>
  <c r="S15" i="9"/>
  <c r="R15" i="9" s="1"/>
  <c r="Q15" i="9"/>
  <c r="W15" i="9"/>
  <c r="P15" i="9"/>
  <c r="C15" i="9"/>
  <c r="U14" i="9"/>
  <c r="T14" i="9"/>
  <c r="S14" i="9"/>
  <c r="R14" i="9" s="1"/>
  <c r="Q14" i="9"/>
  <c r="W14" i="9"/>
  <c r="P14" i="9"/>
  <c r="C14" i="9"/>
  <c r="AH13" i="9"/>
  <c r="AG13" i="9"/>
  <c r="U13" i="9"/>
  <c r="T13" i="9" s="1"/>
  <c r="S13" i="9"/>
  <c r="Q13" i="9"/>
  <c r="W13" i="9" s="1"/>
  <c r="P13" i="9"/>
  <c r="C13" i="9"/>
  <c r="AH12" i="9"/>
  <c r="AG12" i="9"/>
  <c r="U12" i="9"/>
  <c r="T12" i="9" s="1"/>
  <c r="S12" i="9"/>
  <c r="Q12" i="9"/>
  <c r="P12" i="9"/>
  <c r="C12" i="9"/>
  <c r="AH11" i="9"/>
  <c r="AG11" i="9"/>
  <c r="U11" i="9"/>
  <c r="T11" i="9" s="1"/>
  <c r="S11" i="9"/>
  <c r="Q11" i="9"/>
  <c r="W11" i="9"/>
  <c r="P11" i="9"/>
  <c r="C11" i="9"/>
  <c r="AH10" i="9"/>
  <c r="AG10" i="9"/>
  <c r="U10" i="9"/>
  <c r="T10" i="9" s="1"/>
  <c r="S10" i="9"/>
  <c r="R10" i="9"/>
  <c r="Q10" i="9"/>
  <c r="W10" i="9" s="1"/>
  <c r="P10" i="9"/>
  <c r="C10" i="9"/>
  <c r="AH9" i="9"/>
  <c r="AG9" i="9"/>
  <c r="U9" i="9"/>
  <c r="T9" i="9"/>
  <c r="S9" i="9"/>
  <c r="Q9" i="9"/>
  <c r="W9" i="9"/>
  <c r="P9" i="9"/>
  <c r="C9" i="9"/>
  <c r="AH8" i="9"/>
  <c r="AG8" i="9"/>
  <c r="U8" i="9"/>
  <c r="T8" i="9"/>
  <c r="S8" i="9"/>
  <c r="R8" i="9"/>
  <c r="Q8" i="9"/>
  <c r="W8" i="9" s="1"/>
  <c r="P8" i="9"/>
  <c r="C8" i="9"/>
  <c r="AH7" i="9"/>
  <c r="AG7" i="9"/>
  <c r="U7" i="9"/>
  <c r="T7" i="9"/>
  <c r="S7" i="9"/>
  <c r="Q7" i="9"/>
  <c r="W7" i="9" s="1"/>
  <c r="P7" i="9"/>
  <c r="C7" i="9"/>
  <c r="AH156" i="14"/>
  <c r="AG156" i="14"/>
  <c r="U156" i="14"/>
  <c r="T156" i="14"/>
  <c r="S156" i="14"/>
  <c r="Q156" i="14"/>
  <c r="P156" i="14"/>
  <c r="C156" i="14"/>
  <c r="AH155" i="14"/>
  <c r="AG155" i="14"/>
  <c r="U155" i="14"/>
  <c r="T155" i="14"/>
  <c r="S155" i="14"/>
  <c r="Q155" i="14"/>
  <c r="W155" i="14" s="1"/>
  <c r="P155" i="14"/>
  <c r="C155" i="14"/>
  <c r="AH154" i="14"/>
  <c r="AG154" i="14"/>
  <c r="U154" i="14"/>
  <c r="T154" i="14"/>
  <c r="S154" i="14"/>
  <c r="Q154" i="14"/>
  <c r="W154" i="14"/>
  <c r="P154" i="14"/>
  <c r="C154" i="14"/>
  <c r="AH153" i="14"/>
  <c r="AG153" i="14"/>
  <c r="U153" i="14"/>
  <c r="T153" i="14" s="1"/>
  <c r="S153" i="14"/>
  <c r="Q153" i="14"/>
  <c r="W153" i="14" s="1"/>
  <c r="P153" i="14"/>
  <c r="C153" i="14"/>
  <c r="AH152" i="14"/>
  <c r="AG152" i="14"/>
  <c r="U152" i="14"/>
  <c r="T152" i="14" s="1"/>
  <c r="S152" i="14"/>
  <c r="R152" i="14"/>
  <c r="Q152" i="14"/>
  <c r="W152" i="14"/>
  <c r="P152" i="14"/>
  <c r="C152" i="14"/>
  <c r="AH151" i="14"/>
  <c r="AG151" i="14"/>
  <c r="U151" i="14"/>
  <c r="T151" i="14"/>
  <c r="S151" i="14"/>
  <c r="Q151" i="14"/>
  <c r="W151" i="14" s="1"/>
  <c r="P151" i="14"/>
  <c r="C151" i="14"/>
  <c r="AH150" i="14"/>
  <c r="AG150" i="14"/>
  <c r="U150" i="14"/>
  <c r="T150" i="14" s="1"/>
  <c r="S150" i="14"/>
  <c r="Q150" i="14"/>
  <c r="P150" i="14"/>
  <c r="C150" i="14"/>
  <c r="AH149" i="14"/>
  <c r="AG149" i="14"/>
  <c r="U149" i="14"/>
  <c r="T149" i="14" s="1"/>
  <c r="S149" i="14"/>
  <c r="R149" i="14" s="1"/>
  <c r="Q149" i="14"/>
  <c r="P149" i="14"/>
  <c r="C149" i="14"/>
  <c r="AH148" i="14"/>
  <c r="AG148" i="14"/>
  <c r="U148" i="14"/>
  <c r="T148" i="14"/>
  <c r="S148" i="14"/>
  <c r="Q148" i="14"/>
  <c r="W148" i="14"/>
  <c r="P148" i="14"/>
  <c r="C148" i="14"/>
  <c r="AH147" i="14"/>
  <c r="AG147" i="14"/>
  <c r="U147" i="14"/>
  <c r="T147" i="14" s="1"/>
  <c r="S147" i="14"/>
  <c r="Q147" i="14"/>
  <c r="W147" i="14" s="1"/>
  <c r="P147" i="14"/>
  <c r="C147" i="14"/>
  <c r="AH146" i="14"/>
  <c r="AG146" i="14"/>
  <c r="U146" i="14"/>
  <c r="S146" i="14"/>
  <c r="R146" i="14" s="1"/>
  <c r="Q146" i="14"/>
  <c r="W146" i="14" s="1"/>
  <c r="P146" i="14"/>
  <c r="C146" i="14"/>
  <c r="U145" i="14"/>
  <c r="T145" i="14"/>
  <c r="S145" i="14"/>
  <c r="R145" i="14" s="1"/>
  <c r="Q145" i="14"/>
  <c r="W145" i="14"/>
  <c r="P145" i="14"/>
  <c r="C145" i="14"/>
  <c r="U144" i="14"/>
  <c r="T144" i="14" s="1"/>
  <c r="S144" i="14"/>
  <c r="R144" i="14" s="1"/>
  <c r="Q144" i="14"/>
  <c r="W144" i="14"/>
  <c r="P144" i="14"/>
  <c r="C144" i="14"/>
  <c r="U143" i="14"/>
  <c r="T143" i="14"/>
  <c r="S143" i="14"/>
  <c r="R143" i="14" s="1"/>
  <c r="Q143" i="14"/>
  <c r="W143" i="14" s="1"/>
  <c r="P143" i="14"/>
  <c r="C143" i="14"/>
  <c r="U142" i="14"/>
  <c r="S142" i="14"/>
  <c r="Q142" i="14"/>
  <c r="W142" i="14"/>
  <c r="P142" i="14"/>
  <c r="C142" i="14"/>
  <c r="U141" i="14"/>
  <c r="T141" i="14"/>
  <c r="S141" i="14"/>
  <c r="Q141" i="14"/>
  <c r="W141" i="14" s="1"/>
  <c r="P141" i="14"/>
  <c r="C141" i="14"/>
  <c r="U140" i="14"/>
  <c r="T140" i="14"/>
  <c r="S140" i="14"/>
  <c r="Q140" i="14"/>
  <c r="W140" i="14" s="1"/>
  <c r="P140" i="14"/>
  <c r="C140" i="14"/>
  <c r="AH139" i="14"/>
  <c r="AG139" i="14"/>
  <c r="U139" i="14"/>
  <c r="T139" i="14"/>
  <c r="S139" i="14"/>
  <c r="R139" i="14" s="1"/>
  <c r="Q139" i="14"/>
  <c r="W139" i="14"/>
  <c r="P139" i="14"/>
  <c r="C139" i="14"/>
  <c r="AH138" i="14"/>
  <c r="AG138" i="14"/>
  <c r="U138" i="14"/>
  <c r="T138" i="14" s="1"/>
  <c r="S138" i="14"/>
  <c r="Q138" i="14"/>
  <c r="W138" i="14"/>
  <c r="V138" i="14" s="1"/>
  <c r="P138" i="14"/>
  <c r="C138" i="14"/>
  <c r="AH137" i="14"/>
  <c r="AG137" i="14"/>
  <c r="U137" i="14"/>
  <c r="T137" i="14" s="1"/>
  <c r="S137" i="14"/>
  <c r="Q137" i="14"/>
  <c r="W137" i="14"/>
  <c r="V137" i="14" s="1"/>
  <c r="P137" i="14"/>
  <c r="C137" i="14"/>
  <c r="AH136" i="14"/>
  <c r="AG136" i="14"/>
  <c r="U136" i="14"/>
  <c r="T136" i="14"/>
  <c r="S136" i="14"/>
  <c r="Q136" i="14"/>
  <c r="W136" i="14" s="1"/>
  <c r="P136" i="14"/>
  <c r="C136" i="14"/>
  <c r="AH135" i="14"/>
  <c r="AG135" i="14"/>
  <c r="U135" i="14"/>
  <c r="T135" i="14" s="1"/>
  <c r="S135" i="14"/>
  <c r="R135" i="14" s="1"/>
  <c r="Q135" i="14"/>
  <c r="W135" i="14"/>
  <c r="V135" i="14" s="1"/>
  <c r="P135" i="14"/>
  <c r="C135" i="14"/>
  <c r="AH134" i="14"/>
  <c r="AG134" i="14"/>
  <c r="U134" i="14"/>
  <c r="T134" i="14" s="1"/>
  <c r="S134" i="14"/>
  <c r="Q134" i="14"/>
  <c r="W134" i="14"/>
  <c r="P134" i="14"/>
  <c r="C134" i="14"/>
  <c r="AH133" i="14"/>
  <c r="AG133" i="14"/>
  <c r="U133" i="14"/>
  <c r="T133" i="14"/>
  <c r="S133" i="14"/>
  <c r="Q133" i="14"/>
  <c r="W133" i="14" s="1"/>
  <c r="V133" i="14" s="1"/>
  <c r="P133" i="14"/>
  <c r="C133" i="14"/>
  <c r="AH132" i="14"/>
  <c r="AG132" i="14"/>
  <c r="U132" i="14"/>
  <c r="T132" i="14"/>
  <c r="S132" i="14"/>
  <c r="R132" i="14" s="1"/>
  <c r="Q132" i="14"/>
  <c r="W132" i="14" s="1"/>
  <c r="V132" i="14" s="1"/>
  <c r="P132" i="14"/>
  <c r="C132" i="14"/>
  <c r="AH131" i="14"/>
  <c r="AG131" i="14"/>
  <c r="U131" i="14"/>
  <c r="T131" i="14" s="1"/>
  <c r="S131" i="14"/>
  <c r="R131" i="14"/>
  <c r="Q131" i="14"/>
  <c r="W131" i="14" s="1"/>
  <c r="V131" i="14" s="1"/>
  <c r="P131" i="14"/>
  <c r="C131" i="14"/>
  <c r="AH130" i="14"/>
  <c r="AG130" i="14"/>
  <c r="U130" i="14"/>
  <c r="T130" i="14"/>
  <c r="S130" i="14"/>
  <c r="V130" i="14" s="1"/>
  <c r="Q130" i="14"/>
  <c r="W130" i="14" s="1"/>
  <c r="P130" i="14"/>
  <c r="C130" i="14"/>
  <c r="AH129" i="14"/>
  <c r="AG129" i="14"/>
  <c r="U129" i="14"/>
  <c r="T129" i="14"/>
  <c r="S129" i="14"/>
  <c r="Q129" i="14"/>
  <c r="W129" i="14"/>
  <c r="P129" i="14"/>
  <c r="C129" i="14"/>
  <c r="AH128" i="14"/>
  <c r="AG128" i="14"/>
  <c r="U128" i="14"/>
  <c r="T128" i="14"/>
  <c r="S128" i="14"/>
  <c r="R128" i="14"/>
  <c r="Q128" i="14"/>
  <c r="W128" i="14"/>
  <c r="P128" i="14"/>
  <c r="C128" i="14"/>
  <c r="AH127" i="14"/>
  <c r="AG127" i="14"/>
  <c r="U127" i="14"/>
  <c r="T127" i="14"/>
  <c r="S127" i="14"/>
  <c r="Q127" i="14"/>
  <c r="W127" i="14"/>
  <c r="P127" i="14"/>
  <c r="C127" i="14"/>
  <c r="AH126" i="14"/>
  <c r="AG126" i="14"/>
  <c r="U126" i="14"/>
  <c r="T126" i="14" s="1"/>
  <c r="S126" i="14"/>
  <c r="Q126" i="14"/>
  <c r="W126" i="14"/>
  <c r="P126" i="14"/>
  <c r="C126" i="14"/>
  <c r="AH125" i="14"/>
  <c r="AG125" i="14"/>
  <c r="U125" i="14"/>
  <c r="T125" i="14"/>
  <c r="S125" i="14"/>
  <c r="Q125" i="14"/>
  <c r="W125" i="14" s="1"/>
  <c r="P125" i="14"/>
  <c r="C125" i="14"/>
  <c r="U124" i="14"/>
  <c r="T124" i="14" s="1"/>
  <c r="S124" i="14"/>
  <c r="R124" i="14"/>
  <c r="Q124" i="14"/>
  <c r="W124" i="14"/>
  <c r="P124" i="14"/>
  <c r="C124" i="14"/>
  <c r="U123" i="14"/>
  <c r="T123" i="14" s="1"/>
  <c r="S123" i="14"/>
  <c r="R123" i="14"/>
  <c r="Q123" i="14"/>
  <c r="W123" i="14" s="1"/>
  <c r="P123" i="14"/>
  <c r="C123" i="14"/>
  <c r="U122" i="14"/>
  <c r="T122" i="14" s="1"/>
  <c r="S122" i="14"/>
  <c r="Q122" i="14"/>
  <c r="W122" i="14" s="1"/>
  <c r="P122" i="14"/>
  <c r="C122" i="14"/>
  <c r="AH121" i="14"/>
  <c r="AG121" i="14"/>
  <c r="U121" i="14"/>
  <c r="T121" i="14"/>
  <c r="S121" i="14"/>
  <c r="Q121" i="14"/>
  <c r="W121" i="14" s="1"/>
  <c r="P121" i="14"/>
  <c r="C121" i="14"/>
  <c r="U119" i="14"/>
  <c r="T119" i="14" s="1"/>
  <c r="S119" i="14"/>
  <c r="R119" i="14"/>
  <c r="Q119" i="14"/>
  <c r="W119" i="14" s="1"/>
  <c r="P119" i="14"/>
  <c r="C119" i="14"/>
  <c r="U118" i="14"/>
  <c r="T118" i="14" s="1"/>
  <c r="S118" i="14"/>
  <c r="Q118" i="14"/>
  <c r="W118" i="14"/>
  <c r="P118" i="14"/>
  <c r="C118" i="14"/>
  <c r="AH117" i="14"/>
  <c r="AG117" i="14"/>
  <c r="U117" i="14"/>
  <c r="T117" i="14"/>
  <c r="S117" i="14"/>
  <c r="Q117" i="14"/>
  <c r="W117" i="14"/>
  <c r="P117" i="14"/>
  <c r="C117" i="14"/>
  <c r="AH116" i="14"/>
  <c r="AG116" i="14"/>
  <c r="U116" i="14"/>
  <c r="T116" i="14"/>
  <c r="S116" i="14"/>
  <c r="R116" i="14"/>
  <c r="Q116" i="14"/>
  <c r="W116" i="14" s="1"/>
  <c r="P116" i="14"/>
  <c r="C116" i="14"/>
  <c r="AH115" i="14"/>
  <c r="AG115" i="14"/>
  <c r="U115" i="14"/>
  <c r="T115" i="14"/>
  <c r="S115" i="14"/>
  <c r="R115" i="14" s="1"/>
  <c r="Q115" i="14"/>
  <c r="W115" i="14" s="1"/>
  <c r="P115" i="14"/>
  <c r="C115" i="14"/>
  <c r="AH114" i="14"/>
  <c r="AG114" i="14"/>
  <c r="U114" i="14"/>
  <c r="T114" i="14" s="1"/>
  <c r="S114" i="14"/>
  <c r="Q114" i="14"/>
  <c r="W114" i="14"/>
  <c r="P114" i="14"/>
  <c r="C114" i="14"/>
  <c r="AH113" i="14"/>
  <c r="AG113" i="14"/>
  <c r="U113" i="14"/>
  <c r="T113" i="14"/>
  <c r="S113" i="14"/>
  <c r="Q113" i="14"/>
  <c r="W113" i="14"/>
  <c r="P113" i="14"/>
  <c r="C113" i="14"/>
  <c r="AH112" i="14"/>
  <c r="AG112" i="14"/>
  <c r="U112" i="14"/>
  <c r="T112" i="14" s="1"/>
  <c r="S112" i="14"/>
  <c r="R112" i="14"/>
  <c r="Q112" i="14"/>
  <c r="W112" i="14" s="1"/>
  <c r="P112" i="14"/>
  <c r="C112" i="14"/>
  <c r="AH111" i="14"/>
  <c r="AG111" i="14"/>
  <c r="U111" i="14"/>
  <c r="T111" i="14"/>
  <c r="S111" i="14"/>
  <c r="Q111" i="14"/>
  <c r="W111" i="14"/>
  <c r="P111" i="14"/>
  <c r="C111" i="14"/>
  <c r="U110" i="14"/>
  <c r="T110" i="14"/>
  <c r="S110" i="14"/>
  <c r="Q110" i="14"/>
  <c r="W110" i="14" s="1"/>
  <c r="P110" i="14"/>
  <c r="C110" i="14"/>
  <c r="U109" i="14"/>
  <c r="T109" i="14" s="1"/>
  <c r="S109" i="14"/>
  <c r="Q109" i="14"/>
  <c r="W109" i="14" s="1"/>
  <c r="P109" i="14"/>
  <c r="C109" i="14"/>
  <c r="U108" i="14"/>
  <c r="T108" i="14"/>
  <c r="S108" i="14"/>
  <c r="Q108" i="14"/>
  <c r="W108" i="14"/>
  <c r="P108" i="14"/>
  <c r="C108" i="14"/>
  <c r="U107" i="14"/>
  <c r="T107" i="14" s="1"/>
  <c r="S107" i="14"/>
  <c r="Q107" i="14"/>
  <c r="W107" i="14"/>
  <c r="P107" i="14"/>
  <c r="C107" i="14"/>
  <c r="U106" i="14"/>
  <c r="T106" i="14" s="1"/>
  <c r="S106" i="14"/>
  <c r="R106" i="14"/>
  <c r="Q106" i="14"/>
  <c r="W106" i="14"/>
  <c r="P106" i="14"/>
  <c r="C106" i="14"/>
  <c r="U105" i="14"/>
  <c r="T105" i="14" s="1"/>
  <c r="S105" i="14"/>
  <c r="R105" i="14"/>
  <c r="Q105" i="14"/>
  <c r="W105" i="14"/>
  <c r="P105" i="14"/>
  <c r="C105" i="14"/>
  <c r="AH104" i="14"/>
  <c r="AG104" i="14"/>
  <c r="U104" i="14"/>
  <c r="T104" i="14"/>
  <c r="S104" i="14"/>
  <c r="Q104" i="14"/>
  <c r="W104" i="14"/>
  <c r="P104" i="14"/>
  <c r="C104" i="14"/>
  <c r="AH103" i="14"/>
  <c r="AG103" i="14"/>
  <c r="U103" i="14"/>
  <c r="T103" i="14" s="1"/>
  <c r="S103" i="14"/>
  <c r="Q103" i="14"/>
  <c r="W103" i="14" s="1"/>
  <c r="P103" i="14"/>
  <c r="C103" i="14"/>
  <c r="AH102" i="14"/>
  <c r="AG102" i="14"/>
  <c r="U102" i="14"/>
  <c r="T102" i="14"/>
  <c r="S102" i="14"/>
  <c r="R102" i="14" s="1"/>
  <c r="Q102" i="14"/>
  <c r="W102" i="14" s="1"/>
  <c r="P102" i="14"/>
  <c r="C102" i="14"/>
  <c r="AH101" i="14"/>
  <c r="AG101" i="14"/>
  <c r="U101" i="14"/>
  <c r="T101" i="14" s="1"/>
  <c r="S101" i="14"/>
  <c r="R101" i="14" s="1"/>
  <c r="Q101" i="14"/>
  <c r="W101" i="14"/>
  <c r="P101" i="14"/>
  <c r="C101" i="14"/>
  <c r="AH100" i="14"/>
  <c r="AG100" i="14"/>
  <c r="U100" i="14"/>
  <c r="T100" i="14" s="1"/>
  <c r="S100" i="14"/>
  <c r="Q100" i="14"/>
  <c r="W100" i="14" s="1"/>
  <c r="P100" i="14"/>
  <c r="C100" i="14"/>
  <c r="AH99" i="14"/>
  <c r="AG99" i="14"/>
  <c r="U99" i="14"/>
  <c r="S99" i="14"/>
  <c r="Q99" i="14"/>
  <c r="W99" i="14"/>
  <c r="P99" i="14"/>
  <c r="C99" i="14"/>
  <c r="AH98" i="14"/>
  <c r="AG98" i="14"/>
  <c r="U98" i="14"/>
  <c r="T98" i="14"/>
  <c r="S98" i="14"/>
  <c r="R98" i="14"/>
  <c r="Q98" i="14"/>
  <c r="W98" i="14" s="1"/>
  <c r="P98" i="14"/>
  <c r="C98" i="14"/>
  <c r="AH97" i="14"/>
  <c r="AG97" i="14"/>
  <c r="U97" i="14"/>
  <c r="T97" i="14"/>
  <c r="S97" i="14"/>
  <c r="R97" i="14" s="1"/>
  <c r="Q97" i="14"/>
  <c r="W97" i="14" s="1"/>
  <c r="P97" i="14"/>
  <c r="C97" i="14"/>
  <c r="AH96" i="14"/>
  <c r="AG96" i="14"/>
  <c r="U96" i="14"/>
  <c r="T96" i="14" s="1"/>
  <c r="S96" i="14"/>
  <c r="Q96" i="14"/>
  <c r="W96" i="14" s="1"/>
  <c r="P96" i="14"/>
  <c r="C96" i="14"/>
  <c r="AH95" i="14"/>
  <c r="AG95" i="14"/>
  <c r="U95" i="14"/>
  <c r="T95" i="14" s="1"/>
  <c r="S95" i="14"/>
  <c r="Q95" i="14"/>
  <c r="W95" i="14"/>
  <c r="P95" i="14"/>
  <c r="C95" i="14"/>
  <c r="AH94" i="14"/>
  <c r="AG94" i="14"/>
  <c r="U94" i="14"/>
  <c r="T94" i="14"/>
  <c r="S94" i="14"/>
  <c r="R94" i="14"/>
  <c r="Q94" i="14"/>
  <c r="W94" i="14"/>
  <c r="P94" i="14"/>
  <c r="C94" i="14"/>
  <c r="AH93" i="14"/>
  <c r="AG93" i="14"/>
  <c r="U93" i="14"/>
  <c r="T93" i="14"/>
  <c r="S93" i="14"/>
  <c r="Q93" i="14"/>
  <c r="W93" i="14"/>
  <c r="P93" i="14"/>
  <c r="C93" i="14"/>
  <c r="AH92" i="14"/>
  <c r="AG92" i="14"/>
  <c r="U92" i="14"/>
  <c r="T92" i="14" s="1"/>
  <c r="S92" i="14"/>
  <c r="Q92" i="14"/>
  <c r="W92" i="14"/>
  <c r="P92" i="14"/>
  <c r="C92" i="14"/>
  <c r="AH91" i="14"/>
  <c r="AG91" i="14"/>
  <c r="U91" i="14"/>
  <c r="T91" i="14"/>
  <c r="S91" i="14"/>
  <c r="Q91" i="14"/>
  <c r="W91" i="14"/>
  <c r="P91" i="14"/>
  <c r="C91" i="14"/>
  <c r="AH90" i="14"/>
  <c r="AG90" i="14"/>
  <c r="U90" i="14"/>
  <c r="T90" i="14"/>
  <c r="S90" i="14"/>
  <c r="R90" i="14"/>
  <c r="Q90" i="14"/>
  <c r="W90" i="14" s="1"/>
  <c r="P90" i="14"/>
  <c r="C90" i="14"/>
  <c r="AH89" i="14"/>
  <c r="AG89" i="14"/>
  <c r="U89" i="14"/>
  <c r="T89" i="14"/>
  <c r="S89" i="14"/>
  <c r="R89" i="14" s="1"/>
  <c r="Q89" i="14"/>
  <c r="W89" i="14" s="1"/>
  <c r="P89" i="14"/>
  <c r="C89" i="14"/>
  <c r="AH88" i="14"/>
  <c r="AG88" i="14"/>
  <c r="U88" i="14"/>
  <c r="T88" i="14" s="1"/>
  <c r="S88" i="14"/>
  <c r="Q88" i="14"/>
  <c r="W88" i="14"/>
  <c r="P88" i="14"/>
  <c r="C88" i="14"/>
  <c r="AH87" i="14"/>
  <c r="AG87" i="14"/>
  <c r="U87" i="14"/>
  <c r="T87" i="14"/>
  <c r="S87" i="14"/>
  <c r="Q87" i="14"/>
  <c r="W87" i="14"/>
  <c r="P87" i="14"/>
  <c r="C87" i="14"/>
  <c r="AH86" i="14"/>
  <c r="AG86" i="14"/>
  <c r="U86" i="14"/>
  <c r="T86" i="14" s="1"/>
  <c r="S86" i="14"/>
  <c r="R86" i="14"/>
  <c r="Q86" i="14"/>
  <c r="W86" i="14"/>
  <c r="P86" i="14"/>
  <c r="C86" i="14"/>
  <c r="AH85" i="14"/>
  <c r="AG85" i="14"/>
  <c r="U85" i="14"/>
  <c r="T85" i="14"/>
  <c r="S85" i="14"/>
  <c r="R85" i="14"/>
  <c r="Q85" i="14"/>
  <c r="W85" i="14" s="1"/>
  <c r="P85" i="14"/>
  <c r="C85" i="14"/>
  <c r="AH84" i="14"/>
  <c r="AG84" i="14"/>
  <c r="U84" i="14"/>
  <c r="T84" i="14"/>
  <c r="S84" i="14"/>
  <c r="Q84" i="14"/>
  <c r="W84" i="14"/>
  <c r="P84" i="14"/>
  <c r="C84" i="14"/>
  <c r="AH83" i="14"/>
  <c r="AG83" i="14"/>
  <c r="U83" i="14"/>
  <c r="T83" i="14"/>
  <c r="S83" i="14"/>
  <c r="Q83" i="14"/>
  <c r="W83" i="14" s="1"/>
  <c r="P83" i="14"/>
  <c r="C83" i="14"/>
  <c r="AH82" i="14"/>
  <c r="AG82" i="14"/>
  <c r="U82" i="14"/>
  <c r="T82" i="14" s="1"/>
  <c r="S82" i="14"/>
  <c r="R82" i="14" s="1"/>
  <c r="Q82" i="14"/>
  <c r="W82" i="14"/>
  <c r="P82" i="14"/>
  <c r="C82" i="14"/>
  <c r="AH81" i="14"/>
  <c r="AG81" i="14"/>
  <c r="U81" i="14"/>
  <c r="T81" i="14" s="1"/>
  <c r="S81" i="14"/>
  <c r="R81" i="14"/>
  <c r="Q81" i="14"/>
  <c r="W81" i="14" s="1"/>
  <c r="P81" i="14"/>
  <c r="C81" i="14"/>
  <c r="AH80" i="14"/>
  <c r="AG80" i="14"/>
  <c r="U80" i="14"/>
  <c r="T80" i="14"/>
  <c r="S80" i="14"/>
  <c r="Q80" i="14"/>
  <c r="W80" i="14"/>
  <c r="P80" i="14"/>
  <c r="C80" i="14"/>
  <c r="AH79" i="14"/>
  <c r="AG79" i="14"/>
  <c r="U79" i="14"/>
  <c r="T79" i="14" s="1"/>
  <c r="S79" i="14"/>
  <c r="R79" i="14"/>
  <c r="Q79" i="14"/>
  <c r="W79" i="14"/>
  <c r="P79" i="14"/>
  <c r="C79" i="14"/>
  <c r="AH78" i="14"/>
  <c r="AG78" i="14"/>
  <c r="U78" i="14"/>
  <c r="T78" i="14"/>
  <c r="S78" i="14"/>
  <c r="Q78" i="14"/>
  <c r="W78" i="14" s="1"/>
  <c r="P78" i="14"/>
  <c r="C78" i="14"/>
  <c r="AH77" i="14"/>
  <c r="AG77" i="14"/>
  <c r="U77" i="14"/>
  <c r="T77" i="14" s="1"/>
  <c r="S77" i="14"/>
  <c r="Q77" i="14"/>
  <c r="W77" i="14"/>
  <c r="P77" i="14"/>
  <c r="C77" i="14"/>
  <c r="AH76" i="14"/>
  <c r="AG76" i="14"/>
  <c r="U76" i="14"/>
  <c r="T76" i="14"/>
  <c r="S76" i="14"/>
  <c r="Q76" i="14"/>
  <c r="W76" i="14"/>
  <c r="P76" i="14"/>
  <c r="C76" i="14"/>
  <c r="AH75" i="14"/>
  <c r="AG75" i="14"/>
  <c r="U75" i="14"/>
  <c r="T75" i="14" s="1"/>
  <c r="S75" i="14"/>
  <c r="R75" i="14"/>
  <c r="Q75" i="14"/>
  <c r="W75" i="14" s="1"/>
  <c r="P75" i="14"/>
  <c r="C75" i="14"/>
  <c r="AH74" i="14"/>
  <c r="AG74" i="14"/>
  <c r="U74" i="14"/>
  <c r="T74" i="14"/>
  <c r="S74" i="14"/>
  <c r="R74" i="14" s="1"/>
  <c r="Q74" i="14"/>
  <c r="W74" i="14" s="1"/>
  <c r="P74" i="14"/>
  <c r="C74" i="14"/>
  <c r="AH73" i="14"/>
  <c r="AG73" i="14"/>
  <c r="U73" i="14"/>
  <c r="T73" i="14"/>
  <c r="S73" i="14"/>
  <c r="Q73" i="14"/>
  <c r="W73" i="14"/>
  <c r="P73" i="14"/>
  <c r="C73" i="14"/>
  <c r="AH72" i="14"/>
  <c r="AG72" i="14"/>
  <c r="U72" i="14"/>
  <c r="T72" i="14" s="1"/>
  <c r="S72" i="14"/>
  <c r="Q72" i="14"/>
  <c r="W72" i="14" s="1"/>
  <c r="P72" i="14"/>
  <c r="C72" i="14"/>
  <c r="AH71" i="14"/>
  <c r="AG71" i="14"/>
  <c r="U71" i="14"/>
  <c r="T71" i="14" s="1"/>
  <c r="S71" i="14"/>
  <c r="R71" i="14" s="1"/>
  <c r="Q71" i="14"/>
  <c r="W71" i="14"/>
  <c r="P71" i="14"/>
  <c r="C71" i="14"/>
  <c r="AH70" i="14"/>
  <c r="AG70" i="14"/>
  <c r="U70" i="14"/>
  <c r="T70" i="14" s="1"/>
  <c r="S70" i="14"/>
  <c r="R70" i="14"/>
  <c r="Q70" i="14"/>
  <c r="W70" i="14" s="1"/>
  <c r="P70" i="14"/>
  <c r="C70" i="14"/>
  <c r="AH69" i="14"/>
  <c r="AG69" i="14"/>
  <c r="U69" i="14"/>
  <c r="T69" i="14"/>
  <c r="S69" i="14"/>
  <c r="Q69" i="14"/>
  <c r="W69" i="14"/>
  <c r="P69" i="14"/>
  <c r="C69" i="14"/>
  <c r="AH68" i="14"/>
  <c r="AG68" i="14"/>
  <c r="U68" i="14"/>
  <c r="T68" i="14" s="1"/>
  <c r="S68" i="14"/>
  <c r="Q68" i="14"/>
  <c r="W68" i="14" s="1"/>
  <c r="P68" i="14"/>
  <c r="C68" i="14"/>
  <c r="AH67" i="14"/>
  <c r="AG67" i="14"/>
  <c r="U67" i="14"/>
  <c r="T67" i="14" s="1"/>
  <c r="S67" i="14"/>
  <c r="R67" i="14" s="1"/>
  <c r="Q67" i="14"/>
  <c r="W67" i="14" s="1"/>
  <c r="P67" i="14"/>
  <c r="C67" i="14"/>
  <c r="AH66" i="14"/>
  <c r="AG66" i="14"/>
  <c r="U66" i="14"/>
  <c r="T66" i="14" s="1"/>
  <c r="S66" i="14"/>
  <c r="R66" i="14" s="1"/>
  <c r="Q66" i="14"/>
  <c r="W66" i="14"/>
  <c r="P66" i="14"/>
  <c r="C66" i="14"/>
  <c r="AH65" i="14"/>
  <c r="AG65" i="14"/>
  <c r="U65" i="14"/>
  <c r="T65" i="14" s="1"/>
  <c r="S65" i="14"/>
  <c r="Q65" i="14"/>
  <c r="W65" i="14"/>
  <c r="P65" i="14"/>
  <c r="C65" i="14"/>
  <c r="AH64" i="14"/>
  <c r="AG64" i="14"/>
  <c r="U64" i="14"/>
  <c r="T64" i="14"/>
  <c r="S64" i="14"/>
  <c r="Q64" i="14"/>
  <c r="W64" i="14"/>
  <c r="P64" i="14"/>
  <c r="C64" i="14"/>
  <c r="AH63" i="14"/>
  <c r="AG63" i="14"/>
  <c r="U63" i="14"/>
  <c r="T63" i="14"/>
  <c r="S63" i="14"/>
  <c r="R63" i="14"/>
  <c r="Q63" i="14"/>
  <c r="W63" i="14" s="1"/>
  <c r="P63" i="14"/>
  <c r="C63" i="14"/>
  <c r="AH62" i="14"/>
  <c r="AG62" i="14"/>
  <c r="U62" i="14"/>
  <c r="T62" i="14"/>
  <c r="S62" i="14"/>
  <c r="Q62" i="14"/>
  <c r="W62" i="14"/>
  <c r="P62" i="14"/>
  <c r="C62" i="14"/>
  <c r="AH61" i="14"/>
  <c r="AG61" i="14"/>
  <c r="U61" i="14"/>
  <c r="T61" i="14"/>
  <c r="S61" i="14"/>
  <c r="Q61" i="14"/>
  <c r="W61" i="14" s="1"/>
  <c r="P61" i="14"/>
  <c r="C61" i="14"/>
  <c r="AH60" i="14"/>
  <c r="AG60" i="14"/>
  <c r="U60" i="14"/>
  <c r="T60" i="14" s="1"/>
  <c r="S60" i="14"/>
  <c r="Q60" i="14"/>
  <c r="W60" i="14"/>
  <c r="P60" i="14"/>
  <c r="C60" i="14"/>
  <c r="AH59" i="14"/>
  <c r="AG59" i="14"/>
  <c r="U59" i="14"/>
  <c r="T59" i="14"/>
  <c r="S59" i="14"/>
  <c r="R59" i="14"/>
  <c r="Q59" i="14"/>
  <c r="W59" i="14"/>
  <c r="P59" i="14"/>
  <c r="C59" i="14"/>
  <c r="AH58" i="14"/>
  <c r="AG58" i="14"/>
  <c r="U58" i="14"/>
  <c r="T58" i="14"/>
  <c r="S58" i="14"/>
  <c r="R58" i="14"/>
  <c r="Q58" i="14"/>
  <c r="W58" i="14" s="1"/>
  <c r="P58" i="14"/>
  <c r="C58" i="14"/>
  <c r="AH57" i="14"/>
  <c r="AG57" i="14"/>
  <c r="U57" i="14"/>
  <c r="T57" i="14" s="1"/>
  <c r="S57" i="14"/>
  <c r="Q57" i="14"/>
  <c r="W57" i="14" s="1"/>
  <c r="P57" i="14"/>
  <c r="C57" i="14"/>
  <c r="AH56" i="14"/>
  <c r="AG56" i="14"/>
  <c r="U56" i="14"/>
  <c r="T56" i="14" s="1"/>
  <c r="S56" i="14"/>
  <c r="Q56" i="14"/>
  <c r="W56" i="14"/>
  <c r="P56" i="14"/>
  <c r="C56" i="14"/>
  <c r="AH55" i="14"/>
  <c r="AG55" i="14"/>
  <c r="U55" i="14"/>
  <c r="T55" i="14" s="1"/>
  <c r="S55" i="14"/>
  <c r="R55" i="14"/>
  <c r="Q55" i="14"/>
  <c r="W55" i="14"/>
  <c r="P55" i="14"/>
  <c r="C55" i="14"/>
  <c r="AH54" i="14"/>
  <c r="AG54" i="14"/>
  <c r="U54" i="14"/>
  <c r="T54" i="14"/>
  <c r="S54" i="14"/>
  <c r="R54" i="14"/>
  <c r="Q54" i="14"/>
  <c r="W54" i="14"/>
  <c r="P54" i="14"/>
  <c r="C54" i="14"/>
  <c r="AH53" i="14"/>
  <c r="AG53" i="14"/>
  <c r="U53" i="14"/>
  <c r="T53" i="14"/>
  <c r="S53" i="14"/>
  <c r="Q53" i="14"/>
  <c r="W53" i="14" s="1"/>
  <c r="P53" i="14"/>
  <c r="C53" i="14"/>
  <c r="AH52" i="14"/>
  <c r="AG52" i="14"/>
  <c r="U52" i="14"/>
  <c r="T52" i="14"/>
  <c r="S52" i="14"/>
  <c r="Q52" i="14"/>
  <c r="W52" i="14" s="1"/>
  <c r="P52" i="14"/>
  <c r="C52" i="14"/>
  <c r="AH51" i="14"/>
  <c r="AG51" i="14"/>
  <c r="U51" i="14"/>
  <c r="T51" i="14"/>
  <c r="S51" i="14"/>
  <c r="R51" i="14" s="1"/>
  <c r="Q51" i="14"/>
  <c r="W51" i="14"/>
  <c r="P51" i="14"/>
  <c r="C51" i="14"/>
  <c r="AH50" i="14"/>
  <c r="AG50" i="14"/>
  <c r="U50" i="14"/>
  <c r="T50" i="14" s="1"/>
  <c r="S50" i="14"/>
  <c r="R50" i="14"/>
  <c r="Q50" i="14"/>
  <c r="W50" i="14"/>
  <c r="P50" i="14"/>
  <c r="C50" i="14"/>
  <c r="AH49" i="14"/>
  <c r="AG49" i="14"/>
  <c r="U49" i="14"/>
  <c r="T49" i="14"/>
  <c r="S49" i="14"/>
  <c r="Q49" i="14"/>
  <c r="W49" i="14"/>
  <c r="P49" i="14"/>
  <c r="C49" i="14"/>
  <c r="AH48" i="14"/>
  <c r="AG48" i="14"/>
  <c r="U48" i="14"/>
  <c r="T48" i="14" s="1"/>
  <c r="S48" i="14"/>
  <c r="Q48" i="14"/>
  <c r="W48" i="14"/>
  <c r="P48" i="14"/>
  <c r="C48" i="14"/>
  <c r="AH47" i="14"/>
  <c r="AG47" i="14"/>
  <c r="U47" i="14"/>
  <c r="T47" i="14"/>
  <c r="S47" i="14"/>
  <c r="R47" i="14"/>
  <c r="Q47" i="14"/>
  <c r="W47" i="14" s="1"/>
  <c r="P47" i="14"/>
  <c r="C47" i="14"/>
  <c r="U46" i="14"/>
  <c r="T46" i="14"/>
  <c r="S46" i="14"/>
  <c r="Q46" i="14"/>
  <c r="W46" i="14" s="1"/>
  <c r="V46" i="14" s="1"/>
  <c r="P46" i="14"/>
  <c r="C46" i="14"/>
  <c r="U45" i="14"/>
  <c r="T45" i="14" s="1"/>
  <c r="S45" i="14"/>
  <c r="Q45" i="14"/>
  <c r="W45" i="14" s="1"/>
  <c r="P45" i="14"/>
  <c r="C45" i="14"/>
  <c r="U44" i="14"/>
  <c r="T44" i="14"/>
  <c r="S44" i="14"/>
  <c r="Q44" i="14"/>
  <c r="W44" i="14"/>
  <c r="P44" i="14"/>
  <c r="C44" i="14"/>
  <c r="U43" i="14"/>
  <c r="T43" i="14" s="1"/>
  <c r="S43" i="14"/>
  <c r="R43" i="14" s="1"/>
  <c r="Q43" i="14"/>
  <c r="W43" i="14" s="1"/>
  <c r="P43" i="14"/>
  <c r="C43" i="14"/>
  <c r="U42" i="14"/>
  <c r="T42" i="14" s="1"/>
  <c r="S42" i="14"/>
  <c r="Q42" i="14"/>
  <c r="W42" i="14"/>
  <c r="P42" i="14"/>
  <c r="C42" i="14"/>
  <c r="U41" i="14"/>
  <c r="T41" i="14"/>
  <c r="S41" i="14"/>
  <c r="Q41" i="14"/>
  <c r="W41" i="14" s="1"/>
  <c r="P41" i="14"/>
  <c r="C41" i="14"/>
  <c r="AH40" i="14"/>
  <c r="AG40" i="14"/>
  <c r="U40" i="14"/>
  <c r="T40" i="14" s="1"/>
  <c r="S40" i="14"/>
  <c r="Q40" i="14"/>
  <c r="W40" i="14"/>
  <c r="P40" i="14"/>
  <c r="C40" i="14"/>
  <c r="AH39" i="14"/>
  <c r="AG39" i="14"/>
  <c r="U39" i="14"/>
  <c r="T39" i="14"/>
  <c r="S39" i="14"/>
  <c r="R39" i="14"/>
  <c r="Q39" i="14"/>
  <c r="W39" i="14"/>
  <c r="P39" i="14"/>
  <c r="C39" i="14"/>
  <c r="AH37" i="14"/>
  <c r="AG37" i="14"/>
  <c r="U37" i="14"/>
  <c r="T37" i="14"/>
  <c r="S37" i="14"/>
  <c r="Q37" i="14"/>
  <c r="W37" i="14" s="1"/>
  <c r="AI37" i="14" s="1"/>
  <c r="P37" i="14"/>
  <c r="C37" i="14"/>
  <c r="AH36" i="14"/>
  <c r="AG36" i="14"/>
  <c r="U36" i="14"/>
  <c r="T36" i="14" s="1"/>
  <c r="S36" i="14"/>
  <c r="Q36" i="14"/>
  <c r="W36" i="14" s="1"/>
  <c r="P36" i="14"/>
  <c r="C36" i="14"/>
  <c r="AH35" i="14"/>
  <c r="AG35" i="14"/>
  <c r="U35" i="14"/>
  <c r="T35" i="14" s="1"/>
  <c r="S35" i="14"/>
  <c r="R35" i="14" s="1"/>
  <c r="Q35" i="14"/>
  <c r="W35" i="14"/>
  <c r="P35" i="14"/>
  <c r="C35" i="14"/>
  <c r="AH34" i="14"/>
  <c r="AG34" i="14"/>
  <c r="U34" i="14"/>
  <c r="T34" i="14" s="1"/>
  <c r="S34" i="14"/>
  <c r="R34" i="14"/>
  <c r="Q34" i="14"/>
  <c r="W34" i="14"/>
  <c r="P34" i="14"/>
  <c r="C34" i="14"/>
  <c r="AH33" i="14"/>
  <c r="AG33" i="14"/>
  <c r="U33" i="14"/>
  <c r="T33" i="14"/>
  <c r="S33" i="14"/>
  <c r="Q33" i="14"/>
  <c r="W33" i="14"/>
  <c r="P33" i="14"/>
  <c r="C33" i="14"/>
  <c r="AH32" i="14"/>
  <c r="AG32" i="14"/>
  <c r="U32" i="14"/>
  <c r="T32" i="14" s="1"/>
  <c r="S32" i="14"/>
  <c r="Q32" i="14"/>
  <c r="W32" i="14"/>
  <c r="P32" i="14"/>
  <c r="C32" i="14"/>
  <c r="U31" i="14"/>
  <c r="T31" i="14"/>
  <c r="S31" i="14"/>
  <c r="R31" i="14"/>
  <c r="Q31" i="14"/>
  <c r="W31" i="14"/>
  <c r="P31" i="14"/>
  <c r="C31" i="14"/>
  <c r="U30" i="14"/>
  <c r="T30" i="14"/>
  <c r="S30" i="14"/>
  <c r="Q30" i="14"/>
  <c r="W30" i="14"/>
  <c r="P30" i="14"/>
  <c r="C30" i="14"/>
  <c r="U29" i="14"/>
  <c r="T29" i="14" s="1"/>
  <c r="S29" i="14"/>
  <c r="Q29" i="14"/>
  <c r="W29" i="14"/>
  <c r="P29" i="14"/>
  <c r="C29" i="14"/>
  <c r="AH28" i="14"/>
  <c r="AG28" i="14"/>
  <c r="U28" i="14"/>
  <c r="T28" i="14"/>
  <c r="S28" i="14"/>
  <c r="Q28" i="14"/>
  <c r="W28" i="14" s="1"/>
  <c r="P28" i="14"/>
  <c r="C28" i="14"/>
  <c r="AH27" i="14"/>
  <c r="AG27" i="14"/>
  <c r="U27" i="14"/>
  <c r="T27" i="14" s="1"/>
  <c r="S27" i="14"/>
  <c r="R27" i="14"/>
  <c r="Q27" i="14"/>
  <c r="W27" i="14"/>
  <c r="P27" i="14"/>
  <c r="C27" i="14"/>
  <c r="AH26" i="14"/>
  <c r="AG26" i="14"/>
  <c r="U26" i="14"/>
  <c r="T26" i="14"/>
  <c r="S26" i="14"/>
  <c r="R26" i="14"/>
  <c r="Q26" i="14"/>
  <c r="W26" i="14" s="1"/>
  <c r="P26" i="14"/>
  <c r="C26" i="14"/>
  <c r="AH25" i="14"/>
  <c r="AG25" i="14"/>
  <c r="U25" i="14"/>
  <c r="T25" i="14" s="1"/>
  <c r="S25" i="14"/>
  <c r="Q25" i="14"/>
  <c r="W25" i="14"/>
  <c r="P25" i="14"/>
  <c r="C25" i="14"/>
  <c r="AH24" i="14"/>
  <c r="AG24" i="14"/>
  <c r="U24" i="14"/>
  <c r="T24" i="14"/>
  <c r="S24" i="14"/>
  <c r="Q24" i="14"/>
  <c r="W24" i="14" s="1"/>
  <c r="P24" i="14"/>
  <c r="C24" i="14"/>
  <c r="AH23" i="14"/>
  <c r="AG23" i="14"/>
  <c r="U23" i="14"/>
  <c r="T23" i="14" s="1"/>
  <c r="S23" i="14"/>
  <c r="R23" i="14" s="1"/>
  <c r="Q23" i="14"/>
  <c r="W23" i="14" s="1"/>
  <c r="P23" i="14"/>
  <c r="C23" i="14"/>
  <c r="AH22" i="14"/>
  <c r="AG22" i="14"/>
  <c r="U22" i="14"/>
  <c r="T22" i="14" s="1"/>
  <c r="S22" i="14"/>
  <c r="R22" i="14" s="1"/>
  <c r="Q22" i="14"/>
  <c r="W22" i="14" s="1"/>
  <c r="P22" i="14"/>
  <c r="C22" i="14"/>
  <c r="AH21" i="14"/>
  <c r="AG21" i="14"/>
  <c r="U21" i="14"/>
  <c r="T21" i="14"/>
  <c r="S21" i="14"/>
  <c r="Q21" i="14"/>
  <c r="W21" i="14" s="1"/>
  <c r="P21" i="14"/>
  <c r="C21" i="14"/>
  <c r="AH20" i="14"/>
  <c r="AG20" i="14"/>
  <c r="U20" i="14"/>
  <c r="T20" i="14"/>
  <c r="S20" i="14"/>
  <c r="Q20" i="14"/>
  <c r="W20" i="14" s="1"/>
  <c r="P20" i="14"/>
  <c r="C20" i="14"/>
  <c r="AH19" i="14"/>
  <c r="AG19" i="14"/>
  <c r="U19" i="14"/>
  <c r="T19" i="14"/>
  <c r="S19" i="14"/>
  <c r="R19" i="14" s="1"/>
  <c r="Q19" i="14"/>
  <c r="W19" i="14" s="1"/>
  <c r="P19" i="14"/>
  <c r="C19" i="14"/>
  <c r="AH18" i="14"/>
  <c r="AG18" i="14"/>
  <c r="U18" i="14"/>
  <c r="S18" i="14"/>
  <c r="R18" i="14"/>
  <c r="Q18" i="14"/>
  <c r="W18" i="14"/>
  <c r="P18" i="14"/>
  <c r="C18" i="14"/>
  <c r="AH17" i="14"/>
  <c r="AG17" i="14"/>
  <c r="U17" i="14"/>
  <c r="T17" i="14"/>
  <c r="S17" i="14"/>
  <c r="Q17" i="14"/>
  <c r="W17" i="14"/>
  <c r="P17" i="14"/>
  <c r="C17" i="14"/>
  <c r="U16" i="14"/>
  <c r="T16" i="14" s="1"/>
  <c r="S16" i="14"/>
  <c r="Q16" i="14"/>
  <c r="W16" i="14"/>
  <c r="P16" i="14"/>
  <c r="C16" i="14"/>
  <c r="U15" i="14"/>
  <c r="T15" i="14"/>
  <c r="S15" i="14"/>
  <c r="R15" i="14"/>
  <c r="Q15" i="14"/>
  <c r="W15" i="14"/>
  <c r="P15" i="14"/>
  <c r="C15" i="14"/>
  <c r="U14" i="14"/>
  <c r="T14" i="14"/>
  <c r="S14" i="14"/>
  <c r="Q14" i="14"/>
  <c r="W14" i="14" s="1"/>
  <c r="P14" i="14"/>
  <c r="C14" i="14"/>
  <c r="AH13" i="14"/>
  <c r="U13" i="14"/>
  <c r="T13" i="14" s="1"/>
  <c r="S13" i="14"/>
  <c r="Q13" i="14"/>
  <c r="W13" i="14" s="1"/>
  <c r="P13" i="14"/>
  <c r="C13" i="14"/>
  <c r="AH12" i="14"/>
  <c r="AG12" i="14"/>
  <c r="U12" i="14"/>
  <c r="T12" i="14" s="1"/>
  <c r="S12" i="14"/>
  <c r="Q12" i="14"/>
  <c r="P12" i="14"/>
  <c r="C12" i="14"/>
  <c r="AH11" i="14"/>
  <c r="AG11" i="14"/>
  <c r="U11" i="14"/>
  <c r="T11" i="14" s="1"/>
  <c r="S11" i="14"/>
  <c r="R11" i="14" s="1"/>
  <c r="Q11" i="14"/>
  <c r="W11" i="14"/>
  <c r="P11" i="14"/>
  <c r="C11" i="14"/>
  <c r="AH10" i="14"/>
  <c r="AG10" i="14"/>
  <c r="U10" i="14"/>
  <c r="T10" i="14" s="1"/>
  <c r="S10" i="14"/>
  <c r="R10" i="14" s="1"/>
  <c r="Q10" i="14"/>
  <c r="W10" i="14" s="1"/>
  <c r="P10" i="14"/>
  <c r="C10" i="14"/>
  <c r="AH9" i="14"/>
  <c r="AG9" i="14"/>
  <c r="U9" i="14"/>
  <c r="T9" i="14" s="1"/>
  <c r="S9" i="14"/>
  <c r="Q9" i="14"/>
  <c r="W9" i="14" s="1"/>
  <c r="P9" i="14"/>
  <c r="C9" i="14"/>
  <c r="AH8" i="14"/>
  <c r="AG8" i="14"/>
  <c r="U8" i="14"/>
  <c r="T8" i="14"/>
  <c r="S8" i="14"/>
  <c r="Q8" i="14"/>
  <c r="W8" i="14" s="1"/>
  <c r="P8" i="14"/>
  <c r="C8" i="14"/>
  <c r="AH7" i="14"/>
  <c r="AG7" i="14"/>
  <c r="U7" i="14"/>
  <c r="T7" i="14"/>
  <c r="S7" i="14"/>
  <c r="R7" i="14" s="1"/>
  <c r="Q7" i="14"/>
  <c r="W7" i="14" s="1"/>
  <c r="P7" i="14"/>
  <c r="C7" i="14"/>
  <c r="AH154" i="25"/>
  <c r="AG154" i="25"/>
  <c r="U154" i="25"/>
  <c r="T154" i="25" s="1"/>
  <c r="S154" i="25"/>
  <c r="R154" i="25" s="1"/>
  <c r="Q154" i="25"/>
  <c r="P154" i="25"/>
  <c r="C154" i="25"/>
  <c r="AH153" i="25"/>
  <c r="AG153" i="25"/>
  <c r="U153" i="25"/>
  <c r="T153" i="25"/>
  <c r="S153" i="25"/>
  <c r="Q153" i="25"/>
  <c r="P153" i="25"/>
  <c r="C153" i="25"/>
  <c r="AH152" i="25"/>
  <c r="AG152" i="25"/>
  <c r="U152" i="25"/>
  <c r="T152" i="25"/>
  <c r="S152" i="25"/>
  <c r="Q152" i="25"/>
  <c r="W152" i="25" s="1"/>
  <c r="P152" i="25"/>
  <c r="C152" i="25"/>
  <c r="AH151" i="25"/>
  <c r="AG151" i="25"/>
  <c r="U151" i="25"/>
  <c r="T151" i="25" s="1"/>
  <c r="S151" i="25"/>
  <c r="R151" i="25"/>
  <c r="Q151" i="25"/>
  <c r="W151" i="25" s="1"/>
  <c r="P151" i="25"/>
  <c r="C151" i="25"/>
  <c r="AH150" i="25"/>
  <c r="AG150" i="25"/>
  <c r="U150" i="25"/>
  <c r="T150" i="25"/>
  <c r="S150" i="25"/>
  <c r="R150" i="25" s="1"/>
  <c r="Q150" i="25"/>
  <c r="W150" i="25" s="1"/>
  <c r="P150" i="25"/>
  <c r="C150" i="25"/>
  <c r="AH149" i="25"/>
  <c r="AG149" i="25"/>
  <c r="U149" i="25"/>
  <c r="T149" i="25"/>
  <c r="S149" i="25"/>
  <c r="Q149" i="25"/>
  <c r="W149" i="25"/>
  <c r="P149" i="25"/>
  <c r="C149" i="25"/>
  <c r="AH148" i="25"/>
  <c r="AG148" i="25"/>
  <c r="U148" i="25"/>
  <c r="T148" i="25" s="1"/>
  <c r="S148" i="25"/>
  <c r="Q148" i="25"/>
  <c r="P148" i="25"/>
  <c r="C148" i="25"/>
  <c r="AH147" i="25"/>
  <c r="AG147" i="25"/>
  <c r="U147" i="25"/>
  <c r="T147" i="25" s="1"/>
  <c r="S147" i="25"/>
  <c r="R147" i="25"/>
  <c r="Q147" i="25"/>
  <c r="P147" i="25"/>
  <c r="C147" i="25"/>
  <c r="AH146" i="25"/>
  <c r="AG146" i="25"/>
  <c r="U146" i="25"/>
  <c r="T146" i="25" s="1"/>
  <c r="S146" i="25"/>
  <c r="R146" i="25" s="1"/>
  <c r="Q146" i="25"/>
  <c r="W146" i="25"/>
  <c r="P146" i="25"/>
  <c r="C146" i="25"/>
  <c r="AH145" i="25"/>
  <c r="AG145" i="25"/>
  <c r="U145" i="25"/>
  <c r="T145" i="25" s="1"/>
  <c r="S145" i="25"/>
  <c r="Q145" i="25"/>
  <c r="W145" i="25"/>
  <c r="P145" i="25"/>
  <c r="C145" i="25"/>
  <c r="U144" i="25"/>
  <c r="T144" i="25"/>
  <c r="S144" i="25"/>
  <c r="Q144" i="25"/>
  <c r="W144" i="25" s="1"/>
  <c r="P144" i="25"/>
  <c r="C144" i="25"/>
  <c r="U143" i="25"/>
  <c r="T143" i="25" s="1"/>
  <c r="S143" i="25"/>
  <c r="R143" i="25" s="1"/>
  <c r="Q143" i="25"/>
  <c r="W143" i="25" s="1"/>
  <c r="V143" i="25" s="1"/>
  <c r="P143" i="25"/>
  <c r="C143" i="25"/>
  <c r="U142" i="25"/>
  <c r="T142" i="25" s="1"/>
  <c r="S142" i="25"/>
  <c r="Q142" i="25"/>
  <c r="W142" i="25"/>
  <c r="P142" i="25"/>
  <c r="C142" i="25"/>
  <c r="U141" i="25"/>
  <c r="T141" i="25"/>
  <c r="S141" i="25"/>
  <c r="R141" i="25"/>
  <c r="Q141" i="25"/>
  <c r="W141" i="25"/>
  <c r="P141" i="25"/>
  <c r="C141" i="25"/>
  <c r="U140" i="25"/>
  <c r="T140" i="25"/>
  <c r="S140" i="25"/>
  <c r="Q140" i="25"/>
  <c r="W140" i="25" s="1"/>
  <c r="P140" i="25"/>
  <c r="C140" i="25"/>
  <c r="U139" i="25"/>
  <c r="T139" i="25" s="1"/>
  <c r="S139" i="25"/>
  <c r="Q139" i="25"/>
  <c r="W139" i="25"/>
  <c r="P139" i="25"/>
  <c r="C139" i="25"/>
  <c r="AH138" i="25"/>
  <c r="AG138" i="25"/>
  <c r="U138" i="25"/>
  <c r="T138" i="25" s="1"/>
  <c r="S138" i="25"/>
  <c r="R138" i="25"/>
  <c r="Q138" i="25"/>
  <c r="W138" i="25"/>
  <c r="P138" i="25"/>
  <c r="C138" i="25"/>
  <c r="AH137" i="25"/>
  <c r="AG137" i="25"/>
  <c r="U137" i="25"/>
  <c r="T137" i="25"/>
  <c r="S137" i="25"/>
  <c r="R137" i="25"/>
  <c r="Q137" i="25"/>
  <c r="W137" i="25" s="1"/>
  <c r="P137" i="25"/>
  <c r="C137" i="25"/>
  <c r="AH136" i="25"/>
  <c r="AG136" i="25"/>
  <c r="U136" i="25"/>
  <c r="T136" i="25"/>
  <c r="S136" i="25"/>
  <c r="Q136" i="25"/>
  <c r="W136" i="25" s="1"/>
  <c r="P136" i="25"/>
  <c r="C136" i="25"/>
  <c r="AH135" i="25"/>
  <c r="AG135" i="25"/>
  <c r="U135" i="25"/>
  <c r="T135" i="25"/>
  <c r="S135" i="25"/>
  <c r="Q135" i="25"/>
  <c r="W135" i="25" s="1"/>
  <c r="P135" i="25"/>
  <c r="C135" i="25"/>
  <c r="AH134" i="25"/>
  <c r="AG134" i="25"/>
  <c r="U134" i="25"/>
  <c r="T134" i="25"/>
  <c r="S134" i="25"/>
  <c r="R134" i="25" s="1"/>
  <c r="Q134" i="25"/>
  <c r="W134" i="25"/>
  <c r="P134" i="25"/>
  <c r="C134" i="25"/>
  <c r="AH133" i="25"/>
  <c r="AG133" i="25"/>
  <c r="U133" i="25"/>
  <c r="T133" i="25" s="1"/>
  <c r="S133" i="25"/>
  <c r="R133" i="25"/>
  <c r="Q133" i="25"/>
  <c r="W133" i="25"/>
  <c r="P133" i="25"/>
  <c r="C133" i="25"/>
  <c r="AH132" i="25"/>
  <c r="AG132" i="25"/>
  <c r="U132" i="25"/>
  <c r="T132" i="25"/>
  <c r="S132" i="25"/>
  <c r="Q132" i="25"/>
  <c r="W132" i="25"/>
  <c r="AI132" i="25" s="1"/>
  <c r="P132" i="25"/>
  <c r="C132" i="25"/>
  <c r="AH131" i="25"/>
  <c r="AG131" i="25"/>
  <c r="U131" i="25"/>
  <c r="T131" i="25" s="1"/>
  <c r="S131" i="25"/>
  <c r="R131" i="25"/>
  <c r="Q131" i="25"/>
  <c r="W131" i="25" s="1"/>
  <c r="P131" i="25"/>
  <c r="C131" i="25"/>
  <c r="AH130" i="25"/>
  <c r="AG130" i="25"/>
  <c r="U130" i="25"/>
  <c r="T130" i="25"/>
  <c r="S130" i="25"/>
  <c r="R130" i="25" s="1"/>
  <c r="Q130" i="25"/>
  <c r="W130" i="25" s="1"/>
  <c r="P130" i="25"/>
  <c r="C130" i="25"/>
  <c r="AH129" i="25"/>
  <c r="AG129" i="25"/>
  <c r="U129" i="25"/>
  <c r="T129" i="25"/>
  <c r="S129" i="25"/>
  <c r="Q129" i="25"/>
  <c r="W129" i="25"/>
  <c r="P129" i="25"/>
  <c r="C129" i="25"/>
  <c r="AH128" i="25"/>
  <c r="AG128" i="25"/>
  <c r="U128" i="25"/>
  <c r="T128" i="25" s="1"/>
  <c r="S128" i="25"/>
  <c r="Q128" i="25"/>
  <c r="W128" i="25" s="1"/>
  <c r="P128" i="25"/>
  <c r="C128" i="25"/>
  <c r="AH127" i="25"/>
  <c r="AG127" i="25"/>
  <c r="U127" i="25"/>
  <c r="T127" i="25" s="1"/>
  <c r="S127" i="25"/>
  <c r="R127" i="25" s="1"/>
  <c r="Q127" i="25"/>
  <c r="W127" i="25" s="1"/>
  <c r="P127" i="25"/>
  <c r="C127" i="25"/>
  <c r="AH126" i="25"/>
  <c r="AG126" i="25"/>
  <c r="U126" i="25"/>
  <c r="T126" i="25" s="1"/>
  <c r="S126" i="25"/>
  <c r="R126" i="25" s="1"/>
  <c r="Q126" i="25"/>
  <c r="W126" i="25" s="1"/>
  <c r="P126" i="25"/>
  <c r="C126" i="25"/>
  <c r="AH125" i="25"/>
  <c r="AG125" i="25"/>
  <c r="U125" i="25"/>
  <c r="T125" i="25" s="1"/>
  <c r="S125" i="25"/>
  <c r="Q125" i="25"/>
  <c r="W125" i="25"/>
  <c r="P125" i="25"/>
  <c r="C125" i="25"/>
  <c r="AH124" i="25"/>
  <c r="AG124" i="25"/>
  <c r="U124" i="25"/>
  <c r="T124" i="25" s="1"/>
  <c r="S124" i="25"/>
  <c r="Q124" i="25"/>
  <c r="W124" i="25" s="1"/>
  <c r="P124" i="25"/>
  <c r="C124" i="25"/>
  <c r="U123" i="25"/>
  <c r="T123" i="25"/>
  <c r="S123" i="25"/>
  <c r="Q123" i="25"/>
  <c r="W123" i="25" s="1"/>
  <c r="P123" i="25"/>
  <c r="C123" i="25"/>
  <c r="U122" i="25"/>
  <c r="T122" i="25"/>
  <c r="S122" i="25"/>
  <c r="Q122" i="25"/>
  <c r="W122" i="25" s="1"/>
  <c r="P122" i="25"/>
  <c r="C122" i="25"/>
  <c r="U121" i="25"/>
  <c r="T121" i="25" s="1"/>
  <c r="S121" i="25"/>
  <c r="Q121" i="25"/>
  <c r="W121" i="25" s="1"/>
  <c r="AI121" i="25" s="1"/>
  <c r="P121" i="25"/>
  <c r="C121" i="25"/>
  <c r="U120" i="25"/>
  <c r="T120" i="25"/>
  <c r="S120" i="25"/>
  <c r="R120" i="25"/>
  <c r="Q120" i="25"/>
  <c r="W120" i="25" s="1"/>
  <c r="P120" i="25"/>
  <c r="C120" i="25"/>
  <c r="U119" i="25"/>
  <c r="T119" i="25"/>
  <c r="S119" i="25"/>
  <c r="R119" i="25"/>
  <c r="Q119" i="25"/>
  <c r="W119" i="25" s="1"/>
  <c r="P119" i="25"/>
  <c r="C119" i="25"/>
  <c r="U118" i="25"/>
  <c r="T118" i="25"/>
  <c r="S118" i="25"/>
  <c r="Q118" i="25"/>
  <c r="W118" i="25" s="1"/>
  <c r="P118" i="25"/>
  <c r="C118" i="25"/>
  <c r="U117" i="25"/>
  <c r="T117" i="25" s="1"/>
  <c r="S117" i="25"/>
  <c r="Q117" i="25"/>
  <c r="W117" i="25"/>
  <c r="P117" i="25"/>
  <c r="C117" i="25"/>
  <c r="AH116" i="25"/>
  <c r="AG116" i="25"/>
  <c r="U116" i="25"/>
  <c r="T116" i="25"/>
  <c r="S116" i="25"/>
  <c r="R116" i="25"/>
  <c r="Q116" i="25"/>
  <c r="W116" i="25" s="1"/>
  <c r="V116" i="25" s="1"/>
  <c r="P116" i="25"/>
  <c r="C116" i="25"/>
  <c r="AH115" i="25"/>
  <c r="AG115" i="25"/>
  <c r="U115" i="25"/>
  <c r="T115" i="25"/>
  <c r="S115" i="25"/>
  <c r="R115" i="25" s="1"/>
  <c r="Q115" i="25"/>
  <c r="W115" i="25" s="1"/>
  <c r="P115" i="25"/>
  <c r="C115" i="25"/>
  <c r="AH114" i="25"/>
  <c r="AG114" i="25"/>
  <c r="U114" i="25"/>
  <c r="T114" i="25"/>
  <c r="S114" i="25"/>
  <c r="Q114" i="25"/>
  <c r="W114" i="25" s="1"/>
  <c r="P114" i="25"/>
  <c r="C114" i="25"/>
  <c r="AH113" i="25"/>
  <c r="AG113" i="25"/>
  <c r="U113" i="25"/>
  <c r="T113" i="25"/>
  <c r="S113" i="25"/>
  <c r="Q113" i="25"/>
  <c r="W113" i="25"/>
  <c r="P113" i="25"/>
  <c r="C113" i="25"/>
  <c r="AH112" i="25"/>
  <c r="AG112" i="25"/>
  <c r="U112" i="25"/>
  <c r="T112" i="25" s="1"/>
  <c r="S112" i="25"/>
  <c r="R112" i="25"/>
  <c r="Q112" i="25"/>
  <c r="W112" i="25"/>
  <c r="P112" i="25"/>
  <c r="C112" i="25"/>
  <c r="AH111" i="25"/>
  <c r="AG111" i="25"/>
  <c r="U111" i="25"/>
  <c r="T111" i="25"/>
  <c r="S111" i="25"/>
  <c r="R111" i="25"/>
  <c r="Q111" i="25"/>
  <c r="W111" i="25"/>
  <c r="P111" i="25"/>
  <c r="C111" i="25"/>
  <c r="AH110" i="25"/>
  <c r="AG110" i="25"/>
  <c r="U110" i="25"/>
  <c r="T110" i="25"/>
  <c r="S110" i="25"/>
  <c r="Q110" i="25"/>
  <c r="W110" i="25"/>
  <c r="P110" i="25"/>
  <c r="C110" i="25"/>
  <c r="U109" i="25"/>
  <c r="T109" i="25" s="1"/>
  <c r="S109" i="25"/>
  <c r="Q109" i="25"/>
  <c r="W109" i="25"/>
  <c r="P109" i="25"/>
  <c r="C109" i="25"/>
  <c r="U108" i="25"/>
  <c r="T108" i="25" s="1"/>
  <c r="S108" i="25"/>
  <c r="R108" i="25"/>
  <c r="Q108" i="25"/>
  <c r="W108" i="25"/>
  <c r="P108" i="25"/>
  <c r="C108" i="25"/>
  <c r="U107" i="25"/>
  <c r="T107" i="25" s="1"/>
  <c r="S107" i="25"/>
  <c r="Q107" i="25"/>
  <c r="W107" i="25" s="1"/>
  <c r="P107" i="25"/>
  <c r="C107" i="25"/>
  <c r="U106" i="25"/>
  <c r="T106" i="25" s="1"/>
  <c r="S106" i="25"/>
  <c r="R106" i="25" s="1"/>
  <c r="Q106" i="25"/>
  <c r="W106" i="25" s="1"/>
  <c r="P106" i="25"/>
  <c r="C106" i="25"/>
  <c r="U105" i="25"/>
  <c r="T105" i="25" s="1"/>
  <c r="S105" i="25"/>
  <c r="R105" i="25" s="1"/>
  <c r="Q105" i="25"/>
  <c r="W105" i="25" s="1"/>
  <c r="P105" i="25"/>
  <c r="C105" i="25"/>
  <c r="U104" i="25"/>
  <c r="T104" i="25" s="1"/>
  <c r="S104" i="25"/>
  <c r="Q104" i="25"/>
  <c r="W104" i="25"/>
  <c r="P104" i="25"/>
  <c r="C104" i="25"/>
  <c r="AH103" i="25"/>
  <c r="AG103" i="25"/>
  <c r="U103" i="25"/>
  <c r="T103" i="25" s="1"/>
  <c r="S103" i="25"/>
  <c r="Q103" i="25"/>
  <c r="W103" i="25" s="1"/>
  <c r="P103" i="25"/>
  <c r="C103" i="25"/>
  <c r="AH102" i="25"/>
  <c r="AG102" i="25"/>
  <c r="U102" i="25"/>
  <c r="T102" i="25" s="1"/>
  <c r="S102" i="25"/>
  <c r="R102" i="25" s="1"/>
  <c r="Q102" i="25"/>
  <c r="W102" i="25" s="1"/>
  <c r="P102" i="25"/>
  <c r="C102" i="25"/>
  <c r="AH101" i="25"/>
  <c r="AG101" i="25"/>
  <c r="U101" i="25"/>
  <c r="T101" i="25" s="1"/>
  <c r="S101" i="25"/>
  <c r="R101" i="25"/>
  <c r="Q101" i="25"/>
  <c r="W101" i="25" s="1"/>
  <c r="P101" i="25"/>
  <c r="C101" i="25"/>
  <c r="AH100" i="25"/>
  <c r="AG100" i="25"/>
  <c r="U100" i="25"/>
  <c r="T100" i="25"/>
  <c r="S100" i="25"/>
  <c r="Q100" i="25"/>
  <c r="W100" i="25" s="1"/>
  <c r="P100" i="25"/>
  <c r="C100" i="25"/>
  <c r="AH99" i="25"/>
  <c r="AG99" i="25"/>
  <c r="U99" i="25"/>
  <c r="T99" i="25"/>
  <c r="S99" i="25"/>
  <c r="Q99" i="25"/>
  <c r="W99" i="25" s="1"/>
  <c r="P99" i="25"/>
  <c r="C99" i="25"/>
  <c r="AH98" i="25"/>
  <c r="AG98" i="25"/>
  <c r="U98" i="25"/>
  <c r="T98" i="25" s="1"/>
  <c r="S98" i="25"/>
  <c r="R98" i="25" s="1"/>
  <c r="Q98" i="25"/>
  <c r="W98" i="25" s="1"/>
  <c r="P98" i="25"/>
  <c r="C98" i="25"/>
  <c r="AH97" i="25"/>
  <c r="AG97" i="25"/>
  <c r="U97" i="25"/>
  <c r="T97" i="25" s="1"/>
  <c r="S97" i="25"/>
  <c r="R97" i="25" s="1"/>
  <c r="Q97" i="25"/>
  <c r="W97" i="25"/>
  <c r="P97" i="25"/>
  <c r="C97" i="25"/>
  <c r="AH96" i="25"/>
  <c r="AG96" i="25"/>
  <c r="U96" i="25"/>
  <c r="T96" i="25" s="1"/>
  <c r="S96" i="25"/>
  <c r="Q96" i="25"/>
  <c r="W96" i="25"/>
  <c r="P96" i="25"/>
  <c r="C96" i="25"/>
  <c r="AH95" i="25"/>
  <c r="AG95" i="25"/>
  <c r="U95" i="25"/>
  <c r="T95" i="25"/>
  <c r="S95" i="25"/>
  <c r="Q95" i="25"/>
  <c r="W95" i="25" s="1"/>
  <c r="P95" i="25"/>
  <c r="C95" i="25"/>
  <c r="AH94" i="25"/>
  <c r="AG94" i="25"/>
  <c r="U94" i="25"/>
  <c r="T94" i="25" s="1"/>
  <c r="S94" i="25"/>
  <c r="R94" i="25" s="1"/>
  <c r="Q94" i="25"/>
  <c r="W94" i="25" s="1"/>
  <c r="P94" i="25"/>
  <c r="C94" i="25"/>
  <c r="AH93" i="25"/>
  <c r="AG93" i="25"/>
  <c r="U93" i="25"/>
  <c r="T93" i="25" s="1"/>
  <c r="S93" i="25"/>
  <c r="Q93" i="25"/>
  <c r="W93" i="25"/>
  <c r="P93" i="25"/>
  <c r="C93" i="25"/>
  <c r="AH92" i="25"/>
  <c r="AG92" i="25"/>
  <c r="U92" i="25"/>
  <c r="T92" i="25" s="1"/>
  <c r="S92" i="25"/>
  <c r="Q92" i="25"/>
  <c r="W92" i="25" s="1"/>
  <c r="P92" i="25"/>
  <c r="C92" i="25"/>
  <c r="AH91" i="25"/>
  <c r="AG91" i="25"/>
  <c r="U91" i="25"/>
  <c r="T91" i="25" s="1"/>
  <c r="S91" i="25"/>
  <c r="R91" i="25" s="1"/>
  <c r="Q91" i="25"/>
  <c r="W91" i="25"/>
  <c r="P91" i="25"/>
  <c r="C91" i="25"/>
  <c r="AH90" i="25"/>
  <c r="AG90" i="25"/>
  <c r="U90" i="25"/>
  <c r="T90" i="25" s="1"/>
  <c r="S90" i="25"/>
  <c r="Q90" i="25"/>
  <c r="W90" i="25"/>
  <c r="P90" i="25"/>
  <c r="C90" i="25"/>
  <c r="AH89" i="25"/>
  <c r="AG89" i="25"/>
  <c r="U89" i="25"/>
  <c r="T89" i="25"/>
  <c r="S89" i="25"/>
  <c r="Q89" i="25"/>
  <c r="W89" i="25" s="1"/>
  <c r="P89" i="25"/>
  <c r="C89" i="25"/>
  <c r="AH88" i="25"/>
  <c r="AG88" i="25"/>
  <c r="U88" i="25"/>
  <c r="T88" i="25" s="1"/>
  <c r="S88" i="25"/>
  <c r="Q88" i="25"/>
  <c r="W88" i="25" s="1"/>
  <c r="P88" i="25"/>
  <c r="C88" i="25"/>
  <c r="AH87" i="25"/>
  <c r="AG87" i="25"/>
  <c r="U87" i="25"/>
  <c r="T87" i="25" s="1"/>
  <c r="S87" i="25"/>
  <c r="Q87" i="25"/>
  <c r="W87" i="25" s="1"/>
  <c r="P87" i="25"/>
  <c r="C87" i="25"/>
  <c r="AH86" i="25"/>
  <c r="AG86" i="25"/>
  <c r="U86" i="25"/>
  <c r="T86" i="25" s="1"/>
  <c r="S86" i="25"/>
  <c r="Q86" i="25"/>
  <c r="W86" i="25"/>
  <c r="P86" i="25"/>
  <c r="C86" i="25"/>
  <c r="AH85" i="25"/>
  <c r="AG85" i="25"/>
  <c r="U85" i="25"/>
  <c r="T85" i="25" s="1"/>
  <c r="S85" i="25"/>
  <c r="Q85" i="25"/>
  <c r="W85" i="25" s="1"/>
  <c r="P85" i="25"/>
  <c r="C85" i="25"/>
  <c r="AH84" i="25"/>
  <c r="AG84" i="25"/>
  <c r="U84" i="25"/>
  <c r="T84" i="25" s="1"/>
  <c r="S84" i="25"/>
  <c r="R84" i="25" s="1"/>
  <c r="Q84" i="25"/>
  <c r="W84" i="25" s="1"/>
  <c r="P84" i="25"/>
  <c r="C84" i="25"/>
  <c r="AH83" i="25"/>
  <c r="AG83" i="25"/>
  <c r="U83" i="25"/>
  <c r="T83" i="25" s="1"/>
  <c r="S83" i="25"/>
  <c r="R83" i="25" s="1"/>
  <c r="Q83" i="25"/>
  <c r="W83" i="25" s="1"/>
  <c r="P83" i="25"/>
  <c r="C83" i="25"/>
  <c r="AH82" i="25"/>
  <c r="AG82" i="25"/>
  <c r="U82" i="25"/>
  <c r="T82" i="25"/>
  <c r="S82" i="25"/>
  <c r="Q82" i="25"/>
  <c r="W82" i="25" s="1"/>
  <c r="P82" i="25"/>
  <c r="C82" i="25"/>
  <c r="AH81" i="25"/>
  <c r="AG81" i="25"/>
  <c r="U81" i="25"/>
  <c r="T81" i="25"/>
  <c r="S81" i="25"/>
  <c r="Q81" i="25"/>
  <c r="W81" i="25" s="1"/>
  <c r="P81" i="25"/>
  <c r="C81" i="25"/>
  <c r="AH80" i="25"/>
  <c r="AG80" i="25"/>
  <c r="U80" i="25"/>
  <c r="T80" i="25" s="1"/>
  <c r="S80" i="25"/>
  <c r="R80" i="25" s="1"/>
  <c r="Q80" i="25"/>
  <c r="W80" i="25" s="1"/>
  <c r="P80" i="25"/>
  <c r="C80" i="25"/>
  <c r="AH79" i="25"/>
  <c r="AG79" i="25"/>
  <c r="U79" i="25"/>
  <c r="T79" i="25" s="1"/>
  <c r="S79" i="25"/>
  <c r="R79" i="25" s="1"/>
  <c r="Q79" i="25"/>
  <c r="W79" i="25" s="1"/>
  <c r="P79" i="25"/>
  <c r="C79" i="25"/>
  <c r="AH78" i="25"/>
  <c r="AG78" i="25"/>
  <c r="U78" i="25"/>
  <c r="T78" i="25" s="1"/>
  <c r="S78" i="25"/>
  <c r="Q78" i="25"/>
  <c r="W78" i="25" s="1"/>
  <c r="P78" i="25"/>
  <c r="C78" i="25"/>
  <c r="AH77" i="25"/>
  <c r="AG77" i="25"/>
  <c r="U77" i="25"/>
  <c r="T77" i="25"/>
  <c r="S77" i="25"/>
  <c r="Q77" i="25"/>
  <c r="W77" i="25" s="1"/>
  <c r="P77" i="25"/>
  <c r="C77" i="25"/>
  <c r="AH76" i="25"/>
  <c r="AG76" i="25"/>
  <c r="U76" i="25"/>
  <c r="T76" i="25"/>
  <c r="S76" i="25"/>
  <c r="R76" i="25" s="1"/>
  <c r="Q76" i="25"/>
  <c r="W76" i="25" s="1"/>
  <c r="P76" i="25"/>
  <c r="C76" i="25"/>
  <c r="AH75" i="25"/>
  <c r="AG75" i="25"/>
  <c r="U75" i="25"/>
  <c r="T75" i="25" s="1"/>
  <c r="S75" i="25"/>
  <c r="R75" i="25" s="1"/>
  <c r="Q75" i="25"/>
  <c r="W75" i="25" s="1"/>
  <c r="P75" i="25"/>
  <c r="C75" i="25"/>
  <c r="AH74" i="25"/>
  <c r="AG74" i="25"/>
  <c r="U74" i="25"/>
  <c r="T74" i="25" s="1"/>
  <c r="S74" i="25"/>
  <c r="Q74" i="25"/>
  <c r="W74" i="25"/>
  <c r="P74" i="25"/>
  <c r="C74" i="25"/>
  <c r="AH73" i="25"/>
  <c r="AG73" i="25"/>
  <c r="U73" i="25"/>
  <c r="T73" i="25"/>
  <c r="S73" i="25"/>
  <c r="Q73" i="25"/>
  <c r="W73" i="25" s="1"/>
  <c r="P73" i="25"/>
  <c r="C73" i="25"/>
  <c r="AH72" i="25"/>
  <c r="AG72" i="25"/>
  <c r="U72" i="25"/>
  <c r="T72" i="25" s="1"/>
  <c r="S72" i="25"/>
  <c r="R72" i="25"/>
  <c r="Q72" i="25"/>
  <c r="W72" i="25" s="1"/>
  <c r="P72" i="25"/>
  <c r="C72" i="25"/>
  <c r="AH71" i="25"/>
  <c r="AG71" i="25"/>
  <c r="U71" i="25"/>
  <c r="T71" i="25"/>
  <c r="S71" i="25"/>
  <c r="R71" i="25" s="1"/>
  <c r="Q71" i="25"/>
  <c r="W71" i="25" s="1"/>
  <c r="P71" i="25"/>
  <c r="C71" i="25"/>
  <c r="AH70" i="25"/>
  <c r="AG70" i="25"/>
  <c r="U70" i="25"/>
  <c r="T70" i="25"/>
  <c r="S70" i="25"/>
  <c r="Q70" i="25"/>
  <c r="W70" i="25" s="1"/>
  <c r="P70" i="25"/>
  <c r="C70" i="25"/>
  <c r="AH69" i="25"/>
  <c r="AG69" i="25"/>
  <c r="U69" i="25"/>
  <c r="T69" i="25" s="1"/>
  <c r="S69" i="25"/>
  <c r="Q69" i="25"/>
  <c r="W69" i="25"/>
  <c r="P69" i="25"/>
  <c r="C69" i="25"/>
  <c r="AH68" i="25"/>
  <c r="AG68" i="25"/>
  <c r="U68" i="25"/>
  <c r="T68" i="25" s="1"/>
  <c r="S68" i="25"/>
  <c r="R68" i="25"/>
  <c r="Q68" i="25"/>
  <c r="W68" i="25"/>
  <c r="P68" i="25"/>
  <c r="C68" i="25"/>
  <c r="AH67" i="25"/>
  <c r="AG67" i="25"/>
  <c r="U67" i="25"/>
  <c r="T67" i="25"/>
  <c r="S67" i="25"/>
  <c r="R67" i="25"/>
  <c r="Q67" i="25"/>
  <c r="W67" i="25"/>
  <c r="P67" i="25"/>
  <c r="C67" i="25"/>
  <c r="AH66" i="25"/>
  <c r="AG66" i="25"/>
  <c r="U66" i="25"/>
  <c r="T66" i="25"/>
  <c r="S66" i="25"/>
  <c r="Q66" i="25"/>
  <c r="W66" i="25" s="1"/>
  <c r="P66" i="25"/>
  <c r="C66" i="25"/>
  <c r="AH65" i="25"/>
  <c r="AG65" i="25"/>
  <c r="U65" i="25"/>
  <c r="T65" i="25" s="1"/>
  <c r="S65" i="25"/>
  <c r="Q65" i="25"/>
  <c r="W65" i="25" s="1"/>
  <c r="P65" i="25"/>
  <c r="C65" i="25"/>
  <c r="AH64" i="25"/>
  <c r="AG64" i="25"/>
  <c r="U64" i="25"/>
  <c r="T64" i="25" s="1"/>
  <c r="S64" i="25"/>
  <c r="R64" i="25" s="1"/>
  <c r="Q64" i="25"/>
  <c r="W64" i="25"/>
  <c r="P64" i="25"/>
  <c r="C64" i="25"/>
  <c r="AH63" i="25"/>
  <c r="AG63" i="25"/>
  <c r="U63" i="25"/>
  <c r="T63" i="25" s="1"/>
  <c r="S63" i="25"/>
  <c r="R63" i="25"/>
  <c r="Q63" i="25"/>
  <c r="W63" i="25"/>
  <c r="P63" i="25"/>
  <c r="C63" i="25"/>
  <c r="AH62" i="25"/>
  <c r="AG62" i="25"/>
  <c r="U62" i="25"/>
  <c r="T62" i="25"/>
  <c r="S62" i="25"/>
  <c r="Q62" i="25"/>
  <c r="W62" i="25"/>
  <c r="P62" i="25"/>
  <c r="C62" i="25"/>
  <c r="AH61" i="25"/>
  <c r="AG61" i="25"/>
  <c r="U61" i="25"/>
  <c r="T61" i="25" s="1"/>
  <c r="S61" i="25"/>
  <c r="Q61" i="25"/>
  <c r="W61" i="25"/>
  <c r="P61" i="25"/>
  <c r="C61" i="25"/>
  <c r="AH60" i="25"/>
  <c r="AG60" i="25"/>
  <c r="U60" i="25"/>
  <c r="T60" i="25"/>
  <c r="S60" i="25"/>
  <c r="R60" i="25"/>
  <c r="Q60" i="25"/>
  <c r="W60" i="25" s="1"/>
  <c r="P60" i="25"/>
  <c r="C60" i="25"/>
  <c r="AH59" i="25"/>
  <c r="AG59" i="25"/>
  <c r="U59" i="25"/>
  <c r="T59" i="25" s="1"/>
  <c r="S59" i="25"/>
  <c r="Q59" i="25"/>
  <c r="W59" i="25" s="1"/>
  <c r="P59" i="25"/>
  <c r="C59" i="25"/>
  <c r="AH58" i="25"/>
  <c r="AG58" i="25"/>
  <c r="U58" i="25"/>
  <c r="T58" i="25" s="1"/>
  <c r="S58" i="25"/>
  <c r="Q58" i="25"/>
  <c r="W58" i="25"/>
  <c r="P58" i="25"/>
  <c r="C58" i="25"/>
  <c r="AH57" i="25"/>
  <c r="AG57" i="25"/>
  <c r="U57" i="25"/>
  <c r="T57" i="25" s="1"/>
  <c r="S57" i="25"/>
  <c r="Q57" i="25"/>
  <c r="W57" i="25" s="1"/>
  <c r="P57" i="25"/>
  <c r="C57" i="25"/>
  <c r="AH56" i="25"/>
  <c r="AG56" i="25"/>
  <c r="U56" i="25"/>
  <c r="T56" i="25" s="1"/>
  <c r="S56" i="25"/>
  <c r="R56" i="25" s="1"/>
  <c r="Q56" i="25"/>
  <c r="W56" i="25"/>
  <c r="P56" i="25"/>
  <c r="C56" i="25"/>
  <c r="AH55" i="25"/>
  <c r="AG55" i="25"/>
  <c r="U55" i="25"/>
  <c r="T55" i="25" s="1"/>
  <c r="S55" i="25"/>
  <c r="Q55" i="25"/>
  <c r="W55" i="25"/>
  <c r="P55" i="25"/>
  <c r="C55" i="25"/>
  <c r="AH54" i="25"/>
  <c r="AG54" i="25"/>
  <c r="U54" i="25"/>
  <c r="T54" i="25"/>
  <c r="S54" i="25"/>
  <c r="Q54" i="25"/>
  <c r="W54" i="25" s="1"/>
  <c r="P54" i="25"/>
  <c r="C54" i="25"/>
  <c r="AH53" i="25"/>
  <c r="AG53" i="25"/>
  <c r="U53" i="25"/>
  <c r="T53" i="25" s="1"/>
  <c r="S53" i="25"/>
  <c r="Q53" i="25"/>
  <c r="W53" i="25" s="1"/>
  <c r="P53" i="25"/>
  <c r="C53" i="25"/>
  <c r="AH52" i="25"/>
  <c r="AG52" i="25"/>
  <c r="U52" i="25"/>
  <c r="S52" i="25"/>
  <c r="R52" i="25" s="1"/>
  <c r="Q52" i="25"/>
  <c r="W52" i="25"/>
  <c r="P52" i="25"/>
  <c r="C52" i="25"/>
  <c r="AH51" i="25"/>
  <c r="AG51" i="25"/>
  <c r="U51" i="25"/>
  <c r="T51" i="25" s="1"/>
  <c r="S51" i="25"/>
  <c r="R51" i="25"/>
  <c r="Q51" i="25"/>
  <c r="W51" i="25"/>
  <c r="P51" i="25"/>
  <c r="C51" i="25"/>
  <c r="AH50" i="25"/>
  <c r="AG50" i="25"/>
  <c r="U50" i="25"/>
  <c r="T50" i="25"/>
  <c r="S50" i="25"/>
  <c r="Q50" i="25"/>
  <c r="W50" i="25" s="1"/>
  <c r="P50" i="25"/>
  <c r="C50" i="25"/>
  <c r="AH49" i="25"/>
  <c r="AG49" i="25"/>
  <c r="U49" i="25"/>
  <c r="T49" i="25" s="1"/>
  <c r="S49" i="25"/>
  <c r="Q49" i="25"/>
  <c r="W49" i="25" s="1"/>
  <c r="P49" i="25"/>
  <c r="C49" i="25"/>
  <c r="AH48" i="25"/>
  <c r="AG48" i="25"/>
  <c r="U48" i="25"/>
  <c r="T48" i="25"/>
  <c r="S48" i="25"/>
  <c r="R48" i="25" s="1"/>
  <c r="Q48" i="25"/>
  <c r="W48" i="25" s="1"/>
  <c r="P48" i="25"/>
  <c r="C48" i="25"/>
  <c r="AH47" i="25"/>
  <c r="AG47" i="25"/>
  <c r="U47" i="25"/>
  <c r="S47" i="25"/>
  <c r="R47" i="25" s="1"/>
  <c r="Q47" i="25"/>
  <c r="W47" i="25"/>
  <c r="P47" i="25"/>
  <c r="C47" i="25"/>
  <c r="AH46" i="25"/>
  <c r="AG46" i="25"/>
  <c r="U46" i="25"/>
  <c r="T46" i="25" s="1"/>
  <c r="S46" i="25"/>
  <c r="Q46" i="25"/>
  <c r="W46" i="25" s="1"/>
  <c r="P46" i="25"/>
  <c r="C46" i="25"/>
  <c r="U45" i="25"/>
  <c r="T45" i="25" s="1"/>
  <c r="S45" i="25"/>
  <c r="Q45" i="25"/>
  <c r="W45" i="25"/>
  <c r="P45" i="25"/>
  <c r="C45" i="25"/>
  <c r="U44" i="25"/>
  <c r="T44" i="25" s="1"/>
  <c r="S44" i="25"/>
  <c r="R44" i="25" s="1"/>
  <c r="Q44" i="25"/>
  <c r="W44" i="25"/>
  <c r="P44" i="25"/>
  <c r="C44" i="25"/>
  <c r="U43" i="25"/>
  <c r="T43" i="25"/>
  <c r="S43" i="25"/>
  <c r="Q43" i="25"/>
  <c r="W43" i="25" s="1"/>
  <c r="P43" i="25"/>
  <c r="C43" i="25"/>
  <c r="U42" i="25"/>
  <c r="T42" i="25" s="1"/>
  <c r="S42" i="25"/>
  <c r="R42" i="25" s="1"/>
  <c r="Q42" i="25"/>
  <c r="W42" i="25" s="1"/>
  <c r="P42" i="25"/>
  <c r="C42" i="25"/>
  <c r="U41" i="25"/>
  <c r="T41" i="25"/>
  <c r="S41" i="25"/>
  <c r="Q41" i="25"/>
  <c r="W41" i="25" s="1"/>
  <c r="P41" i="25"/>
  <c r="C41" i="25"/>
  <c r="U40" i="25"/>
  <c r="T40" i="25"/>
  <c r="S40" i="25"/>
  <c r="Q40" i="25"/>
  <c r="W40" i="25" s="1"/>
  <c r="P40" i="25"/>
  <c r="C40" i="25"/>
  <c r="AH39" i="25"/>
  <c r="AG39" i="25"/>
  <c r="U39" i="25"/>
  <c r="T39" i="25" s="1"/>
  <c r="S39" i="25"/>
  <c r="Q39" i="25"/>
  <c r="W39" i="25" s="1"/>
  <c r="P39" i="25"/>
  <c r="C39" i="25"/>
  <c r="AH38" i="25"/>
  <c r="AG38" i="25"/>
  <c r="U38" i="25"/>
  <c r="T38" i="25" s="1"/>
  <c r="S38" i="25"/>
  <c r="R38" i="25" s="1"/>
  <c r="Q38" i="25"/>
  <c r="W38" i="25"/>
  <c r="P38" i="25"/>
  <c r="C38" i="25"/>
  <c r="AH37" i="25"/>
  <c r="AG37" i="25"/>
  <c r="U37" i="25"/>
  <c r="T37" i="25" s="1"/>
  <c r="S37" i="25"/>
  <c r="R37" i="25"/>
  <c r="Q37" i="25"/>
  <c r="W37" i="25"/>
  <c r="P37" i="25"/>
  <c r="C37" i="25"/>
  <c r="AH36" i="25"/>
  <c r="AG36" i="25"/>
  <c r="U36" i="25"/>
  <c r="T36" i="25"/>
  <c r="S36" i="25"/>
  <c r="Q36" i="25"/>
  <c r="W36" i="25"/>
  <c r="P36" i="25"/>
  <c r="C36" i="25"/>
  <c r="AH35" i="25"/>
  <c r="AG35" i="25"/>
  <c r="U35" i="25"/>
  <c r="T35" i="25" s="1"/>
  <c r="S35" i="25"/>
  <c r="Q35" i="25"/>
  <c r="W35" i="25"/>
  <c r="P35" i="25"/>
  <c r="C35" i="25"/>
  <c r="AH34" i="25"/>
  <c r="AG34" i="25"/>
  <c r="U34" i="25"/>
  <c r="T34" i="25"/>
  <c r="S34" i="25"/>
  <c r="R34" i="25"/>
  <c r="Q34" i="25"/>
  <c r="W34" i="25" s="1"/>
  <c r="P34" i="25"/>
  <c r="C34" i="25"/>
  <c r="AH33" i="25"/>
  <c r="AG33" i="25"/>
  <c r="U33" i="25"/>
  <c r="T33" i="25" s="1"/>
  <c r="S33" i="25"/>
  <c r="R33" i="25" s="1"/>
  <c r="Q33" i="25"/>
  <c r="W33" i="25"/>
  <c r="P33" i="25"/>
  <c r="C33" i="25"/>
  <c r="AH32" i="25"/>
  <c r="AG32" i="25"/>
  <c r="U32" i="25"/>
  <c r="T32" i="25" s="1"/>
  <c r="S32" i="25"/>
  <c r="Q32" i="25"/>
  <c r="W32" i="25" s="1"/>
  <c r="P32" i="25"/>
  <c r="C32" i="25"/>
  <c r="U31" i="25"/>
  <c r="T31" i="25" s="1"/>
  <c r="S31" i="25"/>
  <c r="Q31" i="25"/>
  <c r="W31" i="25"/>
  <c r="P31" i="25"/>
  <c r="C31" i="25"/>
  <c r="U30" i="25"/>
  <c r="T30" i="25" s="1"/>
  <c r="S30" i="25"/>
  <c r="R30" i="25" s="1"/>
  <c r="Q30" i="25"/>
  <c r="W30" i="25"/>
  <c r="P30" i="25"/>
  <c r="C30" i="25"/>
  <c r="U29" i="25"/>
  <c r="T29" i="25" s="1"/>
  <c r="S29" i="25"/>
  <c r="R29" i="25" s="1"/>
  <c r="Q29" i="25"/>
  <c r="W29" i="25"/>
  <c r="P29" i="25"/>
  <c r="C29" i="25"/>
  <c r="AH28" i="25"/>
  <c r="AG28" i="25"/>
  <c r="U28" i="25"/>
  <c r="T28" i="25" s="1"/>
  <c r="S28" i="25"/>
  <c r="Q28" i="25"/>
  <c r="W28" i="25" s="1"/>
  <c r="P28" i="25"/>
  <c r="C28" i="25"/>
  <c r="AH27" i="25"/>
  <c r="AG27" i="25"/>
  <c r="U27" i="25"/>
  <c r="T27" i="25" s="1"/>
  <c r="S27" i="25"/>
  <c r="Q27" i="25"/>
  <c r="W27" i="25"/>
  <c r="P27" i="25"/>
  <c r="C27" i="25"/>
  <c r="AH26" i="25"/>
  <c r="AG26" i="25"/>
  <c r="U26" i="25"/>
  <c r="T26" i="25"/>
  <c r="S26" i="25"/>
  <c r="R26" i="25"/>
  <c r="Q26" i="25"/>
  <c r="W26" i="25" s="1"/>
  <c r="V26" i="25" s="1"/>
  <c r="P26" i="25"/>
  <c r="C26" i="25"/>
  <c r="AH25" i="25"/>
  <c r="AG25" i="25"/>
  <c r="U25" i="25"/>
  <c r="T25" i="25"/>
  <c r="S25" i="25"/>
  <c r="V25" i="25" s="1"/>
  <c r="Q25" i="25"/>
  <c r="W25" i="25" s="1"/>
  <c r="P25" i="25"/>
  <c r="C25" i="25"/>
  <c r="AH24" i="25"/>
  <c r="AG24" i="25"/>
  <c r="U24" i="25"/>
  <c r="T24" i="25"/>
  <c r="S24" i="25"/>
  <c r="V24" i="25" s="1"/>
  <c r="Q24" i="25"/>
  <c r="W24" i="25" s="1"/>
  <c r="P24" i="25"/>
  <c r="C24" i="25"/>
  <c r="AH23" i="25"/>
  <c r="AG23" i="25"/>
  <c r="U23" i="25"/>
  <c r="T23" i="25"/>
  <c r="S23" i="25"/>
  <c r="Q23" i="25"/>
  <c r="W23" i="25" s="1"/>
  <c r="P23" i="25"/>
  <c r="C23" i="25"/>
  <c r="AH22" i="25"/>
  <c r="AG22" i="25"/>
  <c r="U22" i="25"/>
  <c r="T22" i="25" s="1"/>
  <c r="S22" i="25"/>
  <c r="R22" i="25" s="1"/>
  <c r="Q22" i="25"/>
  <c r="W22" i="25" s="1"/>
  <c r="V22" i="25" s="1"/>
  <c r="P22" i="25"/>
  <c r="C22" i="25"/>
  <c r="AH21" i="25"/>
  <c r="AG21" i="25"/>
  <c r="U21" i="25"/>
  <c r="T21" i="25" s="1"/>
  <c r="S21" i="25"/>
  <c r="R21" i="25" s="1"/>
  <c r="Q21" i="25"/>
  <c r="W21" i="25"/>
  <c r="P21" i="25"/>
  <c r="C21" i="25"/>
  <c r="AH20" i="25"/>
  <c r="AG20" i="25"/>
  <c r="U20" i="25"/>
  <c r="T20" i="25" s="1"/>
  <c r="S20" i="25"/>
  <c r="Q20" i="25"/>
  <c r="W20" i="25"/>
  <c r="V20" i="25" s="1"/>
  <c r="P20" i="25"/>
  <c r="C20" i="25"/>
  <c r="AH19" i="25"/>
  <c r="AG19" i="25"/>
  <c r="U19" i="25"/>
  <c r="T19" i="25"/>
  <c r="S19" i="25"/>
  <c r="Q19" i="25"/>
  <c r="W19" i="25" s="1"/>
  <c r="P19" i="25"/>
  <c r="C19" i="25"/>
  <c r="AH18" i="25"/>
  <c r="AG18" i="25"/>
  <c r="U18" i="25"/>
  <c r="T18" i="25" s="1"/>
  <c r="S18" i="25"/>
  <c r="R18" i="25" s="1"/>
  <c r="Q18" i="25"/>
  <c r="W18" i="25" s="1"/>
  <c r="P18" i="25"/>
  <c r="C18" i="25"/>
  <c r="AH17" i="25"/>
  <c r="AG17" i="25"/>
  <c r="U17" i="25"/>
  <c r="T17" i="25" s="1"/>
  <c r="S17" i="25"/>
  <c r="R17" i="25" s="1"/>
  <c r="Q17" i="25"/>
  <c r="W17" i="25" s="1"/>
  <c r="P17" i="25"/>
  <c r="C17" i="25"/>
  <c r="U16" i="25"/>
  <c r="T16" i="25" s="1"/>
  <c r="S16" i="25"/>
  <c r="Q16" i="25"/>
  <c r="W16" i="25"/>
  <c r="P16" i="25"/>
  <c r="C16" i="25"/>
  <c r="U15" i="25"/>
  <c r="T15" i="25" s="1"/>
  <c r="S15" i="25"/>
  <c r="Q15" i="25"/>
  <c r="W15" i="25" s="1"/>
  <c r="P15" i="25"/>
  <c r="C15" i="25"/>
  <c r="U14" i="25"/>
  <c r="T14" i="25"/>
  <c r="S14" i="25"/>
  <c r="R14" i="25" s="1"/>
  <c r="Q14" i="25"/>
  <c r="W14" i="25" s="1"/>
  <c r="P14" i="25"/>
  <c r="C14" i="25"/>
  <c r="AH13" i="25"/>
  <c r="AG13" i="25"/>
  <c r="U13" i="25"/>
  <c r="T13" i="25" s="1"/>
  <c r="S13" i="25"/>
  <c r="Q13" i="25"/>
  <c r="W13" i="25"/>
  <c r="P13" i="25"/>
  <c r="C13" i="25"/>
  <c r="AH12" i="25"/>
  <c r="AG12" i="25"/>
  <c r="U12" i="25"/>
  <c r="T12" i="25" s="1"/>
  <c r="S12" i="25"/>
  <c r="Q12" i="25"/>
  <c r="P12" i="25"/>
  <c r="C12" i="25"/>
  <c r="AH11" i="25"/>
  <c r="AG11" i="25"/>
  <c r="U11" i="25"/>
  <c r="T11" i="25" s="1"/>
  <c r="S11" i="25"/>
  <c r="Q11" i="25"/>
  <c r="W11" i="25" s="1"/>
  <c r="P11" i="25"/>
  <c r="C11" i="25"/>
  <c r="AH10" i="25"/>
  <c r="AG10" i="25"/>
  <c r="U10" i="25"/>
  <c r="T10" i="25" s="1"/>
  <c r="S10" i="25"/>
  <c r="R10" i="25" s="1"/>
  <c r="Q10" i="25"/>
  <c r="W10" i="25"/>
  <c r="P10" i="25"/>
  <c r="C10" i="25"/>
  <c r="AH9" i="25"/>
  <c r="AG9" i="25"/>
  <c r="U9" i="25"/>
  <c r="T9" i="25" s="1"/>
  <c r="S9" i="25"/>
  <c r="Q9" i="25"/>
  <c r="W9" i="25"/>
  <c r="P9" i="25"/>
  <c r="C9" i="25"/>
  <c r="AH8" i="25"/>
  <c r="AG8" i="25"/>
  <c r="U8" i="25"/>
  <c r="T8" i="25"/>
  <c r="S8" i="25"/>
  <c r="Q8" i="25"/>
  <c r="W8" i="25" s="1"/>
  <c r="P8" i="25"/>
  <c r="C8" i="25"/>
  <c r="AH7" i="25"/>
  <c r="AG7" i="25"/>
  <c r="U7" i="25"/>
  <c r="T7" i="25" s="1"/>
  <c r="S7" i="25"/>
  <c r="R7" i="25" s="1"/>
  <c r="Q7" i="25"/>
  <c r="W7" i="25" s="1"/>
  <c r="P7" i="25"/>
  <c r="C7" i="25"/>
  <c r="AH152" i="29"/>
  <c r="AG152" i="29"/>
  <c r="T152" i="29"/>
  <c r="R152" i="29"/>
  <c r="Q152" i="29"/>
  <c r="P152" i="29"/>
  <c r="C152" i="29"/>
  <c r="AH151" i="29"/>
  <c r="AG151" i="29"/>
  <c r="T151" i="29"/>
  <c r="Q151" i="29"/>
  <c r="W151" i="29" s="1"/>
  <c r="V151" i="29" s="1"/>
  <c r="P151" i="29"/>
  <c r="C151" i="29"/>
  <c r="AH150" i="29"/>
  <c r="AG150" i="29"/>
  <c r="T150" i="29"/>
  <c r="Q150" i="29"/>
  <c r="W150" i="29"/>
  <c r="P150" i="29"/>
  <c r="C150" i="29"/>
  <c r="AH149" i="29"/>
  <c r="AG149" i="29"/>
  <c r="R149" i="29"/>
  <c r="Q149" i="29"/>
  <c r="W149" i="29"/>
  <c r="P149" i="29"/>
  <c r="C149" i="29"/>
  <c r="AH148" i="29"/>
  <c r="AG148" i="29"/>
  <c r="T148" i="29"/>
  <c r="R148" i="29"/>
  <c r="Q148" i="29"/>
  <c r="W148" i="29"/>
  <c r="P148" i="29"/>
  <c r="C148" i="29"/>
  <c r="AH147" i="29"/>
  <c r="AG147" i="29"/>
  <c r="T147" i="29"/>
  <c r="Q147" i="29"/>
  <c r="W147" i="29" s="1"/>
  <c r="P147" i="29"/>
  <c r="C147" i="29"/>
  <c r="AH146" i="29"/>
  <c r="AG146" i="29"/>
  <c r="T146" i="29"/>
  <c r="Q146" i="29"/>
  <c r="P146" i="29"/>
  <c r="C146" i="29"/>
  <c r="AH145" i="29"/>
  <c r="AG145" i="29"/>
  <c r="R145" i="29"/>
  <c r="Q145" i="29"/>
  <c r="P145" i="29"/>
  <c r="C145" i="29"/>
  <c r="AH144" i="29"/>
  <c r="AG144" i="29"/>
  <c r="T144" i="29"/>
  <c r="R144" i="29"/>
  <c r="Q144" i="29"/>
  <c r="W144" i="29" s="1"/>
  <c r="P144" i="29"/>
  <c r="C144" i="29"/>
  <c r="AH143" i="29"/>
  <c r="AG143" i="29"/>
  <c r="T143" i="29"/>
  <c r="Q143" i="29"/>
  <c r="W143" i="29" s="1"/>
  <c r="P143" i="29"/>
  <c r="C143" i="29"/>
  <c r="T142" i="29"/>
  <c r="Q142" i="29"/>
  <c r="W142" i="29" s="1"/>
  <c r="P142" i="29"/>
  <c r="C142" i="29"/>
  <c r="R141" i="29"/>
  <c r="Q141" i="29"/>
  <c r="W141" i="29" s="1"/>
  <c r="P141" i="29"/>
  <c r="C141" i="29"/>
  <c r="T140" i="29"/>
  <c r="Q140" i="29"/>
  <c r="W140" i="29"/>
  <c r="P140" i="29"/>
  <c r="C140" i="29"/>
  <c r="R139" i="29"/>
  <c r="Q139" i="29"/>
  <c r="W139" i="29"/>
  <c r="P139" i="29"/>
  <c r="C139" i="29"/>
  <c r="T138" i="29"/>
  <c r="R138" i="29"/>
  <c r="Q138" i="29"/>
  <c r="W138" i="29" s="1"/>
  <c r="P138" i="29"/>
  <c r="C138" i="29"/>
  <c r="T137" i="29"/>
  <c r="Q137" i="29"/>
  <c r="W137" i="29" s="1"/>
  <c r="V137" i="29" s="1"/>
  <c r="P137" i="29"/>
  <c r="C137" i="29"/>
  <c r="AH136" i="29"/>
  <c r="AG136" i="29"/>
  <c r="T136" i="29"/>
  <c r="Q136" i="29"/>
  <c r="W136" i="29"/>
  <c r="P136" i="29"/>
  <c r="C136" i="29"/>
  <c r="AH135" i="29"/>
  <c r="AG135" i="29"/>
  <c r="R135" i="29"/>
  <c r="Q135" i="29"/>
  <c r="W135" i="29" s="1"/>
  <c r="P135" i="29"/>
  <c r="C135" i="29"/>
  <c r="AH134" i="29"/>
  <c r="AG134" i="29"/>
  <c r="T134" i="29"/>
  <c r="R134" i="29"/>
  <c r="Q134" i="29"/>
  <c r="W134" i="29" s="1"/>
  <c r="P134" i="29"/>
  <c r="C134" i="29"/>
  <c r="AH133" i="29"/>
  <c r="AG133" i="29"/>
  <c r="T133" i="29"/>
  <c r="Q133" i="29"/>
  <c r="W133" i="29"/>
  <c r="P133" i="29"/>
  <c r="C133" i="29"/>
  <c r="AH132" i="29"/>
  <c r="AG132" i="29"/>
  <c r="T132" i="29"/>
  <c r="Q132" i="29"/>
  <c r="W132" i="29" s="1"/>
  <c r="P132" i="29"/>
  <c r="C132" i="29"/>
  <c r="AH131" i="29"/>
  <c r="AG131" i="29"/>
  <c r="R131" i="29"/>
  <c r="Q131" i="29"/>
  <c r="W131" i="29" s="1"/>
  <c r="P131" i="29"/>
  <c r="C131" i="29"/>
  <c r="AH130" i="29"/>
  <c r="AG130" i="29"/>
  <c r="T130" i="29"/>
  <c r="R130" i="29"/>
  <c r="Q130" i="29"/>
  <c r="W130" i="29" s="1"/>
  <c r="P130" i="29"/>
  <c r="C130" i="29"/>
  <c r="AH129" i="29"/>
  <c r="AG129" i="29"/>
  <c r="T129" i="29"/>
  <c r="Q129" i="29"/>
  <c r="W129" i="29" s="1"/>
  <c r="P129" i="29"/>
  <c r="C129" i="29"/>
  <c r="AH128" i="29"/>
  <c r="AG128" i="29"/>
  <c r="T128" i="29"/>
  <c r="Q128" i="29"/>
  <c r="W128" i="29" s="1"/>
  <c r="P128" i="29"/>
  <c r="C128" i="29"/>
  <c r="AH127" i="29"/>
  <c r="AG127" i="29"/>
  <c r="R127" i="29"/>
  <c r="Q127" i="29"/>
  <c r="W127" i="29"/>
  <c r="P127" i="29"/>
  <c r="C127" i="29"/>
  <c r="AH126" i="29"/>
  <c r="AG126" i="29"/>
  <c r="T126" i="29"/>
  <c r="R126" i="29"/>
  <c r="Q126" i="29"/>
  <c r="W126" i="29"/>
  <c r="P126" i="29"/>
  <c r="C126" i="29"/>
  <c r="AH125" i="29"/>
  <c r="AG125" i="29"/>
  <c r="T125" i="29"/>
  <c r="Q125" i="29"/>
  <c r="W125" i="29"/>
  <c r="P125" i="29"/>
  <c r="AH124" i="29"/>
  <c r="AG124" i="29"/>
  <c r="T124" i="29"/>
  <c r="Q124" i="29"/>
  <c r="W124" i="29"/>
  <c r="P124" i="29"/>
  <c r="C124" i="29"/>
  <c r="AH123" i="29"/>
  <c r="AG123" i="29"/>
  <c r="T123" i="29"/>
  <c r="Q123" i="29"/>
  <c r="W123" i="29" s="1"/>
  <c r="P123" i="29"/>
  <c r="C123" i="29"/>
  <c r="AH122" i="29"/>
  <c r="AG122" i="29"/>
  <c r="T122" i="29"/>
  <c r="R122" i="29"/>
  <c r="Q122" i="29"/>
  <c r="W122" i="29" s="1"/>
  <c r="P122" i="29"/>
  <c r="C122" i="29"/>
  <c r="AH121" i="29"/>
  <c r="AG121" i="29"/>
  <c r="T121" i="29"/>
  <c r="R121" i="29"/>
  <c r="Q121" i="29"/>
  <c r="W121" i="29" s="1"/>
  <c r="P121" i="29"/>
  <c r="C121" i="29"/>
  <c r="AH120" i="29"/>
  <c r="AG120" i="29"/>
  <c r="T120" i="29"/>
  <c r="Q120" i="29"/>
  <c r="W120" i="29" s="1"/>
  <c r="P120" i="29"/>
  <c r="C120" i="29"/>
  <c r="T119" i="29"/>
  <c r="R119" i="29"/>
  <c r="Q119" i="29"/>
  <c r="W119" i="29" s="1"/>
  <c r="P119" i="29"/>
  <c r="C119" i="29"/>
  <c r="T118" i="29"/>
  <c r="R118" i="29"/>
  <c r="Q118" i="29"/>
  <c r="W118" i="29"/>
  <c r="P118" i="29"/>
  <c r="C118" i="29"/>
  <c r="T117" i="29"/>
  <c r="Q117" i="29"/>
  <c r="W117" i="29" s="1"/>
  <c r="P117" i="29"/>
  <c r="C117" i="29"/>
  <c r="AH116" i="29"/>
  <c r="AG116" i="29"/>
  <c r="T116" i="29"/>
  <c r="R116" i="29"/>
  <c r="Q116" i="29"/>
  <c r="W116" i="29" s="1"/>
  <c r="P116" i="29"/>
  <c r="C116" i="29"/>
  <c r="AH115" i="29"/>
  <c r="AG115" i="29"/>
  <c r="T115" i="29"/>
  <c r="R115" i="29"/>
  <c r="Q115" i="29"/>
  <c r="W115" i="29" s="1"/>
  <c r="P115" i="29"/>
  <c r="C115" i="29"/>
  <c r="AH114" i="29"/>
  <c r="AG114" i="29"/>
  <c r="T114" i="29"/>
  <c r="Q114" i="29"/>
  <c r="W114" i="29" s="1"/>
  <c r="P114" i="29"/>
  <c r="C114" i="29"/>
  <c r="AH113" i="29"/>
  <c r="AG113" i="29"/>
  <c r="T113" i="29"/>
  <c r="Q113" i="29"/>
  <c r="W113" i="29" s="1"/>
  <c r="P113" i="29"/>
  <c r="C113" i="29"/>
  <c r="AH112" i="29"/>
  <c r="AG112" i="29"/>
  <c r="T112" i="29"/>
  <c r="R112" i="29"/>
  <c r="Q112" i="29"/>
  <c r="W112" i="29" s="1"/>
  <c r="V112" i="29" s="1"/>
  <c r="P112" i="29"/>
  <c r="C112" i="29"/>
  <c r="AH111" i="29"/>
  <c r="AG111" i="29"/>
  <c r="T111" i="29"/>
  <c r="R111" i="29"/>
  <c r="Q111" i="29"/>
  <c r="W111" i="29" s="1"/>
  <c r="P111" i="29"/>
  <c r="C111" i="29"/>
  <c r="AH110" i="29"/>
  <c r="AG110" i="29"/>
  <c r="T110" i="29"/>
  <c r="Q110" i="29"/>
  <c r="W110" i="29" s="1"/>
  <c r="P110" i="29"/>
  <c r="C110" i="29"/>
  <c r="T109" i="29"/>
  <c r="R109" i="29"/>
  <c r="Q109" i="29"/>
  <c r="W109" i="29"/>
  <c r="AI109" i="29" s="1"/>
  <c r="P109" i="29"/>
  <c r="C109" i="29"/>
  <c r="T108" i="29"/>
  <c r="R108" i="29"/>
  <c r="Q108" i="29"/>
  <c r="W108" i="29"/>
  <c r="P108" i="29"/>
  <c r="C108" i="29"/>
  <c r="T107" i="29"/>
  <c r="Q107" i="29"/>
  <c r="W107" i="29" s="1"/>
  <c r="P107" i="29"/>
  <c r="C107" i="29"/>
  <c r="T106" i="29"/>
  <c r="R106" i="29"/>
  <c r="Q106" i="29"/>
  <c r="W106" i="29"/>
  <c r="P106" i="29"/>
  <c r="C106" i="29"/>
  <c r="T105" i="29"/>
  <c r="Q105" i="29"/>
  <c r="W105" i="29"/>
  <c r="P105" i="29"/>
  <c r="C105" i="29"/>
  <c r="T104" i="29"/>
  <c r="Q104" i="29"/>
  <c r="W104" i="29" s="1"/>
  <c r="P104" i="29"/>
  <c r="C104" i="29"/>
  <c r="AH103" i="29"/>
  <c r="AG103" i="29"/>
  <c r="T103" i="29"/>
  <c r="R103" i="29"/>
  <c r="Q103" i="29"/>
  <c r="W103" i="29" s="1"/>
  <c r="P103" i="29"/>
  <c r="C103" i="29"/>
  <c r="AH102" i="29"/>
  <c r="AG102" i="29"/>
  <c r="T102" i="29"/>
  <c r="R102" i="29"/>
  <c r="Q102" i="29"/>
  <c r="W102" i="29" s="1"/>
  <c r="P102" i="29"/>
  <c r="C102" i="29"/>
  <c r="AH101" i="29"/>
  <c r="AG101" i="29"/>
  <c r="T101" i="29"/>
  <c r="Q101" i="29"/>
  <c r="W101" i="29" s="1"/>
  <c r="V101" i="29" s="1"/>
  <c r="P101" i="29"/>
  <c r="C101" i="29"/>
  <c r="AH100" i="29"/>
  <c r="AG100" i="29"/>
  <c r="T100" i="29"/>
  <c r="R100" i="29"/>
  <c r="Q100" i="29"/>
  <c r="W100" i="29" s="1"/>
  <c r="AI100" i="29" s="1"/>
  <c r="P100" i="29"/>
  <c r="C100" i="29"/>
  <c r="AH99" i="29"/>
  <c r="AG99" i="29"/>
  <c r="T99" i="29"/>
  <c r="R99" i="29"/>
  <c r="Q99" i="29"/>
  <c r="W99" i="29" s="1"/>
  <c r="P99" i="29"/>
  <c r="C99" i="29"/>
  <c r="AH98" i="29"/>
  <c r="AG98" i="29"/>
  <c r="T98" i="29"/>
  <c r="Q98" i="29"/>
  <c r="W98" i="29" s="1"/>
  <c r="P98" i="29"/>
  <c r="C98" i="29"/>
  <c r="AH97" i="29"/>
  <c r="AG97" i="29"/>
  <c r="T97" i="29"/>
  <c r="Q97" i="29"/>
  <c r="W97" i="29"/>
  <c r="P97" i="29"/>
  <c r="C97" i="29"/>
  <c r="AH96" i="29"/>
  <c r="AG96" i="29"/>
  <c r="T96" i="29"/>
  <c r="R96" i="29"/>
  <c r="Q96" i="29"/>
  <c r="W96" i="29"/>
  <c r="P96" i="29"/>
  <c r="C96" i="29"/>
  <c r="AH95" i="29"/>
  <c r="AG95" i="29"/>
  <c r="T95" i="29"/>
  <c r="Q95" i="29"/>
  <c r="W95" i="29" s="1"/>
  <c r="P95" i="29"/>
  <c r="C95" i="29"/>
  <c r="AH94" i="29"/>
  <c r="AG94" i="29"/>
  <c r="T94" i="29"/>
  <c r="Q94" i="29"/>
  <c r="W94" i="29"/>
  <c r="P94" i="29"/>
  <c r="C94" i="29"/>
  <c r="AH93" i="29"/>
  <c r="AG93" i="29"/>
  <c r="T93" i="29"/>
  <c r="R93" i="29"/>
  <c r="Q93" i="29"/>
  <c r="W93" i="29"/>
  <c r="P93" i="29"/>
  <c r="C93" i="29"/>
  <c r="AH92" i="29"/>
  <c r="AG92" i="29"/>
  <c r="T92" i="29"/>
  <c r="Q92" i="29"/>
  <c r="W92" i="29" s="1"/>
  <c r="P92" i="29"/>
  <c r="C92" i="29"/>
  <c r="AH91" i="29"/>
  <c r="AG91" i="29"/>
  <c r="T91" i="29"/>
  <c r="Q91" i="29"/>
  <c r="W91" i="29" s="1"/>
  <c r="P91" i="29"/>
  <c r="C91" i="29"/>
  <c r="AH90" i="29"/>
  <c r="AG90" i="29"/>
  <c r="T90" i="29"/>
  <c r="R90" i="29"/>
  <c r="Q90" i="29"/>
  <c r="W90" i="29" s="1"/>
  <c r="P90" i="29"/>
  <c r="C90" i="29"/>
  <c r="AH89" i="29"/>
  <c r="AG89" i="29"/>
  <c r="T89" i="29"/>
  <c r="R89" i="29"/>
  <c r="Q89" i="29"/>
  <c r="W89" i="29" s="1"/>
  <c r="P89" i="29"/>
  <c r="C89" i="29"/>
  <c r="AH88" i="29"/>
  <c r="AG88" i="29"/>
  <c r="T88" i="29"/>
  <c r="Q88" i="29"/>
  <c r="W88" i="29" s="1"/>
  <c r="P88" i="29"/>
  <c r="C88" i="29"/>
  <c r="AH87" i="29"/>
  <c r="AG87" i="29"/>
  <c r="T87" i="29"/>
  <c r="Q87" i="29"/>
  <c r="W87" i="29"/>
  <c r="P87" i="29"/>
  <c r="C87" i="29"/>
  <c r="AH86" i="29"/>
  <c r="AG86" i="29"/>
  <c r="T86" i="29"/>
  <c r="R86" i="29"/>
  <c r="Q86" i="29"/>
  <c r="W86" i="29"/>
  <c r="V86" i="29" s="1"/>
  <c r="P86" i="29"/>
  <c r="C86" i="29"/>
  <c r="AH85" i="29"/>
  <c r="AG85" i="29"/>
  <c r="T85" i="29"/>
  <c r="R85" i="29"/>
  <c r="Q85" i="29"/>
  <c r="W85" i="29"/>
  <c r="P85" i="29"/>
  <c r="C85" i="29"/>
  <c r="AH84" i="29"/>
  <c r="AG84" i="29"/>
  <c r="T84" i="29"/>
  <c r="Q84" i="29"/>
  <c r="W84" i="29"/>
  <c r="P84" i="29"/>
  <c r="C84" i="29"/>
  <c r="AH83" i="29"/>
  <c r="AG83" i="29"/>
  <c r="T83" i="29"/>
  <c r="R83" i="29"/>
  <c r="Q83" i="29"/>
  <c r="W83" i="29"/>
  <c r="P83" i="29"/>
  <c r="C83" i="29"/>
  <c r="AH82" i="29"/>
  <c r="AG82" i="29"/>
  <c r="T82" i="29"/>
  <c r="R82" i="29"/>
  <c r="Q82" i="29"/>
  <c r="W82" i="29"/>
  <c r="P82" i="29"/>
  <c r="C82" i="29"/>
  <c r="AH81" i="29"/>
  <c r="AG81" i="29"/>
  <c r="T81" i="29"/>
  <c r="Q81" i="29"/>
  <c r="W81" i="29"/>
  <c r="P81" i="29"/>
  <c r="C81" i="29"/>
  <c r="AH80" i="29"/>
  <c r="AG80" i="29"/>
  <c r="T80" i="29"/>
  <c r="R80" i="29"/>
  <c r="Q80" i="29"/>
  <c r="W80" i="29"/>
  <c r="P80" i="29"/>
  <c r="C80" i="29"/>
  <c r="AH79" i="29"/>
  <c r="AG79" i="29"/>
  <c r="T79" i="29"/>
  <c r="R79" i="29"/>
  <c r="Q79" i="29"/>
  <c r="W79" i="29"/>
  <c r="P79" i="29"/>
  <c r="C79" i="29"/>
  <c r="AH78" i="29"/>
  <c r="AG78" i="29"/>
  <c r="T78" i="29"/>
  <c r="Q78" i="29"/>
  <c r="W78" i="29" s="1"/>
  <c r="P78" i="29"/>
  <c r="C78" i="29"/>
  <c r="AH77" i="29"/>
  <c r="AG77" i="29"/>
  <c r="T77" i="29"/>
  <c r="Q77" i="29"/>
  <c r="W77" i="29"/>
  <c r="P77" i="29"/>
  <c r="C77" i="29"/>
  <c r="AH76" i="29"/>
  <c r="AG76" i="29"/>
  <c r="T76" i="29"/>
  <c r="R76" i="29"/>
  <c r="Q76" i="29"/>
  <c r="W76" i="29"/>
  <c r="P76" i="29"/>
  <c r="C76" i="29"/>
  <c r="AH75" i="29"/>
  <c r="AG75" i="29"/>
  <c r="T75" i="29"/>
  <c r="R75" i="29"/>
  <c r="Q75" i="29"/>
  <c r="W75" i="29"/>
  <c r="P75" i="29"/>
  <c r="C75" i="29"/>
  <c r="AH74" i="29"/>
  <c r="AG74" i="29"/>
  <c r="T74" i="29"/>
  <c r="Q74" i="29"/>
  <c r="W74" i="29" s="1"/>
  <c r="P74" i="29"/>
  <c r="C74" i="29"/>
  <c r="AH73" i="29"/>
  <c r="AG73" i="29"/>
  <c r="T73" i="29"/>
  <c r="Q73" i="29"/>
  <c r="W73" i="29" s="1"/>
  <c r="P73" i="29"/>
  <c r="C73" i="29"/>
  <c r="AH72" i="29"/>
  <c r="AG72" i="29"/>
  <c r="T72" i="29"/>
  <c r="R72" i="29"/>
  <c r="Q72" i="29"/>
  <c r="W72" i="29" s="1"/>
  <c r="P72" i="29"/>
  <c r="C72" i="29"/>
  <c r="AH71" i="29"/>
  <c r="AG71" i="29"/>
  <c r="T71" i="29"/>
  <c r="R71" i="29"/>
  <c r="Q71" i="29"/>
  <c r="W71" i="29" s="1"/>
  <c r="P71" i="29"/>
  <c r="C71" i="29"/>
  <c r="AH70" i="29"/>
  <c r="AG70" i="29"/>
  <c r="T70" i="29"/>
  <c r="Q70" i="29"/>
  <c r="W70" i="29"/>
  <c r="P70" i="29"/>
  <c r="C70" i="29"/>
  <c r="AH69" i="29"/>
  <c r="AG69" i="29"/>
  <c r="T69" i="29"/>
  <c r="Q69" i="29"/>
  <c r="W69" i="29"/>
  <c r="P69" i="29"/>
  <c r="C69" i="29"/>
  <c r="AH68" i="29"/>
  <c r="AG68" i="29"/>
  <c r="T68" i="29"/>
  <c r="R68" i="29"/>
  <c r="Q68" i="29"/>
  <c r="W68" i="29"/>
  <c r="P68" i="29"/>
  <c r="C68" i="29"/>
  <c r="AH67" i="29"/>
  <c r="AG67" i="29"/>
  <c r="T67" i="29"/>
  <c r="R67" i="29"/>
  <c r="Q67" i="29"/>
  <c r="W67" i="29"/>
  <c r="P67" i="29"/>
  <c r="C67" i="29"/>
  <c r="AH66" i="29"/>
  <c r="AG66" i="29"/>
  <c r="T66" i="29"/>
  <c r="Q66" i="29"/>
  <c r="W66" i="29" s="1"/>
  <c r="V66" i="29" s="1"/>
  <c r="P66" i="29"/>
  <c r="C66" i="29"/>
  <c r="AH65" i="29"/>
  <c r="AG65" i="29"/>
  <c r="T65" i="29"/>
  <c r="Q65" i="29"/>
  <c r="W65" i="29"/>
  <c r="P65" i="29"/>
  <c r="C65" i="29"/>
  <c r="AH64" i="29"/>
  <c r="AG64" i="29"/>
  <c r="T64" i="29"/>
  <c r="R64" i="29"/>
  <c r="Q64" i="29"/>
  <c r="W64" i="29"/>
  <c r="P64" i="29"/>
  <c r="C64" i="29"/>
  <c r="AH63" i="29"/>
  <c r="AG63" i="29"/>
  <c r="T63" i="29"/>
  <c r="R63" i="29"/>
  <c r="Q63" i="29"/>
  <c r="W63" i="29"/>
  <c r="P63" i="29"/>
  <c r="C63" i="29"/>
  <c r="AH62" i="29"/>
  <c r="AG62" i="29"/>
  <c r="T62" i="29"/>
  <c r="Q62" i="29"/>
  <c r="W62" i="29" s="1"/>
  <c r="P62" i="29"/>
  <c r="C62" i="29"/>
  <c r="AH61" i="29"/>
  <c r="AG61" i="29"/>
  <c r="T61" i="29"/>
  <c r="Q61" i="29"/>
  <c r="W61" i="29"/>
  <c r="P61" i="29"/>
  <c r="C61" i="29"/>
  <c r="AH60" i="29"/>
  <c r="AG60" i="29"/>
  <c r="T60" i="29"/>
  <c r="R60" i="29"/>
  <c r="Q60" i="29"/>
  <c r="W60" i="29"/>
  <c r="P60" i="29"/>
  <c r="C60" i="29"/>
  <c r="AH59" i="29"/>
  <c r="AG59" i="29"/>
  <c r="T59" i="29"/>
  <c r="R59" i="29"/>
  <c r="Q59" i="29"/>
  <c r="W59" i="29"/>
  <c r="P59" i="29"/>
  <c r="C59" i="29"/>
  <c r="AH58" i="29"/>
  <c r="AG58" i="29"/>
  <c r="T58" i="29"/>
  <c r="Q58" i="29"/>
  <c r="W58" i="29" s="1"/>
  <c r="P58" i="29"/>
  <c r="C58" i="29"/>
  <c r="AH57" i="29"/>
  <c r="AG57" i="29"/>
  <c r="T57" i="29"/>
  <c r="Q57" i="29"/>
  <c r="W57" i="29" s="1"/>
  <c r="P57" i="29"/>
  <c r="C57" i="29"/>
  <c r="AH56" i="29"/>
  <c r="AG56" i="29"/>
  <c r="T56" i="29"/>
  <c r="R56" i="29"/>
  <c r="Q56" i="29"/>
  <c r="W56" i="29" s="1"/>
  <c r="P56" i="29"/>
  <c r="C56" i="29"/>
  <c r="AH55" i="29"/>
  <c r="AG55" i="29"/>
  <c r="T55" i="29"/>
  <c r="R55" i="29"/>
  <c r="Q55" i="29"/>
  <c r="W55" i="29" s="1"/>
  <c r="P55" i="29"/>
  <c r="C55" i="29"/>
  <c r="AH54" i="29"/>
  <c r="AG54" i="29"/>
  <c r="T54" i="29"/>
  <c r="Q54" i="29"/>
  <c r="W54" i="29"/>
  <c r="P54" i="29"/>
  <c r="C54" i="29"/>
  <c r="AH53" i="29"/>
  <c r="AG53" i="29"/>
  <c r="T53" i="29"/>
  <c r="Q53" i="29"/>
  <c r="W53" i="29" s="1"/>
  <c r="P53" i="29"/>
  <c r="C53" i="29"/>
  <c r="AH52" i="29"/>
  <c r="AG52" i="29"/>
  <c r="T52" i="29"/>
  <c r="R52" i="29"/>
  <c r="Q52" i="29"/>
  <c r="W52" i="29" s="1"/>
  <c r="P52" i="29"/>
  <c r="C52" i="29"/>
  <c r="AH51" i="29"/>
  <c r="AG51" i="29"/>
  <c r="T51" i="29"/>
  <c r="R51" i="29"/>
  <c r="Q51" i="29"/>
  <c r="W51" i="29" s="1"/>
  <c r="P51" i="29"/>
  <c r="C51" i="29"/>
  <c r="AH50" i="29"/>
  <c r="AG50" i="29"/>
  <c r="T50" i="29"/>
  <c r="Q50" i="29"/>
  <c r="W50" i="29" s="1"/>
  <c r="V50" i="29" s="1"/>
  <c r="P50" i="29"/>
  <c r="C50" i="29"/>
  <c r="AH49" i="29"/>
  <c r="AG49" i="29"/>
  <c r="T49" i="29"/>
  <c r="Q49" i="29"/>
  <c r="W49" i="29"/>
  <c r="P49" i="29"/>
  <c r="C49" i="29"/>
  <c r="AH48" i="29"/>
  <c r="AG48" i="29"/>
  <c r="T48" i="29"/>
  <c r="R48" i="29"/>
  <c r="Q48" i="29"/>
  <c r="W48" i="29"/>
  <c r="P48" i="29"/>
  <c r="C48" i="29"/>
  <c r="AH47" i="29"/>
  <c r="AG47" i="29"/>
  <c r="T47" i="29"/>
  <c r="R47" i="29"/>
  <c r="Q47" i="29"/>
  <c r="W47" i="29"/>
  <c r="P47" i="29"/>
  <c r="C47" i="29"/>
  <c r="AH46" i="29"/>
  <c r="AG46" i="29"/>
  <c r="T46" i="29"/>
  <c r="Q46" i="29"/>
  <c r="W46" i="29" s="1"/>
  <c r="P46" i="29"/>
  <c r="C46" i="29"/>
  <c r="T45" i="29"/>
  <c r="Q45" i="29"/>
  <c r="W45" i="29"/>
  <c r="P45" i="29"/>
  <c r="C45" i="29"/>
  <c r="T44" i="29"/>
  <c r="R44" i="29"/>
  <c r="Q44" i="29"/>
  <c r="W44" i="29" s="1"/>
  <c r="P44" i="29"/>
  <c r="C44" i="29"/>
  <c r="T43" i="29"/>
  <c r="R43" i="29"/>
  <c r="Q43" i="29"/>
  <c r="W43" i="29"/>
  <c r="P43" i="29"/>
  <c r="C43" i="29"/>
  <c r="T42" i="29"/>
  <c r="Q42" i="29"/>
  <c r="W42" i="29" s="1"/>
  <c r="P42" i="29"/>
  <c r="C42" i="29"/>
  <c r="T41" i="29"/>
  <c r="Q41" i="29"/>
  <c r="W41" i="29"/>
  <c r="P41" i="29"/>
  <c r="C41" i="29"/>
  <c r="T40" i="29"/>
  <c r="R40" i="29"/>
  <c r="Q40" i="29"/>
  <c r="W40" i="29"/>
  <c r="P40" i="29"/>
  <c r="C40" i="29"/>
  <c r="AH39" i="29"/>
  <c r="AG39" i="29"/>
  <c r="T39" i="29"/>
  <c r="R39" i="29"/>
  <c r="Q39" i="29"/>
  <c r="W39" i="29"/>
  <c r="P39" i="29"/>
  <c r="C39" i="29"/>
  <c r="AH38" i="29"/>
  <c r="AG38" i="29"/>
  <c r="T38" i="29"/>
  <c r="Q38" i="29"/>
  <c r="W38" i="29" s="1"/>
  <c r="P38" i="29"/>
  <c r="C38" i="29"/>
  <c r="AH37" i="29"/>
  <c r="AG37" i="29"/>
  <c r="T37" i="29"/>
  <c r="Q37" i="29"/>
  <c r="W37" i="29"/>
  <c r="P37" i="29"/>
  <c r="C37" i="29"/>
  <c r="AH36" i="29"/>
  <c r="AG36" i="29"/>
  <c r="T36" i="29"/>
  <c r="R36" i="29"/>
  <c r="Q36" i="29"/>
  <c r="W36" i="29"/>
  <c r="P36" i="29"/>
  <c r="C36" i="29"/>
  <c r="AH35" i="29"/>
  <c r="AG35" i="29"/>
  <c r="T35" i="29"/>
  <c r="R35" i="29"/>
  <c r="Q35" i="29"/>
  <c r="W35" i="29"/>
  <c r="P35" i="29"/>
  <c r="C35" i="29"/>
  <c r="AH34" i="29"/>
  <c r="AG34" i="29"/>
  <c r="T34" i="29"/>
  <c r="Q34" i="29"/>
  <c r="W34" i="29" s="1"/>
  <c r="P34" i="29"/>
  <c r="C34" i="29"/>
  <c r="AH33" i="29"/>
  <c r="AG33" i="29"/>
  <c r="T33" i="29"/>
  <c r="Q33" i="29"/>
  <c r="W33" i="29"/>
  <c r="P33" i="29"/>
  <c r="C33" i="29"/>
  <c r="AH32" i="29"/>
  <c r="AG32" i="29"/>
  <c r="T32" i="29"/>
  <c r="R32" i="29"/>
  <c r="Q32" i="29"/>
  <c r="W32" i="29"/>
  <c r="P32" i="29"/>
  <c r="C32" i="29"/>
  <c r="T31" i="29"/>
  <c r="R31" i="29"/>
  <c r="Q31" i="29"/>
  <c r="W31" i="29" s="1"/>
  <c r="P31" i="29"/>
  <c r="C31" i="29"/>
  <c r="T30" i="29"/>
  <c r="Q30" i="29"/>
  <c r="W30" i="29" s="1"/>
  <c r="P30" i="29"/>
  <c r="C30" i="29"/>
  <c r="T29" i="29"/>
  <c r="Q29" i="29"/>
  <c r="W29" i="29"/>
  <c r="P29" i="29"/>
  <c r="C29" i="29"/>
  <c r="AH28" i="29"/>
  <c r="AG28" i="29"/>
  <c r="T28" i="29"/>
  <c r="R28" i="29"/>
  <c r="Q28" i="29"/>
  <c r="W28" i="29"/>
  <c r="P28" i="29"/>
  <c r="C28" i="29"/>
  <c r="AH27" i="29"/>
  <c r="AG27" i="29"/>
  <c r="T27" i="29"/>
  <c r="R27" i="29"/>
  <c r="Q27" i="29"/>
  <c r="W27" i="29"/>
  <c r="P27" i="29"/>
  <c r="C27" i="29"/>
  <c r="AH26" i="29"/>
  <c r="AG26" i="29"/>
  <c r="T26" i="29"/>
  <c r="Q26" i="29"/>
  <c r="W26" i="29" s="1"/>
  <c r="P26" i="29"/>
  <c r="C26" i="29"/>
  <c r="AH25" i="29"/>
  <c r="AG25" i="29"/>
  <c r="T25" i="29"/>
  <c r="Q25" i="29"/>
  <c r="W25" i="29" s="1"/>
  <c r="P25" i="29"/>
  <c r="C25" i="29"/>
  <c r="AH24" i="29"/>
  <c r="AG24" i="29"/>
  <c r="T24" i="29"/>
  <c r="R24" i="29"/>
  <c r="Q24" i="29"/>
  <c r="W24" i="29" s="1"/>
  <c r="P24" i="29"/>
  <c r="C24" i="29"/>
  <c r="AH23" i="29"/>
  <c r="AG23" i="29"/>
  <c r="T23" i="29"/>
  <c r="R23" i="29"/>
  <c r="Q23" i="29"/>
  <c r="W23" i="29" s="1"/>
  <c r="P23" i="29"/>
  <c r="C23" i="29"/>
  <c r="AH22" i="29"/>
  <c r="AG22" i="29"/>
  <c r="T22" i="29"/>
  <c r="Q22" i="29"/>
  <c r="W22" i="29"/>
  <c r="P22" i="29"/>
  <c r="C22" i="29"/>
  <c r="AH21" i="29"/>
  <c r="AG21" i="29"/>
  <c r="T21" i="29"/>
  <c r="Q21" i="29"/>
  <c r="W21" i="29"/>
  <c r="P21" i="29"/>
  <c r="C21" i="29"/>
  <c r="AH20" i="29"/>
  <c r="AG20" i="29"/>
  <c r="T20" i="29"/>
  <c r="R20" i="29"/>
  <c r="Q20" i="29"/>
  <c r="W20" i="29"/>
  <c r="P20" i="29"/>
  <c r="C20" i="29"/>
  <c r="AH19" i="29"/>
  <c r="AG19" i="29"/>
  <c r="T19" i="29"/>
  <c r="R19" i="29"/>
  <c r="Q19" i="29"/>
  <c r="W19" i="29"/>
  <c r="P19" i="29"/>
  <c r="C19" i="29"/>
  <c r="AH18" i="29"/>
  <c r="AG18" i="29"/>
  <c r="T18" i="29"/>
  <c r="Q18" i="29"/>
  <c r="W18" i="29" s="1"/>
  <c r="P18" i="29"/>
  <c r="C18" i="29"/>
  <c r="AH17" i="29"/>
  <c r="AG17" i="29"/>
  <c r="T17" i="29"/>
  <c r="Q17" i="29"/>
  <c r="W17" i="29"/>
  <c r="V17" i="29" s="1"/>
  <c r="P17" i="29"/>
  <c r="C17" i="29"/>
  <c r="T16" i="29"/>
  <c r="R16" i="29"/>
  <c r="Q16" i="29"/>
  <c r="W16" i="29" s="1"/>
  <c r="P16" i="29"/>
  <c r="C16" i="29"/>
  <c r="T15" i="29"/>
  <c r="R15" i="29"/>
  <c r="Q15" i="29"/>
  <c r="W15" i="29"/>
  <c r="P15" i="29"/>
  <c r="C15" i="29"/>
  <c r="T14" i="29"/>
  <c r="Q14" i="29"/>
  <c r="W14" i="29" s="1"/>
  <c r="P14" i="29"/>
  <c r="C14" i="29"/>
  <c r="AH13" i="29"/>
  <c r="AG13" i="29"/>
  <c r="T13" i="29"/>
  <c r="Q13" i="29"/>
  <c r="W13" i="29"/>
  <c r="P13" i="29"/>
  <c r="C13" i="29"/>
  <c r="AH12" i="29"/>
  <c r="AG12" i="29"/>
  <c r="T12" i="29"/>
  <c r="R12" i="29"/>
  <c r="Q12" i="29"/>
  <c r="P12" i="29"/>
  <c r="C12" i="29"/>
  <c r="AH11" i="29"/>
  <c r="AG11" i="29"/>
  <c r="T11" i="29"/>
  <c r="R11" i="29"/>
  <c r="Q11" i="29"/>
  <c r="W11" i="29" s="1"/>
  <c r="P11" i="29"/>
  <c r="C11" i="29"/>
  <c r="AH10" i="29"/>
  <c r="AG10" i="29"/>
  <c r="T10" i="29"/>
  <c r="Q10" i="29"/>
  <c r="W10" i="29"/>
  <c r="P10" i="29"/>
  <c r="C10" i="29"/>
  <c r="AH7" i="29"/>
  <c r="AG7" i="29"/>
  <c r="U7" i="29"/>
  <c r="T7" i="29" s="1"/>
  <c r="S7" i="29"/>
  <c r="R7" i="29"/>
  <c r="Q7" i="29"/>
  <c r="W7" i="29"/>
  <c r="P7" i="29"/>
  <c r="C7" i="29"/>
  <c r="AI149" i="31"/>
  <c r="AH149" i="31"/>
  <c r="V149" i="31"/>
  <c r="U149" i="31"/>
  <c r="T149" i="31"/>
  <c r="R149" i="31"/>
  <c r="P149" i="31"/>
  <c r="Q149" i="31"/>
  <c r="C149" i="31"/>
  <c r="AI148" i="31"/>
  <c r="AH148" i="31"/>
  <c r="V148" i="31"/>
  <c r="U148" i="31" s="1"/>
  <c r="T148" i="31"/>
  <c r="S148" i="31" s="1"/>
  <c r="R148" i="31"/>
  <c r="P148" i="31"/>
  <c r="Q148" i="31"/>
  <c r="C148" i="31"/>
  <c r="AI147" i="31"/>
  <c r="AH147" i="31"/>
  <c r="V147" i="31"/>
  <c r="U147" i="31" s="1"/>
  <c r="T147" i="31"/>
  <c r="R147" i="31"/>
  <c r="X147" i="31"/>
  <c r="P147" i="31"/>
  <c r="Q147" i="31" s="1"/>
  <c r="C147" i="31"/>
  <c r="AI146" i="31"/>
  <c r="AH146" i="31"/>
  <c r="V146" i="31"/>
  <c r="U146" i="31" s="1"/>
  <c r="T146" i="31"/>
  <c r="S146" i="31"/>
  <c r="R146" i="31"/>
  <c r="X146" i="31" s="1"/>
  <c r="P146" i="31"/>
  <c r="Q146" i="31" s="1"/>
  <c r="C146" i="31"/>
  <c r="AI145" i="31"/>
  <c r="AH145" i="31"/>
  <c r="V145" i="31"/>
  <c r="U145" i="31"/>
  <c r="T145" i="31"/>
  <c r="R145" i="31"/>
  <c r="X145" i="31" s="1"/>
  <c r="P145" i="31"/>
  <c r="Q145" i="31"/>
  <c r="C145" i="31"/>
  <c r="AI144" i="31"/>
  <c r="AH144" i="31"/>
  <c r="V144" i="31"/>
  <c r="U144" i="31"/>
  <c r="T144" i="31"/>
  <c r="S144" i="31"/>
  <c r="R144" i="31"/>
  <c r="X144" i="31"/>
  <c r="W144" i="31" s="1"/>
  <c r="P144" i="31"/>
  <c r="Q144" i="31" s="1"/>
  <c r="C144" i="31"/>
  <c r="AI143" i="31"/>
  <c r="AH143" i="31"/>
  <c r="V143" i="31"/>
  <c r="U143" i="31"/>
  <c r="T143" i="31"/>
  <c r="R143" i="31"/>
  <c r="X143" i="31" s="1"/>
  <c r="W143" i="31" s="1"/>
  <c r="P143" i="31"/>
  <c r="Q143" i="31"/>
  <c r="C143" i="31"/>
  <c r="AI142" i="31"/>
  <c r="AH142" i="31"/>
  <c r="V142" i="31"/>
  <c r="U142" i="31" s="1"/>
  <c r="T142" i="31"/>
  <c r="S142" i="31"/>
  <c r="R142" i="31"/>
  <c r="P142" i="31"/>
  <c r="Q142" i="31"/>
  <c r="C142" i="31"/>
  <c r="AI141" i="31"/>
  <c r="AH141" i="31"/>
  <c r="V141" i="31"/>
  <c r="U141" i="31"/>
  <c r="T141" i="31"/>
  <c r="R141" i="31"/>
  <c r="X141" i="31"/>
  <c r="P141" i="31"/>
  <c r="Q141" i="31"/>
  <c r="C141" i="31"/>
  <c r="AI140" i="31"/>
  <c r="AH140" i="31"/>
  <c r="V140" i="31"/>
  <c r="U140" i="31" s="1"/>
  <c r="T140" i="31"/>
  <c r="S140" i="31" s="1"/>
  <c r="R140" i="31"/>
  <c r="X140" i="31"/>
  <c r="P140" i="31"/>
  <c r="Q140" i="31" s="1"/>
  <c r="C140" i="31"/>
  <c r="V139" i="31"/>
  <c r="U139" i="31" s="1"/>
  <c r="T139" i="31"/>
  <c r="R139" i="31"/>
  <c r="X139" i="31"/>
  <c r="P139" i="31"/>
  <c r="C139" i="31"/>
  <c r="V138" i="31"/>
  <c r="U138" i="31"/>
  <c r="T138" i="31"/>
  <c r="S138" i="31" s="1"/>
  <c r="R138" i="31"/>
  <c r="X138" i="31"/>
  <c r="P138" i="31"/>
  <c r="C138" i="31"/>
  <c r="V137" i="31"/>
  <c r="U137" i="31"/>
  <c r="T137" i="31"/>
  <c r="R137" i="31"/>
  <c r="X137" i="31"/>
  <c r="P137" i="31"/>
  <c r="C137" i="31"/>
  <c r="V136" i="31"/>
  <c r="U136" i="31"/>
  <c r="T136" i="31"/>
  <c r="R136" i="31"/>
  <c r="X136" i="31" s="1"/>
  <c r="P136" i="31"/>
  <c r="C136" i="31"/>
  <c r="V135" i="31"/>
  <c r="U135" i="31" s="1"/>
  <c r="T135" i="31"/>
  <c r="S135" i="31"/>
  <c r="R135" i="31"/>
  <c r="X135" i="31" s="1"/>
  <c r="P135" i="31"/>
  <c r="C135" i="31"/>
  <c r="V134" i="31"/>
  <c r="U134" i="31" s="1"/>
  <c r="T134" i="31"/>
  <c r="R134" i="31"/>
  <c r="X134" i="31" s="1"/>
  <c r="P134" i="31"/>
  <c r="C134" i="31"/>
  <c r="AI133" i="31"/>
  <c r="AH133" i="31"/>
  <c r="V133" i="31"/>
  <c r="U133" i="31"/>
  <c r="T133" i="31"/>
  <c r="R133" i="31"/>
  <c r="X133" i="31"/>
  <c r="P133" i="31"/>
  <c r="Q133" i="31" s="1"/>
  <c r="C133" i="31"/>
  <c r="AI132" i="31"/>
  <c r="AH132" i="31"/>
  <c r="V132" i="31"/>
  <c r="U132" i="31" s="1"/>
  <c r="T132" i="31"/>
  <c r="R132" i="31"/>
  <c r="X132" i="31" s="1"/>
  <c r="P132" i="31"/>
  <c r="Q132" i="31"/>
  <c r="C132" i="31"/>
  <c r="AI131" i="31"/>
  <c r="AH131" i="31"/>
  <c r="V131" i="31"/>
  <c r="U131" i="31"/>
  <c r="T131" i="31"/>
  <c r="S131" i="31" s="1"/>
  <c r="R131" i="31"/>
  <c r="X131" i="31"/>
  <c r="P131" i="31"/>
  <c r="Q131" i="31" s="1"/>
  <c r="C131" i="31"/>
  <c r="AI130" i="31"/>
  <c r="AH130" i="31"/>
  <c r="V130" i="31"/>
  <c r="U130" i="31"/>
  <c r="T130" i="31"/>
  <c r="R130" i="31"/>
  <c r="X130" i="31" s="1"/>
  <c r="P130" i="31"/>
  <c r="Q130" i="31"/>
  <c r="C130" i="31"/>
  <c r="AI129" i="31"/>
  <c r="AH129" i="31"/>
  <c r="V129" i="31"/>
  <c r="U129" i="31" s="1"/>
  <c r="T129" i="31"/>
  <c r="S129" i="31"/>
  <c r="R129" i="31"/>
  <c r="X129" i="31" s="1"/>
  <c r="P129" i="31"/>
  <c r="Q129" i="31"/>
  <c r="C129" i="31"/>
  <c r="AI128" i="31"/>
  <c r="AH128" i="31"/>
  <c r="V128" i="31"/>
  <c r="U128" i="31"/>
  <c r="T128" i="31"/>
  <c r="R128" i="31"/>
  <c r="X128" i="31"/>
  <c r="P128" i="31"/>
  <c r="Q128" i="31" s="1"/>
  <c r="C128" i="31"/>
  <c r="AI127" i="31"/>
  <c r="AH127" i="31"/>
  <c r="V127" i="31"/>
  <c r="U127" i="31" s="1"/>
  <c r="T127" i="31"/>
  <c r="S127" i="31"/>
  <c r="R127" i="31"/>
  <c r="X127" i="31" s="1"/>
  <c r="P127" i="31"/>
  <c r="Q127" i="31"/>
  <c r="C127" i="31"/>
  <c r="AI126" i="31"/>
  <c r="AH126" i="31"/>
  <c r="V126" i="31"/>
  <c r="U126" i="31" s="1"/>
  <c r="T126" i="31"/>
  <c r="R126" i="31"/>
  <c r="X126" i="31"/>
  <c r="W126" i="31" s="1"/>
  <c r="P126" i="31"/>
  <c r="Q126" i="31" s="1"/>
  <c r="C126" i="31"/>
  <c r="AI125" i="31"/>
  <c r="AH125" i="31"/>
  <c r="V125" i="31"/>
  <c r="U125" i="31"/>
  <c r="T125" i="31"/>
  <c r="S125" i="31" s="1"/>
  <c r="R125" i="31"/>
  <c r="X125" i="31"/>
  <c r="P125" i="31"/>
  <c r="Q125" i="31" s="1"/>
  <c r="C125" i="31"/>
  <c r="AI124" i="31"/>
  <c r="AH124" i="31"/>
  <c r="V124" i="31"/>
  <c r="U124" i="31" s="1"/>
  <c r="T124" i="31"/>
  <c r="R124" i="31"/>
  <c r="X124" i="31" s="1"/>
  <c r="P124" i="31"/>
  <c r="Q124" i="31"/>
  <c r="C124" i="31"/>
  <c r="AI123" i="31"/>
  <c r="AH123" i="31"/>
  <c r="V123" i="31"/>
  <c r="U123" i="31"/>
  <c r="T123" i="31"/>
  <c r="S123" i="31" s="1"/>
  <c r="R123" i="31"/>
  <c r="X123" i="31"/>
  <c r="P123" i="31"/>
  <c r="Q123" i="31" s="1"/>
  <c r="C123" i="31"/>
  <c r="AI122" i="31"/>
  <c r="AH122" i="31"/>
  <c r="V122" i="31"/>
  <c r="U122" i="31"/>
  <c r="T122" i="31"/>
  <c r="R122" i="31"/>
  <c r="X122" i="31" s="1"/>
  <c r="P122" i="31"/>
  <c r="Q122" i="31"/>
  <c r="C122" i="31"/>
  <c r="AI121" i="31"/>
  <c r="AH121" i="31"/>
  <c r="V121" i="31"/>
  <c r="U121" i="31" s="1"/>
  <c r="T121" i="31"/>
  <c r="S121" i="31"/>
  <c r="R121" i="31"/>
  <c r="X121" i="31" s="1"/>
  <c r="P121" i="31"/>
  <c r="Q121" i="31"/>
  <c r="C121" i="31"/>
  <c r="AI120" i="31"/>
  <c r="AH120" i="31"/>
  <c r="V120" i="31"/>
  <c r="U120" i="31"/>
  <c r="T120" i="31"/>
  <c r="R120" i="31"/>
  <c r="X120" i="31"/>
  <c r="P120" i="31"/>
  <c r="Q120" i="31" s="1"/>
  <c r="C120" i="31"/>
  <c r="AI119" i="31"/>
  <c r="AH119" i="31"/>
  <c r="V119" i="31"/>
  <c r="U119" i="31" s="1"/>
  <c r="T119" i="31"/>
  <c r="S119" i="31"/>
  <c r="R119" i="31"/>
  <c r="X119" i="31" s="1"/>
  <c r="P119" i="31"/>
  <c r="Q119" i="31"/>
  <c r="C119" i="31"/>
  <c r="AI118" i="31"/>
  <c r="AH118" i="31"/>
  <c r="V118" i="31"/>
  <c r="U118" i="31" s="1"/>
  <c r="T118" i="31"/>
  <c r="R118" i="31"/>
  <c r="X118" i="31"/>
  <c r="P118" i="31"/>
  <c r="Q118" i="31" s="1"/>
  <c r="C118" i="31"/>
  <c r="AI117" i="31"/>
  <c r="AH117" i="31"/>
  <c r="V117" i="31"/>
  <c r="U117" i="31"/>
  <c r="T117" i="31"/>
  <c r="S117" i="31" s="1"/>
  <c r="R117" i="31"/>
  <c r="X117" i="31"/>
  <c r="P117" i="31"/>
  <c r="Q117" i="31" s="1"/>
  <c r="C117" i="31"/>
  <c r="AI116" i="31"/>
  <c r="AH116" i="31"/>
  <c r="V116" i="31"/>
  <c r="U116" i="31" s="1"/>
  <c r="T116" i="31"/>
  <c r="R116" i="31"/>
  <c r="X116" i="31" s="1"/>
  <c r="P116" i="31"/>
  <c r="C116" i="31"/>
  <c r="AI115" i="31"/>
  <c r="AH115" i="31"/>
  <c r="V115" i="31"/>
  <c r="U115" i="31"/>
  <c r="T115" i="31"/>
  <c r="S115" i="31" s="1"/>
  <c r="R115" i="31"/>
  <c r="X115" i="31"/>
  <c r="P115" i="31"/>
  <c r="Q115" i="31" s="1"/>
  <c r="C115" i="31"/>
  <c r="AI114" i="31"/>
  <c r="AH114" i="31"/>
  <c r="V114" i="31"/>
  <c r="U114" i="31" s="1"/>
  <c r="T114" i="31"/>
  <c r="R114" i="31"/>
  <c r="X114" i="31" s="1"/>
  <c r="P114" i="31"/>
  <c r="Q114" i="31"/>
  <c r="C114" i="31"/>
  <c r="AI113" i="31"/>
  <c r="AH113" i="31"/>
  <c r="V113" i="31"/>
  <c r="U113" i="31"/>
  <c r="T113" i="31"/>
  <c r="S113" i="31" s="1"/>
  <c r="R113" i="31"/>
  <c r="X113" i="31"/>
  <c r="W113" i="31" s="1"/>
  <c r="P113" i="31"/>
  <c r="Q113" i="31" s="1"/>
  <c r="C113" i="31"/>
  <c r="AI112" i="31"/>
  <c r="AH112" i="31"/>
  <c r="V112" i="31"/>
  <c r="U112" i="31"/>
  <c r="T112" i="31"/>
  <c r="R112" i="31"/>
  <c r="X112" i="31" s="1"/>
  <c r="P112" i="31"/>
  <c r="Q112" i="31"/>
  <c r="C112" i="31"/>
  <c r="AI111" i="31"/>
  <c r="AH111" i="31"/>
  <c r="V111" i="31"/>
  <c r="U111" i="31" s="1"/>
  <c r="T111" i="31"/>
  <c r="S111" i="31"/>
  <c r="R111" i="31"/>
  <c r="X111" i="31" s="1"/>
  <c r="W111" i="31" s="1"/>
  <c r="P111" i="31"/>
  <c r="Q111" i="31"/>
  <c r="C111" i="31"/>
  <c r="AI110" i="31"/>
  <c r="AH110" i="31"/>
  <c r="V110" i="31"/>
  <c r="U110" i="31"/>
  <c r="T110" i="31"/>
  <c r="R110" i="31"/>
  <c r="X110" i="31"/>
  <c r="P110" i="31"/>
  <c r="Q110" i="31" s="1"/>
  <c r="C110" i="31"/>
  <c r="AI109" i="31"/>
  <c r="AH109" i="31"/>
  <c r="V109" i="31"/>
  <c r="U109" i="31" s="1"/>
  <c r="T109" i="31"/>
  <c r="S109" i="31"/>
  <c r="R109" i="31"/>
  <c r="X109" i="31" s="1"/>
  <c r="P109" i="31"/>
  <c r="Q109" i="31"/>
  <c r="C109" i="31"/>
  <c r="V108" i="31"/>
  <c r="U108" i="31"/>
  <c r="T108" i="31"/>
  <c r="R108" i="31"/>
  <c r="X108" i="31" s="1"/>
  <c r="P108" i="31"/>
  <c r="C108" i="31"/>
  <c r="V107" i="31"/>
  <c r="U107" i="31" s="1"/>
  <c r="T107" i="31"/>
  <c r="S107" i="31"/>
  <c r="R107" i="31"/>
  <c r="X107" i="31" s="1"/>
  <c r="W107" i="31" s="1"/>
  <c r="P107" i="31"/>
  <c r="C107" i="31"/>
  <c r="V106" i="31"/>
  <c r="U106" i="31" s="1"/>
  <c r="T106" i="31"/>
  <c r="R106" i="31"/>
  <c r="X106" i="31" s="1"/>
  <c r="P106" i="31"/>
  <c r="C106" i="31"/>
  <c r="AI105" i="31"/>
  <c r="AH105" i="31"/>
  <c r="V105" i="31"/>
  <c r="U105" i="31"/>
  <c r="T105" i="31"/>
  <c r="S105" i="31" s="1"/>
  <c r="R105" i="31"/>
  <c r="X105" i="31"/>
  <c r="P105" i="31"/>
  <c r="Q105" i="31" s="1"/>
  <c r="C105" i="31"/>
  <c r="AI104" i="31"/>
  <c r="AH104" i="31"/>
  <c r="V104" i="31"/>
  <c r="U104" i="31" s="1"/>
  <c r="T104" i="31"/>
  <c r="R104" i="31"/>
  <c r="X104" i="31" s="1"/>
  <c r="P104" i="31"/>
  <c r="Q104" i="31"/>
  <c r="C104" i="31"/>
  <c r="AI103" i="31"/>
  <c r="AH103" i="31"/>
  <c r="V103" i="31"/>
  <c r="U103" i="31"/>
  <c r="T103" i="31"/>
  <c r="S103" i="31" s="1"/>
  <c r="R103" i="31"/>
  <c r="X103" i="31"/>
  <c r="P103" i="31"/>
  <c r="Q103" i="31" s="1"/>
  <c r="C103" i="31"/>
  <c r="AI102" i="31"/>
  <c r="AH102" i="31"/>
  <c r="V102" i="31"/>
  <c r="U102" i="31"/>
  <c r="T102" i="31"/>
  <c r="R102" i="31"/>
  <c r="X102" i="31" s="1"/>
  <c r="P102" i="31"/>
  <c r="Q102" i="31"/>
  <c r="C102" i="31"/>
  <c r="AI101" i="31"/>
  <c r="AH101" i="31"/>
  <c r="V101" i="31"/>
  <c r="U101" i="31" s="1"/>
  <c r="T101" i="31"/>
  <c r="S101" i="31"/>
  <c r="R101" i="31"/>
  <c r="X101" i="31" s="1"/>
  <c r="P101" i="31"/>
  <c r="Q101" i="31"/>
  <c r="C101" i="31"/>
  <c r="AI100" i="31"/>
  <c r="AH100" i="31"/>
  <c r="V100" i="31"/>
  <c r="U100" i="31"/>
  <c r="T100" i="31"/>
  <c r="R100" i="31"/>
  <c r="X100" i="31"/>
  <c r="P100" i="31"/>
  <c r="Q100" i="31" s="1"/>
  <c r="C100" i="31"/>
  <c r="AI99" i="31"/>
  <c r="AH99" i="31"/>
  <c r="V99" i="31"/>
  <c r="U99" i="31" s="1"/>
  <c r="T99" i="31"/>
  <c r="S99" i="31"/>
  <c r="R99" i="31"/>
  <c r="X99" i="31" s="1"/>
  <c r="P99" i="31"/>
  <c r="Q99" i="31"/>
  <c r="C99" i="31"/>
  <c r="AI98" i="31"/>
  <c r="AH98" i="31"/>
  <c r="V98" i="31"/>
  <c r="U98" i="31" s="1"/>
  <c r="T98" i="31"/>
  <c r="R98" i="31"/>
  <c r="X98" i="31"/>
  <c r="P98" i="31"/>
  <c r="Q98" i="31" s="1"/>
  <c r="C98" i="31"/>
  <c r="AI97" i="31"/>
  <c r="AH97" i="31"/>
  <c r="V97" i="31"/>
  <c r="U97" i="31"/>
  <c r="T97" i="31"/>
  <c r="S97" i="31" s="1"/>
  <c r="R97" i="31"/>
  <c r="X97" i="31"/>
  <c r="P97" i="31"/>
  <c r="Q97" i="31" s="1"/>
  <c r="C97" i="31"/>
  <c r="AI96" i="31"/>
  <c r="AH96" i="31"/>
  <c r="V96" i="31"/>
  <c r="U96" i="31" s="1"/>
  <c r="T96" i="31"/>
  <c r="S96" i="31"/>
  <c r="R96" i="31"/>
  <c r="X96" i="31" s="1"/>
  <c r="AJ96" i="31" s="1"/>
  <c r="P96" i="31"/>
  <c r="Q96" i="31"/>
  <c r="C96" i="31"/>
  <c r="AI95" i="31"/>
  <c r="AH95" i="31"/>
  <c r="V95" i="31"/>
  <c r="U95" i="31" s="1"/>
  <c r="T95" i="31"/>
  <c r="R95" i="31"/>
  <c r="X95" i="31"/>
  <c r="P95" i="31"/>
  <c r="Q95" i="31" s="1"/>
  <c r="C95" i="31"/>
  <c r="AI94" i="31"/>
  <c r="AH94" i="31"/>
  <c r="V94" i="31"/>
  <c r="U94" i="31"/>
  <c r="T94" i="31"/>
  <c r="S94" i="31" s="1"/>
  <c r="R94" i="31"/>
  <c r="X94" i="31"/>
  <c r="P94" i="31"/>
  <c r="Q94" i="31" s="1"/>
  <c r="C94" i="31"/>
  <c r="AI93" i="31"/>
  <c r="AH93" i="31"/>
  <c r="V93" i="31"/>
  <c r="U93" i="31" s="1"/>
  <c r="T93" i="31"/>
  <c r="R93" i="31"/>
  <c r="X93" i="31" s="1"/>
  <c r="P93" i="31"/>
  <c r="Q93" i="31"/>
  <c r="C93" i="31"/>
  <c r="AI92" i="31"/>
  <c r="AH92" i="31"/>
  <c r="V92" i="31"/>
  <c r="U92" i="31"/>
  <c r="T92" i="31"/>
  <c r="S92" i="31" s="1"/>
  <c r="R92" i="31"/>
  <c r="X92" i="31"/>
  <c r="P92" i="31"/>
  <c r="Q92" i="31" s="1"/>
  <c r="C92" i="31"/>
  <c r="AI91" i="31"/>
  <c r="AH91" i="31"/>
  <c r="V91" i="31"/>
  <c r="U91" i="31"/>
  <c r="T91" i="31"/>
  <c r="R91" i="31"/>
  <c r="X91" i="31" s="1"/>
  <c r="P91" i="31"/>
  <c r="Q91" i="31"/>
  <c r="C91" i="31"/>
  <c r="AI90" i="31"/>
  <c r="AH90" i="31"/>
  <c r="V90" i="31"/>
  <c r="U90" i="31" s="1"/>
  <c r="T90" i="31"/>
  <c r="S90" i="31"/>
  <c r="R90" i="31"/>
  <c r="X90" i="31" s="1"/>
  <c r="P90" i="31"/>
  <c r="Q90" i="31"/>
  <c r="C90" i="31"/>
  <c r="AI89" i="31"/>
  <c r="AH89" i="31"/>
  <c r="V89" i="31"/>
  <c r="U89" i="31"/>
  <c r="T89" i="31"/>
  <c r="R89" i="31"/>
  <c r="X89" i="31"/>
  <c r="P89" i="31"/>
  <c r="Q89" i="31" s="1"/>
  <c r="C89" i="31"/>
  <c r="AI88" i="31"/>
  <c r="AH88" i="31"/>
  <c r="V88" i="31"/>
  <c r="U88" i="31" s="1"/>
  <c r="T88" i="31"/>
  <c r="S88" i="31"/>
  <c r="R88" i="31"/>
  <c r="X88" i="31" s="1"/>
  <c r="P88" i="31"/>
  <c r="Q88" i="31"/>
  <c r="C88" i="31"/>
  <c r="AI87" i="31"/>
  <c r="AH87" i="31"/>
  <c r="V87" i="31"/>
  <c r="U87" i="31" s="1"/>
  <c r="T87" i="31"/>
  <c r="R87" i="31"/>
  <c r="X87" i="31"/>
  <c r="P87" i="31"/>
  <c r="Q87" i="31" s="1"/>
  <c r="C87" i="31"/>
  <c r="AI86" i="31"/>
  <c r="AH86" i="31"/>
  <c r="V86" i="31"/>
  <c r="U86" i="31"/>
  <c r="T86" i="31"/>
  <c r="S86" i="31" s="1"/>
  <c r="R86" i="31"/>
  <c r="X86" i="31"/>
  <c r="P86" i="31"/>
  <c r="Q86" i="31" s="1"/>
  <c r="C86" i="31"/>
  <c r="AI85" i="31"/>
  <c r="AH85" i="31"/>
  <c r="V85" i="31"/>
  <c r="U85" i="31" s="1"/>
  <c r="T85" i="31"/>
  <c r="R85" i="31"/>
  <c r="X85" i="31" s="1"/>
  <c r="P85" i="31"/>
  <c r="Q85" i="31"/>
  <c r="C85" i="31"/>
  <c r="AI84" i="31"/>
  <c r="AH84" i="31"/>
  <c r="V84" i="31"/>
  <c r="U84" i="31"/>
  <c r="T84" i="31"/>
  <c r="S84" i="31" s="1"/>
  <c r="R84" i="31"/>
  <c r="X84" i="31"/>
  <c r="P84" i="31"/>
  <c r="Q84" i="31" s="1"/>
  <c r="C84" i="31"/>
  <c r="AI83" i="31"/>
  <c r="AH83" i="31"/>
  <c r="V83" i="31"/>
  <c r="U83" i="31"/>
  <c r="T83" i="31"/>
  <c r="R83" i="31"/>
  <c r="X83" i="31" s="1"/>
  <c r="P83" i="31"/>
  <c r="Q83" i="31"/>
  <c r="C83" i="31"/>
  <c r="AI82" i="31"/>
  <c r="AH82" i="31"/>
  <c r="V82" i="31"/>
  <c r="U82" i="31" s="1"/>
  <c r="T82" i="31"/>
  <c r="S82" i="31"/>
  <c r="R82" i="31"/>
  <c r="X82" i="31" s="1"/>
  <c r="P82" i="31"/>
  <c r="Q82" i="31"/>
  <c r="C82" i="31"/>
  <c r="AI81" i="31"/>
  <c r="AH81" i="31"/>
  <c r="V81" i="31"/>
  <c r="U81" i="31"/>
  <c r="T81" i="31"/>
  <c r="R81" i="31"/>
  <c r="X81" i="31"/>
  <c r="P81" i="31"/>
  <c r="Q81" i="31" s="1"/>
  <c r="C81" i="31"/>
  <c r="AI80" i="31"/>
  <c r="AH80" i="31"/>
  <c r="V80" i="31"/>
  <c r="U80" i="31" s="1"/>
  <c r="T80" i="31"/>
  <c r="S80" i="31"/>
  <c r="R80" i="31"/>
  <c r="X80" i="31" s="1"/>
  <c r="W80" i="31" s="1"/>
  <c r="P80" i="31"/>
  <c r="Q80" i="31"/>
  <c r="C80" i="31"/>
  <c r="AI79" i="31"/>
  <c r="AH79" i="31"/>
  <c r="V79" i="31"/>
  <c r="U79" i="31" s="1"/>
  <c r="T79" i="31"/>
  <c r="R79" i="31"/>
  <c r="X79" i="31"/>
  <c r="W79" i="31" s="1"/>
  <c r="P79" i="31"/>
  <c r="Q79" i="31" s="1"/>
  <c r="C79" i="31"/>
  <c r="AI78" i="31"/>
  <c r="AH78" i="31"/>
  <c r="V78" i="31"/>
  <c r="U78" i="31"/>
  <c r="T78" i="31"/>
  <c r="S78" i="31" s="1"/>
  <c r="R78" i="31"/>
  <c r="X78" i="31"/>
  <c r="P78" i="31"/>
  <c r="Q78" i="31" s="1"/>
  <c r="C78" i="31"/>
  <c r="AI77" i="31"/>
  <c r="AH77" i="31"/>
  <c r="V77" i="31"/>
  <c r="T77" i="31"/>
  <c r="S77" i="31"/>
  <c r="R77" i="31"/>
  <c r="X77" i="31" s="1"/>
  <c r="P77" i="31"/>
  <c r="Q77" i="31"/>
  <c r="C77" i="31"/>
  <c r="AI76" i="31"/>
  <c r="AH76" i="31"/>
  <c r="V76" i="31"/>
  <c r="U76" i="31"/>
  <c r="T76" i="31"/>
  <c r="S76" i="31" s="1"/>
  <c r="R76" i="31"/>
  <c r="X76" i="31"/>
  <c r="P76" i="31"/>
  <c r="Q76" i="31" s="1"/>
  <c r="C76" i="31"/>
  <c r="AI75" i="31"/>
  <c r="AH75" i="31"/>
  <c r="V75" i="31"/>
  <c r="T75" i="31"/>
  <c r="S75" i="31"/>
  <c r="R75" i="31"/>
  <c r="X75" i="31" s="1"/>
  <c r="P75" i="31"/>
  <c r="Q75" i="31"/>
  <c r="C75" i="31"/>
  <c r="AI74" i="31"/>
  <c r="AH74" i="31"/>
  <c r="V74" i="31"/>
  <c r="U74" i="31" s="1"/>
  <c r="T74" i="31"/>
  <c r="S74" i="31"/>
  <c r="R74" i="31"/>
  <c r="X74" i="31" s="1"/>
  <c r="P74" i="31"/>
  <c r="Q74" i="31"/>
  <c r="C74" i="31"/>
  <c r="AI73" i="31"/>
  <c r="AH73" i="31"/>
  <c r="V73" i="31"/>
  <c r="T73" i="31"/>
  <c r="S73" i="31" s="1"/>
  <c r="R73" i="31"/>
  <c r="X73" i="31"/>
  <c r="P73" i="31"/>
  <c r="Q73" i="31" s="1"/>
  <c r="C73" i="31"/>
  <c r="AI72" i="31"/>
  <c r="AH72" i="31"/>
  <c r="V72" i="31"/>
  <c r="U72" i="31" s="1"/>
  <c r="T72" i="31"/>
  <c r="S72" i="31"/>
  <c r="R72" i="31"/>
  <c r="X72" i="31" s="1"/>
  <c r="P72" i="31"/>
  <c r="Q72" i="31"/>
  <c r="C72" i="31"/>
  <c r="AI71" i="31"/>
  <c r="AH71" i="31"/>
  <c r="V71" i="31"/>
  <c r="T71" i="31"/>
  <c r="S71" i="31" s="1"/>
  <c r="R71" i="31"/>
  <c r="X71" i="31"/>
  <c r="P71" i="31"/>
  <c r="Q71" i="31" s="1"/>
  <c r="C71" i="31"/>
  <c r="AI70" i="31"/>
  <c r="AH70" i="31"/>
  <c r="V70" i="31"/>
  <c r="U70" i="31"/>
  <c r="T70" i="31"/>
  <c r="S70" i="31" s="1"/>
  <c r="R70" i="31"/>
  <c r="X70" i="31"/>
  <c r="P70" i="31"/>
  <c r="Q70" i="31" s="1"/>
  <c r="C70" i="31"/>
  <c r="AI69" i="31"/>
  <c r="AH69" i="31"/>
  <c r="V69" i="31"/>
  <c r="T69" i="31"/>
  <c r="S69" i="31"/>
  <c r="R69" i="31"/>
  <c r="X69" i="31" s="1"/>
  <c r="P69" i="31"/>
  <c r="Q69" i="31"/>
  <c r="C69" i="31"/>
  <c r="AI68" i="31"/>
  <c r="AH68" i="31"/>
  <c r="V68" i="31"/>
  <c r="U68" i="31"/>
  <c r="T68" i="31"/>
  <c r="S68" i="31" s="1"/>
  <c r="R68" i="31"/>
  <c r="X68" i="31"/>
  <c r="P68" i="31"/>
  <c r="Q68" i="31" s="1"/>
  <c r="C68" i="31"/>
  <c r="AI67" i="31"/>
  <c r="AH67" i="31"/>
  <c r="V67" i="31"/>
  <c r="T67" i="31"/>
  <c r="S67" i="31"/>
  <c r="R67" i="31"/>
  <c r="X67" i="31" s="1"/>
  <c r="P67" i="31"/>
  <c r="Q67" i="31"/>
  <c r="C67" i="31"/>
  <c r="AI66" i="31"/>
  <c r="AH66" i="31"/>
  <c r="V66" i="31"/>
  <c r="U66" i="31" s="1"/>
  <c r="T66" i="31"/>
  <c r="S66" i="31"/>
  <c r="R66" i="31"/>
  <c r="X66" i="31" s="1"/>
  <c r="P66" i="31"/>
  <c r="Q66" i="31"/>
  <c r="C66" i="31"/>
  <c r="AI65" i="31"/>
  <c r="AH65" i="31"/>
  <c r="V65" i="31"/>
  <c r="T65" i="31"/>
  <c r="S65" i="31" s="1"/>
  <c r="R65" i="31"/>
  <c r="X65" i="31"/>
  <c r="P65" i="31"/>
  <c r="Q65" i="31" s="1"/>
  <c r="C65" i="31"/>
  <c r="AI64" i="31"/>
  <c r="AH64" i="31"/>
  <c r="V64" i="31"/>
  <c r="U64" i="31" s="1"/>
  <c r="T64" i="31"/>
  <c r="S64" i="31"/>
  <c r="R64" i="31"/>
  <c r="X64" i="31" s="1"/>
  <c r="P64" i="31"/>
  <c r="Q64" i="31"/>
  <c r="C64" i="31"/>
  <c r="AI63" i="31"/>
  <c r="AH63" i="31"/>
  <c r="V63" i="31"/>
  <c r="T63" i="31"/>
  <c r="S63" i="31" s="1"/>
  <c r="R63" i="31"/>
  <c r="X63" i="31"/>
  <c r="P63" i="31"/>
  <c r="Q63" i="31" s="1"/>
  <c r="C63" i="31"/>
  <c r="AI62" i="31"/>
  <c r="AH62" i="31"/>
  <c r="V62" i="31"/>
  <c r="U62" i="31"/>
  <c r="T62" i="31"/>
  <c r="S62" i="31" s="1"/>
  <c r="R62" i="31"/>
  <c r="X62" i="31"/>
  <c r="P62" i="31"/>
  <c r="Q62" i="31" s="1"/>
  <c r="C62" i="31"/>
  <c r="AI61" i="31"/>
  <c r="AH61" i="31"/>
  <c r="V61" i="31"/>
  <c r="T61" i="31"/>
  <c r="S61" i="31"/>
  <c r="R61" i="31"/>
  <c r="X61" i="31" s="1"/>
  <c r="P61" i="31"/>
  <c r="Q61" i="31"/>
  <c r="C61" i="31"/>
  <c r="AI60" i="31"/>
  <c r="AH60" i="31"/>
  <c r="V60" i="31"/>
  <c r="U60" i="31"/>
  <c r="T60" i="31"/>
  <c r="S60" i="31" s="1"/>
  <c r="R60" i="31"/>
  <c r="X60" i="31"/>
  <c r="AJ60" i="31" s="1"/>
  <c r="P60" i="31"/>
  <c r="Q60" i="31" s="1"/>
  <c r="C60" i="31"/>
  <c r="AI59" i="31"/>
  <c r="AH59" i="31"/>
  <c r="V59" i="31"/>
  <c r="U59" i="31"/>
  <c r="T59" i="31"/>
  <c r="R59" i="31"/>
  <c r="X59" i="31" s="1"/>
  <c r="W59" i="31" s="1"/>
  <c r="P59" i="31"/>
  <c r="Q59" i="31" s="1"/>
  <c r="C59" i="31"/>
  <c r="AI58" i="31"/>
  <c r="AH58" i="31"/>
  <c r="V58" i="31"/>
  <c r="U58" i="31" s="1"/>
  <c r="T58" i="31"/>
  <c r="S58" i="31"/>
  <c r="R58" i="31"/>
  <c r="X58" i="31" s="1"/>
  <c r="P58" i="31"/>
  <c r="Q58" i="31"/>
  <c r="C58" i="31"/>
  <c r="AI57" i="31"/>
  <c r="AH57" i="31"/>
  <c r="V57" i="31"/>
  <c r="U57" i="31"/>
  <c r="T57" i="31"/>
  <c r="R57" i="31"/>
  <c r="X57" i="31"/>
  <c r="P57" i="31"/>
  <c r="Q57" i="31" s="1"/>
  <c r="C57" i="31"/>
  <c r="AI56" i="31"/>
  <c r="AH56" i="31"/>
  <c r="V56" i="31"/>
  <c r="U56" i="31" s="1"/>
  <c r="T56" i="31"/>
  <c r="S56" i="31"/>
  <c r="R56" i="31"/>
  <c r="X56" i="31" s="1"/>
  <c r="P56" i="31"/>
  <c r="Q56" i="31"/>
  <c r="C56" i="31"/>
  <c r="AI55" i="31"/>
  <c r="AH55" i="31"/>
  <c r="V55" i="31"/>
  <c r="T55" i="31"/>
  <c r="R55" i="31"/>
  <c r="X55" i="31"/>
  <c r="P55" i="31"/>
  <c r="Q55" i="31" s="1"/>
  <c r="C55" i="31"/>
  <c r="AI54" i="31"/>
  <c r="AH54" i="31"/>
  <c r="V54" i="31"/>
  <c r="U54" i="31"/>
  <c r="T54" i="31"/>
  <c r="S54" i="31" s="1"/>
  <c r="R54" i="31"/>
  <c r="X54" i="31"/>
  <c r="P54" i="31"/>
  <c r="Q54" i="31" s="1"/>
  <c r="C54" i="31"/>
  <c r="AI53" i="31"/>
  <c r="AH53" i="31"/>
  <c r="V53" i="31"/>
  <c r="U53" i="31" s="1"/>
  <c r="T53" i="31"/>
  <c r="S53" i="31"/>
  <c r="R53" i="31"/>
  <c r="X53" i="31" s="1"/>
  <c r="P53" i="31"/>
  <c r="Q53" i="31" s="1"/>
  <c r="C53" i="31"/>
  <c r="AI52" i="31"/>
  <c r="AH52" i="31"/>
  <c r="V52" i="31"/>
  <c r="U52" i="31" s="1"/>
  <c r="T52" i="31"/>
  <c r="S52" i="31"/>
  <c r="R52" i="31"/>
  <c r="X52" i="31" s="1"/>
  <c r="P52" i="31"/>
  <c r="Q52" i="31"/>
  <c r="C52" i="31"/>
  <c r="AI51" i="31"/>
  <c r="AH51" i="31"/>
  <c r="V51" i="31"/>
  <c r="U51" i="31"/>
  <c r="T51" i="31"/>
  <c r="S51" i="31" s="1"/>
  <c r="R51" i="31"/>
  <c r="X51" i="31"/>
  <c r="W51" i="31" s="1"/>
  <c r="P51" i="31"/>
  <c r="Q51" i="31" s="1"/>
  <c r="C51" i="31"/>
  <c r="AI50" i="31"/>
  <c r="AH50" i="31"/>
  <c r="V50" i="31"/>
  <c r="U50" i="31"/>
  <c r="T50" i="31"/>
  <c r="S50" i="31" s="1"/>
  <c r="R50" i="31"/>
  <c r="X50" i="31"/>
  <c r="W50" i="31" s="1"/>
  <c r="P50" i="31"/>
  <c r="Q50" i="31" s="1"/>
  <c r="C50" i="31"/>
  <c r="AI49" i="31"/>
  <c r="AH49" i="31"/>
  <c r="V49" i="31"/>
  <c r="U49" i="31" s="1"/>
  <c r="T49" i="31"/>
  <c r="S49" i="31"/>
  <c r="R49" i="31"/>
  <c r="X49" i="31" s="1"/>
  <c r="P49" i="31"/>
  <c r="Q49" i="31"/>
  <c r="C49" i="31"/>
  <c r="AI48" i="31"/>
  <c r="AH48" i="31"/>
  <c r="V48" i="31"/>
  <c r="U48" i="31" s="1"/>
  <c r="T48" i="31"/>
  <c r="S48" i="31"/>
  <c r="R48" i="31"/>
  <c r="X48" i="31" s="1"/>
  <c r="P48" i="31"/>
  <c r="Q48" i="31"/>
  <c r="C48" i="31"/>
  <c r="AI47" i="31"/>
  <c r="AH47" i="31"/>
  <c r="V47" i="31"/>
  <c r="U47" i="31"/>
  <c r="T47" i="31"/>
  <c r="S47" i="31" s="1"/>
  <c r="R47" i="31"/>
  <c r="X47" i="31"/>
  <c r="P47" i="31"/>
  <c r="Q47" i="31" s="1"/>
  <c r="C47" i="31"/>
  <c r="AI46" i="31"/>
  <c r="AH46" i="31"/>
  <c r="V46" i="31"/>
  <c r="U46" i="31"/>
  <c r="T46" i="31"/>
  <c r="S46" i="31" s="1"/>
  <c r="R46" i="31"/>
  <c r="X46" i="31"/>
  <c r="P46" i="31"/>
  <c r="Q46" i="31" s="1"/>
  <c r="C46" i="31"/>
  <c r="V45" i="31"/>
  <c r="U45" i="31"/>
  <c r="T45" i="31"/>
  <c r="R45" i="31"/>
  <c r="X45" i="31"/>
  <c r="P45" i="31"/>
  <c r="C45" i="31"/>
  <c r="V44" i="31"/>
  <c r="U44" i="31"/>
  <c r="T44" i="31"/>
  <c r="R44" i="31"/>
  <c r="X44" i="31"/>
  <c r="P44" i="31"/>
  <c r="C44" i="31"/>
  <c r="V43" i="31"/>
  <c r="U43" i="31"/>
  <c r="T43" i="31"/>
  <c r="S43" i="31" s="1"/>
  <c r="R43" i="31"/>
  <c r="X43" i="31" s="1"/>
  <c r="P43" i="31"/>
  <c r="C43" i="31"/>
  <c r="V42" i="31"/>
  <c r="U42" i="31" s="1"/>
  <c r="T42" i="31"/>
  <c r="R42" i="31"/>
  <c r="X42" i="31" s="1"/>
  <c r="P42" i="31"/>
  <c r="C42" i="31"/>
  <c r="V41" i="31"/>
  <c r="U41" i="31" s="1"/>
  <c r="T41" i="31"/>
  <c r="S41" i="31"/>
  <c r="R41" i="31"/>
  <c r="X41" i="31" s="1"/>
  <c r="P41" i="31"/>
  <c r="C41" i="31"/>
  <c r="V40" i="31"/>
  <c r="U40" i="31" s="1"/>
  <c r="T40" i="31"/>
  <c r="S40" i="31"/>
  <c r="R40" i="31"/>
  <c r="X40" i="31" s="1"/>
  <c r="P40" i="31"/>
  <c r="C40" i="31"/>
  <c r="AI39" i="31"/>
  <c r="AH39" i="31"/>
  <c r="V39" i="31"/>
  <c r="U39" i="31"/>
  <c r="T39" i="31"/>
  <c r="R39" i="31"/>
  <c r="X39" i="31"/>
  <c r="P39" i="31"/>
  <c r="Q39" i="31" s="1"/>
  <c r="C39" i="31"/>
  <c r="AI38" i="31"/>
  <c r="AH38" i="31"/>
  <c r="V38" i="31"/>
  <c r="U38" i="31" s="1"/>
  <c r="T38" i="31"/>
  <c r="R38" i="31"/>
  <c r="X38" i="31" s="1"/>
  <c r="P38" i="31"/>
  <c r="Q38" i="31"/>
  <c r="C38" i="31"/>
  <c r="AI37" i="31"/>
  <c r="AH37" i="31"/>
  <c r="V37" i="31"/>
  <c r="U37" i="31"/>
  <c r="T37" i="31"/>
  <c r="S37" i="31" s="1"/>
  <c r="R37" i="31"/>
  <c r="X37" i="31"/>
  <c r="P37" i="31"/>
  <c r="Q37" i="31" s="1"/>
  <c r="C37" i="31"/>
  <c r="AI36" i="31"/>
  <c r="AH36" i="31"/>
  <c r="V36" i="31"/>
  <c r="U36" i="31"/>
  <c r="T36" i="31"/>
  <c r="R36" i="31"/>
  <c r="X36" i="31" s="1"/>
  <c r="P36" i="31"/>
  <c r="Q36" i="31"/>
  <c r="C36" i="31"/>
  <c r="AI35" i="31"/>
  <c r="AH35" i="31"/>
  <c r="V35" i="31"/>
  <c r="U35" i="31" s="1"/>
  <c r="T35" i="31"/>
  <c r="S35" i="31"/>
  <c r="R35" i="31"/>
  <c r="X35" i="31" s="1"/>
  <c r="P35" i="31"/>
  <c r="Q35" i="31"/>
  <c r="C35" i="31"/>
  <c r="AI34" i="31"/>
  <c r="AH34" i="31"/>
  <c r="V34" i="31"/>
  <c r="U34" i="31"/>
  <c r="T34" i="31"/>
  <c r="R34" i="31"/>
  <c r="X34" i="31"/>
  <c r="P34" i="31"/>
  <c r="Q34" i="31" s="1"/>
  <c r="C34" i="31"/>
  <c r="AI33" i="31"/>
  <c r="AH33" i="31"/>
  <c r="V33" i="31"/>
  <c r="U33" i="31" s="1"/>
  <c r="T33" i="31"/>
  <c r="S33" i="31" s="1"/>
  <c r="R33" i="31"/>
  <c r="X33" i="31" s="1"/>
  <c r="P33" i="31"/>
  <c r="Q33" i="31"/>
  <c r="C33" i="31"/>
  <c r="AI32" i="31"/>
  <c r="AH32" i="31"/>
  <c r="V32" i="31"/>
  <c r="U32" i="31" s="1"/>
  <c r="T32" i="31"/>
  <c r="S32" i="31"/>
  <c r="R32" i="31"/>
  <c r="X32" i="31" s="1"/>
  <c r="P32" i="31"/>
  <c r="Q32" i="31"/>
  <c r="C32" i="31"/>
  <c r="V31" i="31"/>
  <c r="U31" i="31" s="1"/>
  <c r="T31" i="31"/>
  <c r="S31" i="31"/>
  <c r="R31" i="31"/>
  <c r="X31" i="31" s="1"/>
  <c r="P31" i="31"/>
  <c r="C31" i="31"/>
  <c r="V30" i="31"/>
  <c r="U30" i="31" s="1"/>
  <c r="T30" i="31"/>
  <c r="S30" i="31"/>
  <c r="R30" i="31"/>
  <c r="X30" i="31" s="1"/>
  <c r="P30" i="31"/>
  <c r="C30" i="31"/>
  <c r="V29" i="31"/>
  <c r="U29" i="31" s="1"/>
  <c r="T29" i="31"/>
  <c r="S29" i="31"/>
  <c r="R29" i="31"/>
  <c r="X29" i="31" s="1"/>
  <c r="P29" i="31"/>
  <c r="C29" i="31"/>
  <c r="AI28" i="31"/>
  <c r="AH28" i="31"/>
  <c r="V28" i="31"/>
  <c r="U28" i="31"/>
  <c r="T28" i="31"/>
  <c r="R28" i="31"/>
  <c r="X28" i="31"/>
  <c r="P28" i="31"/>
  <c r="Q28" i="31" s="1"/>
  <c r="C28" i="31"/>
  <c r="AI27" i="31"/>
  <c r="AH27" i="31"/>
  <c r="V27" i="31"/>
  <c r="U27" i="31" s="1"/>
  <c r="T27" i="31"/>
  <c r="S27" i="31" s="1"/>
  <c r="R27" i="31"/>
  <c r="X27" i="31" s="1"/>
  <c r="P27" i="31"/>
  <c r="Q27" i="31"/>
  <c r="C27" i="31"/>
  <c r="AI26" i="31"/>
  <c r="AH26" i="31"/>
  <c r="V26" i="31"/>
  <c r="U26" i="31" s="1"/>
  <c r="T26" i="31"/>
  <c r="S26" i="31"/>
  <c r="R26" i="31"/>
  <c r="X26" i="31" s="1"/>
  <c r="P26" i="31"/>
  <c r="Q26" i="31"/>
  <c r="C26" i="31"/>
  <c r="AI25" i="31"/>
  <c r="AH25" i="31"/>
  <c r="V25" i="31"/>
  <c r="U25" i="31"/>
  <c r="T25" i="31"/>
  <c r="S25" i="31" s="1"/>
  <c r="R25" i="31"/>
  <c r="X25" i="31" s="1"/>
  <c r="W25" i="31" s="1"/>
  <c r="P25" i="31"/>
  <c r="Q25" i="31" s="1"/>
  <c r="C25" i="31"/>
  <c r="AI24" i="31"/>
  <c r="AH24" i="31"/>
  <c r="V24" i="31"/>
  <c r="U24" i="31"/>
  <c r="T24" i="31"/>
  <c r="S24" i="31" s="1"/>
  <c r="R24" i="31"/>
  <c r="X24" i="31"/>
  <c r="P24" i="31"/>
  <c r="Q24" i="31" s="1"/>
  <c r="C24" i="31"/>
  <c r="AI23" i="31"/>
  <c r="AH23" i="31"/>
  <c r="V23" i="31"/>
  <c r="U23" i="31" s="1"/>
  <c r="T23" i="31"/>
  <c r="S23" i="31"/>
  <c r="R23" i="31"/>
  <c r="X23" i="31" s="1"/>
  <c r="P23" i="31"/>
  <c r="Q23" i="31" s="1"/>
  <c r="C23" i="31"/>
  <c r="AI22" i="31"/>
  <c r="AH22" i="31"/>
  <c r="V22" i="31"/>
  <c r="U22" i="31" s="1"/>
  <c r="T22" i="31"/>
  <c r="S22" i="31"/>
  <c r="R22" i="31"/>
  <c r="X22" i="31" s="1"/>
  <c r="W22" i="31" s="1"/>
  <c r="P22" i="31"/>
  <c r="Q22" i="31"/>
  <c r="C22" i="31"/>
  <c r="AI21" i="31"/>
  <c r="AH21" i="31"/>
  <c r="V21" i="31"/>
  <c r="U21" i="31"/>
  <c r="T21" i="31"/>
  <c r="S21" i="31" s="1"/>
  <c r="R21" i="31"/>
  <c r="X21" i="31"/>
  <c r="P21" i="31"/>
  <c r="Q21" i="31" s="1"/>
  <c r="C21" i="31"/>
  <c r="AI20" i="31"/>
  <c r="AH20" i="31"/>
  <c r="V20" i="31"/>
  <c r="U20" i="31"/>
  <c r="T20" i="31"/>
  <c r="R20" i="31"/>
  <c r="X20" i="31" s="1"/>
  <c r="P20" i="31"/>
  <c r="Q20" i="31"/>
  <c r="C20" i="31"/>
  <c r="AI19" i="31"/>
  <c r="AH19" i="31"/>
  <c r="V19" i="31"/>
  <c r="T19" i="31"/>
  <c r="S19" i="31"/>
  <c r="R19" i="31"/>
  <c r="X19" i="31" s="1"/>
  <c r="P19" i="31"/>
  <c r="Q19" i="31"/>
  <c r="C19" i="31"/>
  <c r="AI18" i="31"/>
  <c r="AH18" i="31"/>
  <c r="V18" i="31"/>
  <c r="U18" i="31" s="1"/>
  <c r="T18" i="31"/>
  <c r="S18" i="31" s="1"/>
  <c r="R18" i="31"/>
  <c r="X18" i="31"/>
  <c r="P18" i="31"/>
  <c r="Q18" i="31" s="1"/>
  <c r="C18" i="31"/>
  <c r="AI17" i="31"/>
  <c r="AH17" i="31"/>
  <c r="V17" i="31"/>
  <c r="U17" i="31"/>
  <c r="T17" i="31"/>
  <c r="S17" i="31" s="1"/>
  <c r="R17" i="31"/>
  <c r="X17" i="31"/>
  <c r="P17" i="31"/>
  <c r="Q17" i="31" s="1"/>
  <c r="C17" i="31"/>
  <c r="V16" i="31"/>
  <c r="U16" i="31"/>
  <c r="T16" i="31"/>
  <c r="S16" i="31" s="1"/>
  <c r="R16" i="31"/>
  <c r="X16" i="31" s="1"/>
  <c r="W16" i="31" s="1"/>
  <c r="P16" i="31"/>
  <c r="C16" i="31"/>
  <c r="V15" i="31"/>
  <c r="U15" i="31"/>
  <c r="T15" i="31"/>
  <c r="S15" i="31" s="1"/>
  <c r="R15" i="31"/>
  <c r="X15" i="31"/>
  <c r="P15" i="31"/>
  <c r="C15" i="31"/>
  <c r="V14" i="31"/>
  <c r="T14" i="31"/>
  <c r="R14" i="31"/>
  <c r="X14" i="31"/>
  <c r="P14" i="31"/>
  <c r="C14" i="31"/>
  <c r="AI13" i="31"/>
  <c r="AH13" i="31"/>
  <c r="V13" i="31"/>
  <c r="U13" i="31" s="1"/>
  <c r="T13" i="31"/>
  <c r="S13" i="31"/>
  <c r="R13" i="31"/>
  <c r="X13" i="31" s="1"/>
  <c r="P13" i="31"/>
  <c r="Q13" i="31"/>
  <c r="C13" i="31"/>
  <c r="AI12" i="31"/>
  <c r="AH12" i="31"/>
  <c r="V12" i="31"/>
  <c r="U12" i="31" s="1"/>
  <c r="T12" i="31"/>
  <c r="S12" i="31" s="1"/>
  <c r="R12" i="31"/>
  <c r="P12" i="31"/>
  <c r="Q12" i="31" s="1"/>
  <c r="C12" i="31"/>
  <c r="AI11" i="31"/>
  <c r="AH11" i="31"/>
  <c r="V11" i="31"/>
  <c r="U11" i="31" s="1"/>
  <c r="T11" i="31"/>
  <c r="S11" i="31"/>
  <c r="R11" i="31"/>
  <c r="X11" i="31" s="1"/>
  <c r="P11" i="31"/>
  <c r="Q11" i="31" s="1"/>
  <c r="C11" i="31"/>
  <c r="AI10" i="31"/>
  <c r="AH10" i="31"/>
  <c r="V10" i="31"/>
  <c r="U10" i="31" s="1"/>
  <c r="T10" i="31"/>
  <c r="R10" i="31"/>
  <c r="X10" i="31"/>
  <c r="P10" i="31"/>
  <c r="Q10" i="31" s="1"/>
  <c r="C10" i="31"/>
  <c r="AI9" i="31"/>
  <c r="AH9" i="31"/>
  <c r="V9" i="31"/>
  <c r="U9" i="31"/>
  <c r="T9" i="31"/>
  <c r="S9" i="31" s="1"/>
  <c r="R9" i="31"/>
  <c r="X9" i="31"/>
  <c r="P9" i="31"/>
  <c r="Q9" i="31" s="1"/>
  <c r="C9" i="31"/>
  <c r="AI8" i="31"/>
  <c r="AH8" i="31"/>
  <c r="V8" i="31"/>
  <c r="U8" i="31" s="1"/>
  <c r="T8" i="31"/>
  <c r="R8" i="31"/>
  <c r="X8" i="31" s="1"/>
  <c r="P8" i="31"/>
  <c r="Q8" i="31"/>
  <c r="C8" i="31"/>
  <c r="AI7" i="31"/>
  <c r="AH7" i="31"/>
  <c r="V7" i="31"/>
  <c r="T7" i="31"/>
  <c r="S7" i="31" s="1"/>
  <c r="R7" i="31"/>
  <c r="X7" i="31"/>
  <c r="P7" i="31"/>
  <c r="Q7" i="31" s="1"/>
  <c r="C7" i="31"/>
  <c r="AH156" i="32"/>
  <c r="AG156" i="32"/>
  <c r="U156" i="32"/>
  <c r="T156" i="32" s="1"/>
  <c r="S156" i="32"/>
  <c r="O156" i="32"/>
  <c r="P156" i="32" s="1"/>
  <c r="AH155" i="32"/>
  <c r="AG155" i="32"/>
  <c r="U155" i="32"/>
  <c r="T155" i="32" s="1"/>
  <c r="S155" i="32"/>
  <c r="R155" i="32" s="1"/>
  <c r="O155" i="32"/>
  <c r="P155" i="32" s="1"/>
  <c r="AH154" i="32"/>
  <c r="AG154" i="32"/>
  <c r="U154" i="32"/>
  <c r="S154" i="32"/>
  <c r="R154" i="32" s="1"/>
  <c r="O154" i="32"/>
  <c r="P154" i="32"/>
  <c r="AH153" i="32"/>
  <c r="AG153" i="32"/>
  <c r="U153" i="32"/>
  <c r="T153" i="32"/>
  <c r="S153" i="32"/>
  <c r="O153" i="32"/>
  <c r="P153" i="32" s="1"/>
  <c r="AH152" i="32"/>
  <c r="AG152" i="32"/>
  <c r="U152" i="32"/>
  <c r="T152" i="32" s="1"/>
  <c r="S152" i="32"/>
  <c r="R152" i="32"/>
  <c r="O152" i="32"/>
  <c r="P152" i="32" s="1"/>
  <c r="AH151" i="32"/>
  <c r="AG151" i="32"/>
  <c r="U151" i="32"/>
  <c r="S151" i="32"/>
  <c r="R151" i="32"/>
  <c r="O151" i="32"/>
  <c r="P151" i="32" s="1"/>
  <c r="AH150" i="32"/>
  <c r="AG150" i="32"/>
  <c r="U150" i="32"/>
  <c r="T150" i="32" s="1"/>
  <c r="S150" i="32"/>
  <c r="R150" i="32"/>
  <c r="O150" i="32"/>
  <c r="P150" i="32" s="1"/>
  <c r="AH149" i="32"/>
  <c r="AG149" i="32"/>
  <c r="U149" i="32"/>
  <c r="T149" i="32" s="1"/>
  <c r="S149" i="32"/>
  <c r="O149" i="32"/>
  <c r="P149" i="32"/>
  <c r="AH148" i="32"/>
  <c r="AG148" i="32"/>
  <c r="U148" i="32"/>
  <c r="T148" i="32" s="1"/>
  <c r="S148" i="32"/>
  <c r="R148" i="32" s="1"/>
  <c r="O148" i="32"/>
  <c r="P148" i="32"/>
  <c r="AH147" i="32"/>
  <c r="AG147" i="32"/>
  <c r="U147" i="32"/>
  <c r="T147" i="32" s="1"/>
  <c r="S147" i="32"/>
  <c r="R147" i="32" s="1"/>
  <c r="O147" i="32"/>
  <c r="P147" i="32"/>
  <c r="U146" i="32"/>
  <c r="T146" i="32" s="1"/>
  <c r="S146" i="32"/>
  <c r="O146" i="32"/>
  <c r="U145" i="32"/>
  <c r="T145" i="32" s="1"/>
  <c r="S145" i="32"/>
  <c r="O145" i="32"/>
  <c r="U144" i="32"/>
  <c r="S144" i="32"/>
  <c r="R144" i="32" s="1"/>
  <c r="O144" i="32"/>
  <c r="U143" i="32"/>
  <c r="T143" i="32" s="1"/>
  <c r="S143" i="32"/>
  <c r="O143" i="32"/>
  <c r="U142" i="32"/>
  <c r="T142" i="32" s="1"/>
  <c r="S142" i="32"/>
  <c r="R142" i="32"/>
  <c r="O142" i="32"/>
  <c r="U141" i="32"/>
  <c r="S141" i="32"/>
  <c r="R141" i="32"/>
  <c r="O141" i="32"/>
  <c r="AH140" i="32"/>
  <c r="AG140" i="32"/>
  <c r="U140" i="32"/>
  <c r="T140" i="32"/>
  <c r="S140" i="32"/>
  <c r="O140" i="32"/>
  <c r="P140" i="32"/>
  <c r="AH139" i="32"/>
  <c r="AG139" i="32"/>
  <c r="U139" i="32"/>
  <c r="T139" i="32"/>
  <c r="S139" i="32"/>
  <c r="O139" i="32"/>
  <c r="P139" i="32" s="1"/>
  <c r="AH138" i="32"/>
  <c r="AG138" i="32"/>
  <c r="U138" i="32"/>
  <c r="T138" i="32" s="1"/>
  <c r="S138" i="32"/>
  <c r="R138" i="32" s="1"/>
  <c r="O138" i="32"/>
  <c r="P138" i="32" s="1"/>
  <c r="AH137" i="32"/>
  <c r="AG137" i="32"/>
  <c r="U137" i="32"/>
  <c r="T137" i="32" s="1"/>
  <c r="S137" i="32"/>
  <c r="R137" i="32"/>
  <c r="O137" i="32"/>
  <c r="P137" i="32" s="1"/>
  <c r="AH136" i="32"/>
  <c r="AG136" i="32"/>
  <c r="U136" i="32"/>
  <c r="T136" i="32" s="1"/>
  <c r="S136" i="32"/>
  <c r="O136" i="32"/>
  <c r="P136" i="32" s="1"/>
  <c r="AH135" i="32"/>
  <c r="AG135" i="32"/>
  <c r="U135" i="32"/>
  <c r="T135" i="32" s="1"/>
  <c r="S135" i="32"/>
  <c r="O135" i="32"/>
  <c r="P135" i="32"/>
  <c r="AH134" i="32"/>
  <c r="AG134" i="32"/>
  <c r="U134" i="32"/>
  <c r="S134" i="32"/>
  <c r="R134" i="32" s="1"/>
  <c r="O134" i="32"/>
  <c r="P134" i="32"/>
  <c r="AH133" i="32"/>
  <c r="AG133" i="32"/>
  <c r="U133" i="32"/>
  <c r="T133" i="32"/>
  <c r="S133" i="32"/>
  <c r="R133" i="32" s="1"/>
  <c r="O133" i="32"/>
  <c r="P133" i="32"/>
  <c r="AH132" i="32"/>
  <c r="AG132" i="32"/>
  <c r="U132" i="32"/>
  <c r="T132" i="32"/>
  <c r="S132" i="32"/>
  <c r="O132" i="32"/>
  <c r="P132" i="32" s="1"/>
  <c r="AH131" i="32"/>
  <c r="AG131" i="32"/>
  <c r="U131" i="32"/>
  <c r="T131" i="32" s="1"/>
  <c r="S131" i="32"/>
  <c r="O131" i="32"/>
  <c r="P131" i="32" s="1"/>
  <c r="AH130" i="32"/>
  <c r="AG130" i="32"/>
  <c r="U130" i="32"/>
  <c r="T130" i="32" s="1"/>
  <c r="S130" i="32"/>
  <c r="R130" i="32"/>
  <c r="O130" i="32"/>
  <c r="P130" i="32" s="1"/>
  <c r="U129" i="32"/>
  <c r="T129" i="32"/>
  <c r="S129" i="32"/>
  <c r="R129" i="32" s="1"/>
  <c r="O129" i="32"/>
  <c r="P129" i="32"/>
  <c r="U128" i="32"/>
  <c r="T128" i="32" s="1"/>
  <c r="S128" i="32"/>
  <c r="R128" i="32" s="1"/>
  <c r="O128" i="32"/>
  <c r="P128" i="32" s="1"/>
  <c r="U127" i="32"/>
  <c r="T127" i="32" s="1"/>
  <c r="S127" i="32"/>
  <c r="R127" i="32"/>
  <c r="O127" i="32"/>
  <c r="P127" i="32" s="1"/>
  <c r="AH126" i="32"/>
  <c r="AG126" i="32"/>
  <c r="U126" i="32"/>
  <c r="T126" i="32" s="1"/>
  <c r="S126" i="32"/>
  <c r="R126" i="32"/>
  <c r="O126" i="32"/>
  <c r="P126" i="32" s="1"/>
  <c r="AH125" i="32"/>
  <c r="AG125" i="32"/>
  <c r="U125" i="32"/>
  <c r="T125" i="32" s="1"/>
  <c r="S125" i="32"/>
  <c r="R125" i="32"/>
  <c r="O125" i="32"/>
  <c r="P125" i="32" s="1"/>
  <c r="AH124" i="32"/>
  <c r="AG124" i="32"/>
  <c r="U124" i="32"/>
  <c r="T124" i="32" s="1"/>
  <c r="S124" i="32"/>
  <c r="O124" i="32"/>
  <c r="P124" i="32" s="1"/>
  <c r="AH123" i="32"/>
  <c r="AG123" i="32"/>
  <c r="U123" i="32"/>
  <c r="T123" i="32" s="1"/>
  <c r="S123" i="32"/>
  <c r="R123" i="32"/>
  <c r="O123" i="32"/>
  <c r="P123" i="32" s="1"/>
  <c r="AH122" i="32"/>
  <c r="AG122" i="32"/>
  <c r="U122" i="32"/>
  <c r="T122" i="32" s="1"/>
  <c r="S122" i="32"/>
  <c r="R122" i="32"/>
  <c r="O122" i="32"/>
  <c r="P122" i="32" s="1"/>
  <c r="AH121" i="32"/>
  <c r="AG121" i="32"/>
  <c r="U121" i="32"/>
  <c r="T121" i="32" s="1"/>
  <c r="S121" i="32"/>
  <c r="R121" i="32"/>
  <c r="O121" i="32"/>
  <c r="P121" i="32" s="1"/>
  <c r="AH120" i="32"/>
  <c r="AG120" i="32"/>
  <c r="U120" i="32"/>
  <c r="T120" i="32" s="1"/>
  <c r="S120" i="32"/>
  <c r="O120" i="32"/>
  <c r="AH119" i="32"/>
  <c r="AG119" i="32"/>
  <c r="U119" i="32"/>
  <c r="T119" i="32"/>
  <c r="S119" i="32"/>
  <c r="R119" i="32" s="1"/>
  <c r="O119" i="32"/>
  <c r="P119" i="32"/>
  <c r="AH118" i="32"/>
  <c r="AG118" i="32"/>
  <c r="U118" i="32"/>
  <c r="T118" i="32"/>
  <c r="S118" i="32"/>
  <c r="R118" i="32" s="1"/>
  <c r="O118" i="32"/>
  <c r="P118" i="32"/>
  <c r="AH117" i="32"/>
  <c r="AG117" i="32"/>
  <c r="U117" i="32"/>
  <c r="T117" i="32"/>
  <c r="S117" i="32"/>
  <c r="R117" i="32" s="1"/>
  <c r="O117" i="32"/>
  <c r="P117" i="32"/>
  <c r="AH116" i="32"/>
  <c r="AG116" i="32"/>
  <c r="U116" i="32"/>
  <c r="T116" i="32"/>
  <c r="S116" i="32"/>
  <c r="R116" i="32" s="1"/>
  <c r="O116" i="32"/>
  <c r="P116" i="32" s="1"/>
  <c r="AH115" i="32"/>
  <c r="AG115" i="32"/>
  <c r="U115" i="32"/>
  <c r="T115" i="32" s="1"/>
  <c r="S115" i="32"/>
  <c r="R115" i="32" s="1"/>
  <c r="O115" i="32"/>
  <c r="P115" i="32" s="1"/>
  <c r="AH114" i="32"/>
  <c r="AG114" i="32"/>
  <c r="U114" i="32"/>
  <c r="T114" i="32" s="1"/>
  <c r="S114" i="32"/>
  <c r="R114" i="32"/>
  <c r="O114" i="32"/>
  <c r="P114" i="32" s="1"/>
  <c r="AH113" i="32"/>
  <c r="AG113" i="32"/>
  <c r="U113" i="32"/>
  <c r="S113" i="32"/>
  <c r="R113" i="32"/>
  <c r="O113" i="32"/>
  <c r="P113" i="32" s="1"/>
  <c r="AH112" i="32"/>
  <c r="AG112" i="32"/>
  <c r="U112" i="32"/>
  <c r="T112" i="32" s="1"/>
  <c r="S112" i="32"/>
  <c r="O112" i="32"/>
  <c r="P112" i="32" s="1"/>
  <c r="AH111" i="32"/>
  <c r="AG111" i="32"/>
  <c r="U111" i="32"/>
  <c r="T111" i="32"/>
  <c r="S111" i="32"/>
  <c r="O111" i="32"/>
  <c r="P111" i="32"/>
  <c r="AH110" i="32"/>
  <c r="AG110" i="32"/>
  <c r="U110" i="32"/>
  <c r="T110" i="32"/>
  <c r="S110" i="32"/>
  <c r="R110" i="32" s="1"/>
  <c r="O110" i="32"/>
  <c r="P110" i="32"/>
  <c r="AH109" i="32"/>
  <c r="AG109" i="32"/>
  <c r="U109" i="32"/>
  <c r="T109" i="32"/>
  <c r="S109" i="32"/>
  <c r="O109" i="32"/>
  <c r="P109" i="32" s="1"/>
  <c r="AH108" i="32"/>
  <c r="AG108" i="32"/>
  <c r="U108" i="32"/>
  <c r="T108" i="32" s="1"/>
  <c r="S108" i="32"/>
  <c r="O108" i="32"/>
  <c r="P108" i="32" s="1"/>
  <c r="AH107" i="32"/>
  <c r="AG107" i="32"/>
  <c r="U107" i="32"/>
  <c r="T107" i="32" s="1"/>
  <c r="S107" i="32"/>
  <c r="O107" i="32"/>
  <c r="P107" i="32"/>
  <c r="AH106" i="32"/>
  <c r="AG106" i="32"/>
  <c r="U106" i="32"/>
  <c r="T106" i="32"/>
  <c r="S106" i="32"/>
  <c r="R106" i="32" s="1"/>
  <c r="O106" i="32"/>
  <c r="P106" i="32"/>
  <c r="AH105" i="32"/>
  <c r="AG105" i="32"/>
  <c r="U105" i="32"/>
  <c r="T105" i="32"/>
  <c r="S105" i="32"/>
  <c r="O105" i="32"/>
  <c r="P105" i="32"/>
  <c r="AH104" i="32"/>
  <c r="AG104" i="32"/>
  <c r="U104" i="32"/>
  <c r="T104" i="32"/>
  <c r="S104" i="32"/>
  <c r="O104" i="32"/>
  <c r="P104" i="32" s="1"/>
  <c r="AH103" i="32"/>
  <c r="AG103" i="32"/>
  <c r="U103" i="32"/>
  <c r="T103" i="32" s="1"/>
  <c r="S103" i="32"/>
  <c r="R103" i="32" s="1"/>
  <c r="O103" i="32"/>
  <c r="P103" i="32" s="1"/>
  <c r="AH102" i="32"/>
  <c r="AG102" i="32"/>
  <c r="U102" i="32"/>
  <c r="T102" i="32" s="1"/>
  <c r="S102" i="32"/>
  <c r="R102" i="32"/>
  <c r="O102" i="32"/>
  <c r="P102" i="32" s="1"/>
  <c r="AH101" i="32"/>
  <c r="AG101" i="32"/>
  <c r="U101" i="32"/>
  <c r="T101" i="32" s="1"/>
  <c r="S101" i="32"/>
  <c r="R101" i="32" s="1"/>
  <c r="O101" i="32"/>
  <c r="P101" i="32" s="1"/>
  <c r="AH100" i="32"/>
  <c r="AG100" i="32"/>
  <c r="U100" i="32"/>
  <c r="T100" i="32" s="1"/>
  <c r="S100" i="32"/>
  <c r="O100" i="32"/>
  <c r="P100" i="32" s="1"/>
  <c r="AH99" i="32"/>
  <c r="AG99" i="32"/>
  <c r="U99" i="32"/>
  <c r="T99" i="32" s="1"/>
  <c r="S99" i="32"/>
  <c r="R99" i="32"/>
  <c r="O99" i="32"/>
  <c r="P99" i="32" s="1"/>
  <c r="AH98" i="32"/>
  <c r="AG98" i="32"/>
  <c r="U98" i="32"/>
  <c r="T98" i="32" s="1"/>
  <c r="S98" i="32"/>
  <c r="R98" i="32"/>
  <c r="O98" i="32"/>
  <c r="P98" i="32" s="1"/>
  <c r="AH97" i="32"/>
  <c r="AG97" i="32"/>
  <c r="U97" i="32"/>
  <c r="T97" i="32" s="1"/>
  <c r="S97" i="32"/>
  <c r="R97" i="32"/>
  <c r="O97" i="32"/>
  <c r="P97" i="32" s="1"/>
  <c r="AH96" i="32"/>
  <c r="AG96" i="32"/>
  <c r="U96" i="32"/>
  <c r="T96" i="32" s="1"/>
  <c r="S96" i="32"/>
  <c r="O96" i="32"/>
  <c r="P96" i="32"/>
  <c r="AH95" i="32"/>
  <c r="AG95" i="32"/>
  <c r="U95" i="32"/>
  <c r="T95" i="32"/>
  <c r="S95" i="32"/>
  <c r="O95" i="32"/>
  <c r="P95" i="32"/>
  <c r="AH94" i="32"/>
  <c r="AG94" i="32"/>
  <c r="U94" i="32"/>
  <c r="T94" i="32"/>
  <c r="S94" i="32"/>
  <c r="R94" i="32" s="1"/>
  <c r="O94" i="32"/>
  <c r="P94" i="32"/>
  <c r="AH93" i="32"/>
  <c r="AG93" i="32"/>
  <c r="U93" i="32"/>
  <c r="T93" i="32"/>
  <c r="S93" i="32"/>
  <c r="O93" i="32"/>
  <c r="P93" i="32" s="1"/>
  <c r="AH92" i="32"/>
  <c r="AG92" i="32"/>
  <c r="U92" i="32"/>
  <c r="T92" i="32" s="1"/>
  <c r="S92" i="32"/>
  <c r="O92" i="32"/>
  <c r="P92" i="32" s="1"/>
  <c r="AH91" i="32"/>
  <c r="AG91" i="32"/>
  <c r="U91" i="32"/>
  <c r="T91" i="32" s="1"/>
  <c r="S91" i="32"/>
  <c r="R91" i="32"/>
  <c r="O91" i="32"/>
  <c r="P91" i="32" s="1"/>
  <c r="AH90" i="32"/>
  <c r="AG90" i="32"/>
  <c r="U90" i="32"/>
  <c r="T90" i="32" s="1"/>
  <c r="S90" i="32"/>
  <c r="R90" i="32"/>
  <c r="O90" i="32"/>
  <c r="P90" i="32" s="1"/>
  <c r="AH89" i="32"/>
  <c r="AG89" i="32"/>
  <c r="U89" i="32"/>
  <c r="T89" i="32" s="1"/>
  <c r="S89" i="32"/>
  <c r="R89" i="32"/>
  <c r="O89" i="32"/>
  <c r="P89" i="32" s="1"/>
  <c r="AH88" i="32"/>
  <c r="AG88" i="32"/>
  <c r="U88" i="32"/>
  <c r="T88" i="32" s="1"/>
  <c r="S88" i="32"/>
  <c r="O88" i="32"/>
  <c r="P88" i="32"/>
  <c r="AH87" i="32"/>
  <c r="AG87" i="32"/>
  <c r="U87" i="32"/>
  <c r="T87" i="32"/>
  <c r="S87" i="32"/>
  <c r="R87" i="32" s="1"/>
  <c r="O87" i="32"/>
  <c r="P87" i="32"/>
  <c r="AH86" i="32"/>
  <c r="AG86" i="32"/>
  <c r="U86" i="32"/>
  <c r="T86" i="32"/>
  <c r="S86" i="32"/>
  <c r="R86" i="32" s="1"/>
  <c r="O86" i="32"/>
  <c r="P86" i="32"/>
  <c r="AH85" i="32"/>
  <c r="AG85" i="32"/>
  <c r="U85" i="32"/>
  <c r="T85" i="32" s="1"/>
  <c r="S85" i="32"/>
  <c r="R85" i="32" s="1"/>
  <c r="O85" i="32"/>
  <c r="P85" i="32"/>
  <c r="AH84" i="32"/>
  <c r="AG84" i="32"/>
  <c r="U84" i="32"/>
  <c r="T84" i="32" s="1"/>
  <c r="S84" i="32"/>
  <c r="O84" i="32"/>
  <c r="P84" i="32"/>
  <c r="AH83" i="32"/>
  <c r="AG83" i="32"/>
  <c r="U83" i="32"/>
  <c r="T83" i="32"/>
  <c r="S83" i="32"/>
  <c r="R83" i="32" s="1"/>
  <c r="O83" i="32"/>
  <c r="P83" i="32"/>
  <c r="AH82" i="32"/>
  <c r="AG82" i="32"/>
  <c r="U82" i="32"/>
  <c r="T82" i="32"/>
  <c r="S82" i="32"/>
  <c r="R82" i="32" s="1"/>
  <c r="O82" i="32"/>
  <c r="P82" i="32"/>
  <c r="AH81" i="32"/>
  <c r="AG81" i="32"/>
  <c r="U81" i="32"/>
  <c r="T81" i="32"/>
  <c r="S81" i="32"/>
  <c r="R81" i="32" s="1"/>
  <c r="O81" i="32"/>
  <c r="P81" i="32"/>
  <c r="AH80" i="32"/>
  <c r="AG80" i="32"/>
  <c r="U80" i="32"/>
  <c r="T80" i="32"/>
  <c r="S80" i="32"/>
  <c r="O80" i="32"/>
  <c r="P80" i="32" s="1"/>
  <c r="AH79" i="32"/>
  <c r="AG79" i="32"/>
  <c r="U79" i="32"/>
  <c r="T79" i="32" s="1"/>
  <c r="S79" i="32"/>
  <c r="O79" i="32"/>
  <c r="P79" i="32" s="1"/>
  <c r="AH78" i="32"/>
  <c r="AG78" i="32"/>
  <c r="U78" i="32"/>
  <c r="T78" i="32" s="1"/>
  <c r="S78" i="32"/>
  <c r="R78" i="32"/>
  <c r="O78" i="32"/>
  <c r="P78" i="32" s="1"/>
  <c r="AH77" i="32"/>
  <c r="AG77" i="32"/>
  <c r="U77" i="32"/>
  <c r="T77" i="32" s="1"/>
  <c r="S77" i="32"/>
  <c r="O77" i="32"/>
  <c r="P77" i="32"/>
  <c r="AH76" i="32"/>
  <c r="AG76" i="32"/>
  <c r="U76" i="32"/>
  <c r="T76" i="32"/>
  <c r="S76" i="32"/>
  <c r="O76" i="32"/>
  <c r="P76" i="32"/>
  <c r="AH75" i="32"/>
  <c r="AG75" i="32"/>
  <c r="U75" i="32"/>
  <c r="T75" i="32"/>
  <c r="S75" i="32"/>
  <c r="R75" i="32" s="1"/>
  <c r="O75" i="32"/>
  <c r="P75" i="32"/>
  <c r="AH74" i="32"/>
  <c r="AG74" i="32"/>
  <c r="U74" i="32"/>
  <c r="T74" i="32"/>
  <c r="S74" i="32"/>
  <c r="R74" i="32" s="1"/>
  <c r="O74" i="32"/>
  <c r="P74" i="32"/>
  <c r="AH73" i="32"/>
  <c r="AG73" i="32"/>
  <c r="U73" i="32"/>
  <c r="T73" i="32"/>
  <c r="S73" i="32"/>
  <c r="R73" i="32" s="1"/>
  <c r="O73" i="32"/>
  <c r="P73" i="32"/>
  <c r="AH72" i="32"/>
  <c r="AG72" i="32"/>
  <c r="U72" i="32"/>
  <c r="T72" i="32"/>
  <c r="S72" i="32"/>
  <c r="O72" i="32"/>
  <c r="P72" i="32" s="1"/>
  <c r="AH71" i="32"/>
  <c r="AG71" i="32"/>
  <c r="U71" i="32"/>
  <c r="T71" i="32" s="1"/>
  <c r="S71" i="32"/>
  <c r="R71" i="32"/>
  <c r="O71" i="32"/>
  <c r="P71" i="32" s="1"/>
  <c r="AH70" i="32"/>
  <c r="AG70" i="32"/>
  <c r="U70" i="32"/>
  <c r="T70" i="32" s="1"/>
  <c r="S70" i="32"/>
  <c r="R70" i="32"/>
  <c r="O70" i="32"/>
  <c r="P70" i="32" s="1"/>
  <c r="AH69" i="32"/>
  <c r="AG69" i="32"/>
  <c r="U69" i="32"/>
  <c r="T69" i="32" s="1"/>
  <c r="S69" i="32"/>
  <c r="R69" i="32"/>
  <c r="O69" i="32"/>
  <c r="P69" i="32" s="1"/>
  <c r="AH68" i="32"/>
  <c r="AG68" i="32"/>
  <c r="U68" i="32"/>
  <c r="T68" i="32" s="1"/>
  <c r="S68" i="32"/>
  <c r="R68" i="32"/>
  <c r="O68" i="32"/>
  <c r="P68" i="32" s="1"/>
  <c r="AH67" i="32"/>
  <c r="AG67" i="32"/>
  <c r="U67" i="32"/>
  <c r="T67" i="32" s="1"/>
  <c r="S67" i="32"/>
  <c r="R67" i="32"/>
  <c r="O67" i="32"/>
  <c r="P67" i="32" s="1"/>
  <c r="AH66" i="32"/>
  <c r="AG66" i="32"/>
  <c r="U66" i="32"/>
  <c r="T66" i="32" s="1"/>
  <c r="S66" i="32"/>
  <c r="O66" i="32"/>
  <c r="P66" i="32" s="1"/>
  <c r="AH65" i="32"/>
  <c r="AG65" i="32"/>
  <c r="U65" i="32"/>
  <c r="T65" i="32" s="1"/>
  <c r="S65" i="32"/>
  <c r="O65" i="32"/>
  <c r="P65" i="32"/>
  <c r="AH64" i="32"/>
  <c r="AG64" i="32"/>
  <c r="U64" i="32"/>
  <c r="T64" i="32"/>
  <c r="S64" i="32"/>
  <c r="R64" i="32" s="1"/>
  <c r="O64" i="32"/>
  <c r="P64" i="32"/>
  <c r="AH63" i="32"/>
  <c r="AG63" i="32"/>
  <c r="U63" i="32"/>
  <c r="T63" i="32" s="1"/>
  <c r="S63" i="32"/>
  <c r="R63" i="32" s="1"/>
  <c r="O63" i="32"/>
  <c r="P63" i="32"/>
  <c r="AH62" i="32"/>
  <c r="AG62" i="32"/>
  <c r="U62" i="32"/>
  <c r="T62" i="32" s="1"/>
  <c r="S62" i="32"/>
  <c r="O62" i="32"/>
  <c r="P62" i="32"/>
  <c r="AH60" i="32"/>
  <c r="AG60" i="32"/>
  <c r="U60" i="32"/>
  <c r="T60" i="32"/>
  <c r="S60" i="32"/>
  <c r="O60" i="32"/>
  <c r="P60" i="32" s="1"/>
  <c r="AH59" i="32"/>
  <c r="AG59" i="32"/>
  <c r="U59" i="32"/>
  <c r="T59" i="32" s="1"/>
  <c r="S59" i="32"/>
  <c r="R59" i="32"/>
  <c r="O59" i="32"/>
  <c r="P59" i="32" s="1"/>
  <c r="AH58" i="32"/>
  <c r="AG58" i="32"/>
  <c r="U58" i="32"/>
  <c r="T58" i="32" s="1"/>
  <c r="S58" i="32"/>
  <c r="R58" i="32" s="1"/>
  <c r="O58" i="32"/>
  <c r="P58" i="32" s="1"/>
  <c r="AH57" i="32"/>
  <c r="AG57" i="32"/>
  <c r="U57" i="32"/>
  <c r="T57" i="32" s="1"/>
  <c r="S57" i="32"/>
  <c r="O57" i="32"/>
  <c r="P57" i="32" s="1"/>
  <c r="AH56" i="32"/>
  <c r="AG56" i="32"/>
  <c r="U56" i="32"/>
  <c r="T56" i="32" s="1"/>
  <c r="S56" i="32"/>
  <c r="O56" i="32"/>
  <c r="P56" i="32" s="1"/>
  <c r="AH55" i="32"/>
  <c r="AG55" i="32"/>
  <c r="U55" i="32"/>
  <c r="T55" i="32"/>
  <c r="S55" i="32"/>
  <c r="R55" i="32" s="1"/>
  <c r="O55" i="32"/>
  <c r="P55" i="32"/>
  <c r="AH54" i="32"/>
  <c r="AG54" i="32"/>
  <c r="U54" i="32"/>
  <c r="T54" i="32"/>
  <c r="S54" i="32"/>
  <c r="O54" i="32"/>
  <c r="P54" i="32"/>
  <c r="AH53" i="32"/>
  <c r="AG53" i="32"/>
  <c r="U53" i="32"/>
  <c r="T53" i="32"/>
  <c r="S53" i="32"/>
  <c r="O53" i="32"/>
  <c r="P53" i="32" s="1"/>
  <c r="AH52" i="32"/>
  <c r="AG52" i="32"/>
  <c r="U52" i="32"/>
  <c r="T52" i="32" s="1"/>
  <c r="S52" i="32"/>
  <c r="R52" i="32"/>
  <c r="O52" i="32"/>
  <c r="P52" i="32" s="1"/>
  <c r="AH51" i="32"/>
  <c r="AG51" i="32"/>
  <c r="U51" i="32"/>
  <c r="T51" i="32" s="1"/>
  <c r="S51" i="32"/>
  <c r="R51" i="32"/>
  <c r="O51" i="32"/>
  <c r="P51" i="32" s="1"/>
  <c r="U50" i="32"/>
  <c r="T50" i="32"/>
  <c r="S50" i="32"/>
  <c r="R50" i="32" s="1"/>
  <c r="O50" i="32"/>
  <c r="U49" i="32"/>
  <c r="T49" i="32" s="1"/>
  <c r="S49" i="32"/>
  <c r="O49" i="32"/>
  <c r="P49" i="32" s="1"/>
  <c r="U48" i="32"/>
  <c r="T48" i="32" s="1"/>
  <c r="S48" i="32"/>
  <c r="R48" i="32"/>
  <c r="O48" i="32"/>
  <c r="U46" i="32"/>
  <c r="T46" i="32" s="1"/>
  <c r="S46" i="32"/>
  <c r="O46" i="32"/>
  <c r="U44" i="32"/>
  <c r="T44" i="32" s="1"/>
  <c r="S44" i="32"/>
  <c r="R44" i="32"/>
  <c r="O44" i="32"/>
  <c r="U42" i="32"/>
  <c r="T42" i="32"/>
  <c r="S42" i="32"/>
  <c r="R42" i="32" s="1"/>
  <c r="O42" i="32"/>
  <c r="AH41" i="32"/>
  <c r="AG41" i="32"/>
  <c r="U41" i="32"/>
  <c r="T41" i="32" s="1"/>
  <c r="S41" i="32"/>
  <c r="O41" i="32"/>
  <c r="P41" i="32" s="1"/>
  <c r="AH40" i="32"/>
  <c r="AG40" i="32"/>
  <c r="U40" i="32"/>
  <c r="T40" i="32" s="1"/>
  <c r="S40" i="32"/>
  <c r="O40" i="32"/>
  <c r="P40" i="32" s="1"/>
  <c r="AH39" i="32"/>
  <c r="AG39" i="32"/>
  <c r="U39" i="32"/>
  <c r="T39" i="32"/>
  <c r="S39" i="32"/>
  <c r="R39" i="32" s="1"/>
  <c r="O39" i="32"/>
  <c r="P39" i="32" s="1"/>
  <c r="AH38" i="32"/>
  <c r="AG38" i="32"/>
  <c r="U38" i="32"/>
  <c r="T38" i="32"/>
  <c r="S38" i="32"/>
  <c r="R38" i="32" s="1"/>
  <c r="O38" i="32"/>
  <c r="P38" i="32"/>
  <c r="AH37" i="32"/>
  <c r="AG37" i="32"/>
  <c r="U37" i="32"/>
  <c r="T37" i="32"/>
  <c r="S37" i="32"/>
  <c r="O37" i="32"/>
  <c r="P37" i="32"/>
  <c r="AH36" i="32"/>
  <c r="AG36" i="32"/>
  <c r="U36" i="32"/>
  <c r="T36" i="32"/>
  <c r="S36" i="32"/>
  <c r="R36" i="32" s="1"/>
  <c r="O36" i="32"/>
  <c r="P36" i="32"/>
  <c r="AH35" i="32"/>
  <c r="AG35" i="32"/>
  <c r="U35" i="32"/>
  <c r="T35" i="32"/>
  <c r="S35" i="32"/>
  <c r="O35" i="32"/>
  <c r="P35" i="32" s="1"/>
  <c r="U34" i="32"/>
  <c r="T34" i="32" s="1"/>
  <c r="S34" i="32"/>
  <c r="O34" i="32"/>
  <c r="U33" i="32"/>
  <c r="T33" i="32"/>
  <c r="S33" i="32"/>
  <c r="O33" i="32"/>
  <c r="U32" i="32"/>
  <c r="T32" i="32" s="1"/>
  <c r="S32" i="32"/>
  <c r="O32" i="32"/>
  <c r="AH31" i="32"/>
  <c r="AG31" i="32"/>
  <c r="U31" i="32"/>
  <c r="T31" i="32" s="1"/>
  <c r="S31" i="32"/>
  <c r="R31" i="32" s="1"/>
  <c r="O31" i="32"/>
  <c r="P31" i="32" s="1"/>
  <c r="AH30" i="32"/>
  <c r="AG30" i="32"/>
  <c r="U30" i="32"/>
  <c r="T30" i="32" s="1"/>
  <c r="S30" i="32"/>
  <c r="O30" i="32"/>
  <c r="P30" i="32" s="1"/>
  <c r="AH29" i="32"/>
  <c r="AG29" i="32"/>
  <c r="U29" i="32"/>
  <c r="T29" i="32" s="1"/>
  <c r="S29" i="32"/>
  <c r="R29" i="32"/>
  <c r="O29" i="32"/>
  <c r="P29" i="32" s="1"/>
  <c r="AH28" i="32"/>
  <c r="AG28" i="32"/>
  <c r="U28" i="32"/>
  <c r="T28" i="32" s="1"/>
  <c r="S28" i="32"/>
  <c r="O28" i="32"/>
  <c r="P28" i="32"/>
  <c r="AH27" i="32"/>
  <c r="AG27" i="32"/>
  <c r="U27" i="32"/>
  <c r="T27" i="32"/>
  <c r="S27" i="32"/>
  <c r="R27" i="32" s="1"/>
  <c r="O27" i="32"/>
  <c r="P27" i="32" s="1"/>
  <c r="AH26" i="32"/>
  <c r="AG26" i="32"/>
  <c r="U26" i="32"/>
  <c r="T26" i="32"/>
  <c r="S26" i="32"/>
  <c r="O26" i="32"/>
  <c r="P26" i="32"/>
  <c r="AH25" i="32"/>
  <c r="AG25" i="32"/>
  <c r="U25" i="32"/>
  <c r="T25" i="32"/>
  <c r="S25" i="32"/>
  <c r="R25" i="32" s="1"/>
  <c r="O25" i="32"/>
  <c r="P25" i="32"/>
  <c r="AH23" i="32"/>
  <c r="AG23" i="32"/>
  <c r="U23" i="32"/>
  <c r="T23" i="32"/>
  <c r="S23" i="32"/>
  <c r="O23" i="32"/>
  <c r="P23" i="32" s="1"/>
  <c r="AH22" i="32"/>
  <c r="AG22" i="32"/>
  <c r="U22" i="32"/>
  <c r="T22" i="32" s="1"/>
  <c r="S22" i="32"/>
  <c r="R22" i="32"/>
  <c r="O22" i="32"/>
  <c r="P22" i="32" s="1"/>
  <c r="AH21" i="32"/>
  <c r="AG21" i="32"/>
  <c r="U21" i="32"/>
  <c r="T21" i="32" s="1"/>
  <c r="S21" i="32"/>
  <c r="O21" i="32"/>
  <c r="P21" i="32" s="1"/>
  <c r="AH20" i="32"/>
  <c r="AG20" i="32"/>
  <c r="U20" i="32"/>
  <c r="T20" i="32" s="1"/>
  <c r="S20" i="32"/>
  <c r="R20" i="32"/>
  <c r="O20" i="32"/>
  <c r="P20" i="32" s="1"/>
  <c r="AH18" i="32"/>
  <c r="AG18" i="32"/>
  <c r="U18" i="32"/>
  <c r="T18" i="32" s="1"/>
  <c r="S18" i="32"/>
  <c r="O18" i="32"/>
  <c r="P18" i="32"/>
  <c r="U17" i="32"/>
  <c r="T17" i="32" s="1"/>
  <c r="S17" i="32"/>
  <c r="R17" i="32"/>
  <c r="O17" i="32"/>
  <c r="U16" i="32"/>
  <c r="T16" i="32"/>
  <c r="S16" i="32"/>
  <c r="R16" i="32" s="1"/>
  <c r="O16" i="32"/>
  <c r="U15" i="32"/>
  <c r="T15" i="32"/>
  <c r="S15" i="32"/>
  <c r="O15" i="32"/>
  <c r="AH14" i="32"/>
  <c r="AG14" i="32"/>
  <c r="U14" i="32"/>
  <c r="T14" i="32" s="1"/>
  <c r="S14" i="32"/>
  <c r="O14" i="32"/>
  <c r="P14" i="32"/>
  <c r="AH12" i="32"/>
  <c r="AG12" i="32"/>
  <c r="U12" i="32"/>
  <c r="T12" i="32"/>
  <c r="S12" i="32"/>
  <c r="P12" i="32"/>
  <c r="AH11" i="32"/>
  <c r="AG11" i="32"/>
  <c r="U11" i="32"/>
  <c r="T11" i="32" s="1"/>
  <c r="S11" i="32"/>
  <c r="R11" i="32"/>
  <c r="O11" i="32"/>
  <c r="P11" i="32" s="1"/>
  <c r="AH10" i="32"/>
  <c r="AG10" i="32"/>
  <c r="U10" i="32"/>
  <c r="T10" i="32" s="1"/>
  <c r="S10" i="32"/>
  <c r="O10" i="32"/>
  <c r="P10" i="32" s="1"/>
  <c r="AH9" i="32"/>
  <c r="AG9" i="32"/>
  <c r="U9" i="32"/>
  <c r="T9" i="32" s="1"/>
  <c r="S9" i="32"/>
  <c r="R9" i="32"/>
  <c r="O9" i="32"/>
  <c r="P9" i="32" s="1"/>
  <c r="U7" i="32"/>
  <c r="T7" i="32"/>
  <c r="S7" i="32"/>
  <c r="W143" i="33"/>
  <c r="U143" i="33"/>
  <c r="S143" i="33"/>
  <c r="R143" i="33"/>
  <c r="W142" i="33"/>
  <c r="U142" i="33"/>
  <c r="T142" i="33"/>
  <c r="S142" i="33"/>
  <c r="R142" i="33" s="1"/>
  <c r="W141" i="33"/>
  <c r="U141" i="33"/>
  <c r="T141" i="33"/>
  <c r="S141" i="33"/>
  <c r="W140" i="33"/>
  <c r="U140" i="33"/>
  <c r="T140" i="33"/>
  <c r="S140" i="33"/>
  <c r="R140" i="33" s="1"/>
  <c r="W139" i="33"/>
  <c r="U139" i="33"/>
  <c r="S139" i="33"/>
  <c r="W138" i="33"/>
  <c r="U138" i="33"/>
  <c r="T138" i="33"/>
  <c r="S138" i="33"/>
  <c r="R138" i="33" s="1"/>
  <c r="W137" i="33"/>
  <c r="U137" i="33"/>
  <c r="S137" i="33"/>
  <c r="W136" i="33"/>
  <c r="U136" i="33"/>
  <c r="T136" i="33" s="1"/>
  <c r="S136" i="33"/>
  <c r="AH135" i="33"/>
  <c r="AG135" i="33"/>
  <c r="W135" i="33"/>
  <c r="U135" i="33"/>
  <c r="T135" i="33" s="1"/>
  <c r="S135" i="33"/>
  <c r="AH134" i="33"/>
  <c r="AG134" i="33"/>
  <c r="W134" i="33"/>
  <c r="U134" i="33"/>
  <c r="S134" i="33"/>
  <c r="R134" i="33" s="1"/>
  <c r="AH133" i="33"/>
  <c r="AG133" i="33"/>
  <c r="W133" i="33"/>
  <c r="V133" i="33" s="1"/>
  <c r="U133" i="33"/>
  <c r="S133" i="33"/>
  <c r="R133" i="33"/>
  <c r="AH132" i="33"/>
  <c r="AG132" i="33"/>
  <c r="W132" i="33"/>
  <c r="U132" i="33"/>
  <c r="T132" i="33"/>
  <c r="S132" i="33"/>
  <c r="AH131" i="33"/>
  <c r="AG131" i="33"/>
  <c r="W131" i="33"/>
  <c r="U131" i="33"/>
  <c r="T131" i="33" s="1"/>
  <c r="S131" i="33"/>
  <c r="AH130" i="33"/>
  <c r="AG130" i="33"/>
  <c r="W130" i="33"/>
  <c r="U130" i="33"/>
  <c r="S130" i="33"/>
  <c r="R130" i="33"/>
  <c r="AH129" i="33"/>
  <c r="AG129" i="33"/>
  <c r="W129" i="33"/>
  <c r="V129" i="33" s="1"/>
  <c r="U129" i="33"/>
  <c r="T129" i="33" s="1"/>
  <c r="S129" i="33"/>
  <c r="R129" i="33"/>
  <c r="AH128" i="33"/>
  <c r="AG128" i="33"/>
  <c r="W128" i="33"/>
  <c r="U128" i="33"/>
  <c r="T128" i="33" s="1"/>
  <c r="S128" i="33"/>
  <c r="AH127" i="33"/>
  <c r="AG127" i="33"/>
  <c r="W127" i="33"/>
  <c r="U127" i="33"/>
  <c r="T127" i="33"/>
  <c r="S127" i="33"/>
  <c r="AH126" i="33"/>
  <c r="AG126" i="33"/>
  <c r="W126" i="33"/>
  <c r="U126" i="33"/>
  <c r="S126" i="33"/>
  <c r="R126" i="33" s="1"/>
  <c r="AH125" i="33"/>
  <c r="AG125" i="33"/>
  <c r="W125" i="33"/>
  <c r="U125" i="33"/>
  <c r="T125" i="33"/>
  <c r="S125" i="33"/>
  <c r="R125" i="33" s="1"/>
  <c r="AH124" i="33"/>
  <c r="AG124" i="33"/>
  <c r="W124" i="33"/>
  <c r="U124" i="33"/>
  <c r="S124" i="33"/>
  <c r="W123" i="33"/>
  <c r="U123" i="33"/>
  <c r="S123" i="33"/>
  <c r="W122" i="33"/>
  <c r="U122" i="33"/>
  <c r="S122" i="33"/>
  <c r="R122" i="33" s="1"/>
  <c r="W121" i="33"/>
  <c r="U121" i="33"/>
  <c r="T121" i="33"/>
  <c r="S121" i="33"/>
  <c r="R121" i="33"/>
  <c r="AH120" i="33"/>
  <c r="AG120" i="33"/>
  <c r="W120" i="33"/>
  <c r="U120" i="33"/>
  <c r="T120" i="33"/>
  <c r="S120" i="33"/>
  <c r="AH119" i="33"/>
  <c r="AG119" i="33"/>
  <c r="W119" i="33"/>
  <c r="U119" i="33"/>
  <c r="T119" i="33" s="1"/>
  <c r="S119" i="33"/>
  <c r="AH118" i="33"/>
  <c r="AG118" i="33"/>
  <c r="W118" i="33"/>
  <c r="U118" i="33"/>
  <c r="S118" i="33"/>
  <c r="R118" i="33" s="1"/>
  <c r="AH117" i="33"/>
  <c r="AG117" i="33"/>
  <c r="W117" i="33"/>
  <c r="U117" i="33"/>
  <c r="T117" i="33" s="1"/>
  <c r="S117" i="33"/>
  <c r="V117" i="33" s="1"/>
  <c r="R117" i="33"/>
  <c r="AH116" i="33"/>
  <c r="AG116" i="33"/>
  <c r="W116" i="33"/>
  <c r="U116" i="33"/>
  <c r="T116" i="33" s="1"/>
  <c r="S116" i="33"/>
  <c r="AH115" i="33"/>
  <c r="AG115" i="33"/>
  <c r="W115" i="33"/>
  <c r="U115" i="33"/>
  <c r="T115" i="33"/>
  <c r="S115" i="33"/>
  <c r="AH114" i="33"/>
  <c r="AG114" i="33"/>
  <c r="W114" i="33"/>
  <c r="U114" i="33"/>
  <c r="S114" i="33"/>
  <c r="R114" i="33" s="1"/>
  <c r="AH113" i="33"/>
  <c r="AG113" i="33"/>
  <c r="W113" i="33"/>
  <c r="U113" i="33"/>
  <c r="S113" i="33"/>
  <c r="R113" i="33"/>
  <c r="AH112" i="33"/>
  <c r="AG112" i="33"/>
  <c r="W112" i="33"/>
  <c r="U112" i="33"/>
  <c r="T112" i="33"/>
  <c r="S112" i="33"/>
  <c r="AH111" i="33"/>
  <c r="AG111" i="33"/>
  <c r="W111" i="33"/>
  <c r="U111" i="33"/>
  <c r="T111" i="33"/>
  <c r="S111" i="33"/>
  <c r="AH110" i="33"/>
  <c r="AG110" i="33"/>
  <c r="W110" i="33"/>
  <c r="U110" i="33"/>
  <c r="V110" i="33" s="1"/>
  <c r="S110" i="33"/>
  <c r="R110" i="33" s="1"/>
  <c r="AH109" i="33"/>
  <c r="AG109" i="33"/>
  <c r="W109" i="33"/>
  <c r="U109" i="33"/>
  <c r="T109" i="33"/>
  <c r="S109" i="33"/>
  <c r="AH108" i="33"/>
  <c r="AG108" i="33"/>
  <c r="W108" i="33"/>
  <c r="U108" i="33"/>
  <c r="T108" i="33"/>
  <c r="S108" i="33"/>
  <c r="AH107" i="33"/>
  <c r="AG107" i="33"/>
  <c r="W107" i="33"/>
  <c r="U107" i="33"/>
  <c r="T107" i="33"/>
  <c r="S107" i="33"/>
  <c r="AH106" i="33"/>
  <c r="AG106" i="33"/>
  <c r="W106" i="33"/>
  <c r="U106" i="33"/>
  <c r="T106" i="33" s="1"/>
  <c r="S106" i="33"/>
  <c r="R106" i="33"/>
  <c r="AH105" i="33"/>
  <c r="AG105" i="33"/>
  <c r="W105" i="33"/>
  <c r="U105" i="33"/>
  <c r="T105" i="33" s="1"/>
  <c r="S105" i="33"/>
  <c r="R105" i="33" s="1"/>
  <c r="AH104" i="33"/>
  <c r="AG104" i="33"/>
  <c r="W104" i="33"/>
  <c r="U104" i="33"/>
  <c r="T104" i="33"/>
  <c r="S104" i="33"/>
  <c r="AH103" i="33"/>
  <c r="AG103" i="33"/>
  <c r="W103" i="33"/>
  <c r="U103" i="33"/>
  <c r="S103" i="33"/>
  <c r="AH102" i="33"/>
  <c r="AG102" i="33"/>
  <c r="W102" i="33"/>
  <c r="U102" i="33"/>
  <c r="T102" i="33"/>
  <c r="S102" i="33"/>
  <c r="AH101" i="33"/>
  <c r="AG101" i="33"/>
  <c r="W101" i="33"/>
  <c r="U101" i="33"/>
  <c r="T101" i="33" s="1"/>
  <c r="S101" i="33"/>
  <c r="R101" i="33"/>
  <c r="AH100" i="33"/>
  <c r="AG100" i="33"/>
  <c r="W100" i="33"/>
  <c r="U100" i="33"/>
  <c r="T100" i="33" s="1"/>
  <c r="S100" i="33"/>
  <c r="AH99" i="33"/>
  <c r="AG99" i="33"/>
  <c r="W99" i="33"/>
  <c r="U99" i="33"/>
  <c r="T99" i="33"/>
  <c r="S99" i="33"/>
  <c r="AH98" i="33"/>
  <c r="AG98" i="33"/>
  <c r="W98" i="33"/>
  <c r="U98" i="33"/>
  <c r="S98" i="33"/>
  <c r="R98" i="33" s="1"/>
  <c r="AH97" i="33"/>
  <c r="AG97" i="33"/>
  <c r="W97" i="33"/>
  <c r="U97" i="33"/>
  <c r="T97" i="33" s="1"/>
  <c r="S97" i="33"/>
  <c r="R97" i="33"/>
  <c r="AH96" i="33"/>
  <c r="AG96" i="33"/>
  <c r="W96" i="33"/>
  <c r="V96" i="33" s="1"/>
  <c r="U96" i="33"/>
  <c r="T96" i="33" s="1"/>
  <c r="S96" i="33"/>
  <c r="R96" i="33"/>
  <c r="AH95" i="33"/>
  <c r="AG95" i="33"/>
  <c r="W95" i="33"/>
  <c r="U95" i="33"/>
  <c r="V95" i="33" s="1"/>
  <c r="T95" i="33"/>
  <c r="S95" i="33"/>
  <c r="AH94" i="33"/>
  <c r="AG94" i="33"/>
  <c r="W94" i="33"/>
  <c r="U94" i="33"/>
  <c r="T94" i="33" s="1"/>
  <c r="S94" i="33"/>
  <c r="AH93" i="33"/>
  <c r="AG93" i="33"/>
  <c r="W93" i="33"/>
  <c r="U93" i="33"/>
  <c r="T93" i="33"/>
  <c r="S93" i="33"/>
  <c r="R93" i="33" s="1"/>
  <c r="AH92" i="33"/>
  <c r="AG92" i="33"/>
  <c r="W92" i="33"/>
  <c r="U92" i="33"/>
  <c r="T92" i="33"/>
  <c r="S92" i="33"/>
  <c r="R92" i="33"/>
  <c r="AH91" i="33"/>
  <c r="AG91" i="33"/>
  <c r="W91" i="33"/>
  <c r="U91" i="33"/>
  <c r="T91" i="33" s="1"/>
  <c r="S91" i="33"/>
  <c r="AH90" i="33"/>
  <c r="AG90" i="33"/>
  <c r="W90" i="33"/>
  <c r="U90" i="33"/>
  <c r="T90" i="33" s="1"/>
  <c r="S90" i="33"/>
  <c r="AH89" i="33"/>
  <c r="AG89" i="33"/>
  <c r="W89" i="33"/>
  <c r="U89" i="33"/>
  <c r="T89" i="33" s="1"/>
  <c r="S89" i="33"/>
  <c r="R89" i="33"/>
  <c r="AH88" i="33"/>
  <c r="AG88" i="33"/>
  <c r="W88" i="33"/>
  <c r="U88" i="33"/>
  <c r="T88" i="33" s="1"/>
  <c r="S88" i="33"/>
  <c r="R88" i="33"/>
  <c r="AH87" i="33"/>
  <c r="AG87" i="33"/>
  <c r="W87" i="33"/>
  <c r="U87" i="33"/>
  <c r="T87" i="33"/>
  <c r="S87" i="33"/>
  <c r="AH86" i="33"/>
  <c r="AG86" i="33"/>
  <c r="W86" i="33"/>
  <c r="U86" i="33"/>
  <c r="T86" i="33" s="1"/>
  <c r="S86" i="33"/>
  <c r="AH85" i="33"/>
  <c r="AG85" i="33"/>
  <c r="W85" i="33"/>
  <c r="U85" i="33"/>
  <c r="T85" i="33"/>
  <c r="S85" i="33"/>
  <c r="AH84" i="33"/>
  <c r="AG84" i="33"/>
  <c r="W84" i="33"/>
  <c r="U84" i="33"/>
  <c r="S84" i="33"/>
  <c r="R84" i="33" s="1"/>
  <c r="AH83" i="33"/>
  <c r="AG83" i="33"/>
  <c r="W83" i="33"/>
  <c r="U83" i="33"/>
  <c r="S83" i="33"/>
  <c r="V83" i="33" s="1"/>
  <c r="AH82" i="33"/>
  <c r="AG82" i="33"/>
  <c r="W82" i="33"/>
  <c r="U82" i="33"/>
  <c r="T82" i="33" s="1"/>
  <c r="S82" i="33"/>
  <c r="AH81" i="33"/>
  <c r="AG81" i="33"/>
  <c r="W81" i="33"/>
  <c r="U81" i="33"/>
  <c r="S81" i="33"/>
  <c r="AH80" i="33"/>
  <c r="AG80" i="33"/>
  <c r="W80" i="33"/>
  <c r="U80" i="33"/>
  <c r="T80" i="33" s="1"/>
  <c r="S80" i="33"/>
  <c r="R80" i="33"/>
  <c r="AH79" i="33"/>
  <c r="AG79" i="33"/>
  <c r="W79" i="33"/>
  <c r="U79" i="33"/>
  <c r="T79" i="33" s="1"/>
  <c r="S79" i="33"/>
  <c r="AH78" i="33"/>
  <c r="AG78" i="33"/>
  <c r="W78" i="33"/>
  <c r="U78" i="33"/>
  <c r="T78" i="33"/>
  <c r="S78" i="33"/>
  <c r="AH77" i="33"/>
  <c r="AG77" i="33"/>
  <c r="W77" i="33"/>
  <c r="U77" i="33"/>
  <c r="S77" i="33"/>
  <c r="R77" i="33"/>
  <c r="AH76" i="33"/>
  <c r="AG76" i="33"/>
  <c r="W76" i="33"/>
  <c r="U76" i="33"/>
  <c r="S76" i="33"/>
  <c r="R76" i="33" s="1"/>
  <c r="AH75" i="33"/>
  <c r="AG75" i="33"/>
  <c r="W75" i="33"/>
  <c r="U75" i="33"/>
  <c r="T75" i="33" s="1"/>
  <c r="S75" i="33"/>
  <c r="AH74" i="33"/>
  <c r="AG74" i="33"/>
  <c r="W74" i="33"/>
  <c r="U74" i="33"/>
  <c r="T74" i="33"/>
  <c r="S74" i="33"/>
  <c r="AH73" i="33"/>
  <c r="AG73" i="33"/>
  <c r="W73" i="33"/>
  <c r="U73" i="33"/>
  <c r="S73" i="33"/>
  <c r="R73" i="33"/>
  <c r="AH72" i="33"/>
  <c r="AG72" i="33"/>
  <c r="W72" i="33"/>
  <c r="U72" i="33"/>
  <c r="S72" i="33"/>
  <c r="R72" i="33" s="1"/>
  <c r="AH71" i="33"/>
  <c r="AG71" i="33"/>
  <c r="W71" i="33"/>
  <c r="V71" i="33" s="1"/>
  <c r="U71" i="33"/>
  <c r="T71" i="33" s="1"/>
  <c r="S71" i="33"/>
  <c r="AH70" i="33"/>
  <c r="AG70" i="33"/>
  <c r="W70" i="33"/>
  <c r="U70" i="33"/>
  <c r="T70" i="33"/>
  <c r="S70" i="33"/>
  <c r="AH69" i="33"/>
  <c r="AG69" i="33"/>
  <c r="W69" i="33"/>
  <c r="U69" i="33"/>
  <c r="S69" i="33"/>
  <c r="R69" i="33"/>
  <c r="AH68" i="33"/>
  <c r="AG68" i="33"/>
  <c r="W68" i="33"/>
  <c r="U68" i="33"/>
  <c r="T68" i="33" s="1"/>
  <c r="S68" i="33"/>
  <c r="R68" i="33"/>
  <c r="AH67" i="33"/>
  <c r="AG67" i="33"/>
  <c r="W67" i="33"/>
  <c r="U67" i="33"/>
  <c r="S67" i="33"/>
  <c r="R67" i="33" s="1"/>
  <c r="AH66" i="33"/>
  <c r="AG66" i="33"/>
  <c r="W66" i="33"/>
  <c r="U66" i="33"/>
  <c r="T66" i="33"/>
  <c r="S66" i="33"/>
  <c r="AH65" i="33"/>
  <c r="AG65" i="33"/>
  <c r="W65" i="33"/>
  <c r="U65" i="33"/>
  <c r="T65" i="33" s="1"/>
  <c r="S65" i="33"/>
  <c r="AH64" i="33"/>
  <c r="AG64" i="33"/>
  <c r="W64" i="33"/>
  <c r="U64" i="33"/>
  <c r="T64" i="33"/>
  <c r="S64" i="33"/>
  <c r="AH63" i="33"/>
  <c r="AG63" i="33"/>
  <c r="W63" i="33"/>
  <c r="U63" i="33"/>
  <c r="S63" i="33"/>
  <c r="R63" i="33"/>
  <c r="AH62" i="33"/>
  <c r="AG62" i="33"/>
  <c r="W62" i="33"/>
  <c r="U62" i="33"/>
  <c r="T62" i="33"/>
  <c r="S62" i="33"/>
  <c r="AH61" i="33"/>
  <c r="AG61" i="33"/>
  <c r="W61" i="33"/>
  <c r="U61" i="33"/>
  <c r="T61" i="33" s="1"/>
  <c r="S61" i="33"/>
  <c r="AH60" i="33"/>
  <c r="AG60" i="33"/>
  <c r="W60" i="33"/>
  <c r="U60" i="33"/>
  <c r="T60" i="33"/>
  <c r="S60" i="33"/>
  <c r="AH59" i="33"/>
  <c r="AG59" i="33"/>
  <c r="W59" i="33"/>
  <c r="U59" i="33"/>
  <c r="T59" i="33" s="1"/>
  <c r="S59" i="33"/>
  <c r="AH58" i="33"/>
  <c r="AG58" i="33"/>
  <c r="W58" i="33"/>
  <c r="U58" i="33"/>
  <c r="T58" i="33" s="1"/>
  <c r="S58" i="33"/>
  <c r="AH57" i="33"/>
  <c r="AG57" i="33"/>
  <c r="W57" i="33"/>
  <c r="U57" i="33"/>
  <c r="T57" i="33" s="1"/>
  <c r="S57" i="33"/>
  <c r="R57" i="33"/>
  <c r="AH56" i="33"/>
  <c r="AG56" i="33"/>
  <c r="W56" i="33"/>
  <c r="U56" i="33"/>
  <c r="S56" i="33"/>
  <c r="AH55" i="33"/>
  <c r="AG55" i="33"/>
  <c r="W55" i="33"/>
  <c r="U55" i="33"/>
  <c r="T55" i="33"/>
  <c r="S55" i="33"/>
  <c r="AH54" i="33"/>
  <c r="AG54" i="33"/>
  <c r="W54" i="33"/>
  <c r="U54" i="33"/>
  <c r="T54" i="33" s="1"/>
  <c r="S54" i="33"/>
  <c r="AH53" i="33"/>
  <c r="AG53" i="33"/>
  <c r="W53" i="33"/>
  <c r="V53" i="33" s="1"/>
  <c r="U53" i="33"/>
  <c r="T53" i="33"/>
  <c r="S53" i="33"/>
  <c r="R53" i="33" s="1"/>
  <c r="AH52" i="33"/>
  <c r="AG52" i="33"/>
  <c r="W52" i="33"/>
  <c r="U52" i="33"/>
  <c r="T52" i="33" s="1"/>
  <c r="S52" i="33"/>
  <c r="AH51" i="33"/>
  <c r="AG51" i="33"/>
  <c r="W51" i="33"/>
  <c r="U51" i="33"/>
  <c r="T51" i="33"/>
  <c r="S51" i="33"/>
  <c r="R51" i="33" s="1"/>
  <c r="AH50" i="33"/>
  <c r="AG50" i="33"/>
  <c r="W50" i="33"/>
  <c r="U50" i="33"/>
  <c r="T50" i="33"/>
  <c r="S50" i="33"/>
  <c r="AH49" i="33"/>
  <c r="AG49" i="33"/>
  <c r="W49" i="33"/>
  <c r="U49" i="33"/>
  <c r="S49" i="33"/>
  <c r="AH48" i="33"/>
  <c r="AG48" i="33"/>
  <c r="W48" i="33"/>
  <c r="U48" i="33"/>
  <c r="T48" i="33"/>
  <c r="S48" i="33"/>
  <c r="AH47" i="33"/>
  <c r="AG47" i="33"/>
  <c r="W47" i="33"/>
  <c r="U47" i="33"/>
  <c r="T47" i="33"/>
  <c r="S47" i="33"/>
  <c r="R47" i="33"/>
  <c r="W46" i="33"/>
  <c r="V46" i="33" s="1"/>
  <c r="U46" i="33"/>
  <c r="S46" i="33"/>
  <c r="W45" i="33"/>
  <c r="U45" i="33"/>
  <c r="T45" i="33"/>
  <c r="S45" i="33"/>
  <c r="R45" i="33"/>
  <c r="W44" i="33"/>
  <c r="V44" i="33" s="1"/>
  <c r="U44" i="33"/>
  <c r="T44" i="33" s="1"/>
  <c r="S44" i="33"/>
  <c r="R44" i="33"/>
  <c r="W43" i="33"/>
  <c r="U43" i="33"/>
  <c r="T43" i="33"/>
  <c r="S43" i="33"/>
  <c r="R43" i="33" s="1"/>
  <c r="W42" i="33"/>
  <c r="U42" i="33"/>
  <c r="S42" i="33"/>
  <c r="W41" i="33"/>
  <c r="U41" i="33"/>
  <c r="T41" i="33"/>
  <c r="S41" i="33"/>
  <c r="R41" i="33" s="1"/>
  <c r="AH39" i="33"/>
  <c r="AG39" i="33"/>
  <c r="W39" i="33"/>
  <c r="V39" i="33" s="1"/>
  <c r="U39" i="33"/>
  <c r="S39" i="33"/>
  <c r="AH38" i="33"/>
  <c r="AG38" i="33"/>
  <c r="W38" i="33"/>
  <c r="U38" i="33"/>
  <c r="T38" i="33"/>
  <c r="S38" i="33"/>
  <c r="AH37" i="33"/>
  <c r="AG37" i="33"/>
  <c r="W37" i="33"/>
  <c r="U37" i="33"/>
  <c r="S37" i="33"/>
  <c r="AH35" i="33"/>
  <c r="AG35" i="33"/>
  <c r="W35" i="33"/>
  <c r="U35" i="33"/>
  <c r="T35" i="33"/>
  <c r="S35" i="33"/>
  <c r="R35" i="33" s="1"/>
  <c r="AH34" i="33"/>
  <c r="AG34" i="33"/>
  <c r="W34" i="33"/>
  <c r="U34" i="33"/>
  <c r="S34" i="33"/>
  <c r="AH33" i="33"/>
  <c r="AG33" i="33"/>
  <c r="W33" i="33"/>
  <c r="U33" i="33"/>
  <c r="T33" i="33"/>
  <c r="S33" i="33"/>
  <c r="V33" i="33" s="1"/>
  <c r="R33" i="33"/>
  <c r="AH32" i="33"/>
  <c r="AG32" i="33"/>
  <c r="W32" i="33"/>
  <c r="U32" i="33"/>
  <c r="S32" i="33"/>
  <c r="W31" i="33"/>
  <c r="U31" i="33"/>
  <c r="T31" i="33" s="1"/>
  <c r="S31" i="33"/>
  <c r="W30" i="33"/>
  <c r="U30" i="33"/>
  <c r="S30" i="33"/>
  <c r="W29" i="33"/>
  <c r="U29" i="33"/>
  <c r="S29" i="33"/>
  <c r="AH28" i="33"/>
  <c r="AG28" i="33"/>
  <c r="W28" i="33"/>
  <c r="U28" i="33"/>
  <c r="T28" i="33"/>
  <c r="S28" i="33"/>
  <c r="R28" i="33" s="1"/>
  <c r="AH27" i="33"/>
  <c r="AG27" i="33"/>
  <c r="W27" i="33"/>
  <c r="V27" i="33" s="1"/>
  <c r="U27" i="33"/>
  <c r="S27" i="33"/>
  <c r="AH26" i="33"/>
  <c r="AG26" i="33"/>
  <c r="W26" i="33"/>
  <c r="U26" i="33"/>
  <c r="T26" i="33"/>
  <c r="S26" i="33"/>
  <c r="V26" i="33" s="1"/>
  <c r="AH25" i="33"/>
  <c r="AG25" i="33"/>
  <c r="W25" i="33"/>
  <c r="U25" i="33"/>
  <c r="S25" i="33"/>
  <c r="AH24" i="33"/>
  <c r="AG24" i="33"/>
  <c r="W24" i="33"/>
  <c r="V24" i="33" s="1"/>
  <c r="U24" i="33"/>
  <c r="T24" i="33"/>
  <c r="S24" i="33"/>
  <c r="R24" i="33" s="1"/>
  <c r="AH23" i="33"/>
  <c r="AG23" i="33"/>
  <c r="W23" i="33"/>
  <c r="U23" i="33"/>
  <c r="T23" i="33" s="1"/>
  <c r="S23" i="33"/>
  <c r="R23" i="33" s="1"/>
  <c r="AH22" i="33"/>
  <c r="AG22" i="33"/>
  <c r="W22" i="33"/>
  <c r="U22" i="33"/>
  <c r="T22" i="33"/>
  <c r="S22" i="33"/>
  <c r="AH21" i="33"/>
  <c r="AG21" i="33"/>
  <c r="W21" i="33"/>
  <c r="U21" i="33"/>
  <c r="S21" i="33"/>
  <c r="AH20" i="33"/>
  <c r="AG20" i="33"/>
  <c r="W20" i="33"/>
  <c r="U20" i="33"/>
  <c r="T20" i="33"/>
  <c r="S20" i="33"/>
  <c r="AH19" i="33"/>
  <c r="AG19" i="33"/>
  <c r="W19" i="33"/>
  <c r="U19" i="33"/>
  <c r="T19" i="33" s="1"/>
  <c r="S19" i="33"/>
  <c r="AH18" i="33"/>
  <c r="AG18" i="33"/>
  <c r="W18" i="33"/>
  <c r="U18" i="33"/>
  <c r="T18" i="33"/>
  <c r="S18" i="33"/>
  <c r="R18" i="33" s="1"/>
  <c r="AH17" i="33"/>
  <c r="AG17" i="33"/>
  <c r="W17" i="33"/>
  <c r="V17" i="33" s="1"/>
  <c r="U17" i="33"/>
  <c r="S17" i="33"/>
  <c r="W16" i="33"/>
  <c r="U16" i="33"/>
  <c r="T16" i="33" s="1"/>
  <c r="S16" i="33"/>
  <c r="W15" i="33"/>
  <c r="U15" i="33"/>
  <c r="S15" i="33"/>
  <c r="W14" i="33"/>
  <c r="U14" i="33"/>
  <c r="T14" i="33"/>
  <c r="S14" i="33"/>
  <c r="R14" i="33"/>
  <c r="AH13" i="33"/>
  <c r="AG13" i="33"/>
  <c r="W13" i="33"/>
  <c r="U13" i="33"/>
  <c r="S13" i="33"/>
  <c r="AH11" i="33"/>
  <c r="AG11" i="33"/>
  <c r="W11" i="33"/>
  <c r="U11" i="33"/>
  <c r="T11" i="33" s="1"/>
  <c r="S11" i="33"/>
  <c r="AH10" i="33"/>
  <c r="AG10" i="33"/>
  <c r="W10" i="33"/>
  <c r="U10" i="33"/>
  <c r="T10" i="33"/>
  <c r="S10" i="33"/>
  <c r="AH9" i="33"/>
  <c r="AG9" i="33"/>
  <c r="W9" i="33"/>
  <c r="U9" i="33"/>
  <c r="T9" i="33"/>
  <c r="S9" i="33"/>
  <c r="R9" i="33"/>
  <c r="AH8" i="33"/>
  <c r="AG8" i="33"/>
  <c r="W8" i="33"/>
  <c r="U8" i="33"/>
  <c r="S8" i="33"/>
  <c r="AH7" i="33"/>
  <c r="AG7" i="33"/>
  <c r="W7" i="33"/>
  <c r="U7" i="33"/>
  <c r="T7" i="33" s="1"/>
  <c r="S7" i="33"/>
  <c r="AI98" i="33"/>
  <c r="AI142" i="14"/>
  <c r="AI143" i="9"/>
  <c r="AI33" i="10"/>
  <c r="AI49" i="10"/>
  <c r="AI55" i="10"/>
  <c r="AI79" i="10"/>
  <c r="AI28" i="11"/>
  <c r="AI44" i="11"/>
  <c r="AJ118" i="31"/>
  <c r="AI87" i="25"/>
  <c r="AI7" i="9"/>
  <c r="AI25" i="9"/>
  <c r="AI60" i="9"/>
  <c r="AI79" i="9"/>
  <c r="AI156" i="9"/>
  <c r="AI46" i="10"/>
  <c r="AI62" i="10"/>
  <c r="AI94" i="25"/>
  <c r="AI144" i="14"/>
  <c r="AI148" i="14"/>
  <c r="AI145" i="9"/>
  <c r="AI35" i="10"/>
  <c r="AI41" i="10"/>
  <c r="AI141" i="14"/>
  <c r="AI155" i="14"/>
  <c r="AI70" i="9"/>
  <c r="AI81" i="9"/>
  <c r="AI105" i="9"/>
  <c r="AI142" i="9"/>
  <c r="AI10" i="10"/>
  <c r="AI48" i="10"/>
  <c r="AI23" i="11"/>
  <c r="AI78" i="9"/>
  <c r="AI94" i="9"/>
  <c r="AI28" i="10"/>
  <c r="AI39" i="10"/>
  <c r="AI45" i="10"/>
  <c r="AI50" i="11"/>
  <c r="AI143" i="14"/>
  <c r="AI136" i="9"/>
  <c r="AI144" i="9"/>
  <c r="AI27" i="10"/>
  <c r="AI34" i="10"/>
  <c r="AI38" i="10"/>
  <c r="AJ7" i="31"/>
  <c r="AI80" i="14"/>
  <c r="AI140" i="14"/>
  <c r="AI141" i="9"/>
  <c r="AI47" i="10"/>
  <c r="AI25" i="11"/>
  <c r="AI37" i="11"/>
  <c r="AI41" i="11"/>
  <c r="AI123" i="25"/>
  <c r="AJ54" i="31"/>
  <c r="AI9" i="25"/>
  <c r="AI145" i="14"/>
  <c r="AI66" i="9"/>
  <c r="AI93" i="9"/>
  <c r="AI146" i="9"/>
  <c r="AI44" i="10"/>
  <c r="AI56" i="10"/>
  <c r="AI21" i="11"/>
  <c r="AI119" i="29"/>
  <c r="AI80" i="29"/>
  <c r="AI107" i="29"/>
  <c r="AI118" i="29"/>
  <c r="AI84" i="29"/>
  <c r="AI93" i="29"/>
  <c r="AI108" i="29"/>
  <c r="V136" i="14"/>
  <c r="V125" i="14"/>
  <c r="AH92" i="10"/>
  <c r="AH90" i="10"/>
  <c r="AH91" i="10"/>
  <c r="AH94" i="10"/>
  <c r="AH95" i="10"/>
  <c r="AH93" i="10"/>
  <c r="V32" i="10"/>
  <c r="V14" i="10"/>
  <c r="V23" i="10"/>
  <c r="V62" i="14"/>
  <c r="V101" i="14"/>
  <c r="AH124" i="14"/>
  <c r="V140" i="14"/>
  <c r="V111" i="25"/>
  <c r="P120" i="32"/>
  <c r="P44" i="32"/>
  <c r="R140" i="32"/>
  <c r="V7" i="10"/>
  <c r="V12" i="10"/>
  <c r="V20" i="10"/>
  <c r="R32" i="10"/>
  <c r="V81" i="10"/>
  <c r="V18" i="10"/>
  <c r="V84" i="10"/>
  <c r="V25" i="10"/>
  <c r="V98" i="10"/>
  <c r="V85" i="10"/>
  <c r="V128" i="9"/>
  <c r="V127" i="9"/>
  <c r="V42" i="14"/>
  <c r="V60" i="14"/>
  <c r="V107" i="14"/>
  <c r="V28" i="14"/>
  <c r="V40" i="14"/>
  <c r="V17" i="25"/>
  <c r="V85" i="25"/>
  <c r="V69" i="25"/>
  <c r="V39" i="25"/>
  <c r="V88" i="25"/>
  <c r="V141" i="25"/>
  <c r="V53" i="25"/>
  <c r="V7" i="29"/>
  <c r="P33" i="32"/>
  <c r="P141" i="32"/>
  <c r="P17" i="32"/>
  <c r="P42" i="32"/>
  <c r="P15" i="32"/>
  <c r="P16" i="32"/>
  <c r="P32" i="32"/>
  <c r="P34" i="32"/>
  <c r="P48" i="32"/>
  <c r="P143" i="32"/>
  <c r="P146" i="32"/>
  <c r="P46" i="32"/>
  <c r="P144" i="32"/>
  <c r="P50" i="32"/>
  <c r="R107" i="32"/>
  <c r="T113" i="32"/>
  <c r="P142" i="32"/>
  <c r="P145" i="32"/>
  <c r="T154" i="32"/>
  <c r="Q108" i="31"/>
  <c r="Q15" i="31"/>
  <c r="Q45" i="31"/>
  <c r="Q138" i="31"/>
  <c r="W26" i="31"/>
  <c r="W40" i="31"/>
  <c r="Q106" i="31"/>
  <c r="Q116" i="31"/>
  <c r="W130" i="31"/>
  <c r="Q134" i="31"/>
  <c r="Q135" i="31"/>
  <c r="Q14" i="31"/>
  <c r="Q107" i="31"/>
  <c r="W18" i="31"/>
  <c r="W28" i="31"/>
  <c r="Q31" i="31"/>
  <c r="W32" i="31"/>
  <c r="Q41" i="31"/>
  <c r="Q42" i="31"/>
  <c r="Q43" i="31"/>
  <c r="Q136" i="31"/>
  <c r="Q137" i="31"/>
  <c r="Q44" i="31"/>
  <c r="Q16" i="31"/>
  <c r="W20" i="31"/>
  <c r="Q29" i="31"/>
  <c r="Q30" i="31"/>
  <c r="Q40" i="31"/>
  <c r="W93" i="31"/>
  <c r="Q139" i="31"/>
  <c r="V85" i="29"/>
  <c r="V35" i="29"/>
  <c r="V51" i="29"/>
  <c r="V62" i="29"/>
  <c r="V111" i="29"/>
  <c r="V46" i="9"/>
  <c r="V149" i="9"/>
  <c r="V156" i="9"/>
  <c r="V13" i="9"/>
  <c r="V18" i="9"/>
  <c r="V19" i="9"/>
  <c r="V50" i="9"/>
  <c r="V58" i="9"/>
  <c r="V97" i="9"/>
  <c r="V108" i="9"/>
  <c r="V121" i="9"/>
  <c r="V135" i="9"/>
  <c r="V11" i="9"/>
  <c r="V68" i="9"/>
  <c r="V42" i="11"/>
  <c r="V34" i="11"/>
  <c r="V36" i="11"/>
  <c r="V12" i="11"/>
  <c r="V27" i="11"/>
  <c r="V43" i="11"/>
  <c r="V46" i="11"/>
  <c r="V14" i="11"/>
  <c r="V20" i="11"/>
  <c r="V48" i="11"/>
  <c r="W60" i="11"/>
  <c r="V60" i="11" s="1"/>
  <c r="V8" i="11"/>
  <c r="V16" i="11"/>
  <c r="V30" i="11"/>
  <c r="V10" i="11"/>
  <c r="V18" i="11"/>
  <c r="V32" i="11"/>
  <c r="W53" i="11"/>
  <c r="V74" i="10"/>
  <c r="R81" i="10"/>
  <c r="R84" i="10"/>
  <c r="V88" i="10"/>
  <c r="V89" i="10"/>
  <c r="W97" i="10"/>
  <c r="V97" i="10" s="1"/>
  <c r="V70" i="10"/>
  <c r="V28" i="10"/>
  <c r="V66" i="10"/>
  <c r="V49" i="10"/>
  <c r="V59" i="10"/>
  <c r="W104" i="10"/>
  <c r="V14" i="9"/>
  <c r="V36" i="9"/>
  <c r="V65" i="9"/>
  <c r="V83" i="9"/>
  <c r="V87" i="9"/>
  <c r="V91" i="9"/>
  <c r="V101" i="9"/>
  <c r="V110" i="9"/>
  <c r="V113" i="9"/>
  <c r="V117" i="9"/>
  <c r="R11" i="9"/>
  <c r="V40" i="9"/>
  <c r="V61" i="9"/>
  <c r="V71" i="9"/>
  <c r="V102" i="9"/>
  <c r="V112" i="9"/>
  <c r="V116" i="9"/>
  <c r="V118" i="9"/>
  <c r="R127" i="9"/>
  <c r="V129" i="9"/>
  <c r="V131" i="9"/>
  <c r="V133" i="9"/>
  <c r="V141" i="9"/>
  <c r="R156" i="9"/>
  <c r="R13" i="9"/>
  <c r="V54" i="9"/>
  <c r="R68" i="9"/>
  <c r="V94" i="9"/>
  <c r="V104" i="9"/>
  <c r="R108" i="9"/>
  <c r="V125" i="9"/>
  <c r="W130" i="9"/>
  <c r="R135" i="9"/>
  <c r="V153" i="9"/>
  <c r="V10" i="14"/>
  <c r="V70" i="14"/>
  <c r="V89" i="14"/>
  <c r="V91" i="14"/>
  <c r="V93" i="14"/>
  <c r="V58" i="14"/>
  <c r="V105" i="14"/>
  <c r="V123" i="14"/>
  <c r="V74" i="14"/>
  <c r="V76" i="14"/>
  <c r="V85" i="14"/>
  <c r="V139" i="14"/>
  <c r="V152" i="14"/>
  <c r="V153" i="14"/>
  <c r="V9" i="14"/>
  <c r="V22" i="14"/>
  <c r="V54" i="14"/>
  <c r="V119" i="14"/>
  <c r="V13" i="25"/>
  <c r="V59" i="25"/>
  <c r="V23" i="25"/>
  <c r="V36" i="25"/>
  <c r="V63" i="25"/>
  <c r="V94" i="25"/>
  <c r="V97" i="25"/>
  <c r="V130" i="25"/>
  <c r="V105" i="25"/>
  <c r="V126" i="25"/>
  <c r="V146" i="25"/>
  <c r="R13" i="25"/>
  <c r="V29" i="25"/>
  <c r="V33" i="25"/>
  <c r="R59" i="25"/>
  <c r="V79" i="25"/>
  <c r="V114" i="25"/>
  <c r="V139" i="25"/>
  <c r="V149" i="25"/>
  <c r="V59" i="29"/>
  <c r="V75" i="29"/>
  <c r="V77" i="29"/>
  <c r="V113" i="29"/>
  <c r="V134" i="29"/>
  <c r="V82" i="29"/>
  <c r="V130" i="29"/>
  <c r="V27" i="29"/>
  <c r="V29" i="29"/>
  <c r="V88" i="29"/>
  <c r="V95" i="29"/>
  <c r="V144" i="29"/>
  <c r="V148" i="29"/>
  <c r="W36" i="31"/>
  <c r="W38" i="31"/>
  <c r="S36" i="31"/>
  <c r="W8" i="31"/>
  <c r="W24" i="31"/>
  <c r="W30" i="31"/>
  <c r="W10" i="31"/>
  <c r="X12" i="31"/>
  <c r="W34" i="31"/>
  <c r="R79" i="32"/>
  <c r="R109" i="32"/>
  <c r="S10" i="31"/>
  <c r="U14" i="31"/>
  <c r="S20" i="31"/>
  <c r="S28" i="31"/>
  <c r="W48" i="31"/>
  <c r="U61" i="31"/>
  <c r="W61" i="31"/>
  <c r="U63" i="31"/>
  <c r="W63" i="31"/>
  <c r="U65" i="31"/>
  <c r="W65" i="31"/>
  <c r="U67" i="31"/>
  <c r="W67" i="31"/>
  <c r="U69" i="31"/>
  <c r="W69" i="31"/>
  <c r="U71" i="31"/>
  <c r="W71" i="31"/>
  <c r="U73" i="31"/>
  <c r="W73" i="31"/>
  <c r="U75" i="31"/>
  <c r="W75" i="31"/>
  <c r="U77" i="31"/>
  <c r="W77" i="31"/>
  <c r="R95" i="32"/>
  <c r="W46" i="31"/>
  <c r="W54" i="31"/>
  <c r="W85" i="31"/>
  <c r="R77" i="32"/>
  <c r="R111" i="32"/>
  <c r="R146" i="32"/>
  <c r="S8" i="31"/>
  <c r="W52" i="31"/>
  <c r="V18" i="29"/>
  <c r="R15" i="32"/>
  <c r="R41" i="32"/>
  <c r="R54" i="32"/>
  <c r="R56" i="32"/>
  <c r="R93" i="32"/>
  <c r="R105" i="32"/>
  <c r="S34" i="31"/>
  <c r="S38" i="31"/>
  <c r="W42" i="31"/>
  <c r="S42" i="31"/>
  <c r="X149" i="31"/>
  <c r="W149" i="31" s="1"/>
  <c r="W87" i="31"/>
  <c r="W95" i="31"/>
  <c r="W97" i="31"/>
  <c r="W99" i="31"/>
  <c r="W101" i="31"/>
  <c r="W103" i="31"/>
  <c r="W105" i="31"/>
  <c r="W109" i="31"/>
  <c r="W115" i="31"/>
  <c r="W118" i="31"/>
  <c r="W124" i="31"/>
  <c r="W132" i="31"/>
  <c r="W137" i="31"/>
  <c r="V22" i="29"/>
  <c r="V31" i="29"/>
  <c r="V33" i="29"/>
  <c r="V34" i="29"/>
  <c r="V42" i="29"/>
  <c r="V46" i="29"/>
  <c r="V54" i="29"/>
  <c r="V69" i="29"/>
  <c r="V9" i="25"/>
  <c r="R25" i="25"/>
  <c r="R41" i="25"/>
  <c r="V41" i="25"/>
  <c r="W45" i="31"/>
  <c r="W81" i="31"/>
  <c r="W89" i="31"/>
  <c r="W98" i="31"/>
  <c r="W100" i="31"/>
  <c r="W102" i="31"/>
  <c r="W104" i="31"/>
  <c r="W106" i="31"/>
  <c r="W110" i="31"/>
  <c r="W112" i="31"/>
  <c r="W114" i="31"/>
  <c r="W116" i="31"/>
  <c r="W141" i="31"/>
  <c r="W147" i="31"/>
  <c r="V10" i="29"/>
  <c r="V21" i="29"/>
  <c r="V38" i="29"/>
  <c r="V41" i="29"/>
  <c r="V45" i="29"/>
  <c r="V61" i="29"/>
  <c r="V78" i="29"/>
  <c r="V87" i="29"/>
  <c r="V94" i="29"/>
  <c r="V106" i="29"/>
  <c r="V50" i="25"/>
  <c r="V66" i="25"/>
  <c r="V75" i="25"/>
  <c r="V82" i="25"/>
  <c r="R90" i="25"/>
  <c r="V90" i="25"/>
  <c r="W57" i="31"/>
  <c r="W83" i="31"/>
  <c r="W91" i="31"/>
  <c r="W120" i="31"/>
  <c r="W128" i="31"/>
  <c r="W12" i="29"/>
  <c r="V12" i="29" s="1"/>
  <c r="V19" i="29"/>
  <c r="V30" i="29"/>
  <c r="V37" i="29"/>
  <c r="V53" i="29"/>
  <c r="V67" i="29"/>
  <c r="V70" i="29"/>
  <c r="V84" i="29"/>
  <c r="V96" i="29"/>
  <c r="V126" i="29"/>
  <c r="W152" i="29"/>
  <c r="R55" i="25"/>
  <c r="V55" i="25"/>
  <c r="V71" i="25"/>
  <c r="R87" i="25"/>
  <c r="V87" i="25"/>
  <c r="V116" i="29"/>
  <c r="V128" i="29"/>
  <c r="V150" i="29"/>
  <c r="V28" i="25"/>
  <c r="V58" i="25"/>
  <c r="V74" i="25"/>
  <c r="V93" i="25"/>
  <c r="V96" i="25"/>
  <c r="V110" i="25"/>
  <c r="V145" i="25"/>
  <c r="W153" i="25"/>
  <c r="W154" i="25"/>
  <c r="V78" i="14"/>
  <c r="V55" i="29"/>
  <c r="V57" i="29"/>
  <c r="V58" i="29"/>
  <c r="V71" i="29"/>
  <c r="V73" i="29"/>
  <c r="V74" i="29"/>
  <c r="V89" i="29"/>
  <c r="V91" i="29"/>
  <c r="V92" i="29"/>
  <c r="V121" i="29"/>
  <c r="V138" i="29"/>
  <c r="V142" i="29"/>
  <c r="V21" i="25"/>
  <c r="V37" i="25"/>
  <c r="V40" i="25"/>
  <c r="V43" i="25"/>
  <c r="V51" i="25"/>
  <c r="V54" i="25"/>
  <c r="V67" i="25"/>
  <c r="V70" i="25"/>
  <c r="V83" i="25"/>
  <c r="V86" i="25"/>
  <c r="V89" i="25"/>
  <c r="V117" i="25"/>
  <c r="V133" i="25"/>
  <c r="V136" i="25"/>
  <c r="V137" i="25"/>
  <c r="V142" i="25"/>
  <c r="V108" i="14"/>
  <c r="V111" i="14"/>
  <c r="V101" i="25"/>
  <c r="V104" i="25"/>
  <c r="V119" i="25"/>
  <c r="V124" i="25"/>
  <c r="V129" i="25"/>
  <c r="V25" i="14"/>
  <c r="V26" i="14"/>
  <c r="V30" i="14"/>
  <c r="V127" i="14"/>
  <c r="V75" i="9"/>
  <c r="W134" i="31"/>
  <c r="W136" i="31"/>
  <c r="W145" i="31"/>
  <c r="V11" i="29"/>
  <c r="V13" i="29"/>
  <c r="V14" i="29"/>
  <c r="V23" i="29"/>
  <c r="V25" i="29"/>
  <c r="V26" i="29"/>
  <c r="V39" i="29"/>
  <c r="V47" i="29"/>
  <c r="V49" i="29"/>
  <c r="V63" i="29"/>
  <c r="V65" i="29"/>
  <c r="V79" i="29"/>
  <c r="V81" i="29"/>
  <c r="V98" i="29"/>
  <c r="V136" i="29"/>
  <c r="V8" i="25"/>
  <c r="W12" i="25"/>
  <c r="V12" i="25" s="1"/>
  <c r="V16" i="25"/>
  <c r="V19" i="25"/>
  <c r="V32" i="25"/>
  <c r="V35" i="25"/>
  <c r="V46" i="25"/>
  <c r="V49" i="25"/>
  <c r="V62" i="25"/>
  <c r="V65" i="25"/>
  <c r="V78" i="25"/>
  <c r="V81" i="25"/>
  <c r="V100" i="25"/>
  <c r="V103" i="25"/>
  <c r="V115" i="25"/>
  <c r="V14" i="14"/>
  <c r="R14" i="14"/>
  <c r="T18" i="14"/>
  <c r="V18" i="14"/>
  <c r="V107" i="25"/>
  <c r="V118" i="25"/>
  <c r="V121" i="25"/>
  <c r="V125" i="25"/>
  <c r="V128" i="25"/>
  <c r="V140" i="25"/>
  <c r="V150" i="25"/>
  <c r="W12" i="14"/>
  <c r="V12" i="14" s="1"/>
  <c r="V13" i="14"/>
  <c r="V16" i="14"/>
  <c r="V29" i="14"/>
  <c r="R30" i="14"/>
  <c r="V32" i="14"/>
  <c r="V41" i="14"/>
  <c r="R42" i="14"/>
  <c r="V44" i="14"/>
  <c r="V45" i="14"/>
  <c r="R46" i="14"/>
  <c r="V48" i="14"/>
  <c r="V61" i="14"/>
  <c r="R62" i="14"/>
  <c r="V64" i="14"/>
  <c r="V77" i="14"/>
  <c r="R78" i="14"/>
  <c r="V80" i="14"/>
  <c r="V92" i="14"/>
  <c r="R93" i="14"/>
  <c r="V95" i="14"/>
  <c r="R108" i="14"/>
  <c r="V110" i="14"/>
  <c r="R111" i="14"/>
  <c r="V113" i="14"/>
  <c r="V126" i="14"/>
  <c r="R127" i="14"/>
  <c r="V129" i="14"/>
  <c r="V7" i="9"/>
  <c r="R19" i="9"/>
  <c r="V33" i="9"/>
  <c r="R54" i="9"/>
  <c r="R65" i="9"/>
  <c r="R71" i="9"/>
  <c r="T75" i="9"/>
  <c r="T83" i="9"/>
  <c r="V86" i="9"/>
  <c r="R87" i="9"/>
  <c r="T91" i="9"/>
  <c r="R94" i="9"/>
  <c r="V98" i="9"/>
  <c r="V100" i="9"/>
  <c r="V107" i="9"/>
  <c r="V123" i="9"/>
  <c r="V138" i="9"/>
  <c r="R138" i="9"/>
  <c r="V147" i="9"/>
  <c r="V16" i="10"/>
  <c r="V57" i="14"/>
  <c r="V73" i="14"/>
  <c r="V88" i="14"/>
  <c r="V104" i="14"/>
  <c r="V122" i="14"/>
  <c r="V148" i="14"/>
  <c r="V9" i="9"/>
  <c r="V28" i="9"/>
  <c r="V32" i="9"/>
  <c r="V120" i="9"/>
  <c r="V122" i="9"/>
  <c r="V137" i="9"/>
  <c r="V21" i="14"/>
  <c r="V34" i="14"/>
  <c r="V50" i="14"/>
  <c r="V53" i="14"/>
  <c r="V66" i="14"/>
  <c r="V69" i="14"/>
  <c r="V81" i="14"/>
  <c r="V84" i="14"/>
  <c r="V97" i="14"/>
  <c r="V100" i="14"/>
  <c r="V115" i="14"/>
  <c r="V118" i="14"/>
  <c r="W12" i="9"/>
  <c r="V15" i="9"/>
  <c r="V17" i="9"/>
  <c r="V21" i="9"/>
  <c r="V26" i="9"/>
  <c r="V37" i="9"/>
  <c r="R61" i="9"/>
  <c r="V90" i="9"/>
  <c r="V96" i="9"/>
  <c r="V17" i="14"/>
  <c r="V33" i="14"/>
  <c r="V49" i="14"/>
  <c r="V65" i="14"/>
  <c r="V96" i="14"/>
  <c r="V114" i="14"/>
  <c r="V151" i="14"/>
  <c r="V154" i="14"/>
  <c r="V155" i="14"/>
  <c r="V25" i="9"/>
  <c r="V105" i="9"/>
  <c r="V9" i="10"/>
  <c r="V78" i="10"/>
  <c r="V140" i="9"/>
  <c r="V143" i="9"/>
  <c r="V148" i="9"/>
  <c r="V8" i="10"/>
  <c r="V31" i="10"/>
  <c r="V80" i="10"/>
  <c r="V83" i="10"/>
  <c r="V124" i="9"/>
  <c r="V142" i="9"/>
  <c r="V152" i="9"/>
  <c r="V155" i="9"/>
  <c r="V10" i="10"/>
  <c r="V30" i="10"/>
  <c r="V37" i="10"/>
  <c r="V42" i="10"/>
  <c r="R66" i="10"/>
  <c r="V73" i="10"/>
  <c r="R74" i="10"/>
  <c r="V104" i="10"/>
  <c r="V53" i="10"/>
  <c r="V56" i="10"/>
  <c r="V87" i="10"/>
  <c r="R92" i="10"/>
  <c r="V92" i="10"/>
  <c r="V126" i="9"/>
  <c r="V134" i="9"/>
  <c r="V139" i="9"/>
  <c r="V154" i="9"/>
  <c r="R9" i="10"/>
  <c r="V11" i="10"/>
  <c r="W13" i="10"/>
  <c r="V15" i="10"/>
  <c r="V19" i="10"/>
  <c r="V24" i="10"/>
  <c r="R28" i="10"/>
  <c r="V47" i="10"/>
  <c r="R59" i="10"/>
  <c r="R70" i="10"/>
  <c r="V77" i="10"/>
  <c r="R78" i="10"/>
  <c r="V91" i="10"/>
  <c r="V95" i="10"/>
  <c r="V96" i="10"/>
  <c r="R100" i="10"/>
  <c r="V100" i="10"/>
  <c r="V101" i="10"/>
  <c r="V103" i="10"/>
  <c r="V7" i="11"/>
  <c r="V9" i="11"/>
  <c r="V11" i="11"/>
  <c r="V15" i="11"/>
  <c r="V17" i="11"/>
  <c r="V19" i="11"/>
  <c r="V21" i="11"/>
  <c r="V28" i="11"/>
  <c r="V29" i="11"/>
  <c r="V31" i="11"/>
  <c r="V33" i="11"/>
  <c r="V35" i="11"/>
  <c r="V37" i="11"/>
  <c r="V40" i="11"/>
  <c r="V45" i="11"/>
  <c r="V47" i="11"/>
  <c r="V49" i="11"/>
  <c r="V99" i="10"/>
  <c r="V23" i="11"/>
  <c r="V39" i="11"/>
  <c r="V44" i="11"/>
  <c r="V22" i="11"/>
  <c r="V38" i="11"/>
  <c r="W13" i="11"/>
  <c r="V13" i="11" s="1"/>
  <c r="V24" i="11"/>
  <c r="V25" i="11"/>
  <c r="V41" i="11"/>
  <c r="W62" i="11"/>
  <c r="R40" i="32"/>
  <c r="R46" i="32"/>
  <c r="R49" i="32"/>
  <c r="R53" i="32"/>
  <c r="R57" i="32"/>
  <c r="R72" i="32"/>
  <c r="R76" i="32"/>
  <c r="R80" i="32"/>
  <c r="R84" i="32"/>
  <c r="R88" i="32"/>
  <c r="R92" i="32"/>
  <c r="R96" i="32"/>
  <c r="R100" i="32"/>
  <c r="R104" i="32"/>
  <c r="R108" i="32"/>
  <c r="R112" i="32"/>
  <c r="R124" i="32"/>
  <c r="T141" i="32"/>
  <c r="R149" i="32"/>
  <c r="W9" i="31"/>
  <c r="W33" i="31"/>
  <c r="W35" i="31"/>
  <c r="W37" i="31"/>
  <c r="W41" i="31"/>
  <c r="R7" i="32"/>
  <c r="R12" i="32"/>
  <c r="R21" i="32"/>
  <c r="R26" i="32"/>
  <c r="R30" i="32"/>
  <c r="R37" i="32"/>
  <c r="R60" i="32"/>
  <c r="R65" i="32"/>
  <c r="R131" i="32"/>
  <c r="R132" i="32"/>
  <c r="R139" i="32"/>
  <c r="R153" i="32"/>
  <c r="R156" i="32"/>
  <c r="W11" i="31"/>
  <c r="W17" i="31"/>
  <c r="W21" i="31"/>
  <c r="W23" i="31"/>
  <c r="W27" i="31"/>
  <c r="W29" i="31"/>
  <c r="W31" i="31"/>
  <c r="W62" i="31"/>
  <c r="W64" i="31"/>
  <c r="W68" i="31"/>
  <c r="W70" i="31"/>
  <c r="W72" i="31"/>
  <c r="W74" i="31"/>
  <c r="W76" i="31"/>
  <c r="W78" i="31"/>
  <c r="V93" i="29"/>
  <c r="R120" i="32"/>
  <c r="R143" i="32"/>
  <c r="W15" i="31"/>
  <c r="W47" i="31"/>
  <c r="W49" i="31"/>
  <c r="W53" i="31"/>
  <c r="R10" i="32"/>
  <c r="R14" i="32"/>
  <c r="R18" i="32"/>
  <c r="R23" i="32"/>
  <c r="R28" i="32"/>
  <c r="R32" i="32"/>
  <c r="R33" i="32"/>
  <c r="R34" i="32"/>
  <c r="R35" i="32"/>
  <c r="R62" i="32"/>
  <c r="R66" i="32"/>
  <c r="T134" i="32"/>
  <c r="R135" i="32"/>
  <c r="R136" i="32"/>
  <c r="T144" i="32"/>
  <c r="R145" i="32"/>
  <c r="T151" i="32"/>
  <c r="U7" i="31"/>
  <c r="W7" i="31"/>
  <c r="W119" i="31"/>
  <c r="V15" i="29"/>
  <c r="W56" i="31"/>
  <c r="W60" i="31"/>
  <c r="W117" i="31"/>
  <c r="V97" i="29"/>
  <c r="R97" i="29"/>
  <c r="V108" i="29"/>
  <c r="V120" i="29"/>
  <c r="R120" i="29"/>
  <c r="V140" i="29"/>
  <c r="R140" i="29"/>
  <c r="V143" i="29"/>
  <c r="R143" i="29"/>
  <c r="T145" i="29"/>
  <c r="R151" i="29"/>
  <c r="V144" i="14"/>
  <c r="W82" i="31"/>
  <c r="W84" i="31"/>
  <c r="W86" i="31"/>
  <c r="W88" i="31"/>
  <c r="W90" i="31"/>
  <c r="W92" i="31"/>
  <c r="W94" i="31"/>
  <c r="W96" i="31"/>
  <c r="W121" i="31"/>
  <c r="W123" i="31"/>
  <c r="W125" i="31"/>
  <c r="W127" i="31"/>
  <c r="W129" i="31"/>
  <c r="W131" i="31"/>
  <c r="W135" i="31"/>
  <c r="W138" i="31"/>
  <c r="W140" i="31"/>
  <c r="W146" i="31"/>
  <c r="V16" i="29"/>
  <c r="V20" i="29"/>
  <c r="V24" i="29"/>
  <c r="V28" i="29"/>
  <c r="V32" i="29"/>
  <c r="V36" i="29"/>
  <c r="V40" i="29"/>
  <c r="V43" i="29"/>
  <c r="V44" i="29"/>
  <c r="V48" i="29"/>
  <c r="V52" i="29"/>
  <c r="V56" i="29"/>
  <c r="V60" i="29"/>
  <c r="V64" i="29"/>
  <c r="V68" i="29"/>
  <c r="V72" i="29"/>
  <c r="V76" i="29"/>
  <c r="V80" i="29"/>
  <c r="V83" i="29"/>
  <c r="V90" i="29"/>
  <c r="V99" i="29"/>
  <c r="V102" i="29"/>
  <c r="V103" i="29"/>
  <c r="V104" i="29"/>
  <c r="R104" i="29"/>
  <c r="V107" i="29"/>
  <c r="V109" i="29"/>
  <c r="V114" i="29"/>
  <c r="R114" i="29"/>
  <c r="V115" i="29"/>
  <c r="V118" i="29"/>
  <c r="V123" i="29"/>
  <c r="V125" i="29"/>
  <c r="R125" i="29"/>
  <c r="T127" i="29"/>
  <c r="V127" i="29"/>
  <c r="V132" i="29"/>
  <c r="V133" i="29"/>
  <c r="R133" i="29"/>
  <c r="T135" i="29"/>
  <c r="V135" i="29"/>
  <c r="W145" i="29"/>
  <c r="V145" i="29" s="1"/>
  <c r="V15" i="25"/>
  <c r="V31" i="25"/>
  <c r="V45" i="25"/>
  <c r="V61" i="25"/>
  <c r="V77" i="25"/>
  <c r="V99" i="25"/>
  <c r="V113" i="25"/>
  <c r="V123" i="25"/>
  <c r="V135" i="25"/>
  <c r="V8" i="14"/>
  <c r="V24" i="14"/>
  <c r="V56" i="14"/>
  <c r="V72" i="14"/>
  <c r="V87" i="14"/>
  <c r="V103" i="14"/>
  <c r="V121" i="14"/>
  <c r="V143" i="14"/>
  <c r="S45" i="31"/>
  <c r="S55" i="31"/>
  <c r="S57" i="31"/>
  <c r="S59" i="31"/>
  <c r="S98" i="31"/>
  <c r="S100" i="31"/>
  <c r="S102" i="31"/>
  <c r="S104" i="31"/>
  <c r="S106" i="31"/>
  <c r="S110" i="31"/>
  <c r="S112" i="31"/>
  <c r="S114" i="31"/>
  <c r="S116" i="31"/>
  <c r="S118" i="31"/>
  <c r="S137" i="31"/>
  <c r="X142" i="31"/>
  <c r="X148" i="31"/>
  <c r="W148" i="31" s="1"/>
  <c r="R13" i="29"/>
  <c r="R17" i="29"/>
  <c r="R21" i="29"/>
  <c r="R25" i="29"/>
  <c r="R29" i="29"/>
  <c r="R33" i="29"/>
  <c r="R37" i="29"/>
  <c r="R41" i="29"/>
  <c r="R45" i="29"/>
  <c r="R49" i="29"/>
  <c r="R53" i="29"/>
  <c r="R57" i="29"/>
  <c r="R61" i="29"/>
  <c r="R65" i="29"/>
  <c r="R69" i="29"/>
  <c r="R73" i="29"/>
  <c r="R77" i="29"/>
  <c r="R84" i="29"/>
  <c r="R87" i="29"/>
  <c r="R91" i="29"/>
  <c r="R94" i="29"/>
  <c r="R98" i="29"/>
  <c r="R101" i="29"/>
  <c r="V117" i="29"/>
  <c r="V119" i="29"/>
  <c r="V122" i="29"/>
  <c r="V124" i="29"/>
  <c r="R124" i="29"/>
  <c r="T141" i="29"/>
  <c r="V141" i="29"/>
  <c r="V147" i="29"/>
  <c r="R147" i="29"/>
  <c r="T149" i="29"/>
  <c r="V149" i="29"/>
  <c r="V11" i="25"/>
  <c r="V27" i="25"/>
  <c r="V57" i="25"/>
  <c r="V73" i="25"/>
  <c r="V92" i="25"/>
  <c r="V95" i="25"/>
  <c r="V109" i="25"/>
  <c r="V144" i="25"/>
  <c r="V152" i="25"/>
  <c r="V20" i="14"/>
  <c r="V36" i="14"/>
  <c r="V52" i="14"/>
  <c r="V68" i="14"/>
  <c r="V83" i="14"/>
  <c r="V117" i="14"/>
  <c r="V141" i="14"/>
  <c r="V147" i="14"/>
  <c r="S79" i="31"/>
  <c r="S81" i="31"/>
  <c r="S83" i="31"/>
  <c r="S85" i="31"/>
  <c r="S87" i="31"/>
  <c r="S89" i="31"/>
  <c r="S91" i="31"/>
  <c r="S93" i="31"/>
  <c r="S95" i="31"/>
  <c r="S120" i="31"/>
  <c r="S124" i="31"/>
  <c r="S126" i="31"/>
  <c r="S128" i="31"/>
  <c r="S130" i="31"/>
  <c r="S132" i="31"/>
  <c r="S134" i="31"/>
  <c r="S136" i="31"/>
  <c r="S139" i="31"/>
  <c r="S141" i="31"/>
  <c r="S143" i="31"/>
  <c r="S145" i="31"/>
  <c r="S147" i="31"/>
  <c r="S149" i="31"/>
  <c r="R10" i="29"/>
  <c r="R14" i="29"/>
  <c r="R18" i="29"/>
  <c r="R22" i="29"/>
  <c r="R26" i="29"/>
  <c r="R30" i="29"/>
  <c r="R34" i="29"/>
  <c r="R38" i="29"/>
  <c r="R42" i="29"/>
  <c r="R46" i="29"/>
  <c r="R50" i="29"/>
  <c r="R54" i="29"/>
  <c r="R58" i="29"/>
  <c r="R62" i="29"/>
  <c r="R66" i="29"/>
  <c r="R70" i="29"/>
  <c r="R74" i="29"/>
  <c r="R78" i="29"/>
  <c r="R81" i="29"/>
  <c r="R88" i="29"/>
  <c r="R92" i="29"/>
  <c r="R95" i="29"/>
  <c r="V105" i="29"/>
  <c r="R105" i="29"/>
  <c r="V110" i="29"/>
  <c r="R110" i="29"/>
  <c r="V129" i="29"/>
  <c r="R129" i="29"/>
  <c r="T131" i="29"/>
  <c r="V131" i="29"/>
  <c r="R137" i="29"/>
  <c r="T139" i="29"/>
  <c r="V139" i="29"/>
  <c r="V145" i="14"/>
  <c r="V7" i="25"/>
  <c r="V10" i="25"/>
  <c r="V14" i="25"/>
  <c r="V18" i="25"/>
  <c r="V30" i="25"/>
  <c r="V34" i="25"/>
  <c r="V38" i="25"/>
  <c r="V42" i="25"/>
  <c r="V44" i="25"/>
  <c r="V48" i="25"/>
  <c r="V56" i="25"/>
  <c r="V60" i="25"/>
  <c r="V64" i="25"/>
  <c r="V68" i="25"/>
  <c r="V72" i="25"/>
  <c r="V76" i="25"/>
  <c r="V80" i="25"/>
  <c r="V84" i="25"/>
  <c r="V91" i="25"/>
  <c r="V98" i="25"/>
  <c r="V102" i="25"/>
  <c r="V106" i="25"/>
  <c r="V108" i="25"/>
  <c r="V112" i="25"/>
  <c r="V120" i="25"/>
  <c r="V127" i="25"/>
  <c r="V131" i="25"/>
  <c r="V134" i="25"/>
  <c r="V138" i="25"/>
  <c r="V151" i="25"/>
  <c r="V7" i="14"/>
  <c r="V11" i="14"/>
  <c r="V15" i="14"/>
  <c r="V19" i="14"/>
  <c r="V23" i="14"/>
  <c r="V27" i="14"/>
  <c r="V31" i="14"/>
  <c r="V35" i="14"/>
  <c r="V39" i="14"/>
  <c r="V47" i="14"/>
  <c r="V51" i="14"/>
  <c r="V55" i="14"/>
  <c r="V59" i="14"/>
  <c r="V63" i="14"/>
  <c r="V67" i="14"/>
  <c r="V71" i="14"/>
  <c r="V75" i="14"/>
  <c r="V79" i="14"/>
  <c r="V82" i="14"/>
  <c r="V86" i="14"/>
  <c r="V90" i="14"/>
  <c r="V94" i="14"/>
  <c r="V98" i="14"/>
  <c r="V102" i="14"/>
  <c r="V106" i="14"/>
  <c r="V112" i="14"/>
  <c r="V116" i="14"/>
  <c r="V124" i="14"/>
  <c r="V128" i="14"/>
  <c r="V20" i="9"/>
  <c r="R20" i="9"/>
  <c r="V27" i="9"/>
  <c r="R27" i="9"/>
  <c r="V34" i="9"/>
  <c r="V38" i="9"/>
  <c r="V41" i="9"/>
  <c r="T41" i="9"/>
  <c r="V48" i="9"/>
  <c r="V52" i="9"/>
  <c r="V56" i="9"/>
  <c r="V60" i="9"/>
  <c r="V62" i="9"/>
  <c r="T62" i="9"/>
  <c r="V66" i="9"/>
  <c r="T66" i="9"/>
  <c r="V70" i="9"/>
  <c r="V72" i="9"/>
  <c r="T72" i="9"/>
  <c r="V76" i="9"/>
  <c r="T76" i="9"/>
  <c r="V84" i="9"/>
  <c r="T84" i="9"/>
  <c r="V95" i="9"/>
  <c r="V103" i="9"/>
  <c r="V111" i="9"/>
  <c r="V119" i="9"/>
  <c r="V132" i="9"/>
  <c r="V136" i="9"/>
  <c r="V17" i="10"/>
  <c r="V21" i="10"/>
  <c r="V26" i="10"/>
  <c r="R107" i="29"/>
  <c r="R113" i="29"/>
  <c r="R117" i="29"/>
  <c r="R123" i="29"/>
  <c r="R128" i="29"/>
  <c r="R132" i="29"/>
  <c r="R136" i="29"/>
  <c r="R142" i="29"/>
  <c r="R146" i="29"/>
  <c r="R150" i="29"/>
  <c r="R8" i="25"/>
  <c r="R11" i="25"/>
  <c r="R15" i="25"/>
  <c r="R19" i="25"/>
  <c r="R23" i="25"/>
  <c r="R27" i="25"/>
  <c r="R31" i="25"/>
  <c r="R35" i="25"/>
  <c r="R39" i="25"/>
  <c r="R45" i="25"/>
  <c r="R49" i="25"/>
  <c r="R53" i="25"/>
  <c r="R57" i="25"/>
  <c r="R61" i="25"/>
  <c r="R65" i="25"/>
  <c r="R69" i="25"/>
  <c r="R73" i="25"/>
  <c r="R77" i="25"/>
  <c r="R81" i="25"/>
  <c r="R85" i="25"/>
  <c r="R88" i="25"/>
  <c r="R92" i="25"/>
  <c r="R95" i="25"/>
  <c r="R99" i="25"/>
  <c r="R103" i="25"/>
  <c r="R109" i="25"/>
  <c r="R113" i="25"/>
  <c r="R117" i="25"/>
  <c r="R121" i="25"/>
  <c r="R122" i="25"/>
  <c r="R123" i="25"/>
  <c r="R124" i="25"/>
  <c r="R128" i="25"/>
  <c r="R132" i="25"/>
  <c r="R135" i="25"/>
  <c r="R139" i="25"/>
  <c r="R142" i="25"/>
  <c r="R144" i="25"/>
  <c r="W147" i="25"/>
  <c r="V147" i="25" s="1"/>
  <c r="R148" i="25"/>
  <c r="R152" i="25"/>
  <c r="R8" i="14"/>
  <c r="R12" i="14"/>
  <c r="R16" i="14"/>
  <c r="R20" i="14"/>
  <c r="R24" i="14"/>
  <c r="R28" i="14"/>
  <c r="R32" i="14"/>
  <c r="R36" i="14"/>
  <c r="R40" i="14"/>
  <c r="R48" i="14"/>
  <c r="R52" i="14"/>
  <c r="R56" i="14"/>
  <c r="R60" i="14"/>
  <c r="R64" i="14"/>
  <c r="R68" i="14"/>
  <c r="R72" i="14"/>
  <c r="R76" i="14"/>
  <c r="R80" i="14"/>
  <c r="R83" i="14"/>
  <c r="R87" i="14"/>
  <c r="R91" i="14"/>
  <c r="R95" i="14"/>
  <c r="R99" i="14"/>
  <c r="R103" i="14"/>
  <c r="R107" i="14"/>
  <c r="R109" i="14"/>
  <c r="R113" i="14"/>
  <c r="R117" i="14"/>
  <c r="R121" i="14"/>
  <c r="R125" i="14"/>
  <c r="R129" i="14"/>
  <c r="R133" i="14"/>
  <c r="R136" i="14"/>
  <c r="R140" i="14"/>
  <c r="R141" i="14"/>
  <c r="R142" i="14"/>
  <c r="R147" i="14"/>
  <c r="W149" i="14"/>
  <c r="R150" i="14"/>
  <c r="R153" i="14"/>
  <c r="R156" i="14"/>
  <c r="V8" i="9"/>
  <c r="R17" i="9"/>
  <c r="V22" i="9"/>
  <c r="V23" i="9"/>
  <c r="V24" i="9"/>
  <c r="R24" i="9"/>
  <c r="V29" i="9"/>
  <c r="V30" i="9"/>
  <c r="V31" i="9"/>
  <c r="R31" i="9"/>
  <c r="V42" i="9"/>
  <c r="V44" i="9"/>
  <c r="T44" i="9"/>
  <c r="V63" i="9"/>
  <c r="V73" i="9"/>
  <c r="V77" i="9"/>
  <c r="V79" i="9"/>
  <c r="T79" i="9"/>
  <c r="V81" i="9"/>
  <c r="T81" i="9"/>
  <c r="V85" i="9"/>
  <c r="V92" i="9"/>
  <c r="V93" i="9"/>
  <c r="V109" i="9"/>
  <c r="V27" i="10"/>
  <c r="W146" i="29"/>
  <c r="R9" i="25"/>
  <c r="R12" i="25"/>
  <c r="R16" i="25"/>
  <c r="R20" i="25"/>
  <c r="R28" i="25"/>
  <c r="R32" i="25"/>
  <c r="R36" i="25"/>
  <c r="R40" i="25"/>
  <c r="R43" i="25"/>
  <c r="R46" i="25"/>
  <c r="R50" i="25"/>
  <c r="R54" i="25"/>
  <c r="R58" i="25"/>
  <c r="R62" i="25"/>
  <c r="R66" i="25"/>
  <c r="R70" i="25"/>
  <c r="R74" i="25"/>
  <c r="R78" i="25"/>
  <c r="R82" i="25"/>
  <c r="R86" i="25"/>
  <c r="R89" i="25"/>
  <c r="R93" i="25"/>
  <c r="R96" i="25"/>
  <c r="R100" i="25"/>
  <c r="R104" i="25"/>
  <c r="R107" i="25"/>
  <c r="R110" i="25"/>
  <c r="R114" i="25"/>
  <c r="R118" i="25"/>
  <c r="R125" i="25"/>
  <c r="R129" i="25"/>
  <c r="R136" i="25"/>
  <c r="R140" i="25"/>
  <c r="R145" i="25"/>
  <c r="W148" i="25"/>
  <c r="R149" i="25"/>
  <c r="R153" i="25"/>
  <c r="R9" i="14"/>
  <c r="R13" i="14"/>
  <c r="R17" i="14"/>
  <c r="R21" i="14"/>
  <c r="R25" i="14"/>
  <c r="R29" i="14"/>
  <c r="R33" i="14"/>
  <c r="R37" i="14"/>
  <c r="R41" i="14"/>
  <c r="R44" i="14"/>
  <c r="R45" i="14"/>
  <c r="R49" i="14"/>
  <c r="R53" i="14"/>
  <c r="R57" i="14"/>
  <c r="R61" i="14"/>
  <c r="R65" i="14"/>
  <c r="R69" i="14"/>
  <c r="R73" i="14"/>
  <c r="R77" i="14"/>
  <c r="R84" i="14"/>
  <c r="R88" i="14"/>
  <c r="R92" i="14"/>
  <c r="R96" i="14"/>
  <c r="R100" i="14"/>
  <c r="R104" i="14"/>
  <c r="R110" i="14"/>
  <c r="R114" i="14"/>
  <c r="R118" i="14"/>
  <c r="R122" i="14"/>
  <c r="R126" i="14"/>
  <c r="R130" i="14"/>
  <c r="R134" i="14"/>
  <c r="R137" i="14"/>
  <c r="R148" i="14"/>
  <c r="W150" i="14"/>
  <c r="R154" i="14"/>
  <c r="W156" i="14"/>
  <c r="V156" i="14" s="1"/>
  <c r="R7" i="9"/>
  <c r="V10" i="9"/>
  <c r="R12" i="9"/>
  <c r="R21" i="9"/>
  <c r="R28" i="9"/>
  <c r="V45" i="9"/>
  <c r="R45" i="9"/>
  <c r="V49" i="9"/>
  <c r="R49" i="9"/>
  <c r="V53" i="9"/>
  <c r="R53" i="9"/>
  <c r="V57" i="9"/>
  <c r="R57" i="9"/>
  <c r="V67" i="9"/>
  <c r="R67" i="9"/>
  <c r="V99" i="9"/>
  <c r="V114" i="9"/>
  <c r="V115" i="9"/>
  <c r="V144" i="9"/>
  <c r="V145" i="9"/>
  <c r="V146" i="9"/>
  <c r="R138" i="14"/>
  <c r="R151" i="14"/>
  <c r="R155" i="14"/>
  <c r="R9" i="9"/>
  <c r="V16" i="9"/>
  <c r="R16" i="9"/>
  <c r="R25" i="9"/>
  <c r="R32" i="9"/>
  <c r="T34" i="9"/>
  <c r="V35" i="9"/>
  <c r="R35" i="9"/>
  <c r="T38" i="9"/>
  <c r="V39" i="9"/>
  <c r="R39" i="9"/>
  <c r="V43" i="9"/>
  <c r="R43" i="9"/>
  <c r="V47" i="9"/>
  <c r="T47" i="9"/>
  <c r="V51" i="9"/>
  <c r="T51" i="9"/>
  <c r="V55" i="9"/>
  <c r="T55" i="9"/>
  <c r="V59" i="9"/>
  <c r="T59" i="9"/>
  <c r="V64" i="9"/>
  <c r="R64" i="9"/>
  <c r="V69" i="9"/>
  <c r="T69" i="9"/>
  <c r="V74" i="9"/>
  <c r="R74" i="9"/>
  <c r="V78" i="9"/>
  <c r="R78" i="9"/>
  <c r="V80" i="9"/>
  <c r="R80" i="9"/>
  <c r="V82" i="9"/>
  <c r="R82" i="9"/>
  <c r="V88" i="9"/>
  <c r="V89" i="9"/>
  <c r="V106" i="9"/>
  <c r="W150" i="9"/>
  <c r="V150" i="9" s="1"/>
  <c r="V36" i="10"/>
  <c r="R36" i="10"/>
  <c r="V52" i="10"/>
  <c r="R52" i="10"/>
  <c r="V64" i="10"/>
  <c r="V68" i="10"/>
  <c r="V86" i="10"/>
  <c r="V50" i="11"/>
  <c r="R86" i="9"/>
  <c r="T88" i="9"/>
  <c r="R90" i="9"/>
  <c r="T92" i="9"/>
  <c r="R96" i="9"/>
  <c r="T98" i="9"/>
  <c r="R100" i="9"/>
  <c r="T102" i="9"/>
  <c r="R104" i="9"/>
  <c r="R107" i="9"/>
  <c r="T110" i="9"/>
  <c r="R112" i="9"/>
  <c r="T114" i="9"/>
  <c r="R116" i="9"/>
  <c r="T118" i="9"/>
  <c r="R123" i="9"/>
  <c r="R124" i="9"/>
  <c r="R125" i="9"/>
  <c r="R126" i="9"/>
  <c r="R130" i="9"/>
  <c r="R134" i="9"/>
  <c r="R137" i="9"/>
  <c r="R141" i="9"/>
  <c r="R142" i="9"/>
  <c r="R143" i="9"/>
  <c r="R148" i="9"/>
  <c r="W151" i="9"/>
  <c r="AI151" i="9" s="1"/>
  <c r="R155" i="9"/>
  <c r="R8" i="10"/>
  <c r="R11" i="10"/>
  <c r="R15" i="10"/>
  <c r="R19" i="10"/>
  <c r="R24" i="10"/>
  <c r="V33" i="10"/>
  <c r="R33" i="10"/>
  <c r="R37" i="10"/>
  <c r="V41" i="10"/>
  <c r="R42" i="10"/>
  <c r="V44" i="10"/>
  <c r="V48" i="10"/>
  <c r="V51" i="10"/>
  <c r="R53" i="10"/>
  <c r="V55" i="10"/>
  <c r="R56" i="10"/>
  <c r="V58" i="10"/>
  <c r="R58" i="10"/>
  <c r="V62" i="10"/>
  <c r="R62" i="10"/>
  <c r="V75" i="10"/>
  <c r="V76" i="10"/>
  <c r="AI20" i="12"/>
  <c r="V34" i="10"/>
  <c r="R34" i="10"/>
  <c r="V39" i="10"/>
  <c r="R39" i="10"/>
  <c r="V45" i="10"/>
  <c r="V60" i="10"/>
  <c r="T60" i="10"/>
  <c r="V65" i="10"/>
  <c r="R65" i="10"/>
  <c r="V69" i="10"/>
  <c r="R69" i="10"/>
  <c r="V82" i="10"/>
  <c r="V90" i="10"/>
  <c r="R128" i="9"/>
  <c r="R132" i="9"/>
  <c r="R136" i="9"/>
  <c r="R139" i="9"/>
  <c r="R150" i="9"/>
  <c r="R153" i="9"/>
  <c r="R10" i="10"/>
  <c r="R13" i="10"/>
  <c r="R17" i="10"/>
  <c r="R21" i="10"/>
  <c r="R26" i="10"/>
  <c r="R30" i="10"/>
  <c r="V35" i="10"/>
  <c r="R35" i="10"/>
  <c r="V38" i="10"/>
  <c r="V40" i="10"/>
  <c r="V43" i="10"/>
  <c r="V46" i="10"/>
  <c r="V50" i="10"/>
  <c r="V54" i="10"/>
  <c r="V57" i="10"/>
  <c r="V61" i="10"/>
  <c r="V63" i="10"/>
  <c r="T63" i="10"/>
  <c r="V67" i="10"/>
  <c r="T67" i="10"/>
  <c r="V71" i="10"/>
  <c r="T71" i="10"/>
  <c r="V72" i="10"/>
  <c r="V79" i="10"/>
  <c r="V93" i="10"/>
  <c r="V94" i="10"/>
  <c r="V102" i="10"/>
  <c r="V51" i="11"/>
  <c r="V52" i="11"/>
  <c r="V54" i="11"/>
  <c r="V55" i="11"/>
  <c r="V56" i="11"/>
  <c r="V57" i="11"/>
  <c r="V58" i="11"/>
  <c r="V59" i="11"/>
  <c r="R73" i="10"/>
  <c r="T75" i="10"/>
  <c r="R77" i="10"/>
  <c r="T79" i="10"/>
  <c r="R80" i="10"/>
  <c r="R83" i="10"/>
  <c r="T85" i="10"/>
  <c r="R87" i="10"/>
  <c r="T89" i="10"/>
  <c r="R91" i="10"/>
  <c r="R95" i="10"/>
  <c r="T97" i="10"/>
  <c r="R99" i="10"/>
  <c r="T101" i="10"/>
  <c r="R103" i="10"/>
  <c r="T105" i="10"/>
  <c r="W106" i="10"/>
  <c r="AI106" i="10" s="1"/>
  <c r="R22" i="11"/>
  <c r="R23" i="11"/>
  <c r="T27" i="11"/>
  <c r="T28" i="11"/>
  <c r="R38" i="11"/>
  <c r="R39" i="11"/>
  <c r="R40" i="11"/>
  <c r="R41" i="11"/>
  <c r="T45" i="11"/>
  <c r="T46" i="11"/>
  <c r="T47" i="11"/>
  <c r="T48" i="11"/>
  <c r="T49" i="11"/>
  <c r="T50" i="11"/>
  <c r="W61" i="11"/>
  <c r="V61" i="11" s="1"/>
  <c r="R98" i="10"/>
  <c r="R102" i="10"/>
  <c r="W105" i="10"/>
  <c r="V105" i="10" s="1"/>
  <c r="R106" i="10"/>
  <c r="R7" i="11"/>
  <c r="R8" i="11"/>
  <c r="R9" i="11"/>
  <c r="R10" i="11"/>
  <c r="R11" i="11"/>
  <c r="R12" i="11"/>
  <c r="R13" i="11"/>
  <c r="R14" i="11"/>
  <c r="R15" i="11"/>
  <c r="R16" i="11"/>
  <c r="R17" i="11"/>
  <c r="R18" i="11"/>
  <c r="R19" i="11"/>
  <c r="R20" i="11"/>
  <c r="R21" i="11"/>
  <c r="R29" i="11"/>
  <c r="R30" i="11"/>
  <c r="R31" i="11"/>
  <c r="R32" i="11"/>
  <c r="R33" i="11"/>
  <c r="R34" i="11"/>
  <c r="R35" i="11"/>
  <c r="R36" i="11"/>
  <c r="R37" i="11"/>
  <c r="V72" i="33"/>
  <c r="V22" i="33"/>
  <c r="V100" i="33"/>
  <c r="T98" i="33"/>
  <c r="V109" i="33"/>
  <c r="V61" i="33"/>
  <c r="V13" i="33"/>
  <c r="R109" i="33"/>
  <c r="V28" i="33"/>
  <c r="V41" i="33"/>
  <c r="V59" i="33"/>
  <c r="V97" i="33"/>
  <c r="V98" i="33"/>
  <c r="V126" i="33"/>
  <c r="V65" i="33"/>
  <c r="V69" i="33"/>
  <c r="V118" i="33"/>
  <c r="V7" i="33"/>
  <c r="V18" i="33"/>
  <c r="R22" i="33"/>
  <c r="V105" i="33"/>
  <c r="V122" i="33"/>
  <c r="V50" i="33"/>
  <c r="R61" i="33"/>
  <c r="V62" i="33"/>
  <c r="V91" i="33"/>
  <c r="V113" i="33"/>
  <c r="R139" i="33"/>
  <c r="V47" i="33"/>
  <c r="T72" i="33"/>
  <c r="V80" i="33"/>
  <c r="V88" i="33"/>
  <c r="V119" i="33"/>
  <c r="V140" i="33"/>
  <c r="V127" i="33"/>
  <c r="V35" i="33"/>
  <c r="V43" i="33"/>
  <c r="V45" i="33"/>
  <c r="V51" i="33"/>
  <c r="V57" i="33"/>
  <c r="V68" i="33"/>
  <c r="V82" i="33"/>
  <c r="V86" i="33"/>
  <c r="V101" i="33"/>
  <c r="V130" i="33"/>
  <c r="V131" i="33"/>
  <c r="V14" i="33"/>
  <c r="V9" i="33"/>
  <c r="V48" i="33"/>
  <c r="V58" i="33"/>
  <c r="V64" i="33"/>
  <c r="V89" i="33"/>
  <c r="V90" i="33"/>
  <c r="V99" i="33"/>
  <c r="V104" i="33"/>
  <c r="V106" i="33"/>
  <c r="V107" i="33"/>
  <c r="V124" i="33"/>
  <c r="V134" i="33"/>
  <c r="R137" i="33"/>
  <c r="V8" i="33"/>
  <c r="V16" i="33"/>
  <c r="V25" i="33"/>
  <c r="V11" i="33"/>
  <c r="V21" i="33"/>
  <c r="R49" i="33"/>
  <c r="V54" i="33"/>
  <c r="R59" i="33"/>
  <c r="V60" i="33"/>
  <c r="R65" i="33"/>
  <c r="V79" i="33"/>
  <c r="V87" i="33"/>
  <c r="V93" i="33"/>
  <c r="V94" i="33"/>
  <c r="R124" i="33"/>
  <c r="T133" i="33"/>
  <c r="T137" i="33"/>
  <c r="R8" i="33"/>
  <c r="R13" i="33"/>
  <c r="R17" i="33"/>
  <c r="R21" i="33"/>
  <c r="R25" i="33"/>
  <c r="T27" i="33"/>
  <c r="V30" i="33"/>
  <c r="R30" i="33"/>
  <c r="V32" i="33"/>
  <c r="R32" i="33"/>
  <c r="R34" i="33"/>
  <c r="V37" i="33"/>
  <c r="R37" i="33"/>
  <c r="R39" i="33"/>
  <c r="V42" i="33"/>
  <c r="R42" i="33"/>
  <c r="T46" i="33"/>
  <c r="R7" i="33"/>
  <c r="R11" i="33"/>
  <c r="R16" i="33"/>
  <c r="V29" i="33"/>
  <c r="R29" i="33"/>
  <c r="T30" i="33"/>
  <c r="T32" i="33"/>
  <c r="T37" i="33"/>
  <c r="T39" i="33"/>
  <c r="T42" i="33"/>
  <c r="T8" i="33"/>
  <c r="R10" i="33"/>
  <c r="V10" i="33"/>
  <c r="T13" i="33"/>
  <c r="R15" i="33"/>
  <c r="T17" i="33"/>
  <c r="R19" i="33"/>
  <c r="V19" i="33"/>
  <c r="T21" i="33"/>
  <c r="T25" i="33"/>
  <c r="R27" i="33"/>
  <c r="T29" i="33"/>
  <c r="R48" i="33"/>
  <c r="R56" i="33"/>
  <c r="R60" i="33"/>
  <c r="R64" i="33"/>
  <c r="T69" i="33"/>
  <c r="V74" i="33"/>
  <c r="R74" i="33"/>
  <c r="V78" i="33"/>
  <c r="R78" i="33"/>
  <c r="V85" i="33"/>
  <c r="R85" i="33"/>
  <c r="R71" i="33"/>
  <c r="T76" i="33"/>
  <c r="R46" i="33"/>
  <c r="R50" i="33"/>
  <c r="R54" i="33"/>
  <c r="R58" i="33"/>
  <c r="R62" i="33"/>
  <c r="T73" i="33"/>
  <c r="R81" i="33"/>
  <c r="V73" i="33"/>
  <c r="V75" i="33"/>
  <c r="T83" i="33"/>
  <c r="R75" i="33"/>
  <c r="R79" i="33"/>
  <c r="R83" i="33"/>
  <c r="R87" i="33"/>
  <c r="R91" i="33"/>
  <c r="R95" i="33"/>
  <c r="R100" i="33"/>
  <c r="R104" i="33"/>
  <c r="R82" i="33"/>
  <c r="R86" i="33"/>
  <c r="R90" i="33"/>
  <c r="R94" i="33"/>
  <c r="R99" i="33"/>
  <c r="R103" i="33"/>
  <c r="R107" i="33"/>
  <c r="V111" i="33"/>
  <c r="R111" i="33"/>
  <c r="V115" i="33"/>
  <c r="R115" i="33"/>
  <c r="V92" i="33"/>
  <c r="V108" i="33"/>
  <c r="R108" i="33"/>
  <c r="T113" i="33"/>
  <c r="R119" i="33"/>
  <c r="R127" i="33"/>
  <c r="R131" i="33"/>
  <c r="V139" i="33"/>
  <c r="V143" i="33"/>
  <c r="V121" i="33"/>
  <c r="V125" i="33"/>
  <c r="V137" i="33"/>
  <c r="V138" i="33"/>
  <c r="V142" i="33"/>
  <c r="R112" i="33"/>
  <c r="V112" i="33"/>
  <c r="R116" i="33"/>
  <c r="V116" i="33"/>
  <c r="T118" i="33"/>
  <c r="T122" i="33"/>
  <c r="R123" i="33"/>
  <c r="T124" i="33"/>
  <c r="T126" i="33"/>
  <c r="R128" i="33"/>
  <c r="V128" i="33"/>
  <c r="T130" i="33"/>
  <c r="R132" i="33"/>
  <c r="V132" i="33"/>
  <c r="T134" i="33"/>
  <c r="R136" i="33"/>
  <c r="V136" i="33"/>
  <c r="T139" i="33"/>
  <c r="R141" i="33"/>
  <c r="V141" i="33"/>
  <c r="T143" i="33"/>
  <c r="V12" i="9"/>
  <c r="V149" i="14"/>
  <c r="V62" i="11"/>
  <c r="V130" i="9"/>
  <c r="V153" i="25"/>
  <c r="V53" i="11"/>
  <c r="W12" i="31"/>
  <c r="AI150" i="14"/>
  <c r="V154" i="25"/>
  <c r="W142" i="31"/>
  <c r="V13" i="10"/>
  <c r="V148" i="25"/>
  <c r="V146" i="29"/>
  <c r="V152" i="29"/>
  <c r="AI21" i="10"/>
  <c r="AI11" i="33"/>
  <c r="AI35" i="33"/>
  <c r="AI39" i="33"/>
  <c r="O7" i="32"/>
  <c r="P7" i="32" s="1"/>
  <c r="AH7" i="32"/>
  <c r="Q7" i="32"/>
  <c r="W7" i="32" s="1"/>
  <c r="AG7" i="32"/>
  <c r="Q140" i="32"/>
  <c r="Q134" i="32"/>
  <c r="Q131" i="32"/>
  <c r="Q128" i="32"/>
  <c r="W128" i="32" s="1"/>
  <c r="Q125" i="32"/>
  <c r="Q121" i="32"/>
  <c r="W121" i="32" s="1"/>
  <c r="V121" i="32" s="1"/>
  <c r="Q119" i="32"/>
  <c r="Q114" i="32"/>
  <c r="Q111" i="32"/>
  <c r="Q109" i="32"/>
  <c r="Q104" i="32"/>
  <c r="Q97" i="32"/>
  <c r="Q95" i="32"/>
  <c r="Q92" i="32"/>
  <c r="W92" i="32" s="1"/>
  <c r="V92" i="32" s="1"/>
  <c r="Q91" i="32"/>
  <c r="Q86" i="32"/>
  <c r="Q84" i="32"/>
  <c r="Q83" i="32"/>
  <c r="W83" i="32" s="1"/>
  <c r="Q81" i="32"/>
  <c r="Q78" i="32"/>
  <c r="Q76" i="32"/>
  <c r="Q75" i="32"/>
  <c r="W75" i="32" s="1"/>
  <c r="V75" i="32" s="1"/>
  <c r="Q71" i="32"/>
  <c r="W71" i="32" s="1"/>
  <c r="V71" i="32" s="1"/>
  <c r="Q68" i="32"/>
  <c r="Q66" i="32"/>
  <c r="Q64" i="32"/>
  <c r="Q62" i="32"/>
  <c r="Q59" i="32"/>
  <c r="Q57" i="32"/>
  <c r="Q55" i="32"/>
  <c r="W55" i="32" s="1"/>
  <c r="V55" i="32" s="1"/>
  <c r="Q52" i="32"/>
  <c r="W52" i="32" s="1"/>
  <c r="V52" i="32" s="1"/>
  <c r="Q41" i="32"/>
  <c r="Q30" i="32"/>
  <c r="Q20" i="32"/>
  <c r="Q11" i="32"/>
  <c r="Q155" i="32"/>
  <c r="W155" i="32" s="1"/>
  <c r="Q153" i="32"/>
  <c r="W153" i="32"/>
  <c r="Q150" i="32"/>
  <c r="W150" i="32" s="1"/>
  <c r="V150" i="32" s="1"/>
  <c r="Q148" i="32"/>
  <c r="Q146" i="32"/>
  <c r="Q144" i="32"/>
  <c r="Q142" i="32"/>
  <c r="Q138" i="32"/>
  <c r="W138" i="32" s="1"/>
  <c r="Q137" i="32"/>
  <c r="W137" i="32" s="1"/>
  <c r="V137" i="32" s="1"/>
  <c r="Q129" i="32"/>
  <c r="Q126" i="32"/>
  <c r="Q122" i="32"/>
  <c r="Q117" i="32"/>
  <c r="Q107" i="32"/>
  <c r="Q102" i="32"/>
  <c r="Q100" i="32"/>
  <c r="Q98" i="32"/>
  <c r="Q88" i="32"/>
  <c r="W88" i="32" s="1"/>
  <c r="V88" i="32" s="1"/>
  <c r="Q87" i="32"/>
  <c r="W87" i="32" s="1"/>
  <c r="Q72" i="32"/>
  <c r="Q53" i="32"/>
  <c r="Q50" i="32"/>
  <c r="Q48" i="32"/>
  <c r="Q42" i="32"/>
  <c r="Q31" i="32"/>
  <c r="W31" i="32" s="1"/>
  <c r="V31" i="32" s="1"/>
  <c r="Q29" i="32"/>
  <c r="W29" i="32" s="1"/>
  <c r="V29" i="32" s="1"/>
  <c r="Q23" i="32"/>
  <c r="Q12" i="32"/>
  <c r="Q9" i="32"/>
  <c r="Q151" i="32"/>
  <c r="W151" i="32" s="1"/>
  <c r="V151" i="32" s="1"/>
  <c r="Q139" i="32"/>
  <c r="Q135" i="32"/>
  <c r="Q132" i="32"/>
  <c r="W132" i="32" s="1"/>
  <c r="V132" i="32" s="1"/>
  <c r="Q130" i="32"/>
  <c r="Q127" i="32"/>
  <c r="Q115" i="32"/>
  <c r="Q112" i="32"/>
  <c r="W112" i="32" s="1"/>
  <c r="Q110" i="32"/>
  <c r="Q108" i="32"/>
  <c r="Q105" i="32"/>
  <c r="W105" i="32" s="1"/>
  <c r="Q96" i="32"/>
  <c r="W96" i="32" s="1"/>
  <c r="V96" i="32" s="1"/>
  <c r="Q93" i="32"/>
  <c r="Q90" i="32"/>
  <c r="Q85" i="32"/>
  <c r="Q82" i="32"/>
  <c r="Q79" i="32"/>
  <c r="Q77" i="32"/>
  <c r="Q74" i="32"/>
  <c r="Q69" i="32"/>
  <c r="W69" i="32" s="1"/>
  <c r="V69" i="32" s="1"/>
  <c r="Q67" i="32"/>
  <c r="Q65" i="32"/>
  <c r="W65" i="32" s="1"/>
  <c r="Q63" i="32"/>
  <c r="Q60" i="32"/>
  <c r="Q58" i="32"/>
  <c r="Q56" i="32"/>
  <c r="Q51" i="32"/>
  <c r="Q44" i="32"/>
  <c r="W44" i="32" s="1"/>
  <c r="Q40" i="32"/>
  <c r="W40" i="32" s="1"/>
  <c r="V40" i="32" s="1"/>
  <c r="Q39" i="32"/>
  <c r="Q36" i="32"/>
  <c r="Q34" i="32"/>
  <c r="Q32" i="32"/>
  <c r="Q27" i="32"/>
  <c r="Q18" i="32"/>
  <c r="Q14" i="32"/>
  <c r="W14" i="32" s="1"/>
  <c r="V14" i="32" s="1"/>
  <c r="Q10" i="32"/>
  <c r="Q156" i="32"/>
  <c r="W156" i="32" s="1"/>
  <c r="Q154" i="32"/>
  <c r="W154" i="32" s="1"/>
  <c r="Q152" i="32"/>
  <c r="W152" i="32"/>
  <c r="Q149" i="32"/>
  <c r="Q147" i="32"/>
  <c r="Q145" i="32"/>
  <c r="W145" i="32" s="1"/>
  <c r="V145" i="32" s="1"/>
  <c r="Q143" i="32"/>
  <c r="Q141" i="32"/>
  <c r="Q136" i="32"/>
  <c r="Q133" i="32"/>
  <c r="W133" i="32" s="1"/>
  <c r="Q124" i="32"/>
  <c r="Q123" i="32"/>
  <c r="Q120" i="32"/>
  <c r="Q118" i="32"/>
  <c r="W118" i="32" s="1"/>
  <c r="V118" i="32" s="1"/>
  <c r="Q116" i="32"/>
  <c r="Q113" i="32"/>
  <c r="Q106" i="32"/>
  <c r="Q103" i="32"/>
  <c r="Q101" i="32"/>
  <c r="Q99" i="32"/>
  <c r="Q94" i="32"/>
  <c r="W94" i="32" s="1"/>
  <c r="Q89" i="32"/>
  <c r="W89" i="32" s="1"/>
  <c r="V89" i="32" s="1"/>
  <c r="Q80" i="32"/>
  <c r="Q73" i="32"/>
  <c r="Q70" i="32"/>
  <c r="Q54" i="32"/>
  <c r="Q49" i="32"/>
  <c r="Q46" i="32"/>
  <c r="W46" i="32" s="1"/>
  <c r="Q37" i="32"/>
  <c r="Q28" i="32"/>
  <c r="W28" i="32" s="1"/>
  <c r="V28" i="32" s="1"/>
  <c r="Q25" i="32"/>
  <c r="Q21" i="32"/>
  <c r="Q17" i="32"/>
  <c r="Q16" i="32"/>
  <c r="Q38" i="32"/>
  <c r="Q35" i="32"/>
  <c r="Q33" i="32"/>
  <c r="Q26" i="32"/>
  <c r="W26" i="32" s="1"/>
  <c r="Q22" i="32"/>
  <c r="Q15" i="32"/>
  <c r="V151" i="9"/>
  <c r="V150" i="14"/>
  <c r="V106" i="10"/>
  <c r="V152" i="32"/>
  <c r="V154" i="32"/>
  <c r="V153" i="32"/>
  <c r="V156" i="32"/>
  <c r="AI155" i="32"/>
  <c r="V155" i="32"/>
  <c r="W22" i="32"/>
  <c r="W38" i="32"/>
  <c r="W25" i="32"/>
  <c r="V25" i="32" s="1"/>
  <c r="W49" i="32"/>
  <c r="V49" i="32" s="1"/>
  <c r="W80" i="32"/>
  <c r="V80" i="32" s="1"/>
  <c r="W101" i="32"/>
  <c r="V101" i="32" s="1"/>
  <c r="W116" i="32"/>
  <c r="W124" i="32"/>
  <c r="W143" i="32"/>
  <c r="W34" i="32"/>
  <c r="V34" i="32" s="1"/>
  <c r="W60" i="32"/>
  <c r="V60" i="32" s="1"/>
  <c r="W82" i="32"/>
  <c r="W9" i="32"/>
  <c r="W53" i="32"/>
  <c r="V53" i="32" s="1"/>
  <c r="W98" i="32"/>
  <c r="V98" i="32" s="1"/>
  <c r="W117" i="32"/>
  <c r="V117" i="32" s="1"/>
  <c r="W146" i="32"/>
  <c r="W41" i="32"/>
  <c r="W59" i="32"/>
  <c r="W68" i="32"/>
  <c r="AI68" i="32" s="1"/>
  <c r="W78" i="32"/>
  <c r="W86" i="32"/>
  <c r="V86" i="32" s="1"/>
  <c r="W97" i="32"/>
  <c r="V97" i="32" s="1"/>
  <c r="W114" i="32"/>
  <c r="W16" i="32"/>
  <c r="W54" i="32"/>
  <c r="V54" i="32" s="1"/>
  <c r="W103" i="32"/>
  <c r="V103" i="32" s="1"/>
  <c r="W18" i="32"/>
  <c r="W36" i="32"/>
  <c r="W51" i="32"/>
  <c r="W63" i="32"/>
  <c r="W74" i="32"/>
  <c r="W85" i="32"/>
  <c r="V85" i="32" s="1"/>
  <c r="W115" i="32"/>
  <c r="V115" i="32" s="1"/>
  <c r="W135" i="32"/>
  <c r="W12" i="32"/>
  <c r="W42" i="32"/>
  <c r="W72" i="32"/>
  <c r="V72" i="32" s="1"/>
  <c r="W100" i="32"/>
  <c r="V100" i="32" s="1"/>
  <c r="W122" i="32"/>
  <c r="V122" i="32" s="1"/>
  <c r="W148" i="32"/>
  <c r="V148" i="32" s="1"/>
  <c r="W11" i="32"/>
  <c r="V11" i="32" s="1"/>
  <c r="W62" i="32"/>
  <c r="W81" i="32"/>
  <c r="W91" i="32"/>
  <c r="W104" i="32"/>
  <c r="W119" i="32"/>
  <c r="W131" i="32"/>
  <c r="V131" i="32" s="1"/>
  <c r="W33" i="32"/>
  <c r="W17" i="32"/>
  <c r="W37" i="32"/>
  <c r="W70" i="32"/>
  <c r="W106" i="32"/>
  <c r="W120" i="32"/>
  <c r="V120" i="32" s="1"/>
  <c r="W136" i="32"/>
  <c r="V136" i="32" s="1"/>
  <c r="W147" i="32"/>
  <c r="W27" i="32"/>
  <c r="W39" i="32"/>
  <c r="W56" i="32"/>
  <c r="W77" i="32"/>
  <c r="V77" i="32" s="1"/>
  <c r="W90" i="32"/>
  <c r="W108" i="32"/>
  <c r="V108" i="32" s="1"/>
  <c r="W127" i="32"/>
  <c r="AI127" i="32" s="1"/>
  <c r="W139" i="32"/>
  <c r="W23" i="32"/>
  <c r="W48" i="32"/>
  <c r="V48" i="32" s="1"/>
  <c r="W102" i="32"/>
  <c r="V102" i="32" s="1"/>
  <c r="W126" i="32"/>
  <c r="V126" i="32" s="1"/>
  <c r="W142" i="32"/>
  <c r="W20" i="32"/>
  <c r="V20" i="32" s="1"/>
  <c r="W64" i="32"/>
  <c r="W109" i="32"/>
  <c r="W134" i="32"/>
  <c r="W15" i="32"/>
  <c r="V15" i="32" s="1"/>
  <c r="W35" i="32"/>
  <c r="W21" i="32"/>
  <c r="W73" i="32"/>
  <c r="W99" i="32"/>
  <c r="V99" i="32" s="1"/>
  <c r="W113" i="32"/>
  <c r="W123" i="32"/>
  <c r="V123" i="32" s="1"/>
  <c r="W141" i="32"/>
  <c r="W149" i="32"/>
  <c r="V149" i="32" s="1"/>
  <c r="W10" i="32"/>
  <c r="V10" i="32" s="1"/>
  <c r="W32" i="32"/>
  <c r="W58" i="32"/>
  <c r="W67" i="32"/>
  <c r="W79" i="32"/>
  <c r="V79" i="32" s="1"/>
  <c r="W93" i="32"/>
  <c r="V93" i="32" s="1"/>
  <c r="W110" i="32"/>
  <c r="V110" i="32" s="1"/>
  <c r="W130" i="32"/>
  <c r="V130" i="32" s="1"/>
  <c r="W50" i="32"/>
  <c r="W107" i="32"/>
  <c r="W129" i="32"/>
  <c r="AI129" i="32" s="1"/>
  <c r="W144" i="32"/>
  <c r="W30" i="32"/>
  <c r="V30" i="32" s="1"/>
  <c r="W57" i="32"/>
  <c r="V57" i="32" s="1"/>
  <c r="W66" i="32"/>
  <c r="W76" i="32"/>
  <c r="W84" i="32"/>
  <c r="W95" i="32"/>
  <c r="W111" i="32"/>
  <c r="W125" i="32"/>
  <c r="W140" i="32"/>
  <c r="AI57" i="32"/>
  <c r="V144" i="32"/>
  <c r="AI128" i="32"/>
  <c r="V17" i="32"/>
  <c r="V16" i="32"/>
  <c r="V46" i="32"/>
  <c r="V107" i="32"/>
  <c r="V50" i="32"/>
  <c r="V125" i="32"/>
  <c r="V66" i="32"/>
  <c r="V67" i="32"/>
  <c r="V83" i="32"/>
  <c r="V142" i="32"/>
  <c r="V56" i="32"/>
  <c r="V27" i="32"/>
  <c r="V94" i="32"/>
  <c r="V37" i="32"/>
  <c r="V62" i="32"/>
  <c r="V135" i="32"/>
  <c r="V105" i="32"/>
  <c r="V74" i="32"/>
  <c r="V51" i="32"/>
  <c r="V114" i="32"/>
  <c r="V68" i="32"/>
  <c r="V41" i="32"/>
  <c r="V112" i="32"/>
  <c r="V95" i="32"/>
  <c r="V141" i="32"/>
  <c r="V113" i="32"/>
  <c r="V35" i="32"/>
  <c r="V64" i="32"/>
  <c r="V139" i="32"/>
  <c r="V90" i="32"/>
  <c r="V33" i="32"/>
  <c r="V119" i="32"/>
  <c r="V91" i="32"/>
  <c r="AI12" i="32"/>
  <c r="V12" i="32"/>
  <c r="V18" i="32"/>
  <c r="V82" i="32"/>
  <c r="V124" i="32"/>
  <c r="V38" i="32"/>
  <c r="V140" i="32"/>
  <c r="V76" i="32"/>
  <c r="V58" i="32"/>
  <c r="V32" i="32"/>
  <c r="V73" i="32"/>
  <c r="V134" i="32"/>
  <c r="V87" i="32"/>
  <c r="V65" i="32"/>
  <c r="V39" i="32"/>
  <c r="V106" i="32"/>
  <c r="V70" i="32"/>
  <c r="V138" i="32"/>
  <c r="V63" i="32"/>
  <c r="V36" i="32"/>
  <c r="V133" i="32"/>
  <c r="V128" i="32"/>
  <c r="V78" i="32"/>
  <c r="V59" i="32"/>
  <c r="V146" i="32"/>
  <c r="V9" i="32"/>
  <c r="V111" i="32"/>
  <c r="V84" i="32"/>
  <c r="V21" i="32"/>
  <c r="V109" i="32"/>
  <c r="V23" i="32"/>
  <c r="V127" i="32"/>
  <c r="V147" i="32"/>
  <c r="V104" i="32"/>
  <c r="V81" i="32"/>
  <c r="V42" i="32"/>
  <c r="V143" i="32"/>
  <c r="V116" i="32"/>
  <c r="V22" i="32"/>
  <c r="AI23" i="32"/>
  <c r="AI18" i="32"/>
  <c r="AI46" i="32"/>
  <c r="AI42" i="32"/>
  <c r="AI66" i="35"/>
  <c r="AI39" i="35"/>
  <c r="AI19" i="35"/>
  <c r="AE142" i="33" l="1"/>
  <c r="AE86" i="33"/>
  <c r="AE11" i="33"/>
  <c r="AE50" i="33"/>
  <c r="AE113" i="33"/>
  <c r="AD23" i="33"/>
  <c r="AE120" i="33"/>
  <c r="AE61" i="38"/>
  <c r="AE148" i="33"/>
  <c r="AD76" i="33"/>
  <c r="AE36" i="33"/>
  <c r="AE154" i="32"/>
  <c r="AE143" i="33"/>
  <c r="AD95" i="33"/>
  <c r="AD24" i="32"/>
  <c r="AE8" i="33"/>
  <c r="AD122" i="33"/>
  <c r="AE22" i="33"/>
  <c r="AD85" i="32"/>
  <c r="AE89" i="33"/>
  <c r="AE139" i="33"/>
  <c r="AE87" i="33"/>
  <c r="AE145" i="33"/>
  <c r="AE129" i="33"/>
  <c r="AE70" i="32"/>
  <c r="AD149" i="33"/>
  <c r="AE61" i="33"/>
  <c r="AE127" i="33"/>
  <c r="AE51" i="33"/>
  <c r="AE121" i="33"/>
  <c r="AE117" i="33"/>
  <c r="AE31" i="33"/>
  <c r="AE115" i="33"/>
  <c r="AE43" i="33"/>
  <c r="AD49" i="33"/>
  <c r="AD45" i="33"/>
  <c r="AE139" i="31"/>
  <c r="AE154" i="33"/>
  <c r="AE130" i="33"/>
  <c r="AD106" i="33"/>
  <c r="AD70" i="33"/>
  <c r="AE28" i="33"/>
  <c r="AE136" i="33"/>
  <c r="AD96" i="33"/>
  <c r="AE64" i="33"/>
  <c r="AD146" i="33"/>
  <c r="AE126" i="33"/>
  <c r="AE98" i="33"/>
  <c r="AD54" i="33"/>
  <c r="AE20" i="33"/>
  <c r="Y20" i="33" s="1"/>
  <c r="AE128" i="33"/>
  <c r="AD92" i="33"/>
  <c r="AE39" i="33"/>
  <c r="AD107" i="32"/>
  <c r="AD138" i="33"/>
  <c r="AE110" i="33"/>
  <c r="AE78" i="33"/>
  <c r="AE42" i="33"/>
  <c r="AD140" i="33"/>
  <c r="AD104" i="33"/>
  <c r="AE72" i="33"/>
  <c r="AE137" i="32"/>
  <c r="Z11" i="33"/>
  <c r="AD105" i="33"/>
  <c r="AE151" i="33"/>
  <c r="AD119" i="33"/>
  <c r="AE79" i="33"/>
  <c r="AD21" i="33"/>
  <c r="AE137" i="33"/>
  <c r="AE19" i="33"/>
  <c r="X19" i="33" s="1"/>
  <c r="AD124" i="32"/>
  <c r="AD63" i="33"/>
  <c r="AD156" i="32"/>
  <c r="AE100" i="32"/>
  <c r="AE137" i="31"/>
  <c r="AD16" i="32"/>
  <c r="AD114" i="33"/>
  <c r="AE94" i="33"/>
  <c r="AD62" i="33"/>
  <c r="AE32" i="33"/>
  <c r="AD112" i="33"/>
  <c r="AD84" i="33"/>
  <c r="AD48" i="33"/>
  <c r="AD147" i="32"/>
  <c r="AD129" i="32"/>
  <c r="AE149" i="32"/>
  <c r="AD92" i="32"/>
  <c r="AE97" i="31"/>
  <c r="AD104" i="32"/>
  <c r="AD59" i="32"/>
  <c r="AE46" i="32"/>
  <c r="AF75" i="31"/>
  <c r="AF117" i="31"/>
  <c r="AF123" i="31"/>
  <c r="AE41" i="33"/>
  <c r="AE99" i="33"/>
  <c r="AE67" i="33"/>
  <c r="AD38" i="33"/>
  <c r="AE35" i="33"/>
  <c r="AD93" i="33"/>
  <c r="AE9" i="32"/>
  <c r="AD146" i="32"/>
  <c r="AE120" i="32"/>
  <c r="AD80" i="32"/>
  <c r="AE130" i="32"/>
  <c r="AD42" i="32"/>
  <c r="AF29" i="31"/>
  <c r="AE15" i="31"/>
  <c r="AD63" i="38"/>
  <c r="AE39" i="32"/>
  <c r="AE33" i="32"/>
  <c r="AE52" i="32"/>
  <c r="AD133" i="33"/>
  <c r="AE77" i="33"/>
  <c r="AD135" i="33"/>
  <c r="AE107" i="33"/>
  <c r="AE83" i="33"/>
  <c r="AD55" i="33"/>
  <c r="AE29" i="33"/>
  <c r="AD153" i="33"/>
  <c r="AE81" i="33"/>
  <c r="AE85" i="33"/>
  <c r="AE23" i="32"/>
  <c r="AE112" i="32"/>
  <c r="AD82" i="32"/>
  <c r="AE53" i="32"/>
  <c r="AE149" i="31"/>
  <c r="AF85" i="31"/>
  <c r="AE107" i="31"/>
  <c r="AE134" i="33"/>
  <c r="AD102" i="33"/>
  <c r="AE74" i="33"/>
  <c r="AE46" i="33"/>
  <c r="AE16" i="33"/>
  <c r="AD152" i="33"/>
  <c r="AD124" i="33"/>
  <c r="AD108" i="33"/>
  <c r="AD80" i="33"/>
  <c r="AE44" i="33"/>
  <c r="AE18" i="33"/>
  <c r="AD143" i="32"/>
  <c r="AD48" i="32"/>
  <c r="AD141" i="32"/>
  <c r="AE153" i="32"/>
  <c r="AD111" i="32"/>
  <c r="AD75" i="32"/>
  <c r="AF120" i="31"/>
  <c r="AD150" i="33"/>
  <c r="AE118" i="33"/>
  <c r="AE82" i="33"/>
  <c r="AE66" i="33"/>
  <c r="AD37" i="33"/>
  <c r="AE144" i="33"/>
  <c r="AD116" i="33"/>
  <c r="AE88" i="33"/>
  <c r="AE60" i="33"/>
  <c r="AE30" i="33"/>
  <c r="AD117" i="32"/>
  <c r="AE133" i="32"/>
  <c r="AE91" i="32"/>
  <c r="AD145" i="32"/>
  <c r="AF66" i="31"/>
  <c r="AE78" i="38"/>
  <c r="AD63" i="32"/>
  <c r="AE99" i="32"/>
  <c r="AD58" i="32"/>
  <c r="AE121" i="32"/>
  <c r="AE134" i="31"/>
  <c r="AE135" i="29"/>
  <c r="AD20" i="32"/>
  <c r="AE29" i="32"/>
  <c r="AD29" i="32"/>
  <c r="AD60" i="32"/>
  <c r="AE60" i="32"/>
  <c r="AE67" i="32"/>
  <c r="AD67" i="32"/>
  <c r="AE81" i="32"/>
  <c r="AD81" i="32"/>
  <c r="AE93" i="32"/>
  <c r="AD93" i="32"/>
  <c r="AD139" i="32"/>
  <c r="AE139" i="32"/>
  <c r="AD7" i="33"/>
  <c r="AE7" i="33"/>
  <c r="Z7" i="33" s="1"/>
  <c r="AI7" i="33" s="1"/>
  <c r="AD9" i="33"/>
  <c r="AE9" i="33"/>
  <c r="AD26" i="33"/>
  <c r="AE26" i="33"/>
  <c r="AE24" i="31"/>
  <c r="AF24" i="31"/>
  <c r="AF34" i="31"/>
  <c r="AE34" i="31"/>
  <c r="AF142" i="31"/>
  <c r="AE142" i="31"/>
  <c r="AD103" i="32"/>
  <c r="AE103" i="32"/>
  <c r="AE155" i="32"/>
  <c r="AD155" i="32"/>
  <c r="AD56" i="33"/>
  <c r="AE56" i="33"/>
  <c r="AE90" i="33"/>
  <c r="AE58" i="33"/>
  <c r="AE24" i="33"/>
  <c r="AD141" i="33"/>
  <c r="AD53" i="33"/>
  <c r="AE111" i="33"/>
  <c r="AD71" i="33"/>
  <c r="AE33" i="33"/>
  <c r="AE13" i="33"/>
  <c r="AE69" i="33"/>
  <c r="AD132" i="33"/>
  <c r="AD100" i="33"/>
  <c r="AD68" i="33"/>
  <c r="AE52" i="33"/>
  <c r="AD14" i="33"/>
  <c r="AE101" i="33"/>
  <c r="AD28" i="32"/>
  <c r="AE14" i="32"/>
  <c r="AD65" i="32"/>
  <c r="AD148" i="32"/>
  <c r="AE135" i="32"/>
  <c r="AD128" i="32"/>
  <c r="AD114" i="32"/>
  <c r="AD90" i="32"/>
  <c r="AD72" i="32"/>
  <c r="AE35" i="32"/>
  <c r="AE132" i="32"/>
  <c r="AD109" i="32"/>
  <c r="AE95" i="32"/>
  <c r="AD77" i="32"/>
  <c r="AE56" i="32"/>
  <c r="AD10" i="32"/>
  <c r="AD119" i="32"/>
  <c r="AF141" i="31"/>
  <c r="AE113" i="31"/>
  <c r="AF45" i="31"/>
  <c r="AF110" i="31"/>
  <c r="AF131" i="31"/>
  <c r="AE95" i="31"/>
  <c r="AE128" i="31"/>
  <c r="AD103" i="29"/>
  <c r="AF35" i="31"/>
  <c r="AE35" i="31"/>
  <c r="AF65" i="31"/>
  <c r="AE65" i="31"/>
  <c r="AF99" i="31"/>
  <c r="AE99" i="31"/>
  <c r="AF101" i="31"/>
  <c r="AE101" i="31"/>
  <c r="AF127" i="31"/>
  <c r="AE127" i="31"/>
  <c r="AF129" i="31"/>
  <c r="AE129" i="31"/>
  <c r="AE26" i="32"/>
  <c r="AD26" i="32"/>
  <c r="AE32" i="32"/>
  <c r="AD32" i="32"/>
  <c r="AE49" i="32"/>
  <c r="AD49" i="32"/>
  <c r="AD62" i="32"/>
  <c r="AE62" i="32"/>
  <c r="AE74" i="32"/>
  <c r="AD74" i="32"/>
  <c r="AE88" i="32"/>
  <c r="AD88" i="32"/>
  <c r="AE98" i="32"/>
  <c r="AD98" i="32"/>
  <c r="AE106" i="32"/>
  <c r="AD106" i="32"/>
  <c r="AE116" i="32"/>
  <c r="AD116" i="32"/>
  <c r="AE126" i="32"/>
  <c r="AD126" i="32"/>
  <c r="AD136" i="32"/>
  <c r="AE136" i="32"/>
  <c r="AD140" i="32"/>
  <c r="AE140" i="32"/>
  <c r="AE150" i="32"/>
  <c r="AD150" i="32"/>
  <c r="AD17" i="33"/>
  <c r="AE17" i="33"/>
  <c r="AD47" i="33"/>
  <c r="AE47" i="33"/>
  <c r="AD57" i="33"/>
  <c r="AE57" i="33"/>
  <c r="AD65" i="33"/>
  <c r="AE65" i="33"/>
  <c r="AE73" i="33"/>
  <c r="AD73" i="33"/>
  <c r="AD75" i="33"/>
  <c r="AE75" i="33"/>
  <c r="AE103" i="33"/>
  <c r="AD103" i="33"/>
  <c r="AD109" i="33"/>
  <c r="AE109" i="33"/>
  <c r="AD131" i="33"/>
  <c r="AE131" i="33"/>
  <c r="AD147" i="33"/>
  <c r="AE147" i="33"/>
  <c r="AD109" i="29"/>
  <c r="AE109" i="29"/>
  <c r="AD21" i="32"/>
  <c r="AD54" i="32"/>
  <c r="AD110" i="32"/>
  <c r="AE96" i="32"/>
  <c r="AE66" i="32"/>
  <c r="AE44" i="32"/>
  <c r="AE115" i="32"/>
  <c r="AD101" i="32"/>
  <c r="AD87" i="32"/>
  <c r="AE71" i="32"/>
  <c r="AE27" i="32"/>
  <c r="AE125" i="32"/>
  <c r="AD36" i="32"/>
  <c r="AF125" i="31"/>
  <c r="AE93" i="31"/>
  <c r="AE9" i="31"/>
  <c r="AE143" i="31"/>
  <c r="AE111" i="31"/>
  <c r="AE55" i="31"/>
  <c r="AE88" i="14"/>
  <c r="AE31" i="32"/>
  <c r="AD17" i="32"/>
  <c r="AF114" i="31"/>
  <c r="AE129" i="25"/>
  <c r="AE34" i="33"/>
  <c r="X34" i="33" s="1"/>
  <c r="AD50" i="32"/>
  <c r="AE131" i="32"/>
  <c r="AD127" i="32"/>
  <c r="AD105" i="32"/>
  <c r="AE79" i="32"/>
  <c r="AD22" i="32"/>
  <c r="AE7" i="32"/>
  <c r="AF122" i="31"/>
  <c r="AE78" i="31"/>
  <c r="AF148" i="31"/>
  <c r="AF64" i="31"/>
  <c r="AE34" i="37"/>
  <c r="Y34" i="37" s="1"/>
  <c r="AE57" i="38"/>
  <c r="AE21" i="37"/>
  <c r="AF94" i="31"/>
  <c r="AF108" i="31"/>
  <c r="AD41" i="32"/>
  <c r="AD151" i="32"/>
  <c r="AD113" i="32"/>
  <c r="AD97" i="32"/>
  <c r="AD83" i="32"/>
  <c r="AD69" i="32"/>
  <c r="AE12" i="32"/>
  <c r="AD123" i="32"/>
  <c r="AF130" i="31"/>
  <c r="AF102" i="31"/>
  <c r="AF50" i="31"/>
  <c r="AE136" i="31"/>
  <c r="AF92" i="31"/>
  <c r="AE58" i="25"/>
  <c r="AE26" i="38"/>
  <c r="AE43" i="38"/>
  <c r="AD48" i="38"/>
  <c r="AD31" i="38"/>
  <c r="AE81" i="31"/>
  <c r="AF61" i="31"/>
  <c r="AE41" i="31"/>
  <c r="AE21" i="31"/>
  <c r="AE87" i="31"/>
  <c r="AE67" i="31"/>
  <c r="AE51" i="31"/>
  <c r="AE31" i="31"/>
  <c r="AE11" i="31"/>
  <c r="AD101" i="25"/>
  <c r="AD53" i="29"/>
  <c r="AD131" i="29"/>
  <c r="AD95" i="29"/>
  <c r="AD93" i="29"/>
  <c r="AE73" i="31"/>
  <c r="AE53" i="31"/>
  <c r="AE37" i="31"/>
  <c r="AE17" i="31"/>
  <c r="AE83" i="31"/>
  <c r="AE43" i="31"/>
  <c r="AF27" i="31"/>
  <c r="AE151" i="29"/>
  <c r="AD127" i="29"/>
  <c r="AD39" i="29"/>
  <c r="AD77" i="29"/>
  <c r="AD161" i="35"/>
  <c r="AE97" i="33"/>
  <c r="AE15" i="33"/>
  <c r="AE123" i="33"/>
  <c r="AE91" i="33"/>
  <c r="AE59" i="33"/>
  <c r="AE25" i="33"/>
  <c r="AE125" i="33"/>
  <c r="AE10" i="33"/>
  <c r="AD27" i="33"/>
  <c r="AD18" i="32"/>
  <c r="AD152" i="32"/>
  <c r="AD122" i="32"/>
  <c r="AD108" i="32"/>
  <c r="AD94" i="32"/>
  <c r="AD86" i="32"/>
  <c r="AD76" i="32"/>
  <c r="AD57" i="32"/>
  <c r="AD142" i="32"/>
  <c r="AD40" i="32"/>
  <c r="AE145" i="31"/>
  <c r="AF109" i="31"/>
  <c r="AE69" i="31"/>
  <c r="AF13" i="31"/>
  <c r="AE115" i="31"/>
  <c r="AE79" i="31"/>
  <c r="AF59" i="31"/>
  <c r="AE23" i="31"/>
  <c r="AE145" i="25"/>
  <c r="AE95" i="25"/>
  <c r="AE147" i="29"/>
  <c r="AE111" i="29"/>
  <c r="AE113" i="29"/>
  <c r="AE85" i="29"/>
  <c r="AE123" i="25"/>
  <c r="AD123" i="25"/>
  <c r="AD61" i="29"/>
  <c r="AE61" i="29"/>
  <c r="AD67" i="29"/>
  <c r="AE67" i="29"/>
  <c r="AE105" i="29"/>
  <c r="AD105" i="29"/>
  <c r="AD115" i="29"/>
  <c r="AE115" i="29"/>
  <c r="AE143" i="29"/>
  <c r="AD143" i="29"/>
  <c r="AD145" i="29"/>
  <c r="AE145" i="29"/>
  <c r="AF19" i="31"/>
  <c r="AE19" i="31"/>
  <c r="AF33" i="31"/>
  <c r="AE33" i="31"/>
  <c r="AF47" i="31"/>
  <c r="AE47" i="31"/>
  <c r="AF49" i="31"/>
  <c r="AE49" i="31"/>
  <c r="AF63" i="31"/>
  <c r="AE63" i="31"/>
  <c r="AE77" i="31"/>
  <c r="AF77" i="31"/>
  <c r="AE91" i="31"/>
  <c r="AF91" i="31"/>
  <c r="AF105" i="31"/>
  <c r="AE105" i="31"/>
  <c r="AF119" i="31"/>
  <c r="AE119" i="31"/>
  <c r="AF133" i="31"/>
  <c r="AE133" i="31"/>
  <c r="AF147" i="31"/>
  <c r="AE147" i="31"/>
  <c r="AE11" i="32"/>
  <c r="AD11" i="32"/>
  <c r="AE30" i="32"/>
  <c r="AD30" i="32"/>
  <c r="AE38" i="32"/>
  <c r="AD38" i="32"/>
  <c r="AE55" i="32"/>
  <c r="AD55" i="32"/>
  <c r="AE64" i="32"/>
  <c r="AD64" i="32"/>
  <c r="AD78" i="32"/>
  <c r="AE78" i="32"/>
  <c r="AE102" i="32"/>
  <c r="AD102" i="32"/>
  <c r="AE118" i="32"/>
  <c r="AD118" i="32"/>
  <c r="AD134" i="32"/>
  <c r="AE134" i="32"/>
  <c r="AE144" i="32"/>
  <c r="AD144" i="32"/>
  <c r="AE51" i="38"/>
  <c r="AE67" i="38"/>
  <c r="AE103" i="38"/>
  <c r="AE23" i="37"/>
  <c r="AE39" i="37"/>
  <c r="AD81" i="37"/>
  <c r="AD74" i="38"/>
  <c r="AE89" i="25"/>
  <c r="AD89" i="25"/>
  <c r="AD149" i="25"/>
  <c r="AE149" i="25"/>
  <c r="AD59" i="29"/>
  <c r="AE59" i="29"/>
  <c r="AD65" i="29"/>
  <c r="AE65" i="29"/>
  <c r="AD84" i="32"/>
  <c r="AD68" i="32"/>
  <c r="AD51" i="32"/>
  <c r="AE138" i="32"/>
  <c r="AD34" i="32"/>
  <c r="AE121" i="31"/>
  <c r="AE89" i="31"/>
  <c r="AE57" i="31"/>
  <c r="AE25" i="31"/>
  <c r="AE135" i="31"/>
  <c r="AE103" i="31"/>
  <c r="AE71" i="31"/>
  <c r="AE39" i="31"/>
  <c r="AE7" i="31"/>
  <c r="AE115" i="25"/>
  <c r="AE141" i="25"/>
  <c r="AD121" i="25"/>
  <c r="AE77" i="25"/>
  <c r="AE139" i="25"/>
  <c r="AD143" i="25"/>
  <c r="AD7" i="25"/>
  <c r="AD8" i="9"/>
  <c r="AD29" i="29"/>
  <c r="AE123" i="29"/>
  <c r="AD107" i="29"/>
  <c r="AE83" i="29"/>
  <c r="AE63" i="29"/>
  <c r="AE15" i="29"/>
  <c r="AE97" i="29"/>
  <c r="AD45" i="29"/>
  <c r="AD41" i="29"/>
  <c r="AD147" i="25"/>
  <c r="AD83" i="25"/>
  <c r="AD137" i="25"/>
  <c r="AE117" i="25"/>
  <c r="AD49" i="25"/>
  <c r="AE119" i="25"/>
  <c r="AD127" i="25"/>
  <c r="AE70" i="14"/>
  <c r="AD51" i="29"/>
  <c r="AD81" i="29"/>
  <c r="AE21" i="29"/>
  <c r="AD120" i="37"/>
  <c r="AE120" i="37"/>
  <c r="AD131" i="25"/>
  <c r="AE75" i="25"/>
  <c r="AD109" i="25"/>
  <c r="AE29" i="25"/>
  <c r="AE47" i="25"/>
  <c r="AD111" i="25"/>
  <c r="AD121" i="29"/>
  <c r="AE139" i="29"/>
  <c r="AE99" i="29"/>
  <c r="AD71" i="29"/>
  <c r="AD43" i="29"/>
  <c r="AE141" i="29"/>
  <c r="AD89" i="29"/>
  <c r="AE149" i="29"/>
  <c r="AD69" i="29"/>
  <c r="AE7" i="29"/>
  <c r="AE127" i="14"/>
  <c r="AD127" i="14"/>
  <c r="AE99" i="25"/>
  <c r="AD99" i="25"/>
  <c r="AD133" i="25"/>
  <c r="AE133" i="25"/>
  <c r="AE135" i="25"/>
  <c r="AD135" i="25"/>
  <c r="AE153" i="25"/>
  <c r="AD153" i="25"/>
  <c r="AD151" i="25"/>
  <c r="AE17" i="29"/>
  <c r="AD17" i="29"/>
  <c r="AE23" i="29"/>
  <c r="AD23" i="29"/>
  <c r="AE73" i="29"/>
  <c r="AD73" i="29"/>
  <c r="AD79" i="29"/>
  <c r="AE79" i="29"/>
  <c r="AD129" i="29"/>
  <c r="AE129" i="29"/>
  <c r="AD133" i="29"/>
  <c r="AE133" i="29"/>
  <c r="AE137" i="29"/>
  <c r="AD137" i="29"/>
  <c r="AE71" i="9"/>
  <c r="AE33" i="37"/>
  <c r="AE110" i="38"/>
  <c r="AD129" i="38"/>
  <c r="AE58" i="37"/>
  <c r="AE67" i="37"/>
  <c r="AE38" i="37"/>
  <c r="AE64" i="38"/>
  <c r="AF146" i="31"/>
  <c r="AE118" i="31"/>
  <c r="AF90" i="31"/>
  <c r="AF62" i="31"/>
  <c r="AE46" i="31"/>
  <c r="AF30" i="31"/>
  <c r="AE144" i="31"/>
  <c r="AF124" i="31"/>
  <c r="AE104" i="31"/>
  <c r="AF88" i="31"/>
  <c r="AF52" i="31"/>
  <c r="AE16" i="31"/>
  <c r="AD152" i="29"/>
  <c r="AE86" i="31"/>
  <c r="AE70" i="31"/>
  <c r="AF58" i="31"/>
  <c r="AF26" i="31"/>
  <c r="AE80" i="31"/>
  <c r="AF44" i="31"/>
  <c r="AF8" i="31"/>
  <c r="AD15" i="32"/>
  <c r="AF126" i="31"/>
  <c r="AF98" i="31"/>
  <c r="AF82" i="31"/>
  <c r="AE54" i="31"/>
  <c r="AF38" i="31"/>
  <c r="AF18" i="31"/>
  <c r="AF116" i="31"/>
  <c r="AF96" i="31"/>
  <c r="AE72" i="31"/>
  <c r="AE32" i="31"/>
  <c r="AF10" i="31"/>
  <c r="AF76" i="31"/>
  <c r="AF60" i="31"/>
  <c r="AF40" i="31"/>
  <c r="AF20" i="31"/>
  <c r="Z20" i="31" s="1"/>
  <c r="AE23" i="25"/>
  <c r="AD105" i="25"/>
  <c r="AD81" i="25"/>
  <c r="AE45" i="25"/>
  <c r="AD51" i="25"/>
  <c r="AD78" i="14"/>
  <c r="AD139" i="14"/>
  <c r="AE68" i="14"/>
  <c r="AD140" i="29"/>
  <c r="AE131" i="9"/>
  <c r="AE104" i="38"/>
  <c r="AE27" i="37"/>
  <c r="AE32" i="37"/>
  <c r="AE48" i="31"/>
  <c r="AD93" i="25"/>
  <c r="AE61" i="25"/>
  <c r="AE21" i="25"/>
  <c r="AD35" i="25"/>
  <c r="AD13" i="14"/>
  <c r="AE116" i="14"/>
  <c r="AD150" i="29"/>
  <c r="AD99" i="35"/>
  <c r="AE46" i="37"/>
  <c r="AE56" i="38"/>
  <c r="AD101" i="35"/>
  <c r="AD143" i="35"/>
  <c r="AE146" i="35"/>
  <c r="AD17" i="9"/>
  <c r="AE81" i="35"/>
  <c r="AE50" i="37"/>
  <c r="AD99" i="37"/>
  <c r="AE130" i="37"/>
  <c r="AE59" i="38"/>
  <c r="AE41" i="38"/>
  <c r="AD85" i="38"/>
  <c r="AD132" i="14"/>
  <c r="AE132" i="14"/>
  <c r="AD26" i="25"/>
  <c r="AE26" i="25"/>
  <c r="AD100" i="25"/>
  <c r="AE100" i="25"/>
  <c r="AD122" i="25"/>
  <c r="AE122" i="25"/>
  <c r="AD148" i="25"/>
  <c r="AE148" i="25"/>
  <c r="AD88" i="29"/>
  <c r="AE88" i="29"/>
  <c r="AD132" i="29"/>
  <c r="AE132" i="29"/>
  <c r="AE138" i="29"/>
  <c r="AD138" i="29"/>
  <c r="AE22" i="31"/>
  <c r="AF22" i="31"/>
  <c r="AE36" i="31"/>
  <c r="AF36" i="31"/>
  <c r="AE68" i="31"/>
  <c r="AF68" i="31"/>
  <c r="AE100" i="31"/>
  <c r="AF100" i="31"/>
  <c r="AE132" i="31"/>
  <c r="AF132" i="31"/>
  <c r="AD34" i="29"/>
  <c r="AD32" i="29"/>
  <c r="AD48" i="25"/>
  <c r="AD134" i="14"/>
  <c r="AE97" i="10"/>
  <c r="AD44" i="10"/>
  <c r="AE44" i="10"/>
  <c r="AD54" i="10"/>
  <c r="AE54" i="10"/>
  <c r="AE11" i="14"/>
  <c r="AD11" i="14"/>
  <c r="AE25" i="14"/>
  <c r="AD25" i="14"/>
  <c r="AD35" i="14"/>
  <c r="AE35" i="14"/>
  <c r="AE58" i="14"/>
  <c r="AD58" i="14"/>
  <c r="AE92" i="14"/>
  <c r="AD92" i="14"/>
  <c r="AE94" i="14"/>
  <c r="AD94" i="14"/>
  <c r="AD118" i="14"/>
  <c r="AE118" i="14"/>
  <c r="AE123" i="14"/>
  <c r="AD123" i="14"/>
  <c r="AE143" i="14"/>
  <c r="AD143" i="14"/>
  <c r="AD153" i="14"/>
  <c r="AE151" i="14"/>
  <c r="AD13" i="25"/>
  <c r="AE13" i="25"/>
  <c r="AE17" i="25"/>
  <c r="AD17" i="25"/>
  <c r="AE19" i="25"/>
  <c r="Z19" i="25" s="1"/>
  <c r="AI19" i="25" s="1"/>
  <c r="AD19" i="25"/>
  <c r="AE33" i="25"/>
  <c r="AD33" i="25"/>
  <c r="AE41" i="25"/>
  <c r="AD41" i="25"/>
  <c r="AD43" i="25"/>
  <c r="AE43" i="25"/>
  <c r="AE53" i="25"/>
  <c r="AD53" i="25"/>
  <c r="AE55" i="25"/>
  <c r="AD55" i="25"/>
  <c r="AE59" i="25"/>
  <c r="AD59" i="25"/>
  <c r="AE63" i="25"/>
  <c r="AD63" i="25"/>
  <c r="AE71" i="25"/>
  <c r="AD71" i="25"/>
  <c r="AE73" i="25"/>
  <c r="AD73" i="25"/>
  <c r="AD85" i="25"/>
  <c r="AE85" i="25"/>
  <c r="AE87" i="25"/>
  <c r="AD87" i="25"/>
  <c r="AE91" i="25"/>
  <c r="AD91" i="25"/>
  <c r="AE97" i="25"/>
  <c r="AD97" i="25"/>
  <c r="AE103" i="25"/>
  <c r="AD103" i="25"/>
  <c r="AE107" i="25"/>
  <c r="AD107" i="25"/>
  <c r="AE113" i="25"/>
  <c r="AD113" i="25"/>
  <c r="AD152" i="35"/>
  <c r="AE37" i="35"/>
  <c r="AE120" i="35"/>
  <c r="AD37" i="32"/>
  <c r="AD89" i="32"/>
  <c r="AD73" i="32"/>
  <c r="AD25" i="32"/>
  <c r="AF138" i="31"/>
  <c r="AF106" i="31"/>
  <c r="AF74" i="31"/>
  <c r="AF42" i="31"/>
  <c r="AF14" i="31"/>
  <c r="AF140" i="31"/>
  <c r="AE112" i="31"/>
  <c r="AF84" i="31"/>
  <c r="AF56" i="31"/>
  <c r="AF28" i="31"/>
  <c r="AF12" i="31"/>
  <c r="AD39" i="25"/>
  <c r="AD69" i="25"/>
  <c r="AE90" i="25"/>
  <c r="AD67" i="25"/>
  <c r="AD110" i="14"/>
  <c r="AE145" i="14"/>
  <c r="AE121" i="14"/>
  <c r="AD137" i="14"/>
  <c r="AD44" i="11"/>
  <c r="AD148" i="29"/>
  <c r="AD122" i="9"/>
  <c r="AE122" i="9"/>
  <c r="AD46" i="9"/>
  <c r="AE46" i="9"/>
  <c r="AE32" i="9"/>
  <c r="AD32" i="9"/>
  <c r="AD34" i="12"/>
  <c r="AE34" i="12"/>
  <c r="AD24" i="12"/>
  <c r="AE24" i="12"/>
  <c r="AE18" i="12"/>
  <c r="AD18" i="12"/>
  <c r="AE9" i="12"/>
  <c r="AD9" i="12"/>
  <c r="AD13" i="29"/>
  <c r="AE13" i="29"/>
  <c r="AD25" i="29"/>
  <c r="AE25" i="29"/>
  <c r="AD47" i="29"/>
  <c r="AE47" i="29"/>
  <c r="AE30" i="9"/>
  <c r="AE125" i="25"/>
  <c r="AE31" i="29"/>
  <c r="AE33" i="29"/>
  <c r="AD37" i="29"/>
  <c r="AE84" i="37"/>
  <c r="AE60" i="37"/>
  <c r="AE127" i="37"/>
  <c r="AE78" i="37"/>
  <c r="AD31" i="37"/>
  <c r="AD11" i="38"/>
  <c r="AE40" i="38"/>
  <c r="AE86" i="38"/>
  <c r="AE53" i="38"/>
  <c r="AE119" i="38"/>
  <c r="AE68" i="38"/>
  <c r="AD91" i="29"/>
  <c r="AD75" i="29"/>
  <c r="AD101" i="29"/>
  <c r="AE19" i="37"/>
  <c r="AE135" i="37"/>
  <c r="AE82" i="37"/>
  <c r="AD65" i="37"/>
  <c r="AE131" i="37"/>
  <c r="AE117" i="37"/>
  <c r="AE133" i="37"/>
  <c r="AE35" i="38"/>
  <c r="AE32" i="38"/>
  <c r="AD24" i="38"/>
  <c r="AE94" i="38"/>
  <c r="AE75" i="38"/>
  <c r="Y37" i="32"/>
  <c r="AE22" i="9"/>
  <c r="AE56" i="9"/>
  <c r="AE62" i="9"/>
  <c r="AD33" i="9"/>
  <c r="AE44" i="9"/>
  <c r="AE42" i="9"/>
  <c r="AD52" i="12"/>
  <c r="AE7" i="12"/>
  <c r="AD134" i="35"/>
  <c r="AD65" i="25"/>
  <c r="AD37" i="25"/>
  <c r="AD9" i="25"/>
  <c r="AD27" i="25"/>
  <c r="AD79" i="25"/>
  <c r="AD31" i="25"/>
  <c r="AD90" i="14"/>
  <c r="AE54" i="14"/>
  <c r="AD133" i="14"/>
  <c r="AE79" i="14"/>
  <c r="AE100" i="14"/>
  <c r="AE56" i="14"/>
  <c r="AE129" i="14"/>
  <c r="AD12" i="9"/>
  <c r="AD74" i="10"/>
  <c r="AE60" i="9"/>
  <c r="AE74" i="9"/>
  <c r="AE37" i="9"/>
  <c r="AE85" i="9"/>
  <c r="AE45" i="12"/>
  <c r="AE26" i="37"/>
  <c r="AE85" i="37"/>
  <c r="AD49" i="37"/>
  <c r="Y22" i="32"/>
  <c r="AE51" i="9"/>
  <c r="AD45" i="9"/>
  <c r="AD35" i="9"/>
  <c r="AE57" i="9"/>
  <c r="AD107" i="37"/>
  <c r="AE30" i="37"/>
  <c r="AE129" i="37"/>
  <c r="AE12" i="37"/>
  <c r="AE29" i="37"/>
  <c r="AE92" i="38"/>
  <c r="AE121" i="38"/>
  <c r="AE98" i="38"/>
  <c r="AD70" i="10"/>
  <c r="AE16" i="10"/>
  <c r="AD51" i="35"/>
  <c r="AD131" i="35"/>
  <c r="AD74" i="35"/>
  <c r="AE102" i="14"/>
  <c r="AD74" i="14"/>
  <c r="AD46" i="14"/>
  <c r="AD108" i="14"/>
  <c r="AD76" i="14"/>
  <c r="AE23" i="14"/>
  <c r="AE98" i="10"/>
  <c r="AE104" i="10"/>
  <c r="AE42" i="11"/>
  <c r="AE52" i="9"/>
  <c r="AE55" i="9"/>
  <c r="AE106" i="9"/>
  <c r="AE40" i="9"/>
  <c r="AE39" i="9"/>
  <c r="AE97" i="9"/>
  <c r="AE27" i="12"/>
  <c r="AE59" i="37"/>
  <c r="AD22" i="37"/>
  <c r="AE102" i="37"/>
  <c r="AE115" i="37"/>
  <c r="AE126" i="37"/>
  <c r="AE20" i="37"/>
  <c r="AE72" i="37"/>
  <c r="AE100" i="37"/>
  <c r="AD48" i="37"/>
  <c r="AD45" i="37"/>
  <c r="AE21" i="12"/>
  <c r="AE27" i="38"/>
  <c r="AD70" i="38"/>
  <c r="AE16" i="38"/>
  <c r="AE111" i="38"/>
  <c r="AD66" i="38"/>
  <c r="AE17" i="38"/>
  <c r="AE149" i="38"/>
  <c r="AD39" i="38"/>
  <c r="AE19" i="11"/>
  <c r="AE117" i="9"/>
  <c r="AE74" i="37"/>
  <c r="AE37" i="37"/>
  <c r="AD122" i="37"/>
  <c r="AD156" i="37"/>
  <c r="AE50" i="38"/>
  <c r="AD47" i="38"/>
  <c r="AD101" i="38"/>
  <c r="AE76" i="38"/>
  <c r="AE37" i="12"/>
  <c r="AE94" i="37"/>
  <c r="AE84" i="38"/>
  <c r="AE95" i="38"/>
  <c r="AD71" i="38"/>
  <c r="AE22" i="38"/>
  <c r="AE33" i="38"/>
  <c r="AD140" i="35"/>
  <c r="AE124" i="25"/>
  <c r="AE72" i="25"/>
  <c r="AD24" i="25"/>
  <c r="AE138" i="25"/>
  <c r="AE106" i="25"/>
  <c r="AE74" i="25"/>
  <c r="AE42" i="25"/>
  <c r="AE10" i="25"/>
  <c r="AE115" i="14"/>
  <c r="AE47" i="14"/>
  <c r="AE152" i="14"/>
  <c r="AE101" i="14"/>
  <c r="AD122" i="29"/>
  <c r="AE120" i="29"/>
  <c r="AE60" i="29"/>
  <c r="AE20" i="12"/>
  <c r="AE31" i="12"/>
  <c r="AE15" i="37"/>
  <c r="AE159" i="37"/>
  <c r="AE155" i="38"/>
  <c r="AE120" i="38"/>
  <c r="AE146" i="38"/>
  <c r="AD130" i="35"/>
  <c r="AD112" i="25"/>
  <c r="AE60" i="25"/>
  <c r="AE8" i="25"/>
  <c r="AD11" i="25"/>
  <c r="AD57" i="25"/>
  <c r="AD25" i="25"/>
  <c r="AE130" i="25"/>
  <c r="AE98" i="25"/>
  <c r="AE66" i="25"/>
  <c r="AE34" i="25"/>
  <c r="AD15" i="25"/>
  <c r="AD150" i="14"/>
  <c r="AD106" i="14"/>
  <c r="AE86" i="14"/>
  <c r="AD62" i="14"/>
  <c r="AE37" i="14"/>
  <c r="AD141" i="14"/>
  <c r="AE153" i="14"/>
  <c r="AE135" i="14"/>
  <c r="AE99" i="14"/>
  <c r="AD156" i="14"/>
  <c r="AD140" i="14"/>
  <c r="AE104" i="14"/>
  <c r="AE84" i="14"/>
  <c r="AD44" i="14"/>
  <c r="AD149" i="14"/>
  <c r="AE29" i="9"/>
  <c r="AD24" i="9"/>
  <c r="AD68" i="10"/>
  <c r="AD62" i="10"/>
  <c r="AE36" i="11"/>
  <c r="AE70" i="29"/>
  <c r="AD104" i="29"/>
  <c r="AD48" i="29"/>
  <c r="AE76" i="9"/>
  <c r="AE99" i="9"/>
  <c r="AE114" i="9"/>
  <c r="AE147" i="9"/>
  <c r="AE53" i="9"/>
  <c r="AD109" i="9"/>
  <c r="AE89" i="9"/>
  <c r="AE39" i="12"/>
  <c r="AE166" i="37"/>
  <c r="AE118" i="37"/>
  <c r="AE137" i="37"/>
  <c r="AE144" i="37"/>
  <c r="AE100" i="38"/>
  <c r="AE90" i="38"/>
  <c r="AE152" i="9"/>
  <c r="AE136" i="25"/>
  <c r="AD88" i="25"/>
  <c r="AE36" i="25"/>
  <c r="AE146" i="25"/>
  <c r="AE114" i="25"/>
  <c r="AE82" i="25"/>
  <c r="AE50" i="25"/>
  <c r="AE18" i="25"/>
  <c r="AE59" i="14"/>
  <c r="AE61" i="14"/>
  <c r="AD76" i="29"/>
  <c r="AD12" i="29"/>
  <c r="AE23" i="11"/>
  <c r="AD23" i="11"/>
  <c r="AE8" i="10"/>
  <c r="AD8" i="10"/>
  <c r="AD10" i="10"/>
  <c r="AE10" i="10"/>
  <c r="AD36" i="10"/>
  <c r="AE36" i="10"/>
  <c r="AE56" i="10"/>
  <c r="AD56" i="10"/>
  <c r="AE78" i="10"/>
  <c r="AD78" i="10"/>
  <c r="AD80" i="10"/>
  <c r="AE80" i="10"/>
  <c r="AD96" i="10"/>
  <c r="AE96" i="10"/>
  <c r="AD28" i="9"/>
  <c r="AE28" i="9"/>
  <c r="AD7" i="14"/>
  <c r="AE7" i="14"/>
  <c r="AE55" i="29"/>
  <c r="AD55" i="29"/>
  <c r="AD98" i="14"/>
  <c r="AD66" i="14"/>
  <c r="AD33" i="14"/>
  <c r="AD21" i="14"/>
  <c r="AD131" i="14"/>
  <c r="AE96" i="14"/>
  <c r="AE64" i="14"/>
  <c r="AD52" i="14"/>
  <c r="AE31" i="14"/>
  <c r="AD19" i="14"/>
  <c r="AE18" i="9"/>
  <c r="AE106" i="10"/>
  <c r="AD94" i="10"/>
  <c r="AD50" i="10"/>
  <c r="AE64" i="10"/>
  <c r="AE32" i="10"/>
  <c r="AE46" i="10"/>
  <c r="AE100" i="10"/>
  <c r="AD42" i="10"/>
  <c r="AD12" i="10"/>
  <c r="AD58" i="11"/>
  <c r="AD25" i="11"/>
  <c r="AE11" i="11"/>
  <c r="AD32" i="11"/>
  <c r="AD42" i="14"/>
  <c r="AD29" i="14"/>
  <c r="AD9" i="14"/>
  <c r="AE72" i="14"/>
  <c r="AD60" i="14"/>
  <c r="AE40" i="14"/>
  <c r="AD27" i="14"/>
  <c r="AE26" i="9"/>
  <c r="AD14" i="9"/>
  <c r="AD20" i="9"/>
  <c r="AE102" i="10"/>
  <c r="AD90" i="10"/>
  <c r="AE52" i="10"/>
  <c r="AD23" i="10"/>
  <c r="AD30" i="10"/>
  <c r="AE88" i="10"/>
  <c r="AD38" i="10"/>
  <c r="AE52" i="11"/>
  <c r="AD54" i="11"/>
  <c r="AD21" i="11"/>
  <c r="AE60" i="11"/>
  <c r="AD30" i="35"/>
  <c r="AD114" i="14"/>
  <c r="AD82" i="14"/>
  <c r="AD50" i="14"/>
  <c r="AD17" i="14"/>
  <c r="AD147" i="14"/>
  <c r="AE112" i="14"/>
  <c r="AE80" i="14"/>
  <c r="AE48" i="14"/>
  <c r="AE15" i="14"/>
  <c r="AD125" i="14"/>
  <c r="AE10" i="9"/>
  <c r="AE16" i="9"/>
  <c r="AD86" i="10"/>
  <c r="AD72" i="10"/>
  <c r="AE48" i="10"/>
  <c r="AD18" i="10"/>
  <c r="AE84" i="10"/>
  <c r="AD20" i="10"/>
  <c r="AE46" i="11"/>
  <c r="AE48" i="11"/>
  <c r="AD35" i="29"/>
  <c r="AE19" i="29"/>
  <c r="AE57" i="29"/>
  <c r="AE49" i="29"/>
  <c r="AE135" i="9"/>
  <c r="AD62" i="12"/>
  <c r="AE96" i="9"/>
  <c r="AE95" i="9"/>
  <c r="AE90" i="9"/>
  <c r="AE119" i="9"/>
  <c r="AE139" i="9"/>
  <c r="AE8" i="12"/>
  <c r="AE32" i="12"/>
  <c r="AE150" i="37"/>
  <c r="AE153" i="37"/>
  <c r="AE13" i="32"/>
  <c r="X13" i="32" s="1"/>
  <c r="AD26" i="11"/>
  <c r="AE127" i="38"/>
  <c r="AE157" i="38"/>
  <c r="AD87" i="29"/>
  <c r="AD84" i="9"/>
  <c r="AE120" i="14"/>
  <c r="AE23" i="38"/>
  <c r="AD149" i="35"/>
  <c r="AD138" i="35"/>
  <c r="AE9" i="29"/>
  <c r="AE97" i="35"/>
  <c r="AE136" i="35"/>
  <c r="AE91" i="14"/>
  <c r="AD34" i="14"/>
  <c r="AD103" i="10"/>
  <c r="AE81" i="10"/>
  <c r="AE47" i="12"/>
  <c r="AD151" i="37"/>
  <c r="AE169" i="38"/>
  <c r="AD168" i="38"/>
  <c r="AD122" i="38"/>
  <c r="AE115" i="38"/>
  <c r="AE106" i="38"/>
  <c r="Z118" i="29"/>
  <c r="AD110" i="35"/>
  <c r="AD141" i="35"/>
  <c r="AE14" i="14"/>
  <c r="AD57" i="10"/>
  <c r="X117" i="29"/>
  <c r="AD104" i="35"/>
  <c r="AD113" i="35"/>
  <c r="AD36" i="35"/>
  <c r="AE159" i="35"/>
  <c r="AE19" i="10"/>
  <c r="AD149" i="9"/>
  <c r="AD142" i="9"/>
  <c r="AD128" i="9"/>
  <c r="AD65" i="9"/>
  <c r="AD43" i="12"/>
  <c r="AD11" i="37"/>
  <c r="AE13" i="37"/>
  <c r="AE14" i="37"/>
  <c r="Y11" i="33"/>
  <c r="Z119" i="29"/>
  <c r="AD148" i="35"/>
  <c r="AD88" i="35"/>
  <c r="AD118" i="35"/>
  <c r="AD95" i="35"/>
  <c r="AD145" i="35"/>
  <c r="AD17" i="35"/>
  <c r="AD79" i="35"/>
  <c r="AD151" i="35"/>
  <c r="AE9" i="35"/>
  <c r="AE77" i="35"/>
  <c r="AD69" i="10"/>
  <c r="AE140" i="9"/>
  <c r="AD26" i="12"/>
  <c r="AE49" i="12"/>
  <c r="AE40" i="12"/>
  <c r="AE145" i="37"/>
  <c r="AE134" i="37"/>
  <c r="AE8" i="37"/>
  <c r="AD35" i="37"/>
  <c r="AE156" i="38"/>
  <c r="AE162" i="38"/>
  <c r="X118" i="29"/>
  <c r="AD156" i="35"/>
  <c r="AD124" i="35"/>
  <c r="AD47" i="35"/>
  <c r="AD139" i="35"/>
  <c r="AD153" i="35"/>
  <c r="AD117" i="35"/>
  <c r="AD64" i="35"/>
  <c r="AD154" i="35"/>
  <c r="AD11" i="35"/>
  <c r="AE129" i="35"/>
  <c r="AE147" i="35"/>
  <c r="AE150" i="35"/>
  <c r="AE160" i="35"/>
  <c r="AD49" i="14"/>
  <c r="AE107" i="14"/>
  <c r="AD67" i="14"/>
  <c r="AE26" i="14"/>
  <c r="AE9" i="9"/>
  <c r="AD82" i="10"/>
  <c r="AE34" i="10"/>
  <c r="AE25" i="10"/>
  <c r="AD41" i="10"/>
  <c r="AE58" i="10"/>
  <c r="AE85" i="10"/>
  <c r="AD66" i="10"/>
  <c r="AE28" i="11"/>
  <c r="AE34" i="11"/>
  <c r="AE9" i="11"/>
  <c r="AD43" i="11"/>
  <c r="AD56" i="11"/>
  <c r="AE40" i="11"/>
  <c r="AE104" i="9"/>
  <c r="AE87" i="9"/>
  <c r="AE134" i="9"/>
  <c r="AD61" i="9"/>
  <c r="AE17" i="12"/>
  <c r="AD50" i="12"/>
  <c r="AD42" i="12"/>
  <c r="AD44" i="12"/>
  <c r="AD33" i="12"/>
  <c r="AD22" i="11"/>
  <c r="AD54" i="12"/>
  <c r="AD10" i="12"/>
  <c r="AD53" i="12"/>
  <c r="AD11" i="12"/>
  <c r="AE132" i="37"/>
  <c r="AE8" i="32"/>
  <c r="AD40" i="33"/>
  <c r="AE153" i="38"/>
  <c r="AE159" i="38"/>
  <c r="AD128" i="38"/>
  <c r="AD147" i="38"/>
  <c r="AD145" i="38"/>
  <c r="AD144" i="38"/>
  <c r="AD25" i="38"/>
  <c r="AD116" i="35"/>
  <c r="AD68" i="35"/>
  <c r="AD58" i="35"/>
  <c r="AD121" i="35"/>
  <c r="AD44" i="35"/>
  <c r="AD127" i="35"/>
  <c r="AE10" i="35"/>
  <c r="AE41" i="35"/>
  <c r="AE89" i="35"/>
  <c r="AE107" i="35"/>
  <c r="AE137" i="35"/>
  <c r="AD154" i="25"/>
  <c r="AE140" i="25"/>
  <c r="AD128" i="25"/>
  <c r="AE116" i="25"/>
  <c r="AD104" i="25"/>
  <c r="AE76" i="25"/>
  <c r="AD64" i="25"/>
  <c r="AE52" i="25"/>
  <c r="AD40" i="25"/>
  <c r="AE12" i="25"/>
  <c r="AD150" i="25"/>
  <c r="AD142" i="25"/>
  <c r="AD134" i="25"/>
  <c r="AD126" i="25"/>
  <c r="AD118" i="25"/>
  <c r="AD110" i="25"/>
  <c r="AD102" i="25"/>
  <c r="AD94" i="25"/>
  <c r="AD86" i="25"/>
  <c r="AD78" i="25"/>
  <c r="AD70" i="25"/>
  <c r="AD62" i="25"/>
  <c r="AD54" i="25"/>
  <c r="AD46" i="25"/>
  <c r="AD38" i="25"/>
  <c r="AD30" i="25"/>
  <c r="AD22" i="25"/>
  <c r="AD14" i="25"/>
  <c r="AE152" i="25"/>
  <c r="AD138" i="14"/>
  <c r="AE73" i="14"/>
  <c r="AE83" i="14"/>
  <c r="AE71" i="14"/>
  <c r="AE51" i="14"/>
  <c r="AE39" i="14"/>
  <c r="AE18" i="14"/>
  <c r="AD81" i="14"/>
  <c r="AD154" i="14"/>
  <c r="AD144" i="14"/>
  <c r="AE124" i="14"/>
  <c r="AE155" i="14"/>
  <c r="AE21" i="9"/>
  <c r="AE9" i="10"/>
  <c r="AE73" i="10"/>
  <c r="AE24" i="10"/>
  <c r="AE7" i="10"/>
  <c r="AE101" i="10"/>
  <c r="AE30" i="11"/>
  <c r="AE17" i="11"/>
  <c r="AD51" i="11"/>
  <c r="AD31" i="11"/>
  <c r="AD7" i="11"/>
  <c r="AE142" i="29"/>
  <c r="AE126" i="29"/>
  <c r="AE90" i="29"/>
  <c r="AE46" i="29"/>
  <c r="AD10" i="29"/>
  <c r="AD144" i="29"/>
  <c r="AD108" i="29"/>
  <c r="AD92" i="29"/>
  <c r="AD80" i="29"/>
  <c r="AE64" i="29"/>
  <c r="AD36" i="29"/>
  <c r="AD20" i="29"/>
  <c r="AD27" i="11"/>
  <c r="AE27" i="11"/>
  <c r="AE37" i="10"/>
  <c r="AD37" i="10"/>
  <c r="AE61" i="10"/>
  <c r="AD61" i="10"/>
  <c r="AD20" i="14"/>
  <c r="AE20" i="14"/>
  <c r="Y20" i="14" s="1"/>
  <c r="AE97" i="14"/>
  <c r="AD97" i="14"/>
  <c r="AD16" i="29"/>
  <c r="AE16" i="29"/>
  <c r="AE18" i="29"/>
  <c r="AD18" i="29"/>
  <c r="AE28" i="29"/>
  <c r="AD28" i="29"/>
  <c r="AE40" i="29"/>
  <c r="AD40" i="29"/>
  <c r="AD52" i="29"/>
  <c r="AE52" i="29"/>
  <c r="AE54" i="29"/>
  <c r="AD54" i="29"/>
  <c r="AE82" i="29"/>
  <c r="AD82" i="29"/>
  <c r="AD84" i="29"/>
  <c r="AE84" i="29"/>
  <c r="AD116" i="29"/>
  <c r="AE116" i="29"/>
  <c r="AD146" i="29"/>
  <c r="AE146" i="29"/>
  <c r="AE120" i="25"/>
  <c r="AE108" i="25"/>
  <c r="AD96" i="25"/>
  <c r="AE84" i="25"/>
  <c r="AE56" i="25"/>
  <c r="AE44" i="25"/>
  <c r="AD32" i="25"/>
  <c r="AE20" i="25"/>
  <c r="Y20" i="25" s="1"/>
  <c r="AE126" i="14"/>
  <c r="AD113" i="14"/>
  <c r="AE24" i="14"/>
  <c r="AD119" i="14"/>
  <c r="AD111" i="14"/>
  <c r="AD103" i="14"/>
  <c r="AD95" i="14"/>
  <c r="AE87" i="14"/>
  <c r="AD75" i="14"/>
  <c r="AE55" i="14"/>
  <c r="AD43" i="14"/>
  <c r="AE22" i="14"/>
  <c r="AD10" i="14"/>
  <c r="AD53" i="14"/>
  <c r="AD148" i="14"/>
  <c r="AD128" i="14"/>
  <c r="AE65" i="14"/>
  <c r="AD25" i="9"/>
  <c r="AD59" i="10"/>
  <c r="AE77" i="10"/>
  <c r="AE65" i="10"/>
  <c r="AD53" i="10"/>
  <c r="AE33" i="10"/>
  <c r="AE15" i="10"/>
  <c r="AE105" i="10"/>
  <c r="AD93" i="10"/>
  <c r="AE37" i="11"/>
  <c r="AD59" i="11"/>
  <c r="AE39" i="11"/>
  <c r="AD18" i="11"/>
  <c r="AD134" i="29"/>
  <c r="AE110" i="29"/>
  <c r="AD30" i="29"/>
  <c r="AD128" i="29"/>
  <c r="AE112" i="29"/>
  <c r="AD100" i="29"/>
  <c r="AD72" i="29"/>
  <c r="AE56" i="29"/>
  <c r="AD44" i="29"/>
  <c r="AE24" i="29"/>
  <c r="AD80" i="35"/>
  <c r="AD21" i="35"/>
  <c r="AD71" i="35"/>
  <c r="AD133" i="35"/>
  <c r="AD109" i="35"/>
  <c r="AD56" i="35"/>
  <c r="AD13" i="35"/>
  <c r="AD24" i="35"/>
  <c r="AD45" i="35"/>
  <c r="AE42" i="35"/>
  <c r="AE90" i="35"/>
  <c r="AD144" i="25"/>
  <c r="AE132" i="25"/>
  <c r="AE92" i="25"/>
  <c r="AD80" i="25"/>
  <c r="AE68" i="25"/>
  <c r="AE28" i="25"/>
  <c r="AD16" i="25"/>
  <c r="AE150" i="25"/>
  <c r="AE142" i="14"/>
  <c r="AD122" i="14"/>
  <c r="AD105" i="14"/>
  <c r="AD16" i="14"/>
  <c r="AE63" i="14"/>
  <c r="AE30" i="14"/>
  <c r="AD152" i="14"/>
  <c r="AD136" i="14"/>
  <c r="AD155" i="14"/>
  <c r="AE13" i="9"/>
  <c r="AD26" i="10"/>
  <c r="AD49" i="10"/>
  <c r="AD89" i="10"/>
  <c r="AE55" i="11"/>
  <c r="AD35" i="11"/>
  <c r="AD14" i="11"/>
  <c r="AE130" i="29"/>
  <c r="AE106" i="29"/>
  <c r="AE66" i="29"/>
  <c r="AE14" i="29"/>
  <c r="AD136" i="29"/>
  <c r="AD124" i="29"/>
  <c r="AE96" i="29"/>
  <c r="AD68" i="29"/>
  <c r="AE15" i="11"/>
  <c r="AD15" i="11"/>
  <c r="AE38" i="11"/>
  <c r="AD38" i="11"/>
  <c r="AD50" i="11"/>
  <c r="AE50" i="11"/>
  <c r="Y20" i="9"/>
  <c r="AE76" i="10"/>
  <c r="AD40" i="10"/>
  <c r="AE27" i="10"/>
  <c r="AE14" i="10"/>
  <c r="AE62" i="11"/>
  <c r="AD125" i="9"/>
  <c r="AE125" i="9"/>
  <c r="AD123" i="9"/>
  <c r="AE123" i="9"/>
  <c r="AE145" i="9"/>
  <c r="AD145" i="9"/>
  <c r="X36" i="33"/>
  <c r="AE92" i="9"/>
  <c r="AE75" i="9"/>
  <c r="AE50" i="9"/>
  <c r="AE28" i="12"/>
  <c r="AE35" i="12"/>
  <c r="AE42" i="37"/>
  <c r="AE52" i="37"/>
  <c r="AE41" i="37"/>
  <c r="AD123" i="37"/>
  <c r="AE53" i="37"/>
  <c r="AE157" i="37"/>
  <c r="AD160" i="37"/>
  <c r="AE61" i="37"/>
  <c r="AE22" i="10"/>
  <c r="AE18" i="38"/>
  <c r="AE87" i="38"/>
  <c r="AE38" i="38"/>
  <c r="AE93" i="38"/>
  <c r="AE36" i="38"/>
  <c r="AE94" i="9"/>
  <c r="AE146" i="9"/>
  <c r="AE41" i="9"/>
  <c r="AE69" i="9"/>
  <c r="AE59" i="12"/>
  <c r="AE13" i="12"/>
  <c r="AE51" i="37"/>
  <c r="AE91" i="37"/>
  <c r="AE169" i="37"/>
  <c r="AE143" i="37"/>
  <c r="AD154" i="37"/>
  <c r="AD146" i="37"/>
  <c r="AE12" i="33"/>
  <c r="X12" i="33" s="1"/>
  <c r="AD83" i="38"/>
  <c r="AE163" i="38"/>
  <c r="AE167" i="38"/>
  <c r="AE125" i="38"/>
  <c r="AE109" i="38"/>
  <c r="AE9" i="38"/>
  <c r="AD166" i="38"/>
  <c r="AD37" i="38"/>
  <c r="AE151" i="38"/>
  <c r="AE72" i="9"/>
  <c r="AE100" i="9"/>
  <c r="AE67" i="9"/>
  <c r="AE70" i="9"/>
  <c r="AE102" i="9"/>
  <c r="AE127" i="9"/>
  <c r="AE136" i="9"/>
  <c r="AD112" i="9"/>
  <c r="AD30" i="12"/>
  <c r="AE57" i="12"/>
  <c r="AD48" i="12"/>
  <c r="AE58" i="12"/>
  <c r="AD41" i="12"/>
  <c r="AD25" i="12"/>
  <c r="AD17" i="37"/>
  <c r="AE44" i="37"/>
  <c r="AE103" i="37"/>
  <c r="AE88" i="37"/>
  <c r="AD152" i="37"/>
  <c r="AD113" i="37"/>
  <c r="AD73" i="37"/>
  <c r="AD101" i="37"/>
  <c r="AE47" i="37"/>
  <c r="AE136" i="37"/>
  <c r="AE38" i="14"/>
  <c r="AD67" i="35"/>
  <c r="AE34" i="38"/>
  <c r="AE80" i="38"/>
  <c r="AD58" i="38"/>
  <c r="AE130" i="38"/>
  <c r="AE52" i="38"/>
  <c r="AE13" i="38"/>
  <c r="AE132" i="38"/>
  <c r="AE141" i="38"/>
  <c r="X141" i="38" s="1"/>
  <c r="AE49" i="38"/>
  <c r="AD161" i="38"/>
  <c r="AE88" i="38"/>
  <c r="X22" i="32"/>
  <c r="Y19" i="35"/>
  <c r="AD72" i="35"/>
  <c r="AD119" i="35"/>
  <c r="AD22" i="35"/>
  <c r="AD123" i="35"/>
  <c r="AD28" i="35"/>
  <c r="AE15" i="35"/>
  <c r="AE18" i="35"/>
  <c r="AE70" i="35"/>
  <c r="AE125" i="35"/>
  <c r="AE128" i="35"/>
  <c r="AD53" i="11"/>
  <c r="AE91" i="9"/>
  <c r="AD91" i="9"/>
  <c r="X20" i="29"/>
  <c r="AD73" i="35"/>
  <c r="AE26" i="35"/>
  <c r="AE29" i="35"/>
  <c r="AE32" i="35"/>
  <c r="AE39" i="35"/>
  <c r="X39" i="35" s="1"/>
  <c r="AE60" i="35"/>
  <c r="AE63" i="35"/>
  <c r="AE66" i="35"/>
  <c r="AE83" i="35"/>
  <c r="AE103" i="35"/>
  <c r="AE106" i="35"/>
  <c r="AD43" i="10"/>
  <c r="AD125" i="29"/>
  <c r="AE125" i="29"/>
  <c r="AD54" i="9"/>
  <c r="AE54" i="9"/>
  <c r="AD62" i="35"/>
  <c r="AD50" i="29"/>
  <c r="AE50" i="29"/>
  <c r="AE86" i="29"/>
  <c r="AD86" i="29"/>
  <c r="AE102" i="29"/>
  <c r="AD102" i="29"/>
  <c r="AD77" i="9"/>
  <c r="AE77" i="9"/>
  <c r="Y117" i="29"/>
  <c r="Y119" i="29"/>
  <c r="AE20" i="11"/>
  <c r="AE130" i="9"/>
  <c r="AD130" i="9"/>
  <c r="AD102" i="35"/>
  <c r="AD100" i="35"/>
  <c r="AD94" i="35"/>
  <c r="Y118" i="29"/>
  <c r="AD43" i="35"/>
  <c r="AD162" i="35"/>
  <c r="AD14" i="35"/>
  <c r="AD46" i="35"/>
  <c r="AE55" i="35"/>
  <c r="AE142" i="35"/>
  <c r="AE11" i="29"/>
  <c r="AD11" i="29"/>
  <c r="AD27" i="29"/>
  <c r="AE27" i="29"/>
  <c r="AE151" i="9"/>
  <c r="AD151" i="9"/>
  <c r="AD108" i="35"/>
  <c r="AD59" i="35"/>
  <c r="AD105" i="35"/>
  <c r="AD57" i="35"/>
  <c r="AD48" i="35"/>
  <c r="AD54" i="35"/>
  <c r="Z117" i="29"/>
  <c r="AI117" i="29" s="1"/>
  <c r="X119" i="29"/>
  <c r="AD84" i="35"/>
  <c r="AD25" i="35"/>
  <c r="AD19" i="35"/>
  <c r="AE38" i="35"/>
  <c r="AE114" i="35"/>
  <c r="AD8" i="14"/>
  <c r="AE15" i="9"/>
  <c r="AE75" i="10"/>
  <c r="AD87" i="10"/>
  <c r="AE111" i="9"/>
  <c r="AD111" i="9"/>
  <c r="AE86" i="9"/>
  <c r="AD86" i="9"/>
  <c r="AD57" i="14"/>
  <c r="AE60" i="10"/>
  <c r="AE92" i="10"/>
  <c r="AE13" i="11"/>
  <c r="AD113" i="9"/>
  <c r="AE113" i="9"/>
  <c r="AE63" i="9"/>
  <c r="AE36" i="9"/>
  <c r="AD47" i="9"/>
  <c r="AD22" i="12"/>
  <c r="AE36" i="12"/>
  <c r="AE25" i="37"/>
  <c r="AE24" i="37"/>
  <c r="AD57" i="37"/>
  <c r="AD138" i="37"/>
  <c r="AD79" i="37"/>
  <c r="AE40" i="37"/>
  <c r="AD121" i="37"/>
  <c r="AE109" i="37"/>
  <c r="AE54" i="37"/>
  <c r="AD92" i="37"/>
  <c r="AE20" i="35"/>
  <c r="AD35" i="35"/>
  <c r="AE40" i="35"/>
  <c r="AE73" i="38"/>
  <c r="AE12" i="38"/>
  <c r="AE98" i="9"/>
  <c r="AE120" i="9"/>
  <c r="AE132" i="9"/>
  <c r="AE143" i="9"/>
  <c r="AE38" i="9"/>
  <c r="AD153" i="9"/>
  <c r="AD148" i="9"/>
  <c r="AE14" i="12"/>
  <c r="AD19" i="12"/>
  <c r="AE90" i="37"/>
  <c r="AE139" i="37"/>
  <c r="AE56" i="37"/>
  <c r="AD125" i="37"/>
  <c r="AD89" i="37"/>
  <c r="AE164" i="37"/>
  <c r="AE9" i="37"/>
  <c r="AE43" i="32"/>
  <c r="AE62" i="38"/>
  <c r="AE160" i="38"/>
  <c r="Z129" i="38"/>
  <c r="AI129" i="38" s="1"/>
  <c r="AD113" i="38"/>
  <c r="AD61" i="32"/>
  <c r="AE101" i="9"/>
  <c r="AD137" i="9"/>
  <c r="AD115" i="9"/>
  <c r="AD108" i="9"/>
  <c r="AD81" i="9"/>
  <c r="AD38" i="12"/>
  <c r="AD51" i="12"/>
  <c r="AE140" i="37"/>
  <c r="AE124" i="37"/>
  <c r="AD108" i="37"/>
  <c r="AD70" i="37"/>
  <c r="AD69" i="37"/>
  <c r="AE45" i="32"/>
  <c r="AE81" i="38"/>
  <c r="AD79" i="38"/>
  <c r="AE138" i="38"/>
  <c r="AE154" i="38"/>
  <c r="AE91" i="38"/>
  <c r="AE65" i="38"/>
  <c r="AD21" i="38"/>
  <c r="AD20" i="38"/>
  <c r="AE15" i="38"/>
  <c r="AE111" i="37"/>
  <c r="AE63" i="37"/>
  <c r="AD95" i="37"/>
  <c r="AD28" i="37"/>
  <c r="AD19" i="32"/>
  <c r="AE165" i="38"/>
  <c r="AE29" i="38"/>
  <c r="AE99" i="38"/>
  <c r="AE64" i="9"/>
  <c r="AE82" i="9"/>
  <c r="AE126" i="9"/>
  <c r="AE43" i="9"/>
  <c r="AD118" i="9"/>
  <c r="AD73" i="9"/>
  <c r="AE55" i="12"/>
  <c r="AE46" i="12"/>
  <c r="AE110" i="37"/>
  <c r="AD147" i="37"/>
  <c r="AD128" i="37"/>
  <c r="AD119" i="37"/>
  <c r="AD43" i="37"/>
  <c r="AE83" i="37"/>
  <c r="AD29" i="10"/>
  <c r="AE143" i="38"/>
  <c r="AE142" i="38"/>
  <c r="AE134" i="38"/>
  <c r="Y20" i="29"/>
  <c r="AE107" i="9"/>
  <c r="AE141" i="9"/>
  <c r="AE154" i="9"/>
  <c r="AD48" i="9"/>
  <c r="AE93" i="37"/>
  <c r="X40" i="33"/>
  <c r="AD124" i="38"/>
  <c r="AE123" i="38"/>
  <c r="Z122" i="38"/>
  <c r="AI122" i="38" s="1"/>
  <c r="Z22" i="32"/>
  <c r="AI22" i="32" s="1"/>
  <c r="X20" i="9"/>
  <c r="X11" i="33"/>
  <c r="Z20" i="9"/>
  <c r="AI20" i="9" s="1"/>
  <c r="X37" i="32"/>
  <c r="Z25" i="25"/>
  <c r="AI25" i="25" s="1"/>
  <c r="X124" i="38"/>
  <c r="Z37" i="32"/>
  <c r="AI37" i="32" s="1"/>
  <c r="Z20" i="29"/>
  <c r="AI20" i="29" s="1"/>
  <c r="V26" i="32"/>
  <c r="V44" i="32"/>
  <c r="AI44" i="32"/>
  <c r="AI7" i="32"/>
  <c r="V7" i="32"/>
  <c r="AI60" i="32"/>
  <c r="V129" i="32"/>
  <c r="V81" i="33"/>
  <c r="T81" i="33"/>
  <c r="T123" i="33"/>
  <c r="V123" i="33"/>
  <c r="S14" i="31"/>
  <c r="W14" i="31"/>
  <c r="S108" i="31"/>
  <c r="W108" i="31"/>
  <c r="W122" i="31"/>
  <c r="S122" i="31"/>
  <c r="S133" i="31"/>
  <c r="W133" i="31"/>
  <c r="T47" i="25"/>
  <c r="V47" i="25"/>
  <c r="T52" i="25"/>
  <c r="V52" i="25"/>
  <c r="AI122" i="25"/>
  <c r="V122" i="25"/>
  <c r="T99" i="14"/>
  <c r="V99" i="14"/>
  <c r="AI134" i="14"/>
  <c r="V134" i="14"/>
  <c r="T142" i="14"/>
  <c r="V142" i="14"/>
  <c r="T146" i="14"/>
  <c r="V146" i="14"/>
  <c r="R120" i="33"/>
  <c r="V120" i="33"/>
  <c r="U55" i="31"/>
  <c r="W55" i="31"/>
  <c r="W58" i="31"/>
  <c r="T15" i="33"/>
  <c r="V15" i="33"/>
  <c r="V67" i="33"/>
  <c r="T67" i="33"/>
  <c r="R70" i="33"/>
  <c r="V70" i="33"/>
  <c r="T77" i="33"/>
  <c r="V77" i="33"/>
  <c r="V114" i="33"/>
  <c r="T114" i="33"/>
  <c r="S39" i="31"/>
  <c r="W39" i="31"/>
  <c r="S44" i="31"/>
  <c r="W44" i="31"/>
  <c r="V66" i="33"/>
  <c r="R66" i="33"/>
  <c r="V103" i="33"/>
  <c r="T103" i="33"/>
  <c r="X17" i="33"/>
  <c r="T63" i="33"/>
  <c r="V63" i="33"/>
  <c r="V102" i="33"/>
  <c r="R102" i="33"/>
  <c r="V56" i="33"/>
  <c r="T56" i="33"/>
  <c r="R38" i="33"/>
  <c r="V38" i="33"/>
  <c r="T49" i="33"/>
  <c r="V49" i="33"/>
  <c r="R52" i="33"/>
  <c r="V52" i="33"/>
  <c r="R55" i="33"/>
  <c r="V55" i="33"/>
  <c r="U19" i="31"/>
  <c r="W19" i="31"/>
  <c r="X21" i="33"/>
  <c r="V20" i="33"/>
  <c r="Z20" i="33" s="1"/>
  <c r="AI20" i="33" s="1"/>
  <c r="R20" i="33"/>
  <c r="X20" i="33" s="1"/>
  <c r="V31" i="33"/>
  <c r="R31" i="33"/>
  <c r="T34" i="33"/>
  <c r="V34" i="33"/>
  <c r="T84" i="33"/>
  <c r="V84" i="33"/>
  <c r="R135" i="33"/>
  <c r="V135" i="33"/>
  <c r="AA25" i="31"/>
  <c r="AJ25" i="31" s="1"/>
  <c r="V23" i="33"/>
  <c r="V132" i="25"/>
  <c r="W66" i="31"/>
  <c r="R26" i="33"/>
  <c r="W43" i="31"/>
  <c r="T31" i="35"/>
  <c r="V31" i="35"/>
  <c r="T110" i="33"/>
  <c r="V76" i="33"/>
  <c r="R24" i="25"/>
  <c r="V43" i="14"/>
  <c r="V37" i="14"/>
  <c r="W139" i="31"/>
  <c r="V109" i="14"/>
  <c r="V100" i="29"/>
  <c r="W13" i="31"/>
  <c r="V88" i="35"/>
  <c r="R88" i="35"/>
  <c r="R104" i="35"/>
  <c r="V104" i="35"/>
  <c r="R105" i="35"/>
  <c r="V105" i="35"/>
  <c r="R106" i="35"/>
  <c r="V106" i="35"/>
  <c r="V122" i="35"/>
  <c r="R122" i="35"/>
  <c r="V130" i="35"/>
  <c r="AI130" i="35"/>
  <c r="R141" i="35"/>
  <c r="V141" i="35"/>
  <c r="V147" i="35"/>
  <c r="R147" i="35"/>
  <c r="AE111" i="35"/>
  <c r="AD111" i="35"/>
  <c r="V129" i="35"/>
  <c r="T14" i="35"/>
  <c r="V14" i="35"/>
  <c r="R16" i="35"/>
  <c r="V16" i="35"/>
  <c r="T28" i="35"/>
  <c r="V28" i="35"/>
  <c r="T36" i="35"/>
  <c r="V36" i="35"/>
  <c r="V43" i="35"/>
  <c r="T43" i="35"/>
  <c r="V64" i="35"/>
  <c r="R64" i="35"/>
  <c r="AE86" i="35"/>
  <c r="AD86" i="35"/>
  <c r="AD96" i="35"/>
  <c r="AE96" i="35"/>
  <c r="R63" i="35"/>
  <c r="V63" i="35"/>
  <c r="AI157" i="35"/>
  <c r="V157" i="35"/>
  <c r="AD49" i="35"/>
  <c r="AE49" i="35"/>
  <c r="AD53" i="35"/>
  <c r="AE53" i="35"/>
  <c r="AE115" i="35"/>
  <c r="AD115" i="35"/>
  <c r="T148" i="33"/>
  <c r="V148" i="33"/>
  <c r="V90" i="35"/>
  <c r="V132" i="35"/>
  <c r="V152" i="33"/>
  <c r="R152" i="33"/>
  <c r="V156" i="35"/>
  <c r="V15" i="35"/>
  <c r="R15" i="35"/>
  <c r="V86" i="35"/>
  <c r="T86" i="35"/>
  <c r="AD87" i="35"/>
  <c r="AE87" i="35"/>
  <c r="V149" i="33"/>
  <c r="T149" i="33"/>
  <c r="V84" i="35"/>
  <c r="T84" i="35"/>
  <c r="V99" i="35"/>
  <c r="R99" i="35"/>
  <c r="AD23" i="35"/>
  <c r="AE23" i="35"/>
  <c r="AD50" i="35"/>
  <c r="AE50" i="35"/>
  <c r="R53" i="35"/>
  <c r="V53" i="35"/>
  <c r="R54" i="35"/>
  <c r="V54" i="35"/>
  <c r="R118" i="35"/>
  <c r="V118" i="35"/>
  <c r="V124" i="35"/>
  <c r="R124" i="35"/>
  <c r="T128" i="35"/>
  <c r="V128" i="35"/>
  <c r="V146" i="35"/>
  <c r="T146" i="35"/>
  <c r="V152" i="35"/>
  <c r="T152" i="35"/>
  <c r="R74" i="35"/>
  <c r="V74" i="35"/>
  <c r="T79" i="35"/>
  <c r="V79" i="35"/>
  <c r="AE8" i="35"/>
  <c r="Y36" i="35"/>
  <c r="Z36" i="35"/>
  <c r="AI36" i="35" s="1"/>
  <c r="AE91" i="35"/>
  <c r="AD91" i="35"/>
  <c r="AE98" i="35"/>
  <c r="AD98" i="35"/>
  <c r="T11" i="35"/>
  <c r="V11" i="35"/>
  <c r="R27" i="35"/>
  <c r="V27" i="35"/>
  <c r="R70" i="35"/>
  <c r="V70" i="35"/>
  <c r="R71" i="35"/>
  <c r="V71" i="35"/>
  <c r="T78" i="35"/>
  <c r="V78" i="35"/>
  <c r="V136" i="35"/>
  <c r="R136" i="35"/>
  <c r="AE34" i="35"/>
  <c r="Z34" i="35" s="1"/>
  <c r="AD34" i="35"/>
  <c r="AE69" i="35"/>
  <c r="AD69" i="35"/>
  <c r="AE78" i="35"/>
  <c r="AD78" i="35"/>
  <c r="AE85" i="35"/>
  <c r="AD85" i="35"/>
  <c r="V161" i="35"/>
  <c r="V116" i="35"/>
  <c r="V81" i="35"/>
  <c r="V34" i="35"/>
  <c r="V52" i="35"/>
  <c r="T52" i="35"/>
  <c r="T60" i="35"/>
  <c r="V60" i="35"/>
  <c r="T85" i="35"/>
  <c r="V85" i="35"/>
  <c r="T115" i="35"/>
  <c r="V115" i="35"/>
  <c r="V159" i="35"/>
  <c r="R159" i="35"/>
  <c r="AD93" i="35"/>
  <c r="AE93" i="35"/>
  <c r="AD155" i="35"/>
  <c r="AE155" i="35"/>
  <c r="V19" i="35"/>
  <c r="Z19" i="35" s="1"/>
  <c r="R19" i="35"/>
  <c r="V100" i="35"/>
  <c r="R100" i="35"/>
  <c r="V131" i="35"/>
  <c r="T131" i="35"/>
  <c r="V142" i="35"/>
  <c r="V145" i="35"/>
  <c r="T148" i="35"/>
  <c r="V148" i="35"/>
  <c r="AE27" i="35"/>
  <c r="AD27" i="35"/>
  <c r="AE33" i="35"/>
  <c r="AD33" i="35"/>
  <c r="AD122" i="35"/>
  <c r="AE122" i="35"/>
  <c r="AE135" i="35"/>
  <c r="AE132" i="35"/>
  <c r="AD132" i="35"/>
  <c r="AE144" i="35"/>
  <c r="AD144" i="35"/>
  <c r="AE8" i="29"/>
  <c r="AD8" i="29"/>
  <c r="V154" i="33"/>
  <c r="T144" i="33"/>
  <c r="V144" i="33"/>
  <c r="V151" i="35"/>
  <c r="V39" i="35"/>
  <c r="R39" i="35"/>
  <c r="V62" i="35"/>
  <c r="R62" i="35"/>
  <c r="R95" i="35"/>
  <c r="V95" i="35"/>
  <c r="V126" i="35"/>
  <c r="AE31" i="35"/>
  <c r="AD31" i="35"/>
  <c r="AD52" i="35"/>
  <c r="AE52" i="35"/>
  <c r="AE75" i="35"/>
  <c r="AD75" i="35"/>
  <c r="AE82" i="35"/>
  <c r="AD82" i="35"/>
  <c r="V8" i="29"/>
  <c r="V26" i="35"/>
  <c r="V59" i="35"/>
  <c r="R59" i="35"/>
  <c r="V94" i="35"/>
  <c r="R108" i="35"/>
  <c r="V108" i="35"/>
  <c r="R112" i="35"/>
  <c r="V112" i="35"/>
  <c r="V114" i="35"/>
  <c r="R114" i="35"/>
  <c r="T119" i="35"/>
  <c r="V119" i="35"/>
  <c r="R133" i="35"/>
  <c r="V133" i="35"/>
  <c r="V134" i="35"/>
  <c r="R135" i="35"/>
  <c r="V135" i="35"/>
  <c r="AE12" i="35"/>
  <c r="AD12" i="35"/>
  <c r="AE92" i="35"/>
  <c r="AD92" i="35"/>
  <c r="V33" i="35"/>
  <c r="V51" i="35"/>
  <c r="V87" i="35"/>
  <c r="R87" i="35"/>
  <c r="V89" i="35"/>
  <c r="V138" i="35"/>
  <c r="R138" i="35"/>
  <c r="V154" i="35"/>
  <c r="X19" i="35"/>
  <c r="X36" i="35"/>
  <c r="AE61" i="35"/>
  <c r="AD61" i="35"/>
  <c r="V146" i="33"/>
  <c r="V17" i="35"/>
  <c r="V38" i="35"/>
  <c r="R38" i="35"/>
  <c r="V45" i="35"/>
  <c r="V101" i="35"/>
  <c r="R125" i="35"/>
  <c r="V125" i="35"/>
  <c r="AE65" i="35"/>
  <c r="AD65" i="35"/>
  <c r="AD157" i="35"/>
  <c r="AE157" i="35"/>
  <c r="AD158" i="35"/>
  <c r="AE158" i="35"/>
  <c r="T44" i="35"/>
  <c r="V44" i="35"/>
  <c r="V80" i="35"/>
  <c r="R80" i="35"/>
  <c r="AE76" i="35"/>
  <c r="AD76" i="35"/>
  <c r="AD16" i="35"/>
  <c r="V65" i="35"/>
  <c r="V97" i="35"/>
  <c r="V162" i="35"/>
  <c r="AD112" i="35"/>
  <c r="V8" i="35"/>
  <c r="R23" i="35"/>
  <c r="V23" i="35"/>
  <c r="AE126" i="35"/>
  <c r="AE109" i="14"/>
  <c r="AE77" i="14"/>
  <c r="AE12" i="14"/>
  <c r="AE19" i="9"/>
  <c r="AE79" i="10"/>
  <c r="AD63" i="10"/>
  <c r="AE47" i="10"/>
  <c r="AD31" i="10"/>
  <c r="AE13" i="10"/>
  <c r="AE91" i="10"/>
  <c r="AD45" i="10"/>
  <c r="AE28" i="10"/>
  <c r="AD11" i="10"/>
  <c r="AE57" i="11"/>
  <c r="AE41" i="11"/>
  <c r="AE24" i="11"/>
  <c r="AE8" i="11"/>
  <c r="AE47" i="11"/>
  <c r="AE10" i="11"/>
  <c r="AE94" i="29"/>
  <c r="AE74" i="29"/>
  <c r="AD38" i="29"/>
  <c r="AD88" i="9"/>
  <c r="AE88" i="9"/>
  <c r="R49" i="12"/>
  <c r="V49" i="12"/>
  <c r="AI104" i="37"/>
  <c r="V104" i="37"/>
  <c r="AD124" i="9"/>
  <c r="AE124" i="9"/>
  <c r="AD93" i="9"/>
  <c r="AE93" i="9"/>
  <c r="AD68" i="9"/>
  <c r="AE68" i="9"/>
  <c r="AD93" i="14"/>
  <c r="AD45" i="14"/>
  <c r="AD27" i="9"/>
  <c r="AD11" i="9"/>
  <c r="AE71" i="10"/>
  <c r="AD55" i="10"/>
  <c r="AD39" i="10"/>
  <c r="AE21" i="10"/>
  <c r="AD99" i="10"/>
  <c r="AD83" i="10"/>
  <c r="AD49" i="11"/>
  <c r="AD33" i="11"/>
  <c r="AD16" i="11"/>
  <c r="AD133" i="9"/>
  <c r="AE133" i="9"/>
  <c r="AD103" i="9"/>
  <c r="AE103" i="9"/>
  <c r="T57" i="12"/>
  <c r="V57" i="12"/>
  <c r="AD41" i="14"/>
  <c r="AD138" i="9"/>
  <c r="AE138" i="9"/>
  <c r="AD116" i="9"/>
  <c r="AE116" i="9"/>
  <c r="AD110" i="9"/>
  <c r="AE110" i="9"/>
  <c r="AD34" i="9"/>
  <c r="AE34" i="9"/>
  <c r="AD31" i="9"/>
  <c r="AE31" i="9"/>
  <c r="AD61" i="12"/>
  <c r="AE61" i="12"/>
  <c r="AD15" i="12"/>
  <c r="AE15" i="12"/>
  <c r="AD12" i="12"/>
  <c r="AE12" i="12"/>
  <c r="V23" i="37"/>
  <c r="AD117" i="14"/>
  <c r="AD85" i="14"/>
  <c r="AD36" i="14"/>
  <c r="AD23" i="9"/>
  <c r="AD7" i="9"/>
  <c r="AD67" i="10"/>
  <c r="AE51" i="10"/>
  <c r="AE35" i="10"/>
  <c r="AE17" i="10"/>
  <c r="AD95" i="10"/>
  <c r="AD61" i="11"/>
  <c r="AD45" i="11"/>
  <c r="AD29" i="11"/>
  <c r="AD12" i="11"/>
  <c r="AD98" i="29"/>
  <c r="AE62" i="29"/>
  <c r="AD26" i="29"/>
  <c r="AD144" i="9"/>
  <c r="AE144" i="9"/>
  <c r="AE78" i="9"/>
  <c r="AD78" i="9"/>
  <c r="T36" i="12"/>
  <c r="V36" i="12"/>
  <c r="AD146" i="14"/>
  <c r="AD130" i="14"/>
  <c r="AD89" i="14"/>
  <c r="AD32" i="14"/>
  <c r="AD69" i="14"/>
  <c r="AD28" i="14"/>
  <c r="AD114" i="29"/>
  <c r="AD78" i="29"/>
  <c r="AD42" i="29"/>
  <c r="AE22" i="29"/>
  <c r="AD150" i="9"/>
  <c r="AE150" i="9"/>
  <c r="R42" i="12"/>
  <c r="V42" i="12"/>
  <c r="Y126" i="37"/>
  <c r="AD58" i="29"/>
  <c r="AD155" i="9"/>
  <c r="AE155" i="9"/>
  <c r="AD83" i="9"/>
  <c r="AE83" i="9"/>
  <c r="AD58" i="9"/>
  <c r="AE58" i="9"/>
  <c r="V55" i="12"/>
  <c r="R55" i="12"/>
  <c r="AD23" i="12"/>
  <c r="AE23" i="12"/>
  <c r="R17" i="12"/>
  <c r="V17" i="12"/>
  <c r="V129" i="37"/>
  <c r="Z129" i="37" s="1"/>
  <c r="AI129" i="37" s="1"/>
  <c r="AI43" i="32"/>
  <c r="V43" i="32"/>
  <c r="AD156" i="9"/>
  <c r="AD121" i="9"/>
  <c r="AD56" i="12"/>
  <c r="AE56" i="12"/>
  <c r="R26" i="12"/>
  <c r="V26" i="12"/>
  <c r="V16" i="12"/>
  <c r="Y125" i="37"/>
  <c r="V68" i="37"/>
  <c r="T68" i="37"/>
  <c r="T27" i="37"/>
  <c r="V27" i="37"/>
  <c r="T24" i="37"/>
  <c r="V24" i="37"/>
  <c r="AD129" i="9"/>
  <c r="AD79" i="9"/>
  <c r="AE79" i="9"/>
  <c r="AD59" i="9"/>
  <c r="AD49" i="9"/>
  <c r="T120" i="14"/>
  <c r="V52" i="12"/>
  <c r="AE60" i="12"/>
  <c r="AD60" i="12"/>
  <c r="T69" i="37"/>
  <c r="V69" i="37"/>
  <c r="Y139" i="37"/>
  <c r="X123" i="37"/>
  <c r="AE16" i="37"/>
  <c r="Z123" i="37"/>
  <c r="AI123" i="37" s="1"/>
  <c r="Z128" i="37"/>
  <c r="AI128" i="37" s="1"/>
  <c r="Y137" i="37"/>
  <c r="Z134" i="37"/>
  <c r="AI134" i="37" s="1"/>
  <c r="Y130" i="37"/>
  <c r="Z130" i="37"/>
  <c r="AI130" i="37" s="1"/>
  <c r="Y127" i="37"/>
  <c r="Z139" i="37"/>
  <c r="AI139" i="37" s="1"/>
  <c r="AD163" i="37"/>
  <c r="AE163" i="37"/>
  <c r="AD148" i="37"/>
  <c r="AE148" i="37"/>
  <c r="AE142" i="37"/>
  <c r="Y142" i="37" s="1"/>
  <c r="AD142" i="37"/>
  <c r="V133" i="37"/>
  <c r="R133" i="37"/>
  <c r="T126" i="37"/>
  <c r="V126" i="37"/>
  <c r="Z126" i="37" s="1"/>
  <c r="AI126" i="37" s="1"/>
  <c r="R124" i="37"/>
  <c r="V124" i="37"/>
  <c r="T117" i="37"/>
  <c r="V117" i="37"/>
  <c r="R22" i="12"/>
  <c r="V22" i="12"/>
  <c r="AD16" i="37"/>
  <c r="AD105" i="9"/>
  <c r="AE105" i="9"/>
  <c r="AD80" i="9"/>
  <c r="AD29" i="12"/>
  <c r="AE29" i="12"/>
  <c r="V15" i="37"/>
  <c r="AI162" i="37"/>
  <c r="V162" i="37"/>
  <c r="AE66" i="9"/>
  <c r="V29" i="12"/>
  <c r="V33" i="12"/>
  <c r="V28" i="12"/>
  <c r="T163" i="37"/>
  <c r="V163" i="37"/>
  <c r="V121" i="37"/>
  <c r="AE165" i="37"/>
  <c r="AD165" i="37"/>
  <c r="AD44" i="38"/>
  <c r="AE44" i="38"/>
  <c r="T37" i="38"/>
  <c r="V37" i="38"/>
  <c r="AE30" i="38"/>
  <c r="X129" i="38"/>
  <c r="Y138" i="38"/>
  <c r="AD30" i="38"/>
  <c r="X128" i="38"/>
  <c r="Z141" i="38"/>
  <c r="AI141" i="38" s="1"/>
  <c r="Z127" i="38"/>
  <c r="AI127" i="38" s="1"/>
  <c r="Y141" i="38"/>
  <c r="Z142" i="38"/>
  <c r="AI142" i="38" s="1"/>
  <c r="Y122" i="38"/>
  <c r="Y127" i="38"/>
  <c r="Z125" i="38"/>
  <c r="AI125" i="38" s="1"/>
  <c r="X127" i="38"/>
  <c r="Z124" i="38"/>
  <c r="AI124" i="38" s="1"/>
  <c r="Y129" i="38"/>
  <c r="X122" i="38"/>
  <c r="Z138" i="38"/>
  <c r="AI138" i="38" s="1"/>
  <c r="T24" i="38"/>
  <c r="V24" i="38"/>
  <c r="R21" i="38"/>
  <c r="V21" i="38"/>
  <c r="X130" i="37"/>
  <c r="R18" i="37"/>
  <c r="V18" i="37"/>
  <c r="AD167" i="37"/>
  <c r="AE167" i="37"/>
  <c r="V127" i="37"/>
  <c r="Z127" i="37" s="1"/>
  <c r="AI127" i="37" s="1"/>
  <c r="T46" i="37"/>
  <c r="V46" i="37"/>
  <c r="T50" i="38"/>
  <c r="V50" i="38"/>
  <c r="AD45" i="38"/>
  <c r="AE45" i="38"/>
  <c r="R34" i="38"/>
  <c r="V34" i="38"/>
  <c r="T26" i="38"/>
  <c r="V26" i="38"/>
  <c r="Z128" i="38"/>
  <c r="AI128" i="38" s="1"/>
  <c r="AE168" i="37"/>
  <c r="AD168" i="37"/>
  <c r="R112" i="37"/>
  <c r="V112" i="37"/>
  <c r="AD16" i="12"/>
  <c r="AE16" i="12"/>
  <c r="AE18" i="37"/>
  <c r="AD18" i="37"/>
  <c r="V150" i="37"/>
  <c r="R150" i="37"/>
  <c r="T137" i="37"/>
  <c r="V137" i="37"/>
  <c r="AE104" i="37"/>
  <c r="AD104" i="37"/>
  <c r="AD66" i="37"/>
  <c r="AE66" i="37"/>
  <c r="V48" i="37"/>
  <c r="T48" i="37"/>
  <c r="AI91" i="38"/>
  <c r="AI81" i="38"/>
  <c r="V81" i="38"/>
  <c r="AD162" i="37"/>
  <c r="AE162" i="37"/>
  <c r="R153" i="37"/>
  <c r="V153" i="37"/>
  <c r="T132" i="37"/>
  <c r="V132" i="37"/>
  <c r="V130" i="37"/>
  <c r="AE116" i="37"/>
  <c r="AD116" i="37"/>
  <c r="AE105" i="37"/>
  <c r="AD105" i="37"/>
  <c r="R168" i="37"/>
  <c r="V168" i="37"/>
  <c r="AD158" i="37"/>
  <c r="AE158" i="37"/>
  <c r="AD155" i="37"/>
  <c r="AE155" i="37"/>
  <c r="R154" i="37"/>
  <c r="V154" i="37"/>
  <c r="V116" i="37"/>
  <c r="T116" i="37"/>
  <c r="AE55" i="37"/>
  <c r="AD55" i="37"/>
  <c r="T37" i="37"/>
  <c r="V37" i="37"/>
  <c r="V26" i="11"/>
  <c r="R26" i="11"/>
  <c r="V32" i="12"/>
  <c r="AI47" i="38"/>
  <c r="X125" i="37"/>
  <c r="AE161" i="37"/>
  <c r="AD161" i="37"/>
  <c r="R159" i="37"/>
  <c r="V159" i="37"/>
  <c r="R152" i="37"/>
  <c r="V152" i="37"/>
  <c r="V115" i="37"/>
  <c r="AE71" i="37"/>
  <c r="AD71" i="37"/>
  <c r="AD68" i="37"/>
  <c r="AE68" i="37"/>
  <c r="V45" i="32"/>
  <c r="V18" i="12"/>
  <c r="Z125" i="37"/>
  <c r="AI125" i="37" s="1"/>
  <c r="Z137" i="37"/>
  <c r="AI137" i="37" s="1"/>
  <c r="X129" i="37"/>
  <c r="AI77" i="38"/>
  <c r="V77" i="38"/>
  <c r="AE141" i="37"/>
  <c r="Z141" i="37" s="1"/>
  <c r="AI141" i="37" s="1"/>
  <c r="AD112" i="37"/>
  <c r="AE112" i="37"/>
  <c r="AD106" i="37"/>
  <c r="AE106" i="37"/>
  <c r="AE97" i="37"/>
  <c r="AD97" i="37"/>
  <c r="AE96" i="37"/>
  <c r="AE87" i="37"/>
  <c r="AD87" i="37"/>
  <c r="AD86" i="37"/>
  <c r="AD80" i="37"/>
  <c r="AD77" i="37"/>
  <c r="AD76" i="37"/>
  <c r="AD75" i="37"/>
  <c r="AD64" i="37"/>
  <c r="AE64" i="37"/>
  <c r="T54" i="37"/>
  <c r="V54" i="37"/>
  <c r="R35" i="35"/>
  <c r="V35" i="35"/>
  <c r="T35" i="37"/>
  <c r="AE114" i="38"/>
  <c r="AD114" i="38"/>
  <c r="AE107" i="38"/>
  <c r="AD72" i="38"/>
  <c r="AE72" i="38"/>
  <c r="AD60" i="38"/>
  <c r="AE60" i="38"/>
  <c r="AD46" i="38"/>
  <c r="AE46" i="38"/>
  <c r="AE98" i="37"/>
  <c r="AD98" i="37"/>
  <c r="AE139" i="38"/>
  <c r="AD131" i="38"/>
  <c r="AE131" i="38"/>
  <c r="AD116" i="38"/>
  <c r="AE116" i="38"/>
  <c r="AD108" i="38"/>
  <c r="AE108" i="38"/>
  <c r="AD96" i="38"/>
  <c r="AE96" i="38"/>
  <c r="AD149" i="37"/>
  <c r="AE149" i="37"/>
  <c r="V97" i="37"/>
  <c r="V77" i="37"/>
  <c r="T26" i="37"/>
  <c r="V26" i="37"/>
  <c r="T40" i="33"/>
  <c r="Y40" i="33" s="1"/>
  <c r="V40" i="33"/>
  <c r="Z40" i="33" s="1"/>
  <c r="AE47" i="32"/>
  <c r="AD47" i="32"/>
  <c r="AD140" i="38"/>
  <c r="AE140" i="38"/>
  <c r="Y140" i="38" s="1"/>
  <c r="Y128" i="37"/>
  <c r="Y129" i="37"/>
  <c r="X137" i="37"/>
  <c r="Y134" i="37"/>
  <c r="X127" i="37"/>
  <c r="AD7" i="37"/>
  <c r="X128" i="37"/>
  <c r="X139" i="37"/>
  <c r="X134" i="37"/>
  <c r="Y123" i="37"/>
  <c r="AE7" i="37"/>
  <c r="X126" i="37"/>
  <c r="AD10" i="37"/>
  <c r="AE10" i="37"/>
  <c r="V98" i="37"/>
  <c r="V96" i="37"/>
  <c r="V82" i="37"/>
  <c r="V75" i="37"/>
  <c r="AD114" i="37"/>
  <c r="AD62" i="37"/>
  <c r="AE62" i="37"/>
  <c r="V21" i="12"/>
  <c r="AD105" i="38"/>
  <c r="AE105" i="38"/>
  <c r="V13" i="32"/>
  <c r="V40" i="35"/>
  <c r="T36" i="33"/>
  <c r="Y36" i="33" s="1"/>
  <c r="V36" i="33"/>
  <c r="Z36" i="33" s="1"/>
  <c r="AD89" i="38"/>
  <c r="AE89" i="38"/>
  <c r="R75" i="38"/>
  <c r="V75" i="38"/>
  <c r="V155" i="38"/>
  <c r="AD36" i="37"/>
  <c r="R161" i="38"/>
  <c r="V161" i="38"/>
  <c r="AD148" i="38"/>
  <c r="AE148" i="38"/>
  <c r="AE118" i="38"/>
  <c r="AD118" i="38"/>
  <c r="AD117" i="38"/>
  <c r="R113" i="38"/>
  <c r="V113" i="38"/>
  <c r="AD97" i="38"/>
  <c r="AE97" i="38"/>
  <c r="V47" i="32"/>
  <c r="AE112" i="38"/>
  <c r="AD82" i="38"/>
  <c r="AE82" i="38"/>
  <c r="V19" i="32"/>
  <c r="AD152" i="38"/>
  <c r="AE152" i="38"/>
  <c r="AD135" i="38"/>
  <c r="AE135" i="38"/>
  <c r="AE126" i="38"/>
  <c r="Y126" i="38" s="1"/>
  <c r="AD126" i="38"/>
  <c r="AD54" i="38"/>
  <c r="AE54" i="38"/>
  <c r="AD42" i="38"/>
  <c r="AE42" i="38"/>
  <c r="AD137" i="38"/>
  <c r="AE137" i="38"/>
  <c r="AE55" i="38"/>
  <c r="AD55" i="38"/>
  <c r="AD28" i="38"/>
  <c r="AE28" i="38"/>
  <c r="AD150" i="38"/>
  <c r="AE150" i="38"/>
  <c r="AE133" i="38"/>
  <c r="Z133" i="38" s="1"/>
  <c r="AI133" i="38" s="1"/>
  <c r="AD133" i="38"/>
  <c r="X125" i="38"/>
  <c r="X138" i="38"/>
  <c r="Y125" i="38"/>
  <c r="AD19" i="38"/>
  <c r="AE19" i="38"/>
  <c r="AD158" i="38"/>
  <c r="AE158" i="38"/>
  <c r="AD136" i="38"/>
  <c r="AE136" i="38"/>
  <c r="Y136" i="38" s="1"/>
  <c r="AE102" i="38"/>
  <c r="AE69" i="38"/>
  <c r="AD14" i="38"/>
  <c r="AE14" i="38"/>
  <c r="V61" i="32"/>
  <c r="AD8" i="38"/>
  <c r="AD164" i="38"/>
  <c r="AE7" i="38"/>
  <c r="Y124" i="38"/>
  <c r="Y128" i="38"/>
  <c r="Y142" i="38"/>
  <c r="X142" i="38"/>
  <c r="Y7" i="33" l="1"/>
  <c r="Z34" i="37"/>
  <c r="AI34" i="37" s="1"/>
  <c r="X34" i="37"/>
  <c r="Y39" i="35"/>
  <c r="Z153" i="33"/>
  <c r="AI153" i="33" s="1"/>
  <c r="AA82" i="31"/>
  <c r="AJ82" i="31" s="1"/>
  <c r="Y55" i="31"/>
  <c r="X84" i="33"/>
  <c r="Y19" i="33"/>
  <c r="Z84" i="33"/>
  <c r="AI84" i="33" s="1"/>
  <c r="Y84" i="33"/>
  <c r="Y88" i="31"/>
  <c r="Z39" i="31"/>
  <c r="Y41" i="31"/>
  <c r="Z82" i="31"/>
  <c r="AA55" i="31"/>
  <c r="AJ55" i="31" s="1"/>
  <c r="Z55" i="31"/>
  <c r="Z81" i="25"/>
  <c r="AI81" i="25" s="1"/>
  <c r="X81" i="25"/>
  <c r="Y81" i="25"/>
  <c r="Y82" i="31"/>
  <c r="Y42" i="31"/>
  <c r="Z59" i="10"/>
  <c r="AI59" i="10" s="1"/>
  <c r="X59" i="10"/>
  <c r="Y36" i="31"/>
  <c r="Z40" i="31"/>
  <c r="Y42" i="29"/>
  <c r="Z56" i="9"/>
  <c r="AI56" i="9" s="1"/>
  <c r="Y55" i="29"/>
  <c r="Z42" i="25"/>
  <c r="AI42" i="25" s="1"/>
  <c r="X43" i="14"/>
  <c r="AA144" i="31"/>
  <c r="AJ144" i="31" s="1"/>
  <c r="Z41" i="31"/>
  <c r="Y26" i="33"/>
  <c r="X60" i="32"/>
  <c r="Z29" i="31"/>
  <c r="Z145" i="33"/>
  <c r="AI145" i="33" s="1"/>
  <c r="Y44" i="32"/>
  <c r="X56" i="9"/>
  <c r="X41" i="29"/>
  <c r="Y43" i="14"/>
  <c r="Z12" i="33"/>
  <c r="AI12" i="33" s="1"/>
  <c r="Y59" i="10"/>
  <c r="Z56" i="14"/>
  <c r="AI56" i="14" s="1"/>
  <c r="Z55" i="25"/>
  <c r="AI55" i="25" s="1"/>
  <c r="Z116" i="31"/>
  <c r="Z43" i="14"/>
  <c r="AI43" i="14" s="1"/>
  <c r="Y39" i="31"/>
  <c r="X42" i="25"/>
  <c r="AA40" i="31"/>
  <c r="AJ40" i="31" s="1"/>
  <c r="AA42" i="31"/>
  <c r="AJ42" i="31" s="1"/>
  <c r="X42" i="29"/>
  <c r="Z42" i="29"/>
  <c r="AI42" i="29" s="1"/>
  <c r="Y41" i="25"/>
  <c r="Z42" i="32"/>
  <c r="Y34" i="33"/>
  <c r="AA27" i="31"/>
  <c r="AJ27" i="31" s="1"/>
  <c r="Z44" i="32"/>
  <c r="Y39" i="33"/>
  <c r="Z42" i="14"/>
  <c r="AI42" i="14" s="1"/>
  <c r="Z85" i="33"/>
  <c r="AI85" i="33" s="1"/>
  <c r="Y46" i="10"/>
  <c r="Y42" i="25"/>
  <c r="Y41" i="29"/>
  <c r="Z41" i="29"/>
  <c r="AI41" i="29" s="1"/>
  <c r="Z46" i="32"/>
  <c r="Y45" i="10"/>
  <c r="AA39" i="31"/>
  <c r="AJ39" i="31" s="1"/>
  <c r="X44" i="32"/>
  <c r="AA41" i="31"/>
  <c r="AJ41" i="31" s="1"/>
  <c r="Z13" i="32"/>
  <c r="Z146" i="33"/>
  <c r="AI146" i="33" s="1"/>
  <c r="X151" i="33"/>
  <c r="X86" i="33"/>
  <c r="X117" i="33"/>
  <c r="Y60" i="33"/>
  <c r="X39" i="33"/>
  <c r="Y44" i="10"/>
  <c r="Y151" i="33"/>
  <c r="Z151" i="33"/>
  <c r="AI151" i="33" s="1"/>
  <c r="Z95" i="33"/>
  <c r="AI95" i="33" s="1"/>
  <c r="Y39" i="25"/>
  <c r="Y42" i="14"/>
  <c r="X42" i="14"/>
  <c r="X42" i="32"/>
  <c r="Z42" i="9"/>
  <c r="AI42" i="9" s="1"/>
  <c r="X41" i="25"/>
  <c r="X45" i="10"/>
  <c r="X40" i="25"/>
  <c r="Z41" i="14"/>
  <c r="AI41" i="14" s="1"/>
  <c r="Y154" i="33"/>
  <c r="X150" i="33"/>
  <c r="Y148" i="33"/>
  <c r="Y40" i="25"/>
  <c r="X41" i="9"/>
  <c r="X44" i="10"/>
  <c r="Y42" i="32"/>
  <c r="X39" i="25"/>
  <c r="Z40" i="25"/>
  <c r="AI40" i="25" s="1"/>
  <c r="Y40" i="31"/>
  <c r="Y40" i="29"/>
  <c r="X41" i="14"/>
  <c r="Y41" i="14"/>
  <c r="Y40" i="9"/>
  <c r="Z39" i="29"/>
  <c r="AI39" i="29" s="1"/>
  <c r="X20" i="25"/>
  <c r="Z39" i="25"/>
  <c r="AI39" i="25" s="1"/>
  <c r="Y122" i="25"/>
  <c r="X43" i="10"/>
  <c r="Z41" i="32"/>
  <c r="AI41" i="32" s="1"/>
  <c r="Y12" i="31"/>
  <c r="AA86" i="31"/>
  <c r="AJ86" i="31" s="1"/>
  <c r="Y39" i="29"/>
  <c r="Y43" i="10"/>
  <c r="X40" i="9"/>
  <c r="Z43" i="10"/>
  <c r="AI43" i="10" s="1"/>
  <c r="X39" i="29"/>
  <c r="X41" i="32"/>
  <c r="Y41" i="32"/>
  <c r="Z39" i="33"/>
  <c r="Y40" i="14"/>
  <c r="X41" i="10"/>
  <c r="X89" i="25"/>
  <c r="Z41" i="10"/>
  <c r="AA59" i="31"/>
  <c r="AJ59" i="31" s="1"/>
  <c r="Z88" i="33"/>
  <c r="AI88" i="33" s="1"/>
  <c r="Z26" i="33"/>
  <c r="AI26" i="33" s="1"/>
  <c r="X74" i="33"/>
  <c r="Z58" i="31"/>
  <c r="Z137" i="31"/>
  <c r="X36" i="25"/>
  <c r="X38" i="25"/>
  <c r="Y149" i="33"/>
  <c r="Y152" i="33"/>
  <c r="Y128" i="33"/>
  <c r="Y145" i="33"/>
  <c r="Z93" i="33"/>
  <c r="AI93" i="33" s="1"/>
  <c r="Z80" i="33"/>
  <c r="AI80" i="33" s="1"/>
  <c r="Y88" i="33"/>
  <c r="Z51" i="31"/>
  <c r="AA78" i="31"/>
  <c r="AJ78" i="31" s="1"/>
  <c r="Z149" i="31"/>
  <c r="X99" i="33"/>
  <c r="Y98" i="31"/>
  <c r="X40" i="14"/>
  <c r="Z21" i="25"/>
  <c r="AI21" i="25" s="1"/>
  <c r="Y20" i="31"/>
  <c r="Y41" i="10"/>
  <c r="X153" i="33"/>
  <c r="X148" i="33"/>
  <c r="X149" i="33"/>
  <c r="Y150" i="33"/>
  <c r="X132" i="33"/>
  <c r="Z110" i="31"/>
  <c r="X64" i="33"/>
  <c r="Z9" i="33"/>
  <c r="AI9" i="33" s="1"/>
  <c r="Y71" i="33"/>
  <c r="Y50" i="33"/>
  <c r="Y36" i="25"/>
  <c r="X7" i="33"/>
  <c r="Z40" i="14"/>
  <c r="AI40" i="14" s="1"/>
  <c r="Z37" i="14"/>
  <c r="Y37" i="14"/>
  <c r="Y40" i="10"/>
  <c r="Z38" i="32"/>
  <c r="AI38" i="32" s="1"/>
  <c r="X36" i="29"/>
  <c r="X36" i="14"/>
  <c r="Z36" i="29"/>
  <c r="AI36" i="29" s="1"/>
  <c r="Z36" i="14"/>
  <c r="AI36" i="14" s="1"/>
  <c r="Y36" i="29"/>
  <c r="X38" i="32"/>
  <c r="Z36" i="25"/>
  <c r="AI36" i="25" s="1"/>
  <c r="Z37" i="9"/>
  <c r="AI37" i="9" s="1"/>
  <c r="AA36" i="31"/>
  <c r="AJ36" i="31" s="1"/>
  <c r="X40" i="10"/>
  <c r="Z35" i="33"/>
  <c r="Z40" i="10"/>
  <c r="AI40" i="10" s="1"/>
  <c r="Y36" i="14"/>
  <c r="Y38" i="32"/>
  <c r="X113" i="25"/>
  <c r="Z35" i="25"/>
  <c r="AI35" i="25" s="1"/>
  <c r="Y35" i="14"/>
  <c r="Z39" i="35"/>
  <c r="Y89" i="25"/>
  <c r="X9" i="25"/>
  <c r="Z116" i="25"/>
  <c r="AI116" i="25" s="1"/>
  <c r="Y57" i="31"/>
  <c r="Y141" i="31"/>
  <c r="Y13" i="32"/>
  <c r="Z35" i="14"/>
  <c r="AI35" i="14" s="1"/>
  <c r="Z35" i="31"/>
  <c r="X101" i="25"/>
  <c r="X35" i="25"/>
  <c r="Y35" i="25"/>
  <c r="X35" i="29"/>
  <c r="Z39" i="10"/>
  <c r="Y86" i="25"/>
  <c r="Y36" i="9"/>
  <c r="Y39" i="10"/>
  <c r="X35" i="14"/>
  <c r="X39" i="10"/>
  <c r="Y35" i="29"/>
  <c r="Z35" i="29"/>
  <c r="AI35" i="29" s="1"/>
  <c r="Z25" i="11"/>
  <c r="X25" i="11"/>
  <c r="Y25" i="11"/>
  <c r="X125" i="25"/>
  <c r="X67" i="25"/>
  <c r="Z74" i="31"/>
  <c r="Z87" i="25"/>
  <c r="X150" i="25"/>
  <c r="Y33" i="25"/>
  <c r="AA68" i="31"/>
  <c r="AJ68" i="31" s="1"/>
  <c r="X100" i="25"/>
  <c r="Y72" i="31"/>
  <c r="Z126" i="31"/>
  <c r="Z88" i="31"/>
  <c r="Z30" i="31"/>
  <c r="Z117" i="25"/>
  <c r="AI117" i="25" s="1"/>
  <c r="Y103" i="31"/>
  <c r="AA119" i="31"/>
  <c r="AJ119" i="31" s="1"/>
  <c r="Z91" i="31"/>
  <c r="Y63" i="31"/>
  <c r="X10" i="33"/>
  <c r="Z91" i="33"/>
  <c r="AI91" i="33" s="1"/>
  <c r="Y8" i="31"/>
  <c r="Y67" i="31"/>
  <c r="Z136" i="31"/>
  <c r="Z108" i="31"/>
  <c r="Z61" i="33"/>
  <c r="AI61" i="33" s="1"/>
  <c r="Y118" i="33"/>
  <c r="Y66" i="33"/>
  <c r="Z99" i="31"/>
  <c r="X21" i="11"/>
  <c r="Y23" i="10"/>
  <c r="Z84" i="31"/>
  <c r="Z115" i="31"/>
  <c r="X137" i="25"/>
  <c r="Z27" i="31"/>
  <c r="Y90" i="25"/>
  <c r="AA33" i="31"/>
  <c r="AJ33" i="31" s="1"/>
  <c r="Z76" i="25"/>
  <c r="AI76" i="25" s="1"/>
  <c r="X129" i="25"/>
  <c r="Z22" i="33"/>
  <c r="AI22" i="33" s="1"/>
  <c r="Z63" i="31"/>
  <c r="Z24" i="31"/>
  <c r="Z56" i="31"/>
  <c r="Y78" i="33"/>
  <c r="X30" i="25"/>
  <c r="X66" i="33"/>
  <c r="Y44" i="33"/>
  <c r="Z112" i="25"/>
  <c r="AI112" i="25" s="1"/>
  <c r="Y32" i="31"/>
  <c r="Z124" i="33"/>
  <c r="AI124" i="33" s="1"/>
  <c r="AA7" i="31"/>
  <c r="Z13" i="31"/>
  <c r="Y91" i="33"/>
  <c r="Y120" i="25"/>
  <c r="AA149" i="31"/>
  <c r="AJ149" i="31" s="1"/>
  <c r="Z85" i="31"/>
  <c r="Z59" i="33"/>
  <c r="AI59" i="33" s="1"/>
  <c r="Y54" i="31"/>
  <c r="Z110" i="25"/>
  <c r="AI110" i="25" s="1"/>
  <c r="Y89" i="33"/>
  <c r="Y37" i="33"/>
  <c r="AA72" i="31"/>
  <c r="AJ72" i="31" s="1"/>
  <c r="Z140" i="31"/>
  <c r="X96" i="33"/>
  <c r="Y55" i="25"/>
  <c r="Z34" i="32"/>
  <c r="AI34" i="32" s="1"/>
  <c r="X21" i="14"/>
  <c r="X21" i="29"/>
  <c r="Y52" i="25"/>
  <c r="X146" i="25"/>
  <c r="Z141" i="31"/>
  <c r="Y54" i="25"/>
  <c r="X136" i="25"/>
  <c r="Y24" i="25"/>
  <c r="X110" i="25"/>
  <c r="X22" i="33"/>
  <c r="Y110" i="31"/>
  <c r="Z53" i="31"/>
  <c r="Z134" i="25"/>
  <c r="AI134" i="25" s="1"/>
  <c r="Z33" i="31"/>
  <c r="X27" i="25"/>
  <c r="X91" i="33"/>
  <c r="Y29" i="31"/>
  <c r="Z26" i="25"/>
  <c r="AI26" i="25" s="1"/>
  <c r="Z100" i="33"/>
  <c r="AI100" i="33" s="1"/>
  <c r="Y90" i="33"/>
  <c r="X72" i="25"/>
  <c r="Y56" i="31"/>
  <c r="Y105" i="33"/>
  <c r="Y120" i="33"/>
  <c r="Z66" i="25"/>
  <c r="AI66" i="25" s="1"/>
  <c r="X118" i="33"/>
  <c r="Z7" i="31"/>
  <c r="Y96" i="33"/>
  <c r="AA95" i="31"/>
  <c r="AJ95" i="31" s="1"/>
  <c r="Z81" i="31"/>
  <c r="Y25" i="33"/>
  <c r="Y80" i="25"/>
  <c r="Y56" i="25"/>
  <c r="X112" i="33"/>
  <c r="Y71" i="31"/>
  <c r="Y112" i="25"/>
  <c r="X130" i="25"/>
  <c r="Z133" i="31"/>
  <c r="X61" i="25"/>
  <c r="Y28" i="33"/>
  <c r="Z87" i="31"/>
  <c r="Z131" i="25"/>
  <c r="AI131" i="25" s="1"/>
  <c r="X61" i="33"/>
  <c r="X73" i="33"/>
  <c r="X127" i="33"/>
  <c r="X127" i="25"/>
  <c r="X48" i="33"/>
  <c r="X120" i="33"/>
  <c r="X114" i="33"/>
  <c r="Z52" i="33"/>
  <c r="AI52" i="33" s="1"/>
  <c r="Z50" i="33"/>
  <c r="AI50" i="33" s="1"/>
  <c r="Z120" i="33"/>
  <c r="AI120" i="33" s="1"/>
  <c r="Z52" i="31"/>
  <c r="Y97" i="33"/>
  <c r="AA23" i="31"/>
  <c r="AJ23" i="31" s="1"/>
  <c r="AA71" i="31"/>
  <c r="AJ71" i="31" s="1"/>
  <c r="X93" i="33"/>
  <c r="Y58" i="31"/>
  <c r="Z67" i="33"/>
  <c r="AI67" i="33" s="1"/>
  <c r="Z18" i="25"/>
  <c r="AI18" i="25" s="1"/>
  <c r="Z83" i="33"/>
  <c r="AI83" i="33" s="1"/>
  <c r="Z38" i="25"/>
  <c r="AI38" i="25" s="1"/>
  <c r="Z21" i="31"/>
  <c r="Y95" i="31"/>
  <c r="Y87" i="31"/>
  <c r="Z9" i="31"/>
  <c r="Z94" i="33"/>
  <c r="AI94" i="33" s="1"/>
  <c r="AA74" i="31"/>
  <c r="AJ74" i="31" s="1"/>
  <c r="Y74" i="31"/>
  <c r="Y73" i="25"/>
  <c r="X73" i="25"/>
  <c r="X63" i="25"/>
  <c r="X43" i="25"/>
  <c r="X91" i="25"/>
  <c r="Y113" i="25"/>
  <c r="Y37" i="25"/>
  <c r="X75" i="25"/>
  <c r="X78" i="25"/>
  <c r="Y10" i="25"/>
  <c r="X33" i="25"/>
  <c r="Z17" i="25"/>
  <c r="AI17" i="25" s="1"/>
  <c r="X17" i="25"/>
  <c r="Z132" i="31"/>
  <c r="Z68" i="31"/>
  <c r="Y68" i="31"/>
  <c r="Z22" i="31"/>
  <c r="Y21" i="25"/>
  <c r="Z60" i="31"/>
  <c r="Y60" i="31"/>
  <c r="AA60" i="31"/>
  <c r="Z72" i="31"/>
  <c r="Z80" i="31"/>
  <c r="AA80" i="31"/>
  <c r="AJ80" i="31" s="1"/>
  <c r="Y80" i="31"/>
  <c r="Y86" i="31"/>
  <c r="Z86" i="31"/>
  <c r="AA88" i="31"/>
  <c r="AJ88" i="31" s="1"/>
  <c r="Y30" i="31"/>
  <c r="Z118" i="31"/>
  <c r="AA118" i="31"/>
  <c r="Y118" i="31"/>
  <c r="Z135" i="25"/>
  <c r="AI135" i="25" s="1"/>
  <c r="Z99" i="25"/>
  <c r="AI99" i="25" s="1"/>
  <c r="X99" i="25"/>
  <c r="AA103" i="31"/>
  <c r="AJ103" i="31" s="1"/>
  <c r="Z103" i="31"/>
  <c r="Z89" i="31"/>
  <c r="Y89" i="31"/>
  <c r="AA89" i="31"/>
  <c r="AJ89" i="31" s="1"/>
  <c r="Y147" i="31"/>
  <c r="Z147" i="31"/>
  <c r="AA147" i="31"/>
  <c r="AJ147" i="31" s="1"/>
  <c r="Z119" i="31"/>
  <c r="Y119" i="31"/>
  <c r="Y91" i="31"/>
  <c r="AA91" i="31"/>
  <c r="AJ91" i="31" s="1"/>
  <c r="AA63" i="31"/>
  <c r="AJ63" i="31" s="1"/>
  <c r="Z47" i="31"/>
  <c r="Y145" i="25"/>
  <c r="Y115" i="31"/>
  <c r="AA115" i="31"/>
  <c r="AJ115" i="31" s="1"/>
  <c r="AA145" i="31"/>
  <c r="AJ145" i="31" s="1"/>
  <c r="Y145" i="31"/>
  <c r="Z145" i="31"/>
  <c r="Z64" i="31"/>
  <c r="AA76" i="31"/>
  <c r="AJ76" i="31" s="1"/>
  <c r="Y117" i="31"/>
  <c r="Z15" i="31"/>
  <c r="AA85" i="31"/>
  <c r="AJ85" i="31" s="1"/>
  <c r="Y146" i="31"/>
  <c r="Z90" i="31"/>
  <c r="Z59" i="31"/>
  <c r="Z78" i="31"/>
  <c r="Y148" i="31"/>
  <c r="AA75" i="31"/>
  <c r="AJ75" i="31" s="1"/>
  <c r="Z97" i="31"/>
  <c r="Z100" i="31"/>
  <c r="Z102" i="31"/>
  <c r="Z106" i="31"/>
  <c r="AA52" i="31"/>
  <c r="AJ52" i="31" s="1"/>
  <c r="Z65" i="31"/>
  <c r="Y10" i="31"/>
  <c r="AA92" i="31"/>
  <c r="AJ92" i="31" s="1"/>
  <c r="AA83" i="31"/>
  <c r="AJ83" i="31" s="1"/>
  <c r="Z107" i="31"/>
  <c r="Y73" i="31"/>
  <c r="AA114" i="31"/>
  <c r="AJ114" i="31" s="1"/>
  <c r="Y144" i="31"/>
  <c r="Z69" i="31"/>
  <c r="Y31" i="31"/>
  <c r="Z70" i="31"/>
  <c r="Z62" i="31"/>
  <c r="Y25" i="31"/>
  <c r="AA117" i="31"/>
  <c r="AJ117" i="31" s="1"/>
  <c r="AA51" i="31"/>
  <c r="AJ51" i="31" s="1"/>
  <c r="AA17" i="31"/>
  <c r="AJ17" i="31" s="1"/>
  <c r="Z71" i="31"/>
  <c r="Y120" i="31"/>
  <c r="Z16" i="31"/>
  <c r="AA116" i="31"/>
  <c r="AJ116" i="31" s="1"/>
  <c r="Y85" i="31"/>
  <c r="Z50" i="31"/>
  <c r="AA96" i="31"/>
  <c r="Y105" i="31"/>
  <c r="AA56" i="31"/>
  <c r="AJ56" i="31" s="1"/>
  <c r="Z109" i="31"/>
  <c r="Y104" i="31"/>
  <c r="Z148" i="31"/>
  <c r="Y59" i="31"/>
  <c r="Z113" i="31"/>
  <c r="Y27" i="31"/>
  <c r="Y83" i="31"/>
  <c r="Z14" i="31"/>
  <c r="Y92" i="31"/>
  <c r="Y123" i="31"/>
  <c r="Y140" i="31"/>
  <c r="Y77" i="31"/>
  <c r="AA123" i="31"/>
  <c r="AJ123" i="31" s="1"/>
  <c r="Z117" i="31"/>
  <c r="Y93" i="31"/>
  <c r="AA93" i="31"/>
  <c r="AJ93" i="31" s="1"/>
  <c r="AA98" i="31"/>
  <c r="AJ98" i="31" s="1"/>
  <c r="Z114" i="31"/>
  <c r="Z144" i="31"/>
  <c r="Y69" i="31"/>
  <c r="Y114" i="31"/>
  <c r="AA73" i="31"/>
  <c r="AJ73" i="31" s="1"/>
  <c r="Z123" i="31"/>
  <c r="Z121" i="31"/>
  <c r="Y65" i="31"/>
  <c r="Z101" i="31"/>
  <c r="Y53" i="31"/>
  <c r="AA53" i="31"/>
  <c r="AJ53" i="31" s="1"/>
  <c r="AA146" i="31"/>
  <c r="AJ146" i="31" s="1"/>
  <c r="Z79" i="31"/>
  <c r="Y64" i="31"/>
  <c r="Y81" i="31"/>
  <c r="AA104" i="31"/>
  <c r="AJ104" i="31" s="1"/>
  <c r="Z104" i="31"/>
  <c r="AA105" i="31"/>
  <c r="AJ105" i="31" s="1"/>
  <c r="AA57" i="31"/>
  <c r="AJ57" i="31" s="1"/>
  <c r="Y62" i="31"/>
  <c r="Y78" i="31"/>
  <c r="AA84" i="31"/>
  <c r="AJ84" i="31" s="1"/>
  <c r="AA102" i="31"/>
  <c r="AJ102" i="31" s="1"/>
  <c r="Z46" i="31"/>
  <c r="Z77" i="31"/>
  <c r="Z73" i="31"/>
  <c r="Z105" i="31"/>
  <c r="Z83" i="31"/>
  <c r="Z120" i="31"/>
  <c r="Z76" i="31"/>
  <c r="Y7" i="31"/>
  <c r="Z93" i="31"/>
  <c r="AA18" i="31"/>
  <c r="AJ18" i="31" s="1"/>
  <c r="AA21" i="31"/>
  <c r="AJ21" i="31" s="1"/>
  <c r="Y9" i="31"/>
  <c r="AA94" i="31"/>
  <c r="AJ94" i="31" s="1"/>
  <c r="Z129" i="31"/>
  <c r="AA65" i="31"/>
  <c r="AJ65" i="31" s="1"/>
  <c r="AA140" i="31"/>
  <c r="AJ140" i="31" s="1"/>
  <c r="Z95" i="31"/>
  <c r="Y51" i="31"/>
  <c r="Y18" i="31"/>
  <c r="Y96" i="31"/>
  <c r="Z138" i="31"/>
  <c r="Z124" i="31"/>
  <c r="Z8" i="31"/>
  <c r="AA77" i="31"/>
  <c r="AJ77" i="31" s="1"/>
  <c r="Y102" i="31"/>
  <c r="AA97" i="31"/>
  <c r="AJ97" i="31" s="1"/>
  <c r="Z92" i="31"/>
  <c r="AA120" i="31"/>
  <c r="AJ120" i="31" s="1"/>
  <c r="AA70" i="31"/>
  <c r="AJ70" i="31" s="1"/>
  <c r="AA64" i="31"/>
  <c r="AJ64" i="31" s="1"/>
  <c r="Y84" i="31"/>
  <c r="Y116" i="31"/>
  <c r="Z128" i="31"/>
  <c r="Y23" i="31"/>
  <c r="Y79" i="31"/>
  <c r="Z94" i="31"/>
  <c r="Z134" i="31"/>
  <c r="Z139" i="31"/>
  <c r="Y26" i="31"/>
  <c r="Z125" i="31"/>
  <c r="Z31" i="31"/>
  <c r="AA54" i="31"/>
  <c r="Y128" i="31"/>
  <c r="AA110" i="31"/>
  <c r="AJ110" i="31" s="1"/>
  <c r="Z23" i="31"/>
  <c r="Z18" i="31"/>
  <c r="AA62" i="31"/>
  <c r="AJ62" i="31" s="1"/>
  <c r="Z111" i="31"/>
  <c r="Z26" i="31"/>
  <c r="Z146" i="31"/>
  <c r="Y90" i="31"/>
  <c r="Y75" i="31"/>
  <c r="AA8" i="31"/>
  <c r="AJ8" i="31" s="1"/>
  <c r="Y149" i="31"/>
  <c r="Z48" i="31"/>
  <c r="AA148" i="31"/>
  <c r="AJ148" i="31" s="1"/>
  <c r="Y97" i="31"/>
  <c r="Z98" i="31"/>
  <c r="Z75" i="31"/>
  <c r="AA79" i="31"/>
  <c r="AJ79" i="31" s="1"/>
  <c r="Y52" i="31"/>
  <c r="Y76" i="31"/>
  <c r="Y94" i="31"/>
  <c r="Z96" i="31"/>
  <c r="Z135" i="31"/>
  <c r="Z11" i="31"/>
  <c r="Y33" i="31"/>
  <c r="Z32" i="31"/>
  <c r="Z28" i="31"/>
  <c r="AA69" i="31"/>
  <c r="AJ69" i="31" s="1"/>
  <c r="Z54" i="31"/>
  <c r="Z57" i="31"/>
  <c r="AA9" i="31"/>
  <c r="AJ9" i="31" s="1"/>
  <c r="Z130" i="31"/>
  <c r="Z10" i="31"/>
  <c r="Y70" i="31"/>
  <c r="Z25" i="31"/>
  <c r="AA90" i="31"/>
  <c r="AJ90" i="31" s="1"/>
  <c r="Y101" i="25"/>
  <c r="Z67" i="31"/>
  <c r="AA67" i="31"/>
  <c r="AJ67" i="31" s="1"/>
  <c r="Z61" i="31"/>
  <c r="AA61" i="31"/>
  <c r="AJ61" i="31" s="1"/>
  <c r="Y61" i="31"/>
  <c r="Z122" i="31"/>
  <c r="Y143" i="31"/>
  <c r="AA143" i="31"/>
  <c r="AJ143" i="31" s="1"/>
  <c r="Z143" i="31"/>
  <c r="Y147" i="33"/>
  <c r="Z147" i="33"/>
  <c r="AI147" i="33" s="1"/>
  <c r="X147" i="33"/>
  <c r="X75" i="33"/>
  <c r="X65" i="33"/>
  <c r="X33" i="33"/>
  <c r="Z32" i="33"/>
  <c r="AI32" i="33" s="1"/>
  <c r="X45" i="33"/>
  <c r="X142" i="33"/>
  <c r="Y146" i="33"/>
  <c r="X146" i="33"/>
  <c r="Y153" i="33"/>
  <c r="X94" i="33"/>
  <c r="Y38" i="33"/>
  <c r="Z98" i="33"/>
  <c r="X56" i="33"/>
  <c r="Y124" i="33"/>
  <c r="Y70" i="33"/>
  <c r="Z89" i="33"/>
  <c r="AI89" i="33" s="1"/>
  <c r="X124" i="33"/>
  <c r="X47" i="33"/>
  <c r="Y87" i="33"/>
  <c r="X63" i="33"/>
  <c r="Z127" i="31"/>
  <c r="Y35" i="31"/>
  <c r="AA35" i="31"/>
  <c r="AJ35" i="31" s="1"/>
  <c r="Z131" i="31"/>
  <c r="AA141" i="31"/>
  <c r="AJ141" i="31" s="1"/>
  <c r="Y58" i="33"/>
  <c r="Z58" i="33"/>
  <c r="AI58" i="33" s="1"/>
  <c r="Y142" i="31"/>
  <c r="AA142" i="31"/>
  <c r="AJ142" i="31" s="1"/>
  <c r="Z142" i="31"/>
  <c r="Y24" i="31"/>
  <c r="AA24" i="31"/>
  <c r="AJ24" i="31" s="1"/>
  <c r="Y9" i="33"/>
  <c r="Y60" i="32"/>
  <c r="Z60" i="32"/>
  <c r="Z66" i="31"/>
  <c r="Y66" i="31"/>
  <c r="Z116" i="33"/>
  <c r="AI116" i="33" s="1"/>
  <c r="X116" i="33"/>
  <c r="Y116" i="33"/>
  <c r="Z82" i="33"/>
  <c r="AI82" i="33" s="1"/>
  <c r="Y82" i="33"/>
  <c r="X82" i="33"/>
  <c r="X16" i="33"/>
  <c r="X85" i="33"/>
  <c r="X41" i="33"/>
  <c r="Y51" i="25"/>
  <c r="X96" i="25"/>
  <c r="X132" i="25"/>
  <c r="Z95" i="25"/>
  <c r="AI95" i="25" s="1"/>
  <c r="Z34" i="33"/>
  <c r="AI34" i="33" s="1"/>
  <c r="X114" i="25"/>
  <c r="X28" i="25"/>
  <c r="Z66" i="33"/>
  <c r="AI66" i="33" s="1"/>
  <c r="Z60" i="25"/>
  <c r="AI60" i="25" s="1"/>
  <c r="Y67" i="33"/>
  <c r="Z32" i="25"/>
  <c r="AI32" i="25" s="1"/>
  <c r="Z57" i="25"/>
  <c r="AI57" i="25" s="1"/>
  <c r="X103" i="33"/>
  <c r="Y93" i="33"/>
  <c r="Y123" i="25"/>
  <c r="Z96" i="25"/>
  <c r="AI96" i="25" s="1"/>
  <c r="Y122" i="31"/>
  <c r="Z78" i="25"/>
  <c r="AI78" i="25" s="1"/>
  <c r="Z70" i="33"/>
  <c r="AI70" i="33" s="1"/>
  <c r="Y85" i="33"/>
  <c r="Y30" i="25"/>
  <c r="Z74" i="25"/>
  <c r="AI74" i="25" s="1"/>
  <c r="Z115" i="33"/>
  <c r="AI115" i="33" s="1"/>
  <c r="X90" i="25"/>
  <c r="Z60" i="33"/>
  <c r="AI60" i="33" s="1"/>
  <c r="X23" i="32"/>
  <c r="Z69" i="25"/>
  <c r="AI69" i="25" s="1"/>
  <c r="X142" i="25"/>
  <c r="X8" i="25"/>
  <c r="Z7" i="25"/>
  <c r="AI7" i="25" s="1"/>
  <c r="X37" i="25"/>
  <c r="Y27" i="25"/>
  <c r="X49" i="25"/>
  <c r="Z113" i="25"/>
  <c r="AI113" i="25" s="1"/>
  <c r="X59" i="25"/>
  <c r="Y96" i="25"/>
  <c r="Y49" i="25"/>
  <c r="Y132" i="25"/>
  <c r="Z154" i="25"/>
  <c r="AI154" i="25" s="1"/>
  <c r="Y119" i="25"/>
  <c r="Z147" i="25"/>
  <c r="AI147" i="25" s="1"/>
  <c r="Z89" i="25"/>
  <c r="AI89" i="25" s="1"/>
  <c r="X93" i="25"/>
  <c r="X48" i="25"/>
  <c r="Z37" i="25"/>
  <c r="AI37" i="25" s="1"/>
  <c r="Y102" i="25"/>
  <c r="X14" i="25"/>
  <c r="Y62" i="25"/>
  <c r="X65" i="25"/>
  <c r="Y84" i="25"/>
  <c r="X58" i="25"/>
  <c r="Y92" i="25"/>
  <c r="X106" i="33"/>
  <c r="Z106" i="33"/>
  <c r="AI106" i="33" s="1"/>
  <c r="Y30" i="33"/>
  <c r="X105" i="33"/>
  <c r="X72" i="33"/>
  <c r="Z96" i="33"/>
  <c r="AI96" i="33" s="1"/>
  <c r="X95" i="33"/>
  <c r="Y29" i="33"/>
  <c r="Y32" i="33"/>
  <c r="X113" i="33"/>
  <c r="Y45" i="33"/>
  <c r="X97" i="33"/>
  <c r="Y115" i="33"/>
  <c r="Y59" i="33"/>
  <c r="X89" i="33"/>
  <c r="X60" i="33"/>
  <c r="Y100" i="33"/>
  <c r="X125" i="33"/>
  <c r="Y42" i="33"/>
  <c r="Y27" i="33"/>
  <c r="Y106" i="33"/>
  <c r="X68" i="33"/>
  <c r="Y125" i="33"/>
  <c r="Y92" i="33"/>
  <c r="Y68" i="33"/>
  <c r="X92" i="33"/>
  <c r="X67" i="33"/>
  <c r="X87" i="33"/>
  <c r="Z125" i="33"/>
  <c r="AI125" i="33" s="1"/>
  <c r="Y46" i="33"/>
  <c r="Y31" i="33"/>
  <c r="Y86" i="33"/>
  <c r="X83" i="33"/>
  <c r="Z105" i="33"/>
  <c r="AI105" i="33" s="1"/>
  <c r="Y83" i="33"/>
  <c r="Z92" i="33"/>
  <c r="AI92" i="33" s="1"/>
  <c r="X98" i="33"/>
  <c r="Z118" i="33"/>
  <c r="AI118" i="33" s="1"/>
  <c r="Y43" i="33"/>
  <c r="X104" i="33"/>
  <c r="Y8" i="33"/>
  <c r="X76" i="33"/>
  <c r="Z114" i="25"/>
  <c r="AI114" i="25" s="1"/>
  <c r="Z34" i="25"/>
  <c r="AI34" i="25" s="1"/>
  <c r="Z128" i="33"/>
  <c r="AI128" i="33" s="1"/>
  <c r="X145" i="33"/>
  <c r="Z148" i="33"/>
  <c r="Y127" i="25"/>
  <c r="AA133" i="31"/>
  <c r="AJ133" i="31" s="1"/>
  <c r="X47" i="25"/>
  <c r="X153" i="25"/>
  <c r="Y53" i="25"/>
  <c r="X44" i="33"/>
  <c r="Y33" i="33"/>
  <c r="Y112" i="33"/>
  <c r="Z133" i="33"/>
  <c r="AI133" i="33" s="1"/>
  <c r="X112" i="25"/>
  <c r="X134" i="25"/>
  <c r="X15" i="33"/>
  <c r="Y99" i="33"/>
  <c r="Z97" i="33"/>
  <c r="AI97" i="33" s="1"/>
  <c r="X54" i="33"/>
  <c r="Z86" i="33"/>
  <c r="AI86" i="33" s="1"/>
  <c r="Y95" i="33"/>
  <c r="Y81" i="33"/>
  <c r="Z11" i="25"/>
  <c r="AI11" i="25" s="1"/>
  <c r="Z127" i="25"/>
  <c r="AI127" i="25" s="1"/>
  <c r="X90" i="33"/>
  <c r="Z10" i="25"/>
  <c r="AI10" i="25" s="1"/>
  <c r="X100" i="33"/>
  <c r="Y94" i="33"/>
  <c r="Z68" i="33"/>
  <c r="AI68" i="33" s="1"/>
  <c r="X60" i="25"/>
  <c r="Z87" i="33"/>
  <c r="AI87" i="33" s="1"/>
  <c r="Z98" i="25"/>
  <c r="AI98" i="25" s="1"/>
  <c r="Y94" i="25"/>
  <c r="Z90" i="33"/>
  <c r="AI90" i="33" s="1"/>
  <c r="X88" i="33"/>
  <c r="Y131" i="25"/>
  <c r="X115" i="33"/>
  <c r="Y61" i="33"/>
  <c r="X77" i="33"/>
  <c r="Y35" i="33"/>
  <c r="X35" i="33"/>
  <c r="Y41" i="33"/>
  <c r="X46" i="32"/>
  <c r="Y46" i="32"/>
  <c r="Y21" i="31"/>
  <c r="Y23" i="32"/>
  <c r="Y22" i="11"/>
  <c r="Z22" i="12"/>
  <c r="AI22" i="12" s="1"/>
  <c r="Y21" i="14"/>
  <c r="Z21" i="29"/>
  <c r="AI21" i="29" s="1"/>
  <c r="Y21" i="29"/>
  <c r="Z23" i="10"/>
  <c r="AI23" i="10" s="1"/>
  <c r="X23" i="10"/>
  <c r="Z21" i="11"/>
  <c r="Z21" i="14"/>
  <c r="AI21" i="14" s="1"/>
  <c r="X21" i="25"/>
  <c r="Z23" i="32"/>
  <c r="Y22" i="12"/>
  <c r="X22" i="11"/>
  <c r="Z22" i="11"/>
  <c r="AI22" i="11" s="1"/>
  <c r="X21" i="9"/>
  <c r="X22" i="12"/>
  <c r="Y21" i="11"/>
  <c r="Y20" i="12"/>
  <c r="X20" i="12"/>
  <c r="Z20" i="12"/>
  <c r="Y20" i="11"/>
  <c r="Y30" i="11"/>
  <c r="Z30" i="12"/>
  <c r="AI30" i="12" s="1"/>
  <c r="Y63" i="25"/>
  <c r="Y30" i="12"/>
  <c r="X64" i="14"/>
  <c r="X64" i="9"/>
  <c r="X30" i="12"/>
  <c r="X66" i="35"/>
  <c r="Z28" i="25"/>
  <c r="AI28" i="25" s="1"/>
  <c r="Y79" i="25"/>
  <c r="AA87" i="31"/>
  <c r="AJ87" i="31" s="1"/>
  <c r="Y17" i="31"/>
  <c r="Z62" i="25"/>
  <c r="AI62" i="25" s="1"/>
  <c r="X133" i="25"/>
  <c r="Z112" i="31"/>
  <c r="AA20" i="31"/>
  <c r="AJ20" i="31" s="1"/>
  <c r="Y105" i="25"/>
  <c r="Z103" i="25"/>
  <c r="AI103" i="25" s="1"/>
  <c r="Y93" i="25"/>
  <c r="Y104" i="25"/>
  <c r="Z8" i="25"/>
  <c r="AI8" i="25" s="1"/>
  <c r="Z12" i="31"/>
  <c r="X18" i="10"/>
  <c r="X17" i="14"/>
  <c r="X18" i="11"/>
  <c r="Z18" i="12"/>
  <c r="AI18" i="12" s="1"/>
  <c r="Y18" i="11"/>
  <c r="Z17" i="31"/>
  <c r="Y18" i="32"/>
  <c r="X17" i="29"/>
  <c r="Z17" i="14"/>
  <c r="AI17" i="14" s="1"/>
  <c r="Z17" i="29"/>
  <c r="AI17" i="29" s="1"/>
  <c r="X18" i="32"/>
  <c r="Y17" i="14"/>
  <c r="Y17" i="25"/>
  <c r="Y18" i="12"/>
  <c r="Z17" i="9"/>
  <c r="AI17" i="9" s="1"/>
  <c r="Y17" i="29"/>
  <c r="Z18" i="10"/>
  <c r="AI18" i="10" s="1"/>
  <c r="X17" i="9"/>
  <c r="Y17" i="9"/>
  <c r="Y18" i="10"/>
  <c r="Z18" i="11"/>
  <c r="AI18" i="11" s="1"/>
  <c r="X18" i="12"/>
  <c r="Z18" i="32"/>
  <c r="Y28" i="31"/>
  <c r="X8" i="10"/>
  <c r="Z8" i="14"/>
  <c r="AI8" i="14" s="1"/>
  <c r="X7" i="32"/>
  <c r="Y8" i="29"/>
  <c r="Z7" i="32"/>
  <c r="Z8" i="10"/>
  <c r="AI8" i="10" s="1"/>
  <c r="Y8" i="10"/>
  <c r="Y7" i="32"/>
  <c r="Z8" i="12"/>
  <c r="AI8" i="12" s="1"/>
  <c r="Y8" i="14"/>
  <c r="Y8" i="12"/>
  <c r="Y8" i="25"/>
  <c r="X8" i="12"/>
  <c r="Y8" i="9"/>
  <c r="Z8" i="9"/>
  <c r="AI8" i="9" s="1"/>
  <c r="X8" i="9"/>
  <c r="X8" i="14"/>
  <c r="Y13" i="12"/>
  <c r="X37" i="9"/>
  <c r="Y37" i="9"/>
  <c r="AA12" i="31"/>
  <c r="AJ12" i="31" s="1"/>
  <c r="Z12" i="32"/>
  <c r="X12" i="29"/>
  <c r="Y12" i="32"/>
  <c r="Y12" i="29"/>
  <c r="Z12" i="9"/>
  <c r="AI12" i="9" s="1"/>
  <c r="Y12" i="25"/>
  <c r="Y76" i="25"/>
  <c r="X140" i="25"/>
  <c r="X122" i="25"/>
  <c r="X12" i="32"/>
  <c r="Z13" i="12"/>
  <c r="AI13" i="12" s="1"/>
  <c r="Y12" i="9"/>
  <c r="Y95" i="25"/>
  <c r="X138" i="25"/>
  <c r="Z12" i="29"/>
  <c r="AI12" i="29" s="1"/>
  <c r="X12" i="9"/>
  <c r="X13" i="12"/>
  <c r="X13" i="11"/>
  <c r="X148" i="25"/>
  <c r="Y114" i="25"/>
  <c r="Z65" i="25"/>
  <c r="AI65" i="25" s="1"/>
  <c r="Z106" i="25"/>
  <c r="AI106" i="25" s="1"/>
  <c r="X76" i="25"/>
  <c r="Z119" i="25"/>
  <c r="AI119" i="25" s="1"/>
  <c r="Y118" i="25"/>
  <c r="X32" i="25"/>
  <c r="X62" i="25"/>
  <c r="X107" i="25"/>
  <c r="Z63" i="25"/>
  <c r="AI63" i="25" s="1"/>
  <c r="X55" i="25"/>
  <c r="Z64" i="25"/>
  <c r="AI64" i="25" s="1"/>
  <c r="Y67" i="25"/>
  <c r="X141" i="25"/>
  <c r="Y134" i="25"/>
  <c r="X149" i="25"/>
  <c r="Z31" i="25"/>
  <c r="AI31" i="25" s="1"/>
  <c r="Y100" i="25"/>
  <c r="Z73" i="25"/>
  <c r="AI73" i="25" s="1"/>
  <c r="Y149" i="25"/>
  <c r="Z115" i="25"/>
  <c r="AI115" i="25" s="1"/>
  <c r="X88" i="25"/>
  <c r="X83" i="25"/>
  <c r="Z126" i="25"/>
  <c r="AI126" i="25" s="1"/>
  <c r="Z67" i="25"/>
  <c r="AI67" i="25" s="1"/>
  <c r="Z70" i="25"/>
  <c r="AI70" i="25" s="1"/>
  <c r="Y109" i="25"/>
  <c r="X29" i="25"/>
  <c r="Z100" i="25"/>
  <c r="AI100" i="25" s="1"/>
  <c r="Y125" i="25"/>
  <c r="X124" i="25"/>
  <c r="Y153" i="25"/>
  <c r="X71" i="25"/>
  <c r="Y91" i="25"/>
  <c r="X126" i="25"/>
  <c r="Z149" i="25"/>
  <c r="AI149" i="25" s="1"/>
  <c r="Z97" i="25"/>
  <c r="AI97" i="25" s="1"/>
  <c r="Z72" i="25"/>
  <c r="AI72" i="25" s="1"/>
  <c r="Y45" i="25"/>
  <c r="Z109" i="25"/>
  <c r="AI109" i="25" s="1"/>
  <c r="Z84" i="25"/>
  <c r="AI84" i="25" s="1"/>
  <c r="X64" i="25"/>
  <c r="Z80" i="25"/>
  <c r="AI80" i="25" s="1"/>
  <c r="X37" i="14"/>
  <c r="X55" i="29"/>
  <c r="Z55" i="29"/>
  <c r="AI55" i="29" s="1"/>
  <c r="X92" i="25"/>
  <c r="Z30" i="25"/>
  <c r="AI30" i="25" s="1"/>
  <c r="Z33" i="25"/>
  <c r="AI33" i="25" s="1"/>
  <c r="Y74" i="25"/>
  <c r="Z85" i="25"/>
  <c r="AI85" i="25" s="1"/>
  <c r="Y71" i="25"/>
  <c r="Y117" i="25"/>
  <c r="Z45" i="25"/>
  <c r="AI45" i="25" s="1"/>
  <c r="X86" i="25"/>
  <c r="Z118" i="25"/>
  <c r="AI118" i="25" s="1"/>
  <c r="Z150" i="25"/>
  <c r="AI150" i="25" s="1"/>
  <c r="X104" i="25"/>
  <c r="Y154" i="25"/>
  <c r="X84" i="25"/>
  <c r="Z49" i="25"/>
  <c r="AI49" i="25" s="1"/>
  <c r="Z111" i="25"/>
  <c r="AI111" i="25" s="1"/>
  <c r="X131" i="25"/>
  <c r="Y111" i="25"/>
  <c r="Z148" i="25"/>
  <c r="AI148" i="25" s="1"/>
  <c r="Y103" i="25"/>
  <c r="Y124" i="25"/>
  <c r="Y44" i="25"/>
  <c r="Y19" i="25"/>
  <c r="Z71" i="25"/>
  <c r="AI71" i="25" s="1"/>
  <c r="Y130" i="25"/>
  <c r="Z20" i="25"/>
  <c r="AI20" i="25" s="1"/>
  <c r="Y148" i="25"/>
  <c r="X95" i="25"/>
  <c r="X82" i="25"/>
  <c r="Y139" i="25"/>
  <c r="Y97" i="25"/>
  <c r="Y135" i="25"/>
  <c r="Y107" i="25"/>
  <c r="Z43" i="25"/>
  <c r="AI43" i="25" s="1"/>
  <c r="X19" i="25"/>
  <c r="X31" i="25"/>
  <c r="X69" i="25"/>
  <c r="Z128" i="25"/>
  <c r="AI128" i="25" s="1"/>
  <c r="Y28" i="25"/>
  <c r="X109" i="25"/>
  <c r="Z9" i="25"/>
  <c r="X80" i="25"/>
  <c r="Y108" i="25"/>
  <c r="Y70" i="25"/>
  <c r="X108" i="25"/>
  <c r="X85" i="25"/>
  <c r="Y77" i="25"/>
  <c r="X102" i="25"/>
  <c r="X13" i="25"/>
  <c r="X46" i="25"/>
  <c r="Y29" i="25"/>
  <c r="X25" i="25"/>
  <c r="Y75" i="25"/>
  <c r="X74" i="25"/>
  <c r="Z124" i="25"/>
  <c r="AI124" i="25" s="1"/>
  <c r="X7" i="25"/>
  <c r="Y26" i="25"/>
  <c r="X11" i="25"/>
  <c r="Y141" i="25"/>
  <c r="Z90" i="25"/>
  <c r="AI90" i="25" s="1"/>
  <c r="Y144" i="25"/>
  <c r="X68" i="25"/>
  <c r="X44" i="25"/>
  <c r="X15" i="25"/>
  <c r="Z75" i="25"/>
  <c r="AI75" i="25" s="1"/>
  <c r="Y43" i="25"/>
  <c r="X118" i="25"/>
  <c r="Z42" i="31"/>
  <c r="Z125" i="25"/>
  <c r="AI125" i="25" s="1"/>
  <c r="Z36" i="31"/>
  <c r="Z40" i="9"/>
  <c r="AI40" i="9" s="1"/>
  <c r="Y56" i="14"/>
  <c r="Y56" i="9"/>
  <c r="X42" i="9"/>
  <c r="Y110" i="25"/>
  <c r="X94" i="25"/>
  <c r="Y25" i="25"/>
  <c r="Y116" i="25"/>
  <c r="X151" i="25"/>
  <c r="X105" i="25"/>
  <c r="X26" i="25"/>
  <c r="X119" i="25"/>
  <c r="Z107" i="25"/>
  <c r="AI107" i="25" s="1"/>
  <c r="Y128" i="25"/>
  <c r="X98" i="25"/>
  <c r="X123" i="25"/>
  <c r="Y58" i="25"/>
  <c r="Y82" i="25"/>
  <c r="Z151" i="25"/>
  <c r="AI151" i="25" s="1"/>
  <c r="Y41" i="9"/>
  <c r="Z41" i="9"/>
  <c r="AI41" i="9" s="1"/>
  <c r="Y42" i="9"/>
  <c r="Z41" i="25"/>
  <c r="AI41" i="25" s="1"/>
  <c r="X46" i="10"/>
  <c r="X56" i="14"/>
  <c r="X116" i="25"/>
  <c r="Y115" i="25"/>
  <c r="Y31" i="25"/>
  <c r="X77" i="25"/>
  <c r="Z108" i="25"/>
  <c r="AI108" i="25" s="1"/>
  <c r="Y133" i="25"/>
  <c r="Y152" i="25"/>
  <c r="X154" i="25"/>
  <c r="Z101" i="25"/>
  <c r="AI101" i="25" s="1"/>
  <c r="X16" i="25"/>
  <c r="Y72" i="25"/>
  <c r="Y7" i="25"/>
  <c r="Y34" i="25"/>
  <c r="Y146" i="25"/>
  <c r="X120" i="25"/>
  <c r="Y88" i="25"/>
  <c r="X106" i="25"/>
  <c r="X117" i="25"/>
  <c r="Z59" i="25"/>
  <c r="AI59" i="25" s="1"/>
  <c r="Z152" i="25"/>
  <c r="AI152" i="25" s="1"/>
  <c r="Y143" i="25"/>
  <c r="Z29" i="25"/>
  <c r="AI29" i="25" s="1"/>
  <c r="X144" i="25"/>
  <c r="Z27" i="25"/>
  <c r="AI27" i="25" s="1"/>
  <c r="Z102" i="25"/>
  <c r="AI102" i="25" s="1"/>
  <c r="Y99" i="25"/>
  <c r="Y126" i="25"/>
  <c r="X45" i="25"/>
  <c r="Z77" i="25"/>
  <c r="AI77" i="25" s="1"/>
  <c r="X103" i="25"/>
  <c r="Y9" i="25"/>
  <c r="Y151" i="25"/>
  <c r="Z91" i="25"/>
  <c r="AI91" i="25" s="1"/>
  <c r="X128" i="25"/>
  <c r="Y69" i="25"/>
  <c r="X147" i="25"/>
  <c r="Y140" i="25"/>
  <c r="Z153" i="25"/>
  <c r="AI153" i="25" s="1"/>
  <c r="X143" i="25"/>
  <c r="Z93" i="25"/>
  <c r="AI93" i="25" s="1"/>
  <c r="Y121" i="25"/>
  <c r="Y61" i="25"/>
  <c r="Z79" i="25"/>
  <c r="AI79" i="25" s="1"/>
  <c r="X111" i="25"/>
  <c r="X10" i="25"/>
  <c r="Y129" i="25"/>
  <c r="Z12" i="25"/>
  <c r="AI12" i="25" s="1"/>
  <c r="X12" i="25"/>
  <c r="Z20" i="11"/>
  <c r="AI20" i="11" s="1"/>
  <c r="X20" i="11"/>
  <c r="Z68" i="25"/>
  <c r="AI68" i="25" s="1"/>
  <c r="Y64" i="25"/>
  <c r="Z105" i="25"/>
  <c r="AI105" i="25" s="1"/>
  <c r="Z20" i="14"/>
  <c r="AI20" i="14" s="1"/>
  <c r="X20" i="14"/>
  <c r="Z40" i="29"/>
  <c r="AI40" i="29" s="1"/>
  <c r="X40" i="29"/>
  <c r="Y59" i="25"/>
  <c r="Y66" i="25"/>
  <c r="X70" i="25"/>
  <c r="X135" i="25"/>
  <c r="Y98" i="25"/>
  <c r="X145" i="25"/>
  <c r="Y142" i="25"/>
  <c r="Z104" i="25"/>
  <c r="AI104" i="25" s="1"/>
  <c r="X152" i="25"/>
  <c r="Y68" i="25"/>
  <c r="Z58" i="25"/>
  <c r="AI58" i="25" s="1"/>
  <c r="X121" i="25"/>
  <c r="Y60" i="25"/>
  <c r="Z86" i="25"/>
  <c r="AI86" i="25" s="1"/>
  <c r="Z145" i="25"/>
  <c r="AI145" i="25" s="1"/>
  <c r="Z82" i="25"/>
  <c r="AI82" i="25" s="1"/>
  <c r="X50" i="25"/>
  <c r="Y65" i="25"/>
  <c r="Z83" i="25"/>
  <c r="AI83" i="25" s="1"/>
  <c r="Y83" i="25"/>
  <c r="X22" i="25"/>
  <c r="Y78" i="25"/>
  <c r="Z94" i="25"/>
  <c r="Y87" i="25"/>
  <c r="Y32" i="25"/>
  <c r="Z92" i="25"/>
  <c r="AI92" i="25" s="1"/>
  <c r="Y85" i="25"/>
  <c r="Y106" i="25"/>
  <c r="Y137" i="25"/>
  <c r="Z88" i="25"/>
  <c r="AI88" i="25" s="1"/>
  <c r="Y138" i="25"/>
  <c r="X79" i="25"/>
  <c r="X115" i="25"/>
  <c r="X139" i="25"/>
  <c r="X66" i="25"/>
  <c r="X97" i="25"/>
  <c r="Z44" i="25"/>
  <c r="AI44" i="25" s="1"/>
  <c r="Y38" i="25"/>
  <c r="Z61" i="25"/>
  <c r="AI61" i="25" s="1"/>
  <c r="Z146" i="25"/>
  <c r="AI146" i="25" s="1"/>
  <c r="Y150" i="25"/>
  <c r="X34" i="25"/>
  <c r="X87" i="25"/>
  <c r="Y147" i="25"/>
  <c r="Y136" i="25"/>
  <c r="X22" i="10"/>
  <c r="Z22" i="10"/>
  <c r="Y22" i="10"/>
  <c r="Y21" i="9"/>
  <c r="Z21" i="9"/>
  <c r="AI21" i="9" s="1"/>
  <c r="Y13" i="11"/>
  <c r="Z13" i="11"/>
  <c r="AI13" i="11" s="1"/>
  <c r="X38" i="9"/>
  <c r="Y38" i="9"/>
  <c r="Z38" i="9"/>
  <c r="AI38" i="9" s="1"/>
  <c r="X36" i="9"/>
  <c r="Z36" i="9"/>
  <c r="AI36" i="9" s="1"/>
  <c r="Y43" i="9"/>
  <c r="Z43" i="9"/>
  <c r="AI43" i="9" s="1"/>
  <c r="X43" i="9"/>
  <c r="X142" i="37"/>
  <c r="Y105" i="37"/>
  <c r="X167" i="37"/>
  <c r="X34" i="35"/>
  <c r="Z158" i="35"/>
  <c r="X61" i="35"/>
  <c r="Z81" i="29"/>
  <c r="AI81" i="29" s="1"/>
  <c r="X63" i="29"/>
  <c r="Y63" i="29"/>
  <c r="Z63" i="29"/>
  <c r="AI63" i="29" s="1"/>
  <c r="Y150" i="38"/>
  <c r="Z159" i="37"/>
  <c r="AI159" i="37" s="1"/>
  <c r="Y149" i="37"/>
  <c r="X36" i="12"/>
  <c r="Y8" i="35"/>
  <c r="X85" i="35"/>
  <c r="Z72" i="32"/>
  <c r="AI72" i="32" s="1"/>
  <c r="Z25" i="35"/>
  <c r="AI25" i="35" s="1"/>
  <c r="Y156" i="38"/>
  <c r="Z64" i="35"/>
  <c r="AI64" i="35" s="1"/>
  <c r="Z158" i="38"/>
  <c r="AI158" i="38" s="1"/>
  <c r="X112" i="37"/>
  <c r="Z45" i="35"/>
  <c r="AI45" i="35" s="1"/>
  <c r="Y66" i="35"/>
  <c r="Y93" i="35"/>
  <c r="Z9" i="11"/>
  <c r="AI9" i="11" s="1"/>
  <c r="Y66" i="10"/>
  <c r="Z66" i="10"/>
  <c r="AI66" i="10" s="1"/>
  <c r="X66" i="10"/>
  <c r="X122" i="35"/>
  <c r="X78" i="35"/>
  <c r="X30" i="11"/>
  <c r="X72" i="32"/>
  <c r="Z165" i="37"/>
  <c r="AI165" i="37" s="1"/>
  <c r="Z82" i="14"/>
  <c r="AI82" i="14" s="1"/>
  <c r="Z64" i="14"/>
  <c r="AI64" i="14" s="1"/>
  <c r="Y64" i="9"/>
  <c r="Z64" i="9"/>
  <c r="AI64" i="9" s="1"/>
  <c r="Z66" i="35"/>
  <c r="Z30" i="11"/>
  <c r="AI30" i="11" s="1"/>
  <c r="Y64" i="14"/>
  <c r="X134" i="35"/>
  <c r="Y72" i="32"/>
  <c r="X106" i="37"/>
  <c r="X47" i="38"/>
  <c r="X169" i="37"/>
  <c r="X86" i="37"/>
  <c r="Y112" i="37"/>
  <c r="Y45" i="38"/>
  <c r="X133" i="38"/>
  <c r="X136" i="38"/>
  <c r="X165" i="37"/>
  <c r="X126" i="35"/>
  <c r="X14" i="35"/>
  <c r="X119" i="35"/>
  <c r="X29" i="35"/>
  <c r="X75" i="35"/>
  <c r="X132" i="35"/>
  <c r="X23" i="35"/>
  <c r="Z115" i="35"/>
  <c r="AI115" i="35" s="1"/>
  <c r="Y81" i="29"/>
  <c r="X80" i="37"/>
  <c r="Y10" i="35"/>
  <c r="Y115" i="38"/>
  <c r="Z54" i="38"/>
  <c r="AI54" i="38" s="1"/>
  <c r="Y36" i="37"/>
  <c r="Z31" i="37"/>
  <c r="AI31" i="37" s="1"/>
  <c r="Y93" i="37"/>
  <c r="Z96" i="38"/>
  <c r="AI96" i="38" s="1"/>
  <c r="Y72" i="38"/>
  <c r="X168" i="37"/>
  <c r="Z48" i="32"/>
  <c r="AI48" i="32" s="1"/>
  <c r="Z36" i="12"/>
  <c r="AI36" i="12" s="1"/>
  <c r="Z157" i="35"/>
  <c r="X52" i="35"/>
  <c r="Y33" i="35"/>
  <c r="Z155" i="35"/>
  <c r="AI155" i="35" s="1"/>
  <c r="Z85" i="35"/>
  <c r="AI85" i="35" s="1"/>
  <c r="Y69" i="35"/>
  <c r="Y96" i="35"/>
  <c r="Z82" i="37"/>
  <c r="Z14" i="37"/>
  <c r="AI14" i="37" s="1"/>
  <c r="Z87" i="37"/>
  <c r="AI87" i="37" s="1"/>
  <c r="Z60" i="12"/>
  <c r="AI60" i="12" s="1"/>
  <c r="Y36" i="12"/>
  <c r="Y76" i="35"/>
  <c r="X157" i="35"/>
  <c r="Z153" i="35"/>
  <c r="X33" i="35"/>
  <c r="Y91" i="35"/>
  <c r="Z53" i="35"/>
  <c r="AI53" i="35" s="1"/>
  <c r="Y90" i="32"/>
  <c r="X60" i="38"/>
  <c r="X50" i="35"/>
  <c r="X117" i="38"/>
  <c r="Y22" i="37"/>
  <c r="Z64" i="37"/>
  <c r="AI64" i="37" s="1"/>
  <c r="X59" i="38"/>
  <c r="Y79" i="38"/>
  <c r="X118" i="38"/>
  <c r="X55" i="37"/>
  <c r="Y80" i="37"/>
  <c r="Y96" i="37"/>
  <c r="X155" i="37"/>
  <c r="X105" i="37"/>
  <c r="Y162" i="37"/>
  <c r="Z66" i="37"/>
  <c r="AI66" i="37" s="1"/>
  <c r="Z136" i="38"/>
  <c r="AI136" i="38" s="1"/>
  <c r="X82" i="37"/>
  <c r="Y82" i="37"/>
  <c r="X27" i="14"/>
  <c r="X82" i="14"/>
  <c r="Y82" i="9"/>
  <c r="X82" i="9"/>
  <c r="Z82" i="9"/>
  <c r="AI82" i="9" s="1"/>
  <c r="X41" i="12"/>
  <c r="X72" i="10"/>
  <c r="Y72" i="10"/>
  <c r="Z9" i="35"/>
  <c r="AI9" i="35" s="1"/>
  <c r="Z17" i="35"/>
  <c r="AI17" i="35" s="1"/>
  <c r="X92" i="35"/>
  <c r="Z7" i="29"/>
  <c r="AI7" i="29" s="1"/>
  <c r="X81" i="29"/>
  <c r="Z120" i="35"/>
  <c r="AI120" i="35" s="1"/>
  <c r="X93" i="35"/>
  <c r="X91" i="35"/>
  <c r="X49" i="35"/>
  <c r="Z111" i="35"/>
  <c r="AI111" i="35" s="1"/>
  <c r="Y82" i="14"/>
  <c r="Z72" i="10"/>
  <c r="AI72" i="10" s="1"/>
  <c r="X115" i="35"/>
  <c r="Y107" i="38"/>
  <c r="Y66" i="37"/>
  <c r="Y30" i="38"/>
  <c r="X141" i="37"/>
  <c r="Z102" i="38"/>
  <c r="AI102" i="38" s="1"/>
  <c r="Y55" i="38"/>
  <c r="X105" i="38"/>
  <c r="Z12" i="37"/>
  <c r="AI12" i="37" s="1"/>
  <c r="Y106" i="37"/>
  <c r="Y138" i="37"/>
  <c r="Y25" i="37"/>
  <c r="Z46" i="38"/>
  <c r="AI46" i="38" s="1"/>
  <c r="Z114" i="38"/>
  <c r="AI114" i="38" s="1"/>
  <c r="Z11" i="37"/>
  <c r="AI11" i="37" s="1"/>
  <c r="X161" i="37"/>
  <c r="Y16" i="12"/>
  <c r="Z142" i="37"/>
  <c r="AI142" i="37" s="1"/>
  <c r="X15" i="12"/>
  <c r="Y65" i="35"/>
  <c r="X139" i="35"/>
  <c r="Y31" i="35"/>
  <c r="X27" i="35"/>
  <c r="Y85" i="35"/>
  <c r="X86" i="35"/>
  <c r="Z82" i="38"/>
  <c r="AI82" i="38" s="1"/>
  <c r="X33" i="37"/>
  <c r="X153" i="38"/>
  <c r="X137" i="38"/>
  <c r="Y135" i="38"/>
  <c r="Z148" i="38"/>
  <c r="AI148" i="38" s="1"/>
  <c r="Z89" i="38"/>
  <c r="AI89" i="38" s="1"/>
  <c r="X66" i="37"/>
  <c r="X116" i="38"/>
  <c r="Y42" i="37"/>
  <c r="X164" i="37"/>
  <c r="Z97" i="37"/>
  <c r="AI97" i="37" s="1"/>
  <c r="X71" i="37"/>
  <c r="Z35" i="37"/>
  <c r="Y104" i="37"/>
  <c r="Z37" i="12"/>
  <c r="AI37" i="12" s="1"/>
  <c r="Y47" i="37"/>
  <c r="Z148" i="37"/>
  <c r="AI148" i="37" s="1"/>
  <c r="X16" i="37"/>
  <c r="X56" i="12"/>
  <c r="X12" i="12"/>
  <c r="X9" i="12"/>
  <c r="X8" i="29"/>
  <c r="Y144" i="35"/>
  <c r="X36" i="11"/>
  <c r="Y36" i="11"/>
  <c r="Y70" i="38"/>
  <c r="Z42" i="38"/>
  <c r="AI42" i="38" s="1"/>
  <c r="Y104" i="38"/>
  <c r="X102" i="37"/>
  <c r="Y68" i="37"/>
  <c r="X164" i="38"/>
  <c r="Y24" i="38"/>
  <c r="Y42" i="38"/>
  <c r="X97" i="38"/>
  <c r="Y62" i="37"/>
  <c r="Z133" i="37"/>
  <c r="AI133" i="37" s="1"/>
  <c r="Y21" i="37"/>
  <c r="X77" i="37"/>
  <c r="X44" i="38"/>
  <c r="Z61" i="12"/>
  <c r="AI61" i="12" s="1"/>
  <c r="X125" i="35"/>
  <c r="Z82" i="35"/>
  <c r="AI82" i="35" s="1"/>
  <c r="X144" i="35"/>
  <c r="Y135" i="35"/>
  <c r="Z90" i="32"/>
  <c r="AI90" i="32" s="1"/>
  <c r="Z36" i="11"/>
  <c r="AI36" i="11" s="1"/>
  <c r="X90" i="32"/>
  <c r="Y163" i="37"/>
  <c r="Y52" i="37"/>
  <c r="Z145" i="37"/>
  <c r="AI145" i="37" s="1"/>
  <c r="X100" i="37"/>
  <c r="X156" i="37"/>
  <c r="X23" i="37"/>
  <c r="Z158" i="37"/>
  <c r="AI158" i="37" s="1"/>
  <c r="Z116" i="37"/>
  <c r="AI116" i="37" s="1"/>
  <c r="Y8" i="37"/>
  <c r="X90" i="38"/>
  <c r="Z68" i="38"/>
  <c r="AI68" i="38" s="1"/>
  <c r="Z121" i="38"/>
  <c r="AI121" i="38" s="1"/>
  <c r="Y49" i="38"/>
  <c r="Z62" i="38"/>
  <c r="AI62" i="38" s="1"/>
  <c r="Z119" i="38"/>
  <c r="AI119" i="38" s="1"/>
  <c r="X160" i="38"/>
  <c r="X68" i="38"/>
  <c r="Y160" i="38"/>
  <c r="X147" i="38"/>
  <c r="X73" i="38"/>
  <c r="X32" i="38"/>
  <c r="Z78" i="38"/>
  <c r="AI78" i="38" s="1"/>
  <c r="Z130" i="38"/>
  <c r="AI130" i="38" s="1"/>
  <c r="Y67" i="38"/>
  <c r="Y143" i="38"/>
  <c r="Y121" i="38"/>
  <c r="Z93" i="38"/>
  <c r="AI93" i="38" s="1"/>
  <c r="Y158" i="38"/>
  <c r="Y86" i="38"/>
  <c r="X74" i="38"/>
  <c r="Y134" i="38"/>
  <c r="Y120" i="38"/>
  <c r="Y74" i="38"/>
  <c r="X88" i="38"/>
  <c r="X83" i="38"/>
  <c r="Y149" i="38"/>
  <c r="X40" i="38"/>
  <c r="X44" i="12"/>
  <c r="Y17" i="12"/>
  <c r="X43" i="12"/>
  <c r="Y42" i="12"/>
  <c r="Y100" i="37"/>
  <c r="Y54" i="37"/>
  <c r="Z29" i="12"/>
  <c r="AI29" i="12" s="1"/>
  <c r="Y11" i="37"/>
  <c r="Y103" i="37"/>
  <c r="X133" i="37"/>
  <c r="X28" i="37"/>
  <c r="X38" i="37"/>
  <c r="Z79" i="37"/>
  <c r="AI79" i="37" s="1"/>
  <c r="Y64" i="37"/>
  <c r="X46" i="37"/>
  <c r="Y45" i="37"/>
  <c r="Z109" i="37"/>
  <c r="AI109" i="37" s="1"/>
  <c r="X68" i="37"/>
  <c r="X151" i="37"/>
  <c r="X153" i="37"/>
  <c r="X31" i="37"/>
  <c r="Y150" i="37"/>
  <c r="X157" i="37"/>
  <c r="Y78" i="37"/>
  <c r="X32" i="37"/>
  <c r="Z150" i="37"/>
  <c r="AI150" i="37" s="1"/>
  <c r="Z94" i="37"/>
  <c r="Z110" i="37"/>
  <c r="AI110" i="37" s="1"/>
  <c r="X65" i="37"/>
  <c r="X54" i="37"/>
  <c r="Y31" i="37"/>
  <c r="X121" i="9"/>
  <c r="Y121" i="9"/>
  <c r="Z121" i="9"/>
  <c r="AI121" i="9" s="1"/>
  <c r="X23" i="12"/>
  <c r="Z23" i="12"/>
  <c r="AI23" i="12" s="1"/>
  <c r="Y89" i="14"/>
  <c r="X89" i="14"/>
  <c r="Z89" i="14"/>
  <c r="AI89" i="14" s="1"/>
  <c r="Y95" i="10"/>
  <c r="Z95" i="10"/>
  <c r="AI95" i="10" s="1"/>
  <c r="X95" i="10"/>
  <c r="X85" i="14"/>
  <c r="Y85" i="14"/>
  <c r="Z85" i="14"/>
  <c r="AI85" i="14" s="1"/>
  <c r="X31" i="12"/>
  <c r="Z59" i="12"/>
  <c r="AI59" i="12" s="1"/>
  <c r="Z54" i="12"/>
  <c r="AI54" i="12" s="1"/>
  <c r="X49" i="12"/>
  <c r="Z42" i="12"/>
  <c r="AI42" i="12" s="1"/>
  <c r="Z45" i="12"/>
  <c r="AI45" i="12" s="1"/>
  <c r="Y44" i="12"/>
  <c r="X34" i="12"/>
  <c r="X25" i="12"/>
  <c r="Z41" i="12"/>
  <c r="AI41" i="12" s="1"/>
  <c r="Z35" i="12"/>
  <c r="AI35" i="12" s="1"/>
  <c r="X37" i="12"/>
  <c r="X52" i="12"/>
  <c r="X10" i="12"/>
  <c r="Y83" i="10"/>
  <c r="X83" i="10"/>
  <c r="Z83" i="10"/>
  <c r="AI83" i="10" s="1"/>
  <c r="Y45" i="14"/>
  <c r="X45" i="14"/>
  <c r="Z45" i="14"/>
  <c r="AI45" i="14" s="1"/>
  <c r="Y74" i="29"/>
  <c r="Z74" i="29"/>
  <c r="AI74" i="29" s="1"/>
  <c r="X74" i="29"/>
  <c r="Y78" i="10"/>
  <c r="Y68" i="10"/>
  <c r="X82" i="10"/>
  <c r="Y37" i="10"/>
  <c r="Y42" i="10"/>
  <c r="Y10" i="10"/>
  <c r="Y62" i="10"/>
  <c r="Y38" i="10"/>
  <c r="Y92" i="10"/>
  <c r="Z88" i="10"/>
  <c r="AI88" i="10" s="1"/>
  <c r="Z68" i="10"/>
  <c r="AI68" i="10" s="1"/>
  <c r="Z105" i="10"/>
  <c r="AI105" i="10" s="1"/>
  <c r="X53" i="10"/>
  <c r="Y70" i="10"/>
  <c r="Z26" i="10"/>
  <c r="AI26" i="10" s="1"/>
  <c r="Y19" i="10"/>
  <c r="Y65" i="10"/>
  <c r="X12" i="10"/>
  <c r="X75" i="10"/>
  <c r="X88" i="10"/>
  <c r="Y73" i="10"/>
  <c r="Y12" i="10"/>
  <c r="Y104" i="10"/>
  <c r="Y80" i="10"/>
  <c r="Y50" i="10"/>
  <c r="Y15" i="10"/>
  <c r="X103" i="10"/>
  <c r="Z87" i="10"/>
  <c r="AI87" i="10" s="1"/>
  <c r="Y97" i="10"/>
  <c r="X106" i="10"/>
  <c r="X24" i="10"/>
  <c r="X36" i="10"/>
  <c r="Y58" i="10"/>
  <c r="Y76" i="10"/>
  <c r="X86" i="10"/>
  <c r="Y24" i="10"/>
  <c r="Y9" i="10"/>
  <c r="X85" i="10"/>
  <c r="Y36" i="10"/>
  <c r="Z102" i="10"/>
  <c r="AI102" i="10" s="1"/>
  <c r="Z96" i="10"/>
  <c r="AI96" i="10" s="1"/>
  <c r="Z75" i="10"/>
  <c r="AI75" i="10" s="1"/>
  <c r="X78" i="10"/>
  <c r="Y56" i="10"/>
  <c r="Y64" i="10"/>
  <c r="Z58" i="10"/>
  <c r="AI58" i="10" s="1"/>
  <c r="X104" i="10"/>
  <c r="X26" i="10"/>
  <c r="X9" i="10"/>
  <c r="X38" i="10"/>
  <c r="Z70" i="10"/>
  <c r="AI70" i="10" s="1"/>
  <c r="X97" i="10"/>
  <c r="X68" i="10"/>
  <c r="X7" i="10"/>
  <c r="Y87" i="10"/>
  <c r="Y29" i="10"/>
  <c r="Y20" i="10"/>
  <c r="Y16" i="10"/>
  <c r="Y34" i="10"/>
  <c r="Z69" i="10"/>
  <c r="AI69" i="10" s="1"/>
  <c r="Z78" i="10"/>
  <c r="AI78" i="10" s="1"/>
  <c r="Z82" i="10"/>
  <c r="AI82" i="10" s="1"/>
  <c r="Y105" i="10"/>
  <c r="X58" i="10"/>
  <c r="X98" i="10"/>
  <c r="Y60" i="10"/>
  <c r="Y61" i="10"/>
  <c r="X65" i="10"/>
  <c r="X60" i="10"/>
  <c r="X49" i="10"/>
  <c r="X89" i="10"/>
  <c r="Z53" i="10"/>
  <c r="AI53" i="10" s="1"/>
  <c r="X70" i="10"/>
  <c r="X105" i="10"/>
  <c r="X76" i="10"/>
  <c r="Y53" i="10"/>
  <c r="Y30" i="10"/>
  <c r="X27" i="10"/>
  <c r="Y96" i="10"/>
  <c r="Y33" i="10"/>
  <c r="Z76" i="10"/>
  <c r="AI76" i="10" s="1"/>
  <c r="Z86" i="10"/>
  <c r="AI86" i="10" s="1"/>
  <c r="Z27" i="10"/>
  <c r="Z73" i="10"/>
  <c r="AI73" i="10" s="1"/>
  <c r="X87" i="10"/>
  <c r="X29" i="10"/>
  <c r="Y102" i="10"/>
  <c r="Y74" i="10"/>
  <c r="Y52" i="10"/>
  <c r="Z97" i="10"/>
  <c r="AI97" i="10" s="1"/>
  <c r="Z54" i="10"/>
  <c r="AI54" i="10" s="1"/>
  <c r="Z64" i="10"/>
  <c r="AI64" i="10" s="1"/>
  <c r="X56" i="10"/>
  <c r="Y26" i="10"/>
  <c r="X54" i="10"/>
  <c r="X19" i="10"/>
  <c r="Y93" i="10"/>
  <c r="X42" i="10"/>
  <c r="X37" i="10"/>
  <c r="Y101" i="10"/>
  <c r="X96" i="10"/>
  <c r="Y7" i="10"/>
  <c r="Y14" i="10"/>
  <c r="Y32" i="10"/>
  <c r="Y103" i="10"/>
  <c r="Y81" i="10"/>
  <c r="Y27" i="10"/>
  <c r="Y90" i="10"/>
  <c r="Y48" i="10"/>
  <c r="X80" i="10"/>
  <c r="Z57" i="10"/>
  <c r="AI57" i="10" s="1"/>
  <c r="Y69" i="10"/>
  <c r="Y25" i="10"/>
  <c r="X57" i="10"/>
  <c r="X11" i="10"/>
  <c r="Y98" i="10"/>
  <c r="X69" i="10"/>
  <c r="X64" i="10"/>
  <c r="X102" i="10"/>
  <c r="X61" i="10"/>
  <c r="Z61" i="10"/>
  <c r="AI61" i="10" s="1"/>
  <c r="Z80" i="10"/>
  <c r="AI80" i="10" s="1"/>
  <c r="Z74" i="10"/>
  <c r="AI74" i="10" s="1"/>
  <c r="Z11" i="10"/>
  <c r="AI11" i="10" s="1"/>
  <c r="Z25" i="10"/>
  <c r="AI25" i="10" s="1"/>
  <c r="Y88" i="10"/>
  <c r="Y11" i="10"/>
  <c r="X94" i="10"/>
  <c r="X25" i="10"/>
  <c r="X77" i="10"/>
  <c r="Z60" i="10"/>
  <c r="AI60" i="10" s="1"/>
  <c r="Y85" i="10"/>
  <c r="Z14" i="10"/>
  <c r="AI14" i="10" s="1"/>
  <c r="Z84" i="10"/>
  <c r="AI84" i="10" s="1"/>
  <c r="Y82" i="10"/>
  <c r="Y54" i="10"/>
  <c r="Y77" i="10"/>
  <c r="Y86" i="10"/>
  <c r="Z56" i="10"/>
  <c r="X50" i="10"/>
  <c r="Z50" i="10"/>
  <c r="AI50" i="10" s="1"/>
  <c r="Z38" i="10"/>
  <c r="X48" i="10"/>
  <c r="Z42" i="10"/>
  <c r="AI42" i="10" s="1"/>
  <c r="Z19" i="10"/>
  <c r="AI19" i="10" s="1"/>
  <c r="Z103" i="10"/>
  <c r="AI103" i="10" s="1"/>
  <c r="X33" i="10"/>
  <c r="X14" i="10"/>
  <c r="Z65" i="10"/>
  <c r="AI65" i="10" s="1"/>
  <c r="Y89" i="10"/>
  <c r="X10" i="10"/>
  <c r="Y100" i="10"/>
  <c r="Z52" i="10"/>
  <c r="AI52" i="10" s="1"/>
  <c r="Z104" i="10"/>
  <c r="AI104" i="10" s="1"/>
  <c r="Y106" i="10"/>
  <c r="Y49" i="10"/>
  <c r="Z62" i="10"/>
  <c r="Y84" i="10"/>
  <c r="Z37" i="10"/>
  <c r="AI37" i="10" s="1"/>
  <c r="Z101" i="10"/>
  <c r="AI101" i="10" s="1"/>
  <c r="Z24" i="10"/>
  <c r="AI24" i="10" s="1"/>
  <c r="X81" i="10"/>
  <c r="Z92" i="10"/>
  <c r="AI92" i="10" s="1"/>
  <c r="Y75" i="10"/>
  <c r="Z100" i="10"/>
  <c r="AI100" i="10" s="1"/>
  <c r="X101" i="10"/>
  <c r="X84" i="10"/>
  <c r="Z32" i="10"/>
  <c r="AI32" i="10" s="1"/>
  <c r="Z81" i="10"/>
  <c r="AI81" i="10" s="1"/>
  <c r="Z15" i="10"/>
  <c r="AI15" i="10" s="1"/>
  <c r="X34" i="10"/>
  <c r="Y94" i="10"/>
  <c r="X20" i="10"/>
  <c r="Z77" i="10"/>
  <c r="AI77" i="10" s="1"/>
  <c r="X32" i="10"/>
  <c r="Z16" i="10"/>
  <c r="AI16" i="10" s="1"/>
  <c r="X16" i="10"/>
  <c r="Z98" i="10"/>
  <c r="AI98" i="10" s="1"/>
  <c r="X90" i="10"/>
  <c r="X62" i="10"/>
  <c r="X73" i="10"/>
  <c r="Z20" i="10"/>
  <c r="AI20" i="10" s="1"/>
  <c r="Z93" i="10"/>
  <c r="AI93" i="10" s="1"/>
  <c r="Y57" i="10"/>
  <c r="Z10" i="10"/>
  <c r="Z89" i="10"/>
  <c r="AI89" i="10" s="1"/>
  <c r="X100" i="10"/>
  <c r="Z12" i="10"/>
  <c r="AI12" i="10" s="1"/>
  <c r="Z94" i="10"/>
  <c r="AI94" i="10" s="1"/>
  <c r="X92" i="10"/>
  <c r="Z106" i="10"/>
  <c r="X15" i="10"/>
  <c r="X74" i="10"/>
  <c r="Z85" i="10"/>
  <c r="AI85" i="10" s="1"/>
  <c r="Z7" i="10"/>
  <c r="AI7" i="10" s="1"/>
  <c r="Z90" i="10"/>
  <c r="AI90" i="10" s="1"/>
  <c r="X93" i="10"/>
  <c r="X52" i="10"/>
  <c r="Z79" i="10"/>
  <c r="X79" i="10"/>
  <c r="Y79" i="10"/>
  <c r="Y149" i="35"/>
  <c r="Z11" i="35"/>
  <c r="AI11" i="35" s="1"/>
  <c r="Y52" i="35"/>
  <c r="X68" i="35"/>
  <c r="X100" i="35"/>
  <c r="Z129" i="35"/>
  <c r="Y80" i="35"/>
  <c r="X67" i="35"/>
  <c r="Z44" i="35"/>
  <c r="AI44" i="35" s="1"/>
  <c r="X77" i="35"/>
  <c r="Z79" i="35"/>
  <c r="AI79" i="35" s="1"/>
  <c r="Z156" i="35"/>
  <c r="AI156" i="35" s="1"/>
  <c r="Y54" i="35"/>
  <c r="Z154" i="35"/>
  <c r="X55" i="35"/>
  <c r="Z89" i="35"/>
  <c r="AI89" i="35" s="1"/>
  <c r="X11" i="35"/>
  <c r="Y72" i="35"/>
  <c r="Y150" i="35"/>
  <c r="Z38" i="35"/>
  <c r="AI38" i="35" s="1"/>
  <c r="Z95" i="35"/>
  <c r="AI95" i="35" s="1"/>
  <c r="Y41" i="35"/>
  <c r="Z80" i="35"/>
  <c r="AI80" i="35" s="1"/>
  <c r="Y7" i="35"/>
  <c r="X56" i="25"/>
  <c r="X52" i="25"/>
  <c r="X53" i="25"/>
  <c r="X57" i="25"/>
  <c r="X18" i="25"/>
  <c r="X51" i="25"/>
  <c r="X24" i="25"/>
  <c r="X23" i="25"/>
  <c r="X54" i="25"/>
  <c r="X131" i="33"/>
  <c r="Z126" i="33"/>
  <c r="AI126" i="33" s="1"/>
  <c r="Y33" i="32"/>
  <c r="Z53" i="33"/>
  <c r="AI53" i="33" s="1"/>
  <c r="Z62" i="33"/>
  <c r="AI62" i="33" s="1"/>
  <c r="Z56" i="33"/>
  <c r="AI56" i="33" s="1"/>
  <c r="X126" i="33"/>
  <c r="Y126" i="33"/>
  <c r="AA125" i="31"/>
  <c r="AJ125" i="31" s="1"/>
  <c r="Z37" i="31"/>
  <c r="Z34" i="31"/>
  <c r="Z49" i="31"/>
  <c r="Z19" i="31"/>
  <c r="Z45" i="31"/>
  <c r="Z43" i="31"/>
  <c r="Z38" i="31"/>
  <c r="Z44" i="31"/>
  <c r="Y57" i="32"/>
  <c r="Y51" i="32"/>
  <c r="Z59" i="29"/>
  <c r="AI59" i="29" s="1"/>
  <c r="Y57" i="33"/>
  <c r="Y18" i="33"/>
  <c r="Y54" i="33"/>
  <c r="Y53" i="33"/>
  <c r="Y23" i="33"/>
  <c r="Y56" i="33"/>
  <c r="Y17" i="33"/>
  <c r="Y62" i="33"/>
  <c r="Y52" i="33"/>
  <c r="Y24" i="33"/>
  <c r="X18" i="33"/>
  <c r="Z33" i="14"/>
  <c r="AI33" i="14" s="1"/>
  <c r="X54" i="14"/>
  <c r="Y104" i="33"/>
  <c r="Y103" i="33"/>
  <c r="Y117" i="33"/>
  <c r="Y19" i="31"/>
  <c r="Y43" i="31"/>
  <c r="Y34" i="31"/>
  <c r="Y49" i="31"/>
  <c r="Y45" i="31"/>
  <c r="Y38" i="31"/>
  <c r="Y37" i="31"/>
  <c r="Y44" i="31"/>
  <c r="Y25" i="32"/>
  <c r="Z47" i="25"/>
  <c r="AI47" i="25" s="1"/>
  <c r="Z46" i="25"/>
  <c r="AI46" i="25" s="1"/>
  <c r="Z22" i="25"/>
  <c r="AI22" i="25" s="1"/>
  <c r="Z13" i="25"/>
  <c r="AI13" i="25" s="1"/>
  <c r="Z50" i="25"/>
  <c r="AI50" i="25" s="1"/>
  <c r="Z48" i="25"/>
  <c r="AI48" i="25" s="1"/>
  <c r="Z15" i="25"/>
  <c r="AI15" i="25" s="1"/>
  <c r="Z14" i="25"/>
  <c r="AI14" i="25" s="1"/>
  <c r="Z16" i="25"/>
  <c r="AI16" i="25" s="1"/>
  <c r="Y130" i="31"/>
  <c r="Y129" i="31"/>
  <c r="Y127" i="31"/>
  <c r="Y124" i="31"/>
  <c r="Y133" i="31"/>
  <c r="Y126" i="31"/>
  <c r="Y138" i="31"/>
  <c r="Y125" i="31"/>
  <c r="Y137" i="31"/>
  <c r="Y131" i="31"/>
  <c r="Y136" i="31"/>
  <c r="Y139" i="31"/>
  <c r="Y132" i="31"/>
  <c r="Y134" i="31"/>
  <c r="Y135" i="31"/>
  <c r="Y69" i="33"/>
  <c r="Y80" i="33"/>
  <c r="Y79" i="33"/>
  <c r="X30" i="10"/>
  <c r="Z35" i="32"/>
  <c r="AI35" i="32" s="1"/>
  <c r="Z25" i="32"/>
  <c r="AI25" i="32" s="1"/>
  <c r="Z40" i="32"/>
  <c r="AI40" i="32" s="1"/>
  <c r="Z28" i="32"/>
  <c r="AI28" i="32" s="1"/>
  <c r="Y7" i="37"/>
  <c r="X7" i="37"/>
  <c r="Z7" i="37"/>
  <c r="AI7" i="37" s="1"/>
  <c r="Z139" i="38"/>
  <c r="AI139" i="38" s="1"/>
  <c r="Z26" i="38"/>
  <c r="AI26" i="38" s="1"/>
  <c r="Y26" i="38"/>
  <c r="Z76" i="37"/>
  <c r="AI76" i="37" s="1"/>
  <c r="X76" i="37"/>
  <c r="Y108" i="37"/>
  <c r="Z21" i="35"/>
  <c r="AI21" i="35" s="1"/>
  <c r="Z14" i="35"/>
  <c r="AI14" i="35" s="1"/>
  <c r="Z122" i="35"/>
  <c r="AI122" i="35" s="1"/>
  <c r="X56" i="35"/>
  <c r="Z55" i="35"/>
  <c r="AI55" i="35" s="1"/>
  <c r="X35" i="35"/>
  <c r="X99" i="35"/>
  <c r="X102" i="35"/>
  <c r="Y141" i="35"/>
  <c r="X42" i="35"/>
  <c r="Y156" i="35"/>
  <c r="X120" i="35"/>
  <c r="Z149" i="35"/>
  <c r="AI149" i="35" s="1"/>
  <c r="Y117" i="35"/>
  <c r="Z52" i="35"/>
  <c r="AI52" i="35" s="1"/>
  <c r="Z110" i="35"/>
  <c r="AI110" i="35" s="1"/>
  <c r="Y45" i="35"/>
  <c r="Z88" i="35"/>
  <c r="AI88" i="35" s="1"/>
  <c r="Z65" i="35"/>
  <c r="AI65" i="35" s="1"/>
  <c r="Z137" i="35"/>
  <c r="AI137" i="35" s="1"/>
  <c r="Z131" i="35"/>
  <c r="Y123" i="35"/>
  <c r="Y56" i="35"/>
  <c r="X21" i="35"/>
  <c r="X89" i="35"/>
  <c r="Z35" i="35"/>
  <c r="Y46" i="35"/>
  <c r="Y55" i="35"/>
  <c r="Y160" i="35"/>
  <c r="X26" i="35"/>
  <c r="Y143" i="35"/>
  <c r="Z123" i="35"/>
  <c r="AI123" i="35" s="1"/>
  <c r="Y114" i="35"/>
  <c r="Y102" i="35"/>
  <c r="Y153" i="35"/>
  <c r="Y49" i="35"/>
  <c r="X57" i="35"/>
  <c r="Y147" i="35"/>
  <c r="X156" i="35"/>
  <c r="Y44" i="35"/>
  <c r="X22" i="35"/>
  <c r="Y9" i="32"/>
  <c r="AA47" i="31"/>
  <c r="AJ47" i="31" s="1"/>
  <c r="AA11" i="31"/>
  <c r="AJ11" i="31" s="1"/>
  <c r="AA46" i="31"/>
  <c r="AJ46" i="31" s="1"/>
  <c r="AA14" i="31"/>
  <c r="AA22" i="31"/>
  <c r="AJ22" i="31" s="1"/>
  <c r="AA48" i="31"/>
  <c r="AJ48" i="31" s="1"/>
  <c r="AA50" i="31"/>
  <c r="AJ50" i="31" s="1"/>
  <c r="AA15" i="31"/>
  <c r="AA13" i="31"/>
  <c r="AJ13" i="31" s="1"/>
  <c r="AA16" i="31"/>
  <c r="Z47" i="14"/>
  <c r="AI47" i="14" s="1"/>
  <c r="X7" i="38"/>
  <c r="Y7" i="38"/>
  <c r="Z7" i="38"/>
  <c r="AI7" i="38" s="1"/>
  <c r="X168" i="38"/>
  <c r="Y32" i="38"/>
  <c r="X55" i="38"/>
  <c r="Y92" i="38"/>
  <c r="Y78" i="38"/>
  <c r="X70" i="38"/>
  <c r="Y64" i="38"/>
  <c r="X20" i="38"/>
  <c r="Z105" i="38"/>
  <c r="AI105" i="38" s="1"/>
  <c r="Y141" i="37"/>
  <c r="Z167" i="37"/>
  <c r="AI167" i="37" s="1"/>
  <c r="X152" i="37"/>
  <c r="X166" i="37"/>
  <c r="Y77" i="37"/>
  <c r="X59" i="37"/>
  <c r="X53" i="37"/>
  <c r="Y17" i="38"/>
  <c r="Y10" i="38"/>
  <c r="X17" i="38"/>
  <c r="Z106" i="37"/>
  <c r="AI106" i="37" s="1"/>
  <c r="Y63" i="37"/>
  <c r="Y91" i="37"/>
  <c r="X79" i="37"/>
  <c r="X149" i="37"/>
  <c r="Z161" i="37"/>
  <c r="AI161" i="37" s="1"/>
  <c r="Y51" i="37"/>
  <c r="Y120" i="37"/>
  <c r="Y157" i="37"/>
  <c r="X146" i="37"/>
  <c r="Z55" i="37"/>
  <c r="AI55" i="37" s="1"/>
  <c r="Y99" i="38"/>
  <c r="Z43" i="38"/>
  <c r="AI43" i="38" s="1"/>
  <c r="Z63" i="38"/>
  <c r="AI63" i="38" s="1"/>
  <c r="Z153" i="38"/>
  <c r="AI153" i="38" s="1"/>
  <c r="Z143" i="38"/>
  <c r="AI143" i="38" s="1"/>
  <c r="Y106" i="38"/>
  <c r="Y157" i="38"/>
  <c r="Y97" i="38"/>
  <c r="X167" i="38"/>
  <c r="Y76" i="38"/>
  <c r="X143" i="38"/>
  <c r="X158" i="38"/>
  <c r="Z34" i="38"/>
  <c r="AI34" i="38" s="1"/>
  <c r="Z166" i="38"/>
  <c r="AI166" i="38" s="1"/>
  <c r="Z168" i="38"/>
  <c r="AI168" i="38" s="1"/>
  <c r="Y114" i="38"/>
  <c r="Y38" i="38"/>
  <c r="Y100" i="38"/>
  <c r="X157" i="38"/>
  <c r="Y169" i="38"/>
  <c r="Y51" i="38"/>
  <c r="X79" i="38"/>
  <c r="Y52" i="38"/>
  <c r="Y101" i="38"/>
  <c r="X42" i="38"/>
  <c r="X91" i="38"/>
  <c r="X100" i="38"/>
  <c r="X89" i="38"/>
  <c r="Y146" i="38"/>
  <c r="X140" i="38"/>
  <c r="Y33" i="12"/>
  <c r="Z25" i="12"/>
  <c r="AI25" i="12" s="1"/>
  <c r="Y56" i="12"/>
  <c r="X39" i="12"/>
  <c r="Z21" i="12"/>
  <c r="Z144" i="37"/>
  <c r="AI144" i="37" s="1"/>
  <c r="X48" i="37"/>
  <c r="Z81" i="37"/>
  <c r="AI81" i="37" s="1"/>
  <c r="Y46" i="37"/>
  <c r="X21" i="37"/>
  <c r="Z113" i="37"/>
  <c r="AI113" i="37" s="1"/>
  <c r="Y67" i="37"/>
  <c r="Y37" i="37"/>
  <c r="X115" i="37"/>
  <c r="X73" i="37"/>
  <c r="Z68" i="37"/>
  <c r="AI68" i="37" s="1"/>
  <c r="X84" i="37"/>
  <c r="X160" i="37"/>
  <c r="Y145" i="37"/>
  <c r="X47" i="37"/>
  <c r="X52" i="37"/>
  <c r="Y144" i="37"/>
  <c r="Z33" i="37"/>
  <c r="AI33" i="37" s="1"/>
  <c r="Z149" i="37"/>
  <c r="AI149" i="37" s="1"/>
  <c r="X143" i="37"/>
  <c r="X72" i="37"/>
  <c r="Y49" i="9"/>
  <c r="Z49" i="9"/>
  <c r="AI49" i="9" s="1"/>
  <c r="X49" i="9"/>
  <c r="X37" i="37"/>
  <c r="Y156" i="9"/>
  <c r="X156" i="9"/>
  <c r="Z156" i="9"/>
  <c r="Y155" i="9"/>
  <c r="X155" i="9"/>
  <c r="Z155" i="9"/>
  <c r="AI155" i="9" s="1"/>
  <c r="X22" i="29"/>
  <c r="Y22" i="29"/>
  <c r="Z22" i="29"/>
  <c r="AI22" i="29" s="1"/>
  <c r="Y130" i="14"/>
  <c r="X130" i="14"/>
  <c r="Z130" i="14"/>
  <c r="AI130" i="14" s="1"/>
  <c r="Y26" i="29"/>
  <c r="Z26" i="29"/>
  <c r="AI26" i="29" s="1"/>
  <c r="X26" i="29"/>
  <c r="Y17" i="10"/>
  <c r="Z17" i="10"/>
  <c r="AI17" i="10" s="1"/>
  <c r="X17" i="10"/>
  <c r="Y117" i="14"/>
  <c r="Z117" i="14"/>
  <c r="AI117" i="14" s="1"/>
  <c r="X117" i="14"/>
  <c r="X19" i="12"/>
  <c r="Y25" i="12"/>
  <c r="Y32" i="12"/>
  <c r="Z38" i="12"/>
  <c r="AI38" i="12" s="1"/>
  <c r="Y24" i="12"/>
  <c r="Z55" i="12"/>
  <c r="AI55" i="12" s="1"/>
  <c r="Z33" i="12"/>
  <c r="AI33" i="12" s="1"/>
  <c r="Y27" i="12"/>
  <c r="X50" i="12"/>
  <c r="X24" i="12"/>
  <c r="Y14" i="12"/>
  <c r="Y34" i="9"/>
  <c r="X34" i="9"/>
  <c r="Z34" i="9"/>
  <c r="AI34" i="9" s="1"/>
  <c r="Y103" i="9"/>
  <c r="X103" i="9"/>
  <c r="Z103" i="9"/>
  <c r="AI103" i="9" s="1"/>
  <c r="X99" i="10"/>
  <c r="Z99" i="10"/>
  <c r="AI99" i="10" s="1"/>
  <c r="Y99" i="10"/>
  <c r="Z93" i="14"/>
  <c r="AI93" i="14" s="1"/>
  <c r="Y93" i="14"/>
  <c r="X93" i="14"/>
  <c r="Y94" i="29"/>
  <c r="X94" i="29"/>
  <c r="Z94" i="29"/>
  <c r="AI94" i="29" s="1"/>
  <c r="X28" i="10"/>
  <c r="Y28" i="10"/>
  <c r="Z28" i="10"/>
  <c r="Y19" i="9"/>
  <c r="X19" i="9"/>
  <c r="Z19" i="9"/>
  <c r="AI19" i="9" s="1"/>
  <c r="Z145" i="35"/>
  <c r="AI145" i="35" s="1"/>
  <c r="X60" i="35"/>
  <c r="X88" i="35"/>
  <c r="Z128" i="35"/>
  <c r="AI128" i="35" s="1"/>
  <c r="X38" i="35"/>
  <c r="Y82" i="35"/>
  <c r="Z86" i="35"/>
  <c r="AI86" i="35" s="1"/>
  <c r="X145" i="35"/>
  <c r="Y75" i="35"/>
  <c r="Z81" i="35"/>
  <c r="AI81" i="35" s="1"/>
  <c r="X161" i="35"/>
  <c r="Z124" i="35"/>
  <c r="AI124" i="35" s="1"/>
  <c r="X111" i="35"/>
  <c r="Y40" i="35"/>
  <c r="Y12" i="35"/>
  <c r="X147" i="35"/>
  <c r="Z50" i="35"/>
  <c r="AI50" i="35" s="1"/>
  <c r="Y62" i="35"/>
  <c r="X146" i="35"/>
  <c r="Z68" i="35"/>
  <c r="AI68" i="35" s="1"/>
  <c r="Z107" i="35"/>
  <c r="AI107" i="35" s="1"/>
  <c r="Z72" i="35"/>
  <c r="AI72" i="35" s="1"/>
  <c r="X95" i="35"/>
  <c r="Z118" i="35"/>
  <c r="AI118" i="35" s="1"/>
  <c r="X41" i="35"/>
  <c r="Z73" i="35"/>
  <c r="AI73" i="35" s="1"/>
  <c r="Z141" i="35"/>
  <c r="AI141" i="35" s="1"/>
  <c r="Y158" i="35"/>
  <c r="Y157" i="35"/>
  <c r="Y159" i="35"/>
  <c r="Y115" i="35"/>
  <c r="Z76" i="35"/>
  <c r="AI76" i="35" s="1"/>
  <c r="Z43" i="35"/>
  <c r="AI43" i="35" s="1"/>
  <c r="Z102" i="35"/>
  <c r="AI102" i="35" s="1"/>
  <c r="X128" i="35"/>
  <c r="X127" i="35"/>
  <c r="X153" i="35"/>
  <c r="X141" i="35"/>
  <c r="X74" i="35"/>
  <c r="Z62" i="35"/>
  <c r="Z126" i="35"/>
  <c r="AI126" i="35" s="1"/>
  <c r="Z94" i="35"/>
  <c r="AI94" i="35" s="1"/>
  <c r="Y50" i="35"/>
  <c r="Y101" i="35"/>
  <c r="Y155" i="35"/>
  <c r="Z93" i="35"/>
  <c r="AI93" i="35" s="1"/>
  <c r="Z144" i="35"/>
  <c r="AI144" i="35" s="1"/>
  <c r="X51" i="35"/>
  <c r="Z48" i="35"/>
  <c r="AI48" i="35" s="1"/>
  <c r="Y31" i="32"/>
  <c r="Y48" i="32"/>
  <c r="Z135" i="33"/>
  <c r="AI135" i="33" s="1"/>
  <c r="X24" i="32"/>
  <c r="X135" i="33"/>
  <c r="Z30" i="33"/>
  <c r="AI30" i="33" s="1"/>
  <c r="Z28" i="33"/>
  <c r="AI28" i="33" s="1"/>
  <c r="Z25" i="33"/>
  <c r="AI25" i="33" s="1"/>
  <c r="Z29" i="33"/>
  <c r="AI29" i="33" s="1"/>
  <c r="Z33" i="33"/>
  <c r="AI33" i="33" s="1"/>
  <c r="Z31" i="33"/>
  <c r="AI31" i="33" s="1"/>
  <c r="Y35" i="32"/>
  <c r="Y58" i="32"/>
  <c r="Y52" i="32"/>
  <c r="X13" i="33"/>
  <c r="X49" i="33"/>
  <c r="X55" i="33"/>
  <c r="X14" i="33"/>
  <c r="X128" i="33"/>
  <c r="Z27" i="14"/>
  <c r="AI27" i="14" s="1"/>
  <c r="Z117" i="33"/>
  <c r="AI117" i="33" s="1"/>
  <c r="Z104" i="33"/>
  <c r="AI104" i="33" s="1"/>
  <c r="Z103" i="33"/>
  <c r="AI103" i="33" s="1"/>
  <c r="X61" i="32"/>
  <c r="Y98" i="33"/>
  <c r="Y114" i="33"/>
  <c r="Y113" i="33"/>
  <c r="Z21" i="33"/>
  <c r="AI21" i="33" s="1"/>
  <c r="Z13" i="33"/>
  <c r="AI13" i="33" s="1"/>
  <c r="Z47" i="33"/>
  <c r="AI47" i="33" s="1"/>
  <c r="Z48" i="33"/>
  <c r="AI48" i="33" s="1"/>
  <c r="Z49" i="33"/>
  <c r="AI49" i="33" s="1"/>
  <c r="Z15" i="33"/>
  <c r="AI15" i="33" s="1"/>
  <c r="Z14" i="33"/>
  <c r="AI14" i="33" s="1"/>
  <c r="Z16" i="33"/>
  <c r="AI16" i="33" s="1"/>
  <c r="AA58" i="31"/>
  <c r="AJ58" i="31" s="1"/>
  <c r="AA32" i="31"/>
  <c r="AJ32" i="31" s="1"/>
  <c r="AA31" i="31"/>
  <c r="AA10" i="31"/>
  <c r="AJ10" i="31" s="1"/>
  <c r="AA28" i="31"/>
  <c r="AJ28" i="31" s="1"/>
  <c r="AA30" i="31"/>
  <c r="AA26" i="31"/>
  <c r="AJ26" i="31" s="1"/>
  <c r="AA29" i="31"/>
  <c r="Z57" i="33"/>
  <c r="AI57" i="33" s="1"/>
  <c r="Y46" i="25"/>
  <c r="Y16" i="25"/>
  <c r="Y47" i="25"/>
  <c r="Y11" i="25"/>
  <c r="Y15" i="25"/>
  <c r="Y48" i="25"/>
  <c r="Y22" i="25"/>
  <c r="Y50" i="25"/>
  <c r="Y14" i="25"/>
  <c r="Y13" i="25"/>
  <c r="X7" i="11"/>
  <c r="Z17" i="32"/>
  <c r="AI17" i="32" s="1"/>
  <c r="Z64" i="32"/>
  <c r="AI64" i="32" s="1"/>
  <c r="Z65" i="32"/>
  <c r="AI65" i="32" s="1"/>
  <c r="X28" i="38"/>
  <c r="Y28" i="38"/>
  <c r="Z28" i="38"/>
  <c r="AI28" i="38" s="1"/>
  <c r="X121" i="38"/>
  <c r="Y20" i="38"/>
  <c r="Z108" i="38"/>
  <c r="AI108" i="38" s="1"/>
  <c r="X9" i="38"/>
  <c r="Y22" i="38"/>
  <c r="X10" i="38"/>
  <c r="X69" i="37"/>
  <c r="Y94" i="37"/>
  <c r="X91" i="37"/>
  <c r="X148" i="37"/>
  <c r="Z80" i="37"/>
  <c r="AI80" i="37" s="1"/>
  <c r="Y97" i="37"/>
  <c r="Y76" i="37"/>
  <c r="X74" i="37"/>
  <c r="X83" i="37"/>
  <c r="X18" i="37"/>
  <c r="Z18" i="37"/>
  <c r="AI18" i="37" s="1"/>
  <c r="Z45" i="38"/>
  <c r="AI45" i="38" s="1"/>
  <c r="Z90" i="38"/>
  <c r="AI90" i="38" s="1"/>
  <c r="Z100" i="38"/>
  <c r="AI100" i="38" s="1"/>
  <c r="X31" i="38"/>
  <c r="Z157" i="38"/>
  <c r="AI157" i="38" s="1"/>
  <c r="Z79" i="38"/>
  <c r="AI79" i="38" s="1"/>
  <c r="X98" i="38"/>
  <c r="X37" i="38"/>
  <c r="X77" i="38"/>
  <c r="Y63" i="38"/>
  <c r="Y123" i="38"/>
  <c r="X69" i="38"/>
  <c r="X62" i="38"/>
  <c r="Y75" i="38"/>
  <c r="Z59" i="38"/>
  <c r="AI59" i="38" s="1"/>
  <c r="Z106" i="38"/>
  <c r="AI106" i="38" s="1"/>
  <c r="X54" i="38"/>
  <c r="Y34" i="38"/>
  <c r="Y41" i="38"/>
  <c r="Y58" i="38"/>
  <c r="Z118" i="38"/>
  <c r="AI118" i="38" s="1"/>
  <c r="Y93" i="38"/>
  <c r="Y35" i="38"/>
  <c r="Y111" i="38"/>
  <c r="X53" i="38"/>
  <c r="X58" i="38"/>
  <c r="Y39" i="38"/>
  <c r="Y40" i="38"/>
  <c r="X94" i="38"/>
  <c r="X165" i="38"/>
  <c r="X163" i="38"/>
  <c r="Y89" i="38"/>
  <c r="Z48" i="12"/>
  <c r="AI48" i="12" s="1"/>
  <c r="X7" i="12"/>
  <c r="Y38" i="12"/>
  <c r="Y61" i="12"/>
  <c r="Y40" i="37"/>
  <c r="Z80" i="9"/>
  <c r="X80" i="9"/>
  <c r="Y80" i="9"/>
  <c r="X26" i="37"/>
  <c r="Y101" i="37"/>
  <c r="X101" i="37"/>
  <c r="Y109" i="37"/>
  <c r="Y107" i="37"/>
  <c r="Y164" i="37"/>
  <c r="Z63" i="37"/>
  <c r="AI63" i="37" s="1"/>
  <c r="Y88" i="37"/>
  <c r="X150" i="37"/>
  <c r="X60" i="37"/>
  <c r="Y35" i="37"/>
  <c r="X90" i="37"/>
  <c r="Z124" i="37"/>
  <c r="AI124" i="37" s="1"/>
  <c r="X78" i="37"/>
  <c r="X70" i="37"/>
  <c r="Y115" i="37"/>
  <c r="Z22" i="37"/>
  <c r="AI22" i="37" s="1"/>
  <c r="Z146" i="37"/>
  <c r="AI146" i="37" s="1"/>
  <c r="Z24" i="37"/>
  <c r="AI24" i="37" s="1"/>
  <c r="Z105" i="37"/>
  <c r="AI105" i="37" s="1"/>
  <c r="X110" i="37"/>
  <c r="Y59" i="37"/>
  <c r="Y59" i="9"/>
  <c r="Z59" i="9"/>
  <c r="AI59" i="9" s="1"/>
  <c r="X59" i="9"/>
  <c r="X146" i="14"/>
  <c r="Y146" i="14"/>
  <c r="Z146" i="14"/>
  <c r="AI146" i="14" s="1"/>
  <c r="Y62" i="29"/>
  <c r="Z62" i="29"/>
  <c r="AI62" i="29" s="1"/>
  <c r="X62" i="29"/>
  <c r="X35" i="10"/>
  <c r="Y35" i="10"/>
  <c r="Y53" i="12"/>
  <c r="Z26" i="12"/>
  <c r="AI26" i="12" s="1"/>
  <c r="Y48" i="12"/>
  <c r="X40" i="12"/>
  <c r="Y51" i="12"/>
  <c r="X27" i="12"/>
  <c r="Y54" i="12"/>
  <c r="X35" i="12"/>
  <c r="X46" i="12"/>
  <c r="Z40" i="12"/>
  <c r="AI40" i="12" s="1"/>
  <c r="Z44" i="12"/>
  <c r="AI44" i="12" s="1"/>
  <c r="Z32" i="12"/>
  <c r="AI32" i="12" s="1"/>
  <c r="Z7" i="12"/>
  <c r="AI7" i="12" s="1"/>
  <c r="Y47" i="12"/>
  <c r="Y55" i="12"/>
  <c r="Z58" i="12"/>
  <c r="AI58" i="12" s="1"/>
  <c r="Y50" i="12"/>
  <c r="X42" i="12"/>
  <c r="Y45" i="12"/>
  <c r="Z62" i="12"/>
  <c r="AI62" i="12" s="1"/>
  <c r="Z47" i="12"/>
  <c r="AI47" i="12" s="1"/>
  <c r="Y57" i="12"/>
  <c r="Y21" i="10"/>
  <c r="X21" i="10"/>
  <c r="Z21" i="10"/>
  <c r="Y7" i="12"/>
  <c r="Y10" i="11"/>
  <c r="X10" i="11"/>
  <c r="Z10" i="11"/>
  <c r="AI10" i="11" s="1"/>
  <c r="Y12" i="14"/>
  <c r="X12" i="14"/>
  <c r="Z12" i="14"/>
  <c r="AI12" i="14" s="1"/>
  <c r="Z11" i="12"/>
  <c r="AI11" i="12" s="1"/>
  <c r="Y15" i="35"/>
  <c r="Y107" i="35"/>
  <c r="Z49" i="35"/>
  <c r="AI49" i="35" s="1"/>
  <c r="Y87" i="35"/>
  <c r="X76" i="35"/>
  <c r="Y137" i="35"/>
  <c r="Z91" i="35"/>
  <c r="AI91" i="35" s="1"/>
  <c r="X45" i="35"/>
  <c r="Y70" i="35"/>
  <c r="Y131" i="35"/>
  <c r="Z103" i="35"/>
  <c r="AI103" i="35" s="1"/>
  <c r="Z138" i="35"/>
  <c r="AI138" i="35" s="1"/>
  <c r="Y113" i="35"/>
  <c r="Z70" i="35"/>
  <c r="AI70" i="35" s="1"/>
  <c r="X152" i="35"/>
  <c r="Y102" i="29"/>
  <c r="Y84" i="29"/>
  <c r="X126" i="29"/>
  <c r="Y73" i="29"/>
  <c r="Y18" i="29"/>
  <c r="Y76" i="29"/>
  <c r="Y53" i="29"/>
  <c r="Y85" i="29"/>
  <c r="Y56" i="29"/>
  <c r="Y125" i="29"/>
  <c r="Y91" i="29"/>
  <c r="Y108" i="29"/>
  <c r="Y43" i="29"/>
  <c r="Z83" i="29"/>
  <c r="AI83" i="29" s="1"/>
  <c r="Z126" i="29"/>
  <c r="AI126" i="29" s="1"/>
  <c r="Z131" i="29"/>
  <c r="AI131" i="29" s="1"/>
  <c r="Z85" i="29"/>
  <c r="AI85" i="29" s="1"/>
  <c r="Y128" i="29"/>
  <c r="X95" i="29"/>
  <c r="Y88" i="29"/>
  <c r="Y71" i="29"/>
  <c r="Y24" i="29"/>
  <c r="Y87" i="29"/>
  <c r="Y11" i="29"/>
  <c r="Y10" i="29"/>
  <c r="Y95" i="29"/>
  <c r="Y61" i="29"/>
  <c r="Y99" i="29"/>
  <c r="Y96" i="29"/>
  <c r="Y109" i="29"/>
  <c r="Y44" i="29"/>
  <c r="Z52" i="29"/>
  <c r="AI52" i="29" s="1"/>
  <c r="Z80" i="29"/>
  <c r="Z120" i="29"/>
  <c r="AI120" i="29" s="1"/>
  <c r="Z102" i="29"/>
  <c r="AI102" i="29" s="1"/>
  <c r="Z145" i="29"/>
  <c r="AI145" i="29" s="1"/>
  <c r="Z112" i="29"/>
  <c r="AI112" i="29" s="1"/>
  <c r="X72" i="29"/>
  <c r="Y129" i="29"/>
  <c r="Y52" i="29"/>
  <c r="Y112" i="29"/>
  <c r="Y92" i="29"/>
  <c r="Y23" i="29"/>
  <c r="Y69" i="29"/>
  <c r="Y13" i="29"/>
  <c r="Y66" i="29"/>
  <c r="Y113" i="29"/>
  <c r="Y101" i="29"/>
  <c r="Y14" i="29"/>
  <c r="Y45" i="29"/>
  <c r="Y106" i="29"/>
  <c r="X120" i="29"/>
  <c r="Z93" i="29"/>
  <c r="Z72" i="29"/>
  <c r="AI72" i="29" s="1"/>
  <c r="Z90" i="29"/>
  <c r="AI90" i="29" s="1"/>
  <c r="X60" i="29"/>
  <c r="Y134" i="29"/>
  <c r="X115" i="29"/>
  <c r="X49" i="29"/>
  <c r="Y149" i="29"/>
  <c r="X45" i="29"/>
  <c r="X10" i="29"/>
  <c r="X56" i="29"/>
  <c r="X37" i="29"/>
  <c r="X68" i="29"/>
  <c r="X65" i="29"/>
  <c r="X152" i="29"/>
  <c r="Z25" i="29"/>
  <c r="AI25" i="29" s="1"/>
  <c r="Z101" i="29"/>
  <c r="AI101" i="29" s="1"/>
  <c r="Z75" i="29"/>
  <c r="AI75" i="29" s="1"/>
  <c r="X25" i="29"/>
  <c r="X125" i="29"/>
  <c r="Z96" i="29"/>
  <c r="AI96" i="29" s="1"/>
  <c r="X53" i="29"/>
  <c r="Z125" i="29"/>
  <c r="AI125" i="29" s="1"/>
  <c r="Y120" i="29"/>
  <c r="Y93" i="29"/>
  <c r="Y122" i="29"/>
  <c r="Y124" i="29"/>
  <c r="Y49" i="29"/>
  <c r="Y51" i="29"/>
  <c r="Y72" i="29"/>
  <c r="Y115" i="29"/>
  <c r="Y15" i="29"/>
  <c r="Y116" i="29"/>
  <c r="Y104" i="29"/>
  <c r="Y127" i="29"/>
  <c r="Z99" i="29"/>
  <c r="AI99" i="29" s="1"/>
  <c r="X116" i="29"/>
  <c r="Y143" i="29"/>
  <c r="X13" i="29"/>
  <c r="X9" i="29"/>
  <c r="Z151" i="29"/>
  <c r="AI151" i="29" s="1"/>
  <c r="Z132" i="29"/>
  <c r="AI132" i="29" s="1"/>
  <c r="X67" i="29"/>
  <c r="X80" i="29"/>
  <c r="X148" i="29"/>
  <c r="Z19" i="29"/>
  <c r="AI19" i="29" s="1"/>
  <c r="Z60" i="29"/>
  <c r="AI60" i="29" s="1"/>
  <c r="Z65" i="29"/>
  <c r="AI65" i="29" s="1"/>
  <c r="Z86" i="29"/>
  <c r="AI86" i="29" s="1"/>
  <c r="X64" i="29"/>
  <c r="Y68" i="29"/>
  <c r="X145" i="29"/>
  <c r="Y65" i="29"/>
  <c r="Y54" i="29"/>
  <c r="Y80" i="29"/>
  <c r="Y27" i="29"/>
  <c r="Y67" i="29"/>
  <c r="Y25" i="29"/>
  <c r="Y77" i="29"/>
  <c r="Y151" i="29"/>
  <c r="Y16" i="29"/>
  <c r="Y105" i="29"/>
  <c r="Y145" i="29"/>
  <c r="X146" i="29"/>
  <c r="X110" i="29"/>
  <c r="Y64" i="29"/>
  <c r="Y126" i="29"/>
  <c r="X103" i="29"/>
  <c r="X102" i="29"/>
  <c r="Y97" i="29"/>
  <c r="Y46" i="29"/>
  <c r="Y60" i="29"/>
  <c r="Y110" i="29"/>
  <c r="Y34" i="29"/>
  <c r="Y47" i="29"/>
  <c r="Y89" i="29"/>
  <c r="Y37" i="29"/>
  <c r="Y83" i="29"/>
  <c r="Y100" i="29"/>
  <c r="Y111" i="29"/>
  <c r="Y31" i="29"/>
  <c r="Z103" i="29"/>
  <c r="AI103" i="29" s="1"/>
  <c r="Z97" i="29"/>
  <c r="AI97" i="29" s="1"/>
  <c r="Y140" i="29"/>
  <c r="Z146" i="29"/>
  <c r="AI146" i="29" s="1"/>
  <c r="X61" i="29"/>
  <c r="Y132" i="29"/>
  <c r="X123" i="29"/>
  <c r="X136" i="29"/>
  <c r="X129" i="29"/>
  <c r="X134" i="29"/>
  <c r="Z149" i="29"/>
  <c r="AI149" i="29" s="1"/>
  <c r="X51" i="29"/>
  <c r="Y135" i="29"/>
  <c r="Y148" i="29"/>
  <c r="X32" i="29"/>
  <c r="Z133" i="29"/>
  <c r="AI133" i="29" s="1"/>
  <c r="X150" i="29"/>
  <c r="X70" i="29"/>
  <c r="X101" i="29"/>
  <c r="Z69" i="29"/>
  <c r="AI69" i="29" s="1"/>
  <c r="Z95" i="29"/>
  <c r="AI95" i="29" s="1"/>
  <c r="Z121" i="29"/>
  <c r="AI121" i="29" s="1"/>
  <c r="Z9" i="29"/>
  <c r="AI9" i="29" s="1"/>
  <c r="Z28" i="29"/>
  <c r="AI28" i="29" s="1"/>
  <c r="X79" i="29"/>
  <c r="Y146" i="29"/>
  <c r="Y103" i="29"/>
  <c r="Y123" i="29"/>
  <c r="Y57" i="29"/>
  <c r="Y19" i="29"/>
  <c r="Y70" i="29"/>
  <c r="Y48" i="29"/>
  <c r="Y50" i="29"/>
  <c r="Y121" i="29"/>
  <c r="Y107" i="29"/>
  <c r="Y29" i="29"/>
  <c r="Z100" i="29"/>
  <c r="Z64" i="29"/>
  <c r="AI64" i="29" s="1"/>
  <c r="Z123" i="29"/>
  <c r="AI123" i="29" s="1"/>
  <c r="Z48" i="29"/>
  <c r="AI48" i="29" s="1"/>
  <c r="X71" i="29"/>
  <c r="Y136" i="29"/>
  <c r="X121" i="29"/>
  <c r="Y131" i="29"/>
  <c r="X88" i="29"/>
  <c r="X130" i="29"/>
  <c r="Z122" i="29"/>
  <c r="AI122" i="29" s="1"/>
  <c r="X24" i="29"/>
  <c r="Y152" i="29"/>
  <c r="X47" i="29"/>
  <c r="Y138" i="29"/>
  <c r="Z115" i="29"/>
  <c r="AI115" i="29" s="1"/>
  <c r="X113" i="29"/>
  <c r="X100" i="29"/>
  <c r="X66" i="29"/>
  <c r="X111" i="29"/>
  <c r="Z77" i="29"/>
  <c r="AI77" i="29" s="1"/>
  <c r="Z57" i="29"/>
  <c r="AI57" i="29" s="1"/>
  <c r="X97" i="29"/>
  <c r="Z68" i="29"/>
  <c r="AI68" i="29" s="1"/>
  <c r="Y130" i="29"/>
  <c r="X89" i="29"/>
  <c r="X131" i="29"/>
  <c r="X23" i="29"/>
  <c r="Y144" i="29"/>
  <c r="Z110" i="29"/>
  <c r="AI110" i="29" s="1"/>
  <c r="X147" i="29"/>
  <c r="X19" i="29"/>
  <c r="Z127" i="29"/>
  <c r="AI127" i="29" s="1"/>
  <c r="Z111" i="29"/>
  <c r="AI111" i="29" s="1"/>
  <c r="X57" i="29"/>
  <c r="Z84" i="29"/>
  <c r="Z50" i="29"/>
  <c r="AI50" i="29" s="1"/>
  <c r="X59" i="29"/>
  <c r="Y28" i="29"/>
  <c r="Y32" i="29"/>
  <c r="X132" i="29"/>
  <c r="X90" i="29"/>
  <c r="Y79" i="29"/>
  <c r="Y82" i="29"/>
  <c r="Y86" i="29"/>
  <c r="X82" i="29"/>
  <c r="Y30" i="29"/>
  <c r="X18" i="29"/>
  <c r="Z79" i="29"/>
  <c r="AI79" i="29" s="1"/>
  <c r="X96" i="29"/>
  <c r="X50" i="29"/>
  <c r="X28" i="29"/>
  <c r="X76" i="29"/>
  <c r="X149" i="29"/>
  <c r="Z24" i="29"/>
  <c r="AI24" i="29" s="1"/>
  <c r="Z150" i="29"/>
  <c r="AI150" i="29" s="1"/>
  <c r="Y33" i="29"/>
  <c r="X27" i="29"/>
  <c r="X75" i="29"/>
  <c r="Z87" i="29"/>
  <c r="AI87" i="29" s="1"/>
  <c r="X54" i="29"/>
  <c r="Z27" i="29"/>
  <c r="AI27" i="29" s="1"/>
  <c r="Z61" i="29"/>
  <c r="AI61" i="29" s="1"/>
  <c r="Z136" i="29"/>
  <c r="AI136" i="29" s="1"/>
  <c r="X83" i="29"/>
  <c r="Y90" i="29"/>
  <c r="X46" i="29"/>
  <c r="Z76" i="29"/>
  <c r="AI76" i="29" s="1"/>
  <c r="Z147" i="29"/>
  <c r="AI147" i="29" s="1"/>
  <c r="X34" i="29"/>
  <c r="Z10" i="29"/>
  <c r="AI10" i="29" s="1"/>
  <c r="Z46" i="29"/>
  <c r="AI46" i="29" s="1"/>
  <c r="Z124" i="29"/>
  <c r="AI124" i="29" s="1"/>
  <c r="Z91" i="29"/>
  <c r="AI91" i="29" s="1"/>
  <c r="Z49" i="29"/>
  <c r="AI49" i="29" s="1"/>
  <c r="Z67" i="29"/>
  <c r="AI67" i="29" s="1"/>
  <c r="Z47" i="29"/>
  <c r="AI47" i="29" s="1"/>
  <c r="Z152" i="29"/>
  <c r="AI152" i="29" s="1"/>
  <c r="Z18" i="29"/>
  <c r="AI18" i="29" s="1"/>
  <c r="X16" i="29"/>
  <c r="X30" i="29"/>
  <c r="Z137" i="29"/>
  <c r="AI137" i="29" s="1"/>
  <c r="Z14" i="29"/>
  <c r="AI14" i="29" s="1"/>
  <c r="Y139" i="29"/>
  <c r="X86" i="29"/>
  <c r="X124" i="29"/>
  <c r="X84" i="29"/>
  <c r="X48" i="29"/>
  <c r="X133" i="29"/>
  <c r="X122" i="29"/>
  <c r="X99" i="29"/>
  <c r="Z54" i="29"/>
  <c r="AI54" i="29" s="1"/>
  <c r="Z32" i="29"/>
  <c r="AI32" i="29" s="1"/>
  <c r="Z23" i="29"/>
  <c r="AI23" i="29" s="1"/>
  <c r="Y133" i="29"/>
  <c r="X127" i="29"/>
  <c r="Y150" i="29"/>
  <c r="X33" i="29"/>
  <c r="X91" i="29"/>
  <c r="Z144" i="29"/>
  <c r="AI144" i="29" s="1"/>
  <c r="Z92" i="29"/>
  <c r="AI92" i="29" s="1"/>
  <c r="Z89" i="29"/>
  <c r="AI89" i="29" s="1"/>
  <c r="Z37" i="29"/>
  <c r="AI37" i="29" s="1"/>
  <c r="Y137" i="29"/>
  <c r="X104" i="29"/>
  <c r="Z45" i="29"/>
  <c r="AI45" i="29" s="1"/>
  <c r="Z15" i="29"/>
  <c r="AI15" i="29" s="1"/>
  <c r="Z30" i="29"/>
  <c r="AI30" i="29" s="1"/>
  <c r="Z148" i="29"/>
  <c r="AI148" i="29" s="1"/>
  <c r="Z135" i="29"/>
  <c r="AI135" i="29" s="1"/>
  <c r="Z51" i="29"/>
  <c r="AI51" i="29" s="1"/>
  <c r="Z113" i="29"/>
  <c r="AI113" i="29" s="1"/>
  <c r="X44" i="29"/>
  <c r="X138" i="29"/>
  <c r="Z139" i="29"/>
  <c r="AI139" i="29" s="1"/>
  <c r="Z16" i="29"/>
  <c r="AI16" i="29" s="1"/>
  <c r="Z143" i="29"/>
  <c r="AI143" i="29" s="1"/>
  <c r="Z70" i="29"/>
  <c r="AI70" i="29" s="1"/>
  <c r="Z129" i="29"/>
  <c r="AI129" i="29" s="1"/>
  <c r="X73" i="29"/>
  <c r="X87" i="29"/>
  <c r="Z56" i="29"/>
  <c r="AI56" i="29" s="1"/>
  <c r="X143" i="29"/>
  <c r="X137" i="29"/>
  <c r="Z104" i="29"/>
  <c r="AI104" i="29" s="1"/>
  <c r="X93" i="29"/>
  <c r="Z130" i="29"/>
  <c r="AI130" i="29" s="1"/>
  <c r="Z82" i="29"/>
  <c r="AI82" i="29" s="1"/>
  <c r="Z73" i="29"/>
  <c r="AI73" i="29" s="1"/>
  <c r="X14" i="29"/>
  <c r="X139" i="29"/>
  <c r="Z138" i="29"/>
  <c r="AI138" i="29" s="1"/>
  <c r="Z105" i="29"/>
  <c r="AI105" i="29" s="1"/>
  <c r="Z142" i="29"/>
  <c r="AI142" i="29" s="1"/>
  <c r="Z66" i="29"/>
  <c r="AI66" i="29" s="1"/>
  <c r="X92" i="29"/>
  <c r="X85" i="29"/>
  <c r="Y147" i="29"/>
  <c r="X69" i="29"/>
  <c r="X112" i="29"/>
  <c r="Z33" i="29"/>
  <c r="AI33" i="29" s="1"/>
  <c r="Z128" i="29"/>
  <c r="AI128" i="29" s="1"/>
  <c r="Z134" i="29"/>
  <c r="AI134" i="29" s="1"/>
  <c r="X142" i="29"/>
  <c r="X29" i="29"/>
  <c r="Z141" i="29"/>
  <c r="AI141" i="29" s="1"/>
  <c r="X128" i="29"/>
  <c r="X77" i="29"/>
  <c r="X151" i="29"/>
  <c r="X144" i="29"/>
  <c r="Z88" i="29"/>
  <c r="AI88" i="29" s="1"/>
  <c r="Z13" i="29"/>
  <c r="AI13" i="29" s="1"/>
  <c r="Z11" i="29"/>
  <c r="AI11" i="29" s="1"/>
  <c r="Z53" i="29"/>
  <c r="AI53" i="29" s="1"/>
  <c r="Z71" i="29"/>
  <c r="AI71" i="29" s="1"/>
  <c r="Y141" i="29"/>
  <c r="X106" i="29"/>
  <c r="X141" i="29"/>
  <c r="Z43" i="29"/>
  <c r="AI43" i="29" s="1"/>
  <c r="Y142" i="29"/>
  <c r="Z31" i="29"/>
  <c r="AI31" i="29" s="1"/>
  <c r="Z106" i="29"/>
  <c r="AI106" i="29" s="1"/>
  <c r="Y75" i="29"/>
  <c r="X135" i="29"/>
  <c r="X52" i="29"/>
  <c r="Z34" i="29"/>
  <c r="AI34" i="29" s="1"/>
  <c r="Z116" i="29"/>
  <c r="AI116" i="29" s="1"/>
  <c r="X43" i="29"/>
  <c r="X105" i="29"/>
  <c r="X140" i="29"/>
  <c r="Z44" i="29"/>
  <c r="AI44" i="29" s="1"/>
  <c r="Z29" i="29"/>
  <c r="AI29" i="29" s="1"/>
  <c r="X15" i="29"/>
  <c r="X31" i="29"/>
  <c r="Z140" i="29"/>
  <c r="AI140" i="29" s="1"/>
  <c r="X109" i="35"/>
  <c r="Z132" i="35"/>
  <c r="Y57" i="35"/>
  <c r="Z151" i="35"/>
  <c r="Z130" i="35"/>
  <c r="Z104" i="35"/>
  <c r="AI104" i="35" s="1"/>
  <c r="Z47" i="35"/>
  <c r="AI47" i="35" s="1"/>
  <c r="X87" i="35"/>
  <c r="Z57" i="35"/>
  <c r="AI57" i="35" s="1"/>
  <c r="Y79" i="35"/>
  <c r="X17" i="35"/>
  <c r="X20" i="35"/>
  <c r="X69" i="35"/>
  <c r="Y89" i="35"/>
  <c r="Y68" i="35"/>
  <c r="X71" i="35"/>
  <c r="X13" i="35"/>
  <c r="Z125" i="35"/>
  <c r="AI125" i="35" s="1"/>
  <c r="X70" i="35"/>
  <c r="Y133" i="35"/>
  <c r="Y109" i="35"/>
  <c r="X114" i="35"/>
  <c r="Z142" i="35"/>
  <c r="AI142" i="35" s="1"/>
  <c r="Z139" i="35"/>
  <c r="AI139" i="35" s="1"/>
  <c r="X18" i="35"/>
  <c r="X59" i="35"/>
  <c r="Z105" i="35"/>
  <c r="AI105" i="35" s="1"/>
  <c r="X97" i="35"/>
  <c r="X143" i="35"/>
  <c r="Y111" i="35"/>
  <c r="X105" i="35"/>
  <c r="X158" i="35"/>
  <c r="Y60" i="35"/>
  <c r="Z51" i="35"/>
  <c r="AI51" i="35" s="1"/>
  <c r="Y9" i="35"/>
  <c r="Z59" i="35"/>
  <c r="AI59" i="35" s="1"/>
  <c r="Y11" i="32"/>
  <c r="Y109" i="33"/>
  <c r="Y102" i="33"/>
  <c r="Y111" i="33"/>
  <c r="Y119" i="33"/>
  <c r="Y121" i="33"/>
  <c r="Y101" i="33"/>
  <c r="Y108" i="33"/>
  <c r="Y110" i="33"/>
  <c r="Y107" i="33"/>
  <c r="Y123" i="33"/>
  <c r="Y122" i="33"/>
  <c r="X40" i="32"/>
  <c r="Y34" i="32"/>
  <c r="Y26" i="32"/>
  <c r="Y14" i="32"/>
  <c r="Z59" i="14"/>
  <c r="AI59" i="14" s="1"/>
  <c r="Z113" i="33"/>
  <c r="AI113" i="33" s="1"/>
  <c r="Z99" i="33"/>
  <c r="AI99" i="33" s="1"/>
  <c r="Z114" i="33"/>
  <c r="AI114" i="33" s="1"/>
  <c r="Y10" i="33"/>
  <c r="Y48" i="33"/>
  <c r="Y47" i="33"/>
  <c r="Y12" i="33"/>
  <c r="Y51" i="33"/>
  <c r="Y14" i="33"/>
  <c r="Y21" i="33"/>
  <c r="Y49" i="33"/>
  <c r="Y15" i="33"/>
  <c r="Y55" i="33"/>
  <c r="Y13" i="33"/>
  <c r="Y22" i="33"/>
  <c r="Y16" i="33"/>
  <c r="Y7" i="29"/>
  <c r="Z61" i="32"/>
  <c r="Z55" i="32"/>
  <c r="AI55" i="32" s="1"/>
  <c r="Z45" i="32"/>
  <c r="Z10" i="32"/>
  <c r="AI10" i="32" s="1"/>
  <c r="X93" i="38"/>
  <c r="Y77" i="38"/>
  <c r="X39" i="38"/>
  <c r="X104" i="38"/>
  <c r="Y21" i="38"/>
  <c r="Y116" i="37"/>
  <c r="X62" i="37"/>
  <c r="Y15" i="38"/>
  <c r="Y12" i="38"/>
  <c r="X13" i="38"/>
  <c r="Y152" i="37"/>
  <c r="Y20" i="37"/>
  <c r="X158" i="37"/>
  <c r="Z168" i="37"/>
  <c r="AI168" i="37" s="1"/>
  <c r="Z154" i="38"/>
  <c r="AI154" i="38" s="1"/>
  <c r="Z117" i="38"/>
  <c r="AI117" i="38" s="1"/>
  <c r="Y103" i="38"/>
  <c r="Z126" i="38"/>
  <c r="AI126" i="38" s="1"/>
  <c r="X152" i="38"/>
  <c r="X123" i="38"/>
  <c r="Y60" i="38"/>
  <c r="Y66" i="38"/>
  <c r="Y96" i="38"/>
  <c r="Y109" i="38"/>
  <c r="Y87" i="38"/>
  <c r="Z72" i="38"/>
  <c r="AI72" i="38" s="1"/>
  <c r="Z99" i="38"/>
  <c r="AI99" i="38" s="1"/>
  <c r="X87" i="38"/>
  <c r="Y144" i="38"/>
  <c r="Y152" i="38"/>
  <c r="X155" i="38"/>
  <c r="Y147" i="38"/>
  <c r="Y161" i="38"/>
  <c r="X130" i="38"/>
  <c r="X64" i="38"/>
  <c r="X45" i="38"/>
  <c r="X48" i="38"/>
  <c r="Y57" i="38"/>
  <c r="Y118" i="38"/>
  <c r="X132" i="38"/>
  <c r="Y83" i="38"/>
  <c r="Y166" i="38"/>
  <c r="X166" i="38"/>
  <c r="X56" i="38"/>
  <c r="Y58" i="12"/>
  <c r="Y31" i="12"/>
  <c r="Z66" i="9"/>
  <c r="Y66" i="9"/>
  <c r="X66" i="9"/>
  <c r="Y105" i="9"/>
  <c r="X105" i="9"/>
  <c r="Z105" i="9"/>
  <c r="Y73" i="37"/>
  <c r="Y148" i="37"/>
  <c r="Y55" i="37"/>
  <c r="X42" i="37"/>
  <c r="X147" i="37"/>
  <c r="Y26" i="37"/>
  <c r="Y122" i="37"/>
  <c r="Y102" i="37"/>
  <c r="Y39" i="37"/>
  <c r="X109" i="37"/>
  <c r="Y113" i="37"/>
  <c r="X107" i="37"/>
  <c r="Z59" i="37"/>
  <c r="AI59" i="37" s="1"/>
  <c r="X108" i="37"/>
  <c r="Y38" i="37"/>
  <c r="Y169" i="37"/>
  <c r="X39" i="37"/>
  <c r="Z41" i="37"/>
  <c r="AI41" i="37" s="1"/>
  <c r="Z115" i="37"/>
  <c r="AI115" i="37" s="1"/>
  <c r="Z121" i="37"/>
  <c r="AI121" i="37" s="1"/>
  <c r="Z21" i="37"/>
  <c r="AI21" i="37" s="1"/>
  <c r="Y79" i="9"/>
  <c r="Z79" i="9"/>
  <c r="X79" i="9"/>
  <c r="Y58" i="29"/>
  <c r="Z58" i="29"/>
  <c r="AI58" i="29" s="1"/>
  <c r="X58" i="29"/>
  <c r="Y78" i="29"/>
  <c r="Z78" i="29"/>
  <c r="AI78" i="29" s="1"/>
  <c r="X78" i="29"/>
  <c r="X98" i="29"/>
  <c r="Y98" i="29"/>
  <c r="Z98" i="29"/>
  <c r="AI98" i="29" s="1"/>
  <c r="Z51" i="10"/>
  <c r="AI51" i="10" s="1"/>
  <c r="Y51" i="10"/>
  <c r="X51" i="10"/>
  <c r="Z46" i="12"/>
  <c r="AI46" i="12" s="1"/>
  <c r="X14" i="12"/>
  <c r="Y28" i="12"/>
  <c r="X32" i="12"/>
  <c r="X29" i="12"/>
  <c r="Y26" i="12"/>
  <c r="X60" i="12"/>
  <c r="Y21" i="12"/>
  <c r="Z49" i="12"/>
  <c r="AI49" i="12" s="1"/>
  <c r="X21" i="12"/>
  <c r="Z43" i="12"/>
  <c r="AI43" i="12" s="1"/>
  <c r="X17" i="12"/>
  <c r="Y62" i="12"/>
  <c r="X110" i="9"/>
  <c r="Y110" i="9"/>
  <c r="Z110" i="9"/>
  <c r="AI110" i="9" s="1"/>
  <c r="X133" i="9"/>
  <c r="Z133" i="9"/>
  <c r="AI133" i="9" s="1"/>
  <c r="Y133" i="9"/>
  <c r="Z68" i="9"/>
  <c r="AI68" i="9" s="1"/>
  <c r="Y68" i="9"/>
  <c r="X68" i="9"/>
  <c r="X47" i="11"/>
  <c r="Z47" i="11"/>
  <c r="AI47" i="11" s="1"/>
  <c r="Y47" i="11"/>
  <c r="Y91" i="10"/>
  <c r="X91" i="10"/>
  <c r="Z91" i="10"/>
  <c r="AI91" i="10" s="1"/>
  <c r="Z77" i="14"/>
  <c r="AI77" i="14" s="1"/>
  <c r="Y77" i="14"/>
  <c r="X77" i="14"/>
  <c r="Z152" i="33"/>
  <c r="AI152" i="33" s="1"/>
  <c r="Z154" i="33"/>
  <c r="AI154" i="33" s="1"/>
  <c r="X46" i="35"/>
  <c r="X155" i="35"/>
  <c r="Y23" i="35"/>
  <c r="Z127" i="35"/>
  <c r="AI127" i="35" s="1"/>
  <c r="Z28" i="35"/>
  <c r="AI28" i="35" s="1"/>
  <c r="X48" i="35"/>
  <c r="Y122" i="35"/>
  <c r="Z87" i="35"/>
  <c r="AI87" i="35" s="1"/>
  <c r="Z92" i="35"/>
  <c r="AI92" i="35" s="1"/>
  <c r="Z161" i="35"/>
  <c r="AI161" i="35" s="1"/>
  <c r="Y138" i="35"/>
  <c r="Z71" i="35"/>
  <c r="AI71" i="35" s="1"/>
  <c r="X28" i="35"/>
  <c r="Y98" i="35"/>
  <c r="X136" i="35"/>
  <c r="X96" i="35"/>
  <c r="X90" i="35"/>
  <c r="Z147" i="35"/>
  <c r="AI147" i="35" s="1"/>
  <c r="Z112" i="35"/>
  <c r="AI112" i="35" s="1"/>
  <c r="Y38" i="35"/>
  <c r="Z54" i="35"/>
  <c r="AI54" i="35" s="1"/>
  <c r="Y104" i="35"/>
  <c r="Z101" i="35"/>
  <c r="AI101" i="35" s="1"/>
  <c r="Y81" i="35"/>
  <c r="X31" i="35"/>
  <c r="Y34" i="35"/>
  <c r="Z140" i="35"/>
  <c r="AI140" i="35" s="1"/>
  <c r="Z152" i="35"/>
  <c r="X103" i="35"/>
  <c r="Z100" i="35"/>
  <c r="AI100" i="35" s="1"/>
  <c r="X62" i="35"/>
  <c r="Z69" i="35"/>
  <c r="AI69" i="35" s="1"/>
  <c r="Y20" i="35"/>
  <c r="Z29" i="35"/>
  <c r="AI29" i="35" s="1"/>
  <c r="Y126" i="35"/>
  <c r="Z78" i="35"/>
  <c r="AI78" i="35" s="1"/>
  <c r="Z24" i="35"/>
  <c r="AI24" i="35" s="1"/>
  <c r="Z30" i="35"/>
  <c r="AI30" i="35" s="1"/>
  <c r="Y18" i="35"/>
  <c r="Y154" i="35"/>
  <c r="X107" i="35"/>
  <c r="X117" i="35"/>
  <c r="X137" i="35"/>
  <c r="X106" i="35"/>
  <c r="X118" i="35"/>
  <c r="Y74" i="35"/>
  <c r="X81" i="35"/>
  <c r="Z114" i="35"/>
  <c r="AI114" i="35" s="1"/>
  <c r="X40" i="35"/>
  <c r="Y65" i="32"/>
  <c r="Y15" i="32"/>
  <c r="X26" i="33"/>
  <c r="X8" i="33"/>
  <c r="X9" i="33"/>
  <c r="X30" i="33"/>
  <c r="X27" i="33"/>
  <c r="X29" i="33"/>
  <c r="X31" i="33"/>
  <c r="X52" i="14"/>
  <c r="Y32" i="32"/>
  <c r="X25" i="33"/>
  <c r="X28" i="33"/>
  <c r="Y28" i="32"/>
  <c r="Y29" i="32"/>
  <c r="Y62" i="32"/>
  <c r="Y55" i="32"/>
  <c r="X53" i="33"/>
  <c r="X52" i="33"/>
  <c r="X24" i="33"/>
  <c r="X57" i="33"/>
  <c r="X30" i="32"/>
  <c r="Z112" i="33"/>
  <c r="AI112" i="33" s="1"/>
  <c r="Z9" i="10"/>
  <c r="AI9" i="10" s="1"/>
  <c r="Z23" i="33"/>
  <c r="AI23" i="33" s="1"/>
  <c r="Z120" i="25"/>
  <c r="AI120" i="25" s="1"/>
  <c r="Z122" i="25"/>
  <c r="Z121" i="25"/>
  <c r="Z123" i="25"/>
  <c r="Y59" i="29"/>
  <c r="AA122" i="31"/>
  <c r="AJ122" i="31" s="1"/>
  <c r="AA99" i="31"/>
  <c r="AJ99" i="31" s="1"/>
  <c r="Z8" i="33"/>
  <c r="AI8" i="33" s="1"/>
  <c r="X51" i="33"/>
  <c r="Z51" i="32"/>
  <c r="AI51" i="32" s="1"/>
  <c r="Z15" i="32"/>
  <c r="AI15" i="32" s="1"/>
  <c r="Z50" i="32"/>
  <c r="AI50" i="32" s="1"/>
  <c r="Z29" i="32"/>
  <c r="AI29" i="32" s="1"/>
  <c r="Z59" i="32"/>
  <c r="AI59" i="32" s="1"/>
  <c r="Z19" i="32"/>
  <c r="Z63" i="32"/>
  <c r="AI63" i="32" s="1"/>
  <c r="Z62" i="32"/>
  <c r="AI62" i="32" s="1"/>
  <c r="Z56" i="32"/>
  <c r="AI56" i="32" s="1"/>
  <c r="Z26" i="32"/>
  <c r="AI26" i="32" s="1"/>
  <c r="Z57" i="32"/>
  <c r="Z58" i="32"/>
  <c r="AI58" i="32" s="1"/>
  <c r="Z20" i="32"/>
  <c r="AI20" i="32" s="1"/>
  <c r="Z68" i="32"/>
  <c r="Z27" i="32"/>
  <c r="AI27" i="32" s="1"/>
  <c r="X57" i="38"/>
  <c r="X8" i="38"/>
  <c r="Y16" i="38"/>
  <c r="X22" i="38"/>
  <c r="Y13" i="38"/>
  <c r="Z22" i="38"/>
  <c r="AI22" i="38" s="1"/>
  <c r="Z27" i="38"/>
  <c r="AI27" i="38" s="1"/>
  <c r="Z8" i="38"/>
  <c r="AI8" i="38" s="1"/>
  <c r="Z29" i="38"/>
  <c r="AI29" i="38" s="1"/>
  <c r="Z120" i="38"/>
  <c r="AI120" i="38" s="1"/>
  <c r="Z64" i="38"/>
  <c r="AI64" i="38" s="1"/>
  <c r="Z13" i="38"/>
  <c r="AI13" i="38" s="1"/>
  <c r="Z86" i="38"/>
  <c r="AI86" i="38" s="1"/>
  <c r="Z95" i="38"/>
  <c r="AI95" i="38" s="1"/>
  <c r="Z18" i="38"/>
  <c r="AI18" i="38" s="1"/>
  <c r="Z52" i="38"/>
  <c r="AI52" i="38" s="1"/>
  <c r="Z147" i="38"/>
  <c r="AI147" i="38" s="1"/>
  <c r="X27" i="38"/>
  <c r="Y8" i="38"/>
  <c r="Y11" i="38"/>
  <c r="Z162" i="38"/>
  <c r="AI162" i="38" s="1"/>
  <c r="Z109" i="38"/>
  <c r="AI109" i="38" s="1"/>
  <c r="Z155" i="38"/>
  <c r="AI155" i="38" s="1"/>
  <c r="Z169" i="38"/>
  <c r="AI169" i="38" s="1"/>
  <c r="Z167" i="38"/>
  <c r="AI167" i="38" s="1"/>
  <c r="Z165" i="38"/>
  <c r="AI165" i="38" s="1"/>
  <c r="Z70" i="38"/>
  <c r="AI70" i="38" s="1"/>
  <c r="Z80" i="38"/>
  <c r="AI80" i="38" s="1"/>
  <c r="Z94" i="38"/>
  <c r="AI94" i="38" s="1"/>
  <c r="Z31" i="38"/>
  <c r="AI31" i="38" s="1"/>
  <c r="Z15" i="38"/>
  <c r="AI15" i="38" s="1"/>
  <c r="Z145" i="38"/>
  <c r="AI145" i="38" s="1"/>
  <c r="Z144" i="38"/>
  <c r="AI144" i="38" s="1"/>
  <c r="Z115" i="38"/>
  <c r="AI115" i="38" s="1"/>
  <c r="Z113" i="38"/>
  <c r="AI113" i="38" s="1"/>
  <c r="Z24" i="38"/>
  <c r="AI24" i="38" s="1"/>
  <c r="Z48" i="38"/>
  <c r="AI48" i="38" s="1"/>
  <c r="Z47" i="38"/>
  <c r="Z151" i="38"/>
  <c r="AI151" i="38" s="1"/>
  <c r="Z32" i="38"/>
  <c r="AI32" i="38" s="1"/>
  <c r="Z38" i="38"/>
  <c r="AI38" i="38" s="1"/>
  <c r="Z75" i="38"/>
  <c r="Z101" i="38"/>
  <c r="AI101" i="38" s="1"/>
  <c r="Z149" i="38"/>
  <c r="AI149" i="38" s="1"/>
  <c r="Z58" i="38"/>
  <c r="AI58" i="38" s="1"/>
  <c r="Z87" i="38"/>
  <c r="AI87" i="38" s="1"/>
  <c r="Z156" i="38"/>
  <c r="AI156" i="38" s="1"/>
  <c r="X78" i="38"/>
  <c r="X101" i="38"/>
  <c r="Z85" i="38"/>
  <c r="AI85" i="38" s="1"/>
  <c r="Z104" i="38"/>
  <c r="AI104" i="38" s="1"/>
  <c r="Z25" i="38"/>
  <c r="AI25" i="38" s="1"/>
  <c r="Z12" i="38"/>
  <c r="AI12" i="38" s="1"/>
  <c r="Z73" i="38"/>
  <c r="AI73" i="38" s="1"/>
  <c r="Z65" i="38"/>
  <c r="AI65" i="38" s="1"/>
  <c r="Z21" i="38"/>
  <c r="AI21" i="38" s="1"/>
  <c r="Z77" i="38"/>
  <c r="Z88" i="38"/>
  <c r="X41" i="38"/>
  <c r="Z10" i="38"/>
  <c r="AI10" i="38" s="1"/>
  <c r="Z17" i="38"/>
  <c r="AI17" i="38" s="1"/>
  <c r="Z91" i="38"/>
  <c r="Z159" i="38"/>
  <c r="AI159" i="38" s="1"/>
  <c r="Z84" i="38"/>
  <c r="AI84" i="38" s="1"/>
  <c r="Z16" i="38"/>
  <c r="AI16" i="38" s="1"/>
  <c r="Z35" i="38"/>
  <c r="AI35" i="38" s="1"/>
  <c r="Z20" i="38"/>
  <c r="AI20" i="38" s="1"/>
  <c r="Z37" i="38"/>
  <c r="Z49" i="38"/>
  <c r="AI49" i="38" s="1"/>
  <c r="Z57" i="38"/>
  <c r="AI57" i="38" s="1"/>
  <c r="Z11" i="38"/>
  <c r="AI11" i="38" s="1"/>
  <c r="Z53" i="38"/>
  <c r="AI53" i="38" s="1"/>
  <c r="Z66" i="38"/>
  <c r="AI66" i="38" s="1"/>
  <c r="Z33" i="38"/>
  <c r="AI33" i="38" s="1"/>
  <c r="Z67" i="38"/>
  <c r="Z36" i="38"/>
  <c r="AI36" i="38" s="1"/>
  <c r="X50" i="38"/>
  <c r="Z123" i="38"/>
  <c r="AI123" i="38" s="1"/>
  <c r="Z110" i="38"/>
  <c r="AI110" i="38" s="1"/>
  <c r="Z51" i="38"/>
  <c r="AI51" i="38" s="1"/>
  <c r="Z23" i="38"/>
  <c r="Z50" i="38"/>
  <c r="AI50" i="38" s="1"/>
  <c r="Z160" i="38"/>
  <c r="AI160" i="38" s="1"/>
  <c r="X162" i="38"/>
  <c r="Z92" i="38"/>
  <c r="AI92" i="38" s="1"/>
  <c r="Y151" i="38"/>
  <c r="Z77" i="37"/>
  <c r="AI77" i="37" s="1"/>
  <c r="Y110" i="37"/>
  <c r="X75" i="37"/>
  <c r="Y17" i="37"/>
  <c r="X114" i="38"/>
  <c r="X49" i="38"/>
  <c r="Y62" i="38"/>
  <c r="Z92" i="37"/>
  <c r="AI92" i="37" s="1"/>
  <c r="Y133" i="37"/>
  <c r="Y167" i="37"/>
  <c r="Y9" i="37"/>
  <c r="Y13" i="37"/>
  <c r="X9" i="37"/>
  <c r="Y15" i="37"/>
  <c r="X15" i="37"/>
  <c r="Z135" i="37"/>
  <c r="AI135" i="37" s="1"/>
  <c r="Z122" i="37"/>
  <c r="AI122" i="37" s="1"/>
  <c r="Z19" i="37"/>
  <c r="AI19" i="37" s="1"/>
  <c r="Z42" i="37"/>
  <c r="AI42" i="37" s="1"/>
  <c r="Z9" i="37"/>
  <c r="AI9" i="37" s="1"/>
  <c r="Z28" i="37"/>
  <c r="AI28" i="37" s="1"/>
  <c r="Y12" i="37"/>
  <c r="Z156" i="37"/>
  <c r="AI156" i="37" s="1"/>
  <c r="Z117" i="37"/>
  <c r="AI117" i="37" s="1"/>
  <c r="Z160" i="37"/>
  <c r="AI160" i="37" s="1"/>
  <c r="Z169" i="37"/>
  <c r="AI169" i="37" s="1"/>
  <c r="Z88" i="37"/>
  <c r="AI88" i="37" s="1"/>
  <c r="Z147" i="37"/>
  <c r="AI147" i="37" s="1"/>
  <c r="Z57" i="37"/>
  <c r="AI57" i="37" s="1"/>
  <c r="Z25" i="37"/>
  <c r="X8" i="37"/>
  <c r="X12" i="37"/>
  <c r="Z47" i="37"/>
  <c r="AI47" i="37" s="1"/>
  <c r="Z152" i="37"/>
  <c r="AI152" i="37" s="1"/>
  <c r="Z58" i="37"/>
  <c r="AI58" i="37" s="1"/>
  <c r="Z93" i="37"/>
  <c r="AI93" i="37" s="1"/>
  <c r="Z17" i="37"/>
  <c r="AI17" i="37" s="1"/>
  <c r="Z48" i="37"/>
  <c r="AI48" i="37" s="1"/>
  <c r="Z39" i="37"/>
  <c r="AI39" i="37" s="1"/>
  <c r="X29" i="37"/>
  <c r="X93" i="37"/>
  <c r="Y48" i="37"/>
  <c r="Y50" i="37"/>
  <c r="Z20" i="37"/>
  <c r="AI20" i="37" s="1"/>
  <c r="Z102" i="37"/>
  <c r="AI102" i="37" s="1"/>
  <c r="Z53" i="37"/>
  <c r="AI53" i="37" s="1"/>
  <c r="Z40" i="37"/>
  <c r="AI40" i="37" s="1"/>
  <c r="Z52" i="37"/>
  <c r="AI52" i="37" s="1"/>
  <c r="Z100" i="37"/>
  <c r="AI100" i="37" s="1"/>
  <c r="Z49" i="37"/>
  <c r="AI49" i="37" s="1"/>
  <c r="Z54" i="37"/>
  <c r="AI54" i="37" s="1"/>
  <c r="Z89" i="37"/>
  <c r="AI89" i="37" s="1"/>
  <c r="Z140" i="37"/>
  <c r="AI140" i="37" s="1"/>
  <c r="Z37" i="37"/>
  <c r="AI37" i="37" s="1"/>
  <c r="Z44" i="37"/>
  <c r="AI44" i="37" s="1"/>
  <c r="Z30" i="37"/>
  <c r="AI30" i="37" s="1"/>
  <c r="Z74" i="37"/>
  <c r="AI74" i="37" s="1"/>
  <c r="Z143" i="37"/>
  <c r="AI143" i="37" s="1"/>
  <c r="Z61" i="37"/>
  <c r="AI61" i="37" s="1"/>
  <c r="Z15" i="37"/>
  <c r="AI15" i="37" s="1"/>
  <c r="Z90" i="37"/>
  <c r="AI90" i="37" s="1"/>
  <c r="Z72" i="37"/>
  <c r="AI72" i="37" s="1"/>
  <c r="Z138" i="37"/>
  <c r="AI138" i="37" s="1"/>
  <c r="Z29" i="37"/>
  <c r="AI29" i="37" s="1"/>
  <c r="Y79" i="37"/>
  <c r="X140" i="37"/>
  <c r="X51" i="37"/>
  <c r="Y92" i="37"/>
  <c r="Z13" i="37"/>
  <c r="AI13" i="37" s="1"/>
  <c r="Z26" i="37"/>
  <c r="AI26" i="37" s="1"/>
  <c r="Z23" i="37"/>
  <c r="Z56" i="37"/>
  <c r="AI56" i="37" s="1"/>
  <c r="Z50" i="37"/>
  <c r="AI50" i="37" s="1"/>
  <c r="X13" i="37"/>
  <c r="Z91" i="37"/>
  <c r="AI91" i="37" s="1"/>
  <c r="Y32" i="37"/>
  <c r="Z118" i="37"/>
  <c r="AI118" i="37" s="1"/>
  <c r="Y119" i="37"/>
  <c r="Z154" i="37"/>
  <c r="AI154" i="37" s="1"/>
  <c r="X35" i="37"/>
  <c r="Z67" i="37"/>
  <c r="AI67" i="37" s="1"/>
  <c r="Y27" i="37"/>
  <c r="Z99" i="37"/>
  <c r="AI99" i="37" s="1"/>
  <c r="Z60" i="37"/>
  <c r="AI60" i="37" s="1"/>
  <c r="Z153" i="37"/>
  <c r="AI153" i="37" s="1"/>
  <c r="Z157" i="37"/>
  <c r="AI157" i="37" s="1"/>
  <c r="Z98" i="37"/>
  <c r="AI98" i="37" s="1"/>
  <c r="X98" i="37"/>
  <c r="Y135" i="37"/>
  <c r="X57" i="37"/>
  <c r="Z74" i="38"/>
  <c r="AI74" i="38" s="1"/>
  <c r="X150" i="38"/>
  <c r="Z98" i="38"/>
  <c r="AI98" i="38" s="1"/>
  <c r="X35" i="38"/>
  <c r="Y139" i="38"/>
  <c r="Y84" i="38"/>
  <c r="X76" i="38"/>
  <c r="X96" i="38"/>
  <c r="X45" i="12"/>
  <c r="X119" i="37"/>
  <c r="Y18" i="37"/>
  <c r="Y117" i="37"/>
  <c r="Y143" i="37"/>
  <c r="Y29" i="37"/>
  <c r="Z27" i="37"/>
  <c r="AI27" i="37" s="1"/>
  <c r="Z56" i="12"/>
  <c r="AI56" i="12" s="1"/>
  <c r="Y52" i="12"/>
  <c r="X47" i="12"/>
  <c r="Y60" i="12"/>
  <c r="X55" i="10"/>
  <c r="Z55" i="10"/>
  <c r="Y55" i="10"/>
  <c r="Y109" i="14"/>
  <c r="X109" i="14"/>
  <c r="Z109" i="14"/>
  <c r="AI109" i="14" s="1"/>
  <c r="Y129" i="33"/>
  <c r="Y135" i="33"/>
  <c r="Y136" i="33"/>
  <c r="Y143" i="33"/>
  <c r="Y141" i="33"/>
  <c r="Y139" i="33"/>
  <c r="Y133" i="33"/>
  <c r="Y140" i="33"/>
  <c r="Y53" i="35"/>
  <c r="X98" i="35"/>
  <c r="Y142" i="35"/>
  <c r="Y145" i="35"/>
  <c r="Y139" i="35"/>
  <c r="X47" i="35"/>
  <c r="Y67" i="35"/>
  <c r="X73" i="35"/>
  <c r="Y99" i="35"/>
  <c r="X112" i="35"/>
  <c r="X133" i="35"/>
  <c r="Z119" i="35"/>
  <c r="AI119" i="35" s="1"/>
  <c r="Y105" i="35"/>
  <c r="X44" i="35"/>
  <c r="X129" i="35"/>
  <c r="Z98" i="35"/>
  <c r="AI98" i="35" s="1"/>
  <c r="Z143" i="35"/>
  <c r="AI143" i="35" s="1"/>
  <c r="Z67" i="35"/>
  <c r="Y152" i="35"/>
  <c r="X54" i="35"/>
  <c r="Z23" i="35"/>
  <c r="AI23" i="35" s="1"/>
  <c r="Z90" i="35"/>
  <c r="AI90" i="35" s="1"/>
  <c r="Z77" i="35"/>
  <c r="AI77" i="35" s="1"/>
  <c r="X15" i="35"/>
  <c r="Y124" i="35"/>
  <c r="Z10" i="35"/>
  <c r="AI10" i="35" s="1"/>
  <c r="X82" i="35"/>
  <c r="Z159" i="35"/>
  <c r="Z8" i="29"/>
  <c r="Y90" i="35"/>
  <c r="Z61" i="35"/>
  <c r="AI61" i="35" s="1"/>
  <c r="X53" i="35"/>
  <c r="Z146" i="35"/>
  <c r="AI146" i="35" s="1"/>
  <c r="X108" i="35"/>
  <c r="X138" i="35"/>
  <c r="X135" i="35"/>
  <c r="X63" i="35"/>
  <c r="Z41" i="35"/>
  <c r="AI41" i="35" s="1"/>
  <c r="Y138" i="33"/>
  <c r="X32" i="33"/>
  <c r="X24" i="14"/>
  <c r="Z130" i="33"/>
  <c r="AI130" i="33" s="1"/>
  <c r="Y61" i="32"/>
  <c r="Y49" i="32"/>
  <c r="Y131" i="33"/>
  <c r="Z134" i="33"/>
  <c r="AI134" i="33" s="1"/>
  <c r="Z139" i="33"/>
  <c r="AI139" i="33" s="1"/>
  <c r="Z131" i="33"/>
  <c r="AI131" i="33" s="1"/>
  <c r="Z132" i="33"/>
  <c r="AI132" i="33" s="1"/>
  <c r="Z129" i="33"/>
  <c r="AI129" i="33" s="1"/>
  <c r="Z138" i="33"/>
  <c r="AI138" i="33" s="1"/>
  <c r="Z142" i="33"/>
  <c r="AI142" i="33" s="1"/>
  <c r="Z136" i="33"/>
  <c r="AI136" i="33" s="1"/>
  <c r="Z137" i="33"/>
  <c r="AI137" i="33" s="1"/>
  <c r="Z141" i="33"/>
  <c r="AI141" i="33" s="1"/>
  <c r="Z140" i="33"/>
  <c r="AI140" i="33" s="1"/>
  <c r="Z143" i="33"/>
  <c r="AI143" i="33" s="1"/>
  <c r="Z144" i="33"/>
  <c r="AI144" i="33" s="1"/>
  <c r="Y20" i="32"/>
  <c r="Y56" i="32"/>
  <c r="Y34" i="14"/>
  <c r="X45" i="32"/>
  <c r="X123" i="33"/>
  <c r="X102" i="33"/>
  <c r="X101" i="33"/>
  <c r="X119" i="33"/>
  <c r="X111" i="33"/>
  <c r="X108" i="33"/>
  <c r="X107" i="33"/>
  <c r="X110" i="33"/>
  <c r="X109" i="33"/>
  <c r="X121" i="33"/>
  <c r="X122" i="33"/>
  <c r="X23" i="33"/>
  <c r="Z27" i="33"/>
  <c r="AI27" i="33" s="1"/>
  <c r="Z30" i="10"/>
  <c r="AI30" i="10" s="1"/>
  <c r="Z10" i="33"/>
  <c r="AI10" i="33" s="1"/>
  <c r="Z54" i="33"/>
  <c r="AI54" i="33" s="1"/>
  <c r="AA108" i="31"/>
  <c r="AJ108" i="31" s="1"/>
  <c r="AA106" i="31"/>
  <c r="AJ106" i="31" s="1"/>
  <c r="AA112" i="31"/>
  <c r="AJ112" i="31" s="1"/>
  <c r="AA107" i="31"/>
  <c r="AJ107" i="31" s="1"/>
  <c r="AA121" i="31"/>
  <c r="AJ121" i="31" s="1"/>
  <c r="AA101" i="31"/>
  <c r="AJ101" i="31" s="1"/>
  <c r="AA109" i="31"/>
  <c r="AJ109" i="31" s="1"/>
  <c r="Y14" i="31"/>
  <c r="Y15" i="31"/>
  <c r="Y22" i="31"/>
  <c r="Y11" i="31"/>
  <c r="Y50" i="31"/>
  <c r="Y48" i="31"/>
  <c r="Y16" i="31"/>
  <c r="Y46" i="31"/>
  <c r="Y47" i="31"/>
  <c r="Y13" i="31"/>
  <c r="Z29" i="10"/>
  <c r="Z52" i="32"/>
  <c r="AI52" i="32" s="1"/>
  <c r="Z24" i="32"/>
  <c r="AI24" i="32" s="1"/>
  <c r="Z54" i="32"/>
  <c r="AI54" i="32" s="1"/>
  <c r="Z36" i="32"/>
  <c r="AI36" i="32" s="1"/>
  <c r="Y164" i="38"/>
  <c r="Z164" i="38"/>
  <c r="AI164" i="38" s="1"/>
  <c r="X107" i="38"/>
  <c r="Y43" i="38"/>
  <c r="Z55" i="38"/>
  <c r="Z51" i="37"/>
  <c r="AI51" i="37" s="1"/>
  <c r="Y65" i="37"/>
  <c r="Y87" i="37"/>
  <c r="Z86" i="37"/>
  <c r="AI86" i="37" s="1"/>
  <c r="Z71" i="37"/>
  <c r="AI71" i="37" s="1"/>
  <c r="Y145" i="38"/>
  <c r="Z135" i="38"/>
  <c r="AI135" i="38" s="1"/>
  <c r="X10" i="37"/>
  <c r="Y10" i="37"/>
  <c r="Z10" i="37"/>
  <c r="AI10" i="37" s="1"/>
  <c r="Z132" i="37"/>
  <c r="AI132" i="37" s="1"/>
  <c r="X96" i="37"/>
  <c r="X94" i="37"/>
  <c r="X26" i="38"/>
  <c r="X24" i="38"/>
  <c r="X25" i="37"/>
  <c r="Z101" i="37"/>
  <c r="AI101" i="37" s="1"/>
  <c r="X131" i="38"/>
  <c r="Y73" i="38"/>
  <c r="Y85" i="38"/>
  <c r="Z56" i="38"/>
  <c r="AI56" i="38" s="1"/>
  <c r="X106" i="38"/>
  <c r="Y162" i="38"/>
  <c r="Y44" i="38"/>
  <c r="X84" i="38"/>
  <c r="Y71" i="38"/>
  <c r="X103" i="37"/>
  <c r="Y24" i="37"/>
  <c r="Y57" i="37"/>
  <c r="Y41" i="37"/>
  <c r="Y131" i="37"/>
  <c r="X85" i="37"/>
  <c r="X50" i="37"/>
  <c r="Z166" i="37"/>
  <c r="AI166" i="37" s="1"/>
  <c r="X67" i="10"/>
  <c r="Y67" i="10"/>
  <c r="Z67" i="10"/>
  <c r="AI67" i="10" s="1"/>
  <c r="Z16" i="12"/>
  <c r="AI16" i="12" s="1"/>
  <c r="Y15" i="12"/>
  <c r="X53" i="12"/>
  <c r="X55" i="12"/>
  <c r="Z12" i="12"/>
  <c r="AI12" i="12" s="1"/>
  <c r="X8" i="11"/>
  <c r="Z8" i="11"/>
  <c r="AI8" i="11" s="1"/>
  <c r="Y8" i="11"/>
  <c r="Y13" i="10"/>
  <c r="Z13" i="10"/>
  <c r="AI13" i="10" s="1"/>
  <c r="X13" i="10"/>
  <c r="Y163" i="38"/>
  <c r="Y19" i="38"/>
  <c r="X33" i="38"/>
  <c r="X169" i="38"/>
  <c r="Z112" i="38"/>
  <c r="AI112" i="38" s="1"/>
  <c r="X21" i="38"/>
  <c r="X124" i="37"/>
  <c r="X114" i="37"/>
  <c r="Y29" i="38"/>
  <c r="X25" i="38"/>
  <c r="X14" i="37"/>
  <c r="Y153" i="37"/>
  <c r="X111" i="37"/>
  <c r="Z78" i="37"/>
  <c r="AI78" i="37" s="1"/>
  <c r="Y119" i="38"/>
  <c r="Y88" i="38"/>
  <c r="Z61" i="38"/>
  <c r="AI61" i="38" s="1"/>
  <c r="Z103" i="38"/>
  <c r="AI103" i="38" s="1"/>
  <c r="Z111" i="38"/>
  <c r="AI111" i="38" s="1"/>
  <c r="Z140" i="38"/>
  <c r="AI140" i="38" s="1"/>
  <c r="Y167" i="38"/>
  <c r="X119" i="38"/>
  <c r="X85" i="38"/>
  <c r="Y46" i="38"/>
  <c r="X95" i="38"/>
  <c r="X126" i="38"/>
  <c r="Z132" i="38"/>
  <c r="AI132" i="38" s="1"/>
  <c r="Y168" i="38"/>
  <c r="X115" i="38"/>
  <c r="Y155" i="38"/>
  <c r="X102" i="38"/>
  <c r="X63" i="38"/>
  <c r="X108" i="38"/>
  <c r="X43" i="38"/>
  <c r="X159" i="38"/>
  <c r="Y137" i="38"/>
  <c r="X65" i="38"/>
  <c r="X113" i="38"/>
  <c r="Y90" i="38"/>
  <c r="Y56" i="38"/>
  <c r="X135" i="38"/>
  <c r="Y112" i="38"/>
  <c r="X146" i="38"/>
  <c r="Z27" i="12"/>
  <c r="AI27" i="12" s="1"/>
  <c r="X61" i="12"/>
  <c r="Y11" i="12"/>
  <c r="X120" i="37"/>
  <c r="Y14" i="37"/>
  <c r="X7" i="29"/>
  <c r="Y84" i="37"/>
  <c r="Z163" i="37"/>
  <c r="Y43" i="37"/>
  <c r="X97" i="37"/>
  <c r="X113" i="37"/>
  <c r="Y70" i="37"/>
  <c r="Y165" i="37"/>
  <c r="X22" i="37"/>
  <c r="X40" i="37"/>
  <c r="Y166" i="37"/>
  <c r="X135" i="37"/>
  <c r="Y154" i="37"/>
  <c r="X132" i="37"/>
  <c r="Y114" i="37"/>
  <c r="X63" i="37"/>
  <c r="Y168" i="37"/>
  <c r="Z45" i="37"/>
  <c r="AI45" i="37" s="1"/>
  <c r="Z151" i="37"/>
  <c r="AI151" i="37" s="1"/>
  <c r="Z120" i="37"/>
  <c r="AI120" i="37" s="1"/>
  <c r="X88" i="37"/>
  <c r="Y129" i="9"/>
  <c r="X129" i="9"/>
  <c r="Z129" i="9"/>
  <c r="AI129" i="9" s="1"/>
  <c r="Y121" i="37"/>
  <c r="X58" i="9"/>
  <c r="Z58" i="9"/>
  <c r="AI58" i="9" s="1"/>
  <c r="Y58" i="9"/>
  <c r="Y67" i="14"/>
  <c r="Y80" i="14"/>
  <c r="Y149" i="14"/>
  <c r="X98" i="14"/>
  <c r="Y73" i="14"/>
  <c r="Y48" i="14"/>
  <c r="Y147" i="14"/>
  <c r="X86" i="14"/>
  <c r="Y60" i="14"/>
  <c r="Y138" i="14"/>
  <c r="Y111" i="14"/>
  <c r="Y46" i="14"/>
  <c r="Y15" i="14"/>
  <c r="Y124" i="14"/>
  <c r="Y107" i="14"/>
  <c r="Z102" i="14"/>
  <c r="AI102" i="14" s="1"/>
  <c r="Z116" i="14"/>
  <c r="AI116" i="14" s="1"/>
  <c r="X150" i="14"/>
  <c r="Z88" i="14"/>
  <c r="AI88" i="14" s="1"/>
  <c r="X151" i="14"/>
  <c r="X53" i="14"/>
  <c r="Y99" i="14"/>
  <c r="Y62" i="14"/>
  <c r="Y51" i="14"/>
  <c r="Y120" i="14"/>
  <c r="Y155" i="14"/>
  <c r="Y87" i="14"/>
  <c r="Y61" i="14"/>
  <c r="Y152" i="14"/>
  <c r="Y68" i="14"/>
  <c r="Y139" i="14"/>
  <c r="Y26" i="14"/>
  <c r="Y145" i="14"/>
  <c r="Y16" i="14"/>
  <c r="Y122" i="14"/>
  <c r="Y105" i="14"/>
  <c r="X104" i="14"/>
  <c r="Z86" i="14"/>
  <c r="AI86" i="14" s="1"/>
  <c r="X38" i="14"/>
  <c r="X129" i="14"/>
  <c r="X154" i="14"/>
  <c r="X73" i="14"/>
  <c r="X76" i="14"/>
  <c r="X147" i="14"/>
  <c r="Y148" i="14"/>
  <c r="Y104" i="14"/>
  <c r="Y7" i="14"/>
  <c r="Y70" i="14"/>
  <c r="Y112" i="14"/>
  <c r="Y27" i="14"/>
  <c r="Y125" i="14"/>
  <c r="Y116" i="14"/>
  <c r="Y76" i="14"/>
  <c r="Y126" i="14"/>
  <c r="Y144" i="14"/>
  <c r="Y119" i="14"/>
  <c r="Y142" i="14"/>
  <c r="Y106" i="14"/>
  <c r="Z127" i="14"/>
  <c r="AI127" i="14" s="1"/>
  <c r="Z81" i="14"/>
  <c r="AI81" i="14" s="1"/>
  <c r="X134" i="14"/>
  <c r="X91" i="14"/>
  <c r="X55" i="14"/>
  <c r="Z132" i="14"/>
  <c r="AI132" i="14" s="1"/>
  <c r="Z148" i="14"/>
  <c r="X61" i="14"/>
  <c r="X133" i="14"/>
  <c r="X102" i="14"/>
  <c r="X67" i="14"/>
  <c r="Z75" i="14"/>
  <c r="AI75" i="14" s="1"/>
  <c r="Z134" i="14"/>
  <c r="Z74" i="14"/>
  <c r="AI74" i="14" s="1"/>
  <c r="Z66" i="14"/>
  <c r="AI66" i="14" s="1"/>
  <c r="Z96" i="14"/>
  <c r="AI96" i="14" s="1"/>
  <c r="Z153" i="14"/>
  <c r="AI153" i="14" s="1"/>
  <c r="X66" i="14"/>
  <c r="Y95" i="14"/>
  <c r="Y59" i="14"/>
  <c r="Y78" i="14"/>
  <c r="Y134" i="14"/>
  <c r="Y72" i="14"/>
  <c r="Y33" i="14"/>
  <c r="Y121" i="14"/>
  <c r="Y84" i="14"/>
  <c r="Y151" i="14"/>
  <c r="Y50" i="14"/>
  <c r="Y136" i="14"/>
  <c r="Y143" i="14"/>
  <c r="Y118" i="14"/>
  <c r="Y141" i="14"/>
  <c r="X84" i="14"/>
  <c r="Z104" i="14"/>
  <c r="AI104" i="14" s="1"/>
  <c r="Z67" i="14"/>
  <c r="AI67" i="14" s="1"/>
  <c r="Z95" i="14"/>
  <c r="AI95" i="14" s="1"/>
  <c r="Z149" i="14"/>
  <c r="AI149" i="14" s="1"/>
  <c r="X152" i="14"/>
  <c r="X156" i="14"/>
  <c r="Z94" i="14"/>
  <c r="AI94" i="14" s="1"/>
  <c r="X48" i="14"/>
  <c r="Z72" i="14"/>
  <c r="AI72" i="14" s="1"/>
  <c r="X132" i="14"/>
  <c r="X63" i="14"/>
  <c r="X72" i="14"/>
  <c r="X101" i="14"/>
  <c r="X79" i="14"/>
  <c r="Z147" i="14"/>
  <c r="AI147" i="14" s="1"/>
  <c r="Z70" i="14"/>
  <c r="AI70" i="14" s="1"/>
  <c r="Z73" i="14"/>
  <c r="AI73" i="14" s="1"/>
  <c r="Z115" i="14"/>
  <c r="AI115" i="14" s="1"/>
  <c r="Y53" i="14"/>
  <c r="Y75" i="14"/>
  <c r="Y38" i="14"/>
  <c r="Y103" i="14"/>
  <c r="Y86" i="14"/>
  <c r="Y137" i="14"/>
  <c r="Y115" i="14"/>
  <c r="Y135" i="14"/>
  <c r="Y88" i="14"/>
  <c r="Y47" i="14"/>
  <c r="Y132" i="14"/>
  <c r="Y153" i="14"/>
  <c r="Y92" i="14"/>
  <c r="Y66" i="14"/>
  <c r="Y30" i="14"/>
  <c r="Y140" i="14"/>
  <c r="Z129" i="14"/>
  <c r="AI129" i="14" s="1"/>
  <c r="X95" i="14"/>
  <c r="X138" i="14"/>
  <c r="Z65" i="14"/>
  <c r="AI65" i="14" s="1"/>
  <c r="Y83" i="14"/>
  <c r="Y98" i="14"/>
  <c r="Y81" i="14"/>
  <c r="Y102" i="14"/>
  <c r="X149" i="14"/>
  <c r="Y25" i="14"/>
  <c r="Y71" i="14"/>
  <c r="Y154" i="14"/>
  <c r="Y10" i="14"/>
  <c r="Y101" i="14"/>
  <c r="Y28" i="14"/>
  <c r="Y113" i="14"/>
  <c r="X81" i="14"/>
  <c r="Y29" i="14"/>
  <c r="Z103" i="14"/>
  <c r="AI103" i="14" s="1"/>
  <c r="X80" i="14"/>
  <c r="Z83" i="14"/>
  <c r="AI83" i="14" s="1"/>
  <c r="Z71" i="14"/>
  <c r="AI71" i="14" s="1"/>
  <c r="X49" i="14"/>
  <c r="Z128" i="14"/>
  <c r="AI128" i="14" s="1"/>
  <c r="X88" i="14"/>
  <c r="X7" i="14"/>
  <c r="X148" i="14"/>
  <c r="X114" i="14"/>
  <c r="X11" i="14"/>
  <c r="X139" i="14"/>
  <c r="X71" i="14"/>
  <c r="X115" i="14"/>
  <c r="Z92" i="14"/>
  <c r="AI92" i="14" s="1"/>
  <c r="Z126" i="14"/>
  <c r="AI126" i="14" s="1"/>
  <c r="Z113" i="14"/>
  <c r="AI113" i="14" s="1"/>
  <c r="Y24" i="14"/>
  <c r="Y127" i="14"/>
  <c r="Y91" i="14"/>
  <c r="Y97" i="14"/>
  <c r="Y129" i="14"/>
  <c r="Y150" i="14"/>
  <c r="Y133" i="14"/>
  <c r="Y79" i="14"/>
  <c r="Y19" i="14"/>
  <c r="Y114" i="14"/>
  <c r="Y39" i="14"/>
  <c r="Y128" i="14"/>
  <c r="Y90" i="14"/>
  <c r="Y44" i="14"/>
  <c r="Y123" i="14"/>
  <c r="Y110" i="14"/>
  <c r="X65" i="14"/>
  <c r="X103" i="14"/>
  <c r="Z80" i="14"/>
  <c r="Z90" i="14"/>
  <c r="AI90" i="14" s="1"/>
  <c r="X100" i="14"/>
  <c r="Z133" i="14"/>
  <c r="AI133" i="14" s="1"/>
  <c r="X94" i="14"/>
  <c r="X28" i="14"/>
  <c r="X13" i="14"/>
  <c r="X22" i="14"/>
  <c r="X96" i="14"/>
  <c r="X75" i="14"/>
  <c r="X39" i="14"/>
  <c r="X112" i="14"/>
  <c r="Z13" i="14"/>
  <c r="AI13" i="14" s="1"/>
  <c r="Y96" i="14"/>
  <c r="Y63" i="14"/>
  <c r="X125" i="14"/>
  <c r="Z23" i="14"/>
  <c r="AI23" i="14" s="1"/>
  <c r="Z34" i="14"/>
  <c r="AI34" i="14" s="1"/>
  <c r="X62" i="14"/>
  <c r="X131" i="14"/>
  <c r="X34" i="14"/>
  <c r="Z39" i="14"/>
  <c r="AI39" i="14" s="1"/>
  <c r="Z22" i="14"/>
  <c r="AI22" i="14" s="1"/>
  <c r="Z53" i="14"/>
  <c r="AI53" i="14" s="1"/>
  <c r="Z154" i="14"/>
  <c r="AI154" i="14" s="1"/>
  <c r="Y23" i="14"/>
  <c r="Z152" i="14"/>
  <c r="AI152" i="14" s="1"/>
  <c r="Z138" i="14"/>
  <c r="AI138" i="14" s="1"/>
  <c r="Y31" i="14"/>
  <c r="X136" i="14"/>
  <c r="X23" i="14"/>
  <c r="X87" i="14"/>
  <c r="Y65" i="14"/>
  <c r="Y156" i="14"/>
  <c r="Y9" i="14"/>
  <c r="Z98" i="14"/>
  <c r="AI98" i="14" s="1"/>
  <c r="X107" i="14"/>
  <c r="X18" i="14"/>
  <c r="X116" i="14"/>
  <c r="X126" i="14"/>
  <c r="X99" i="14"/>
  <c r="Z131" i="14"/>
  <c r="AI131" i="14" s="1"/>
  <c r="X78" i="14"/>
  <c r="Z99" i="14"/>
  <c r="AI99" i="14" s="1"/>
  <c r="Y55" i="14"/>
  <c r="Z111" i="14"/>
  <c r="AI111" i="14" s="1"/>
  <c r="Z84" i="14"/>
  <c r="AI84" i="14" s="1"/>
  <c r="Z101" i="14"/>
  <c r="AI101" i="14" s="1"/>
  <c r="X120" i="14"/>
  <c r="X31" i="14"/>
  <c r="X14" i="14"/>
  <c r="Y100" i="14"/>
  <c r="Y74" i="14"/>
  <c r="X113" i="14"/>
  <c r="X58" i="14"/>
  <c r="X51" i="14"/>
  <c r="X97" i="14"/>
  <c r="X92" i="14"/>
  <c r="X128" i="14"/>
  <c r="Z54" i="14"/>
  <c r="AI54" i="14" s="1"/>
  <c r="Y52" i="14"/>
  <c r="Z151" i="14"/>
  <c r="AI151" i="14" s="1"/>
  <c r="X83" i="14"/>
  <c r="Z63" i="14"/>
  <c r="AI63" i="14" s="1"/>
  <c r="X47" i="14"/>
  <c r="X74" i="14"/>
  <c r="X153" i="14"/>
  <c r="Z112" i="14"/>
  <c r="AI112" i="14" s="1"/>
  <c r="X57" i="14"/>
  <c r="X68" i="14"/>
  <c r="X127" i="14"/>
  <c r="Z121" i="14"/>
  <c r="AI121" i="14" s="1"/>
  <c r="Z18" i="14"/>
  <c r="AI18" i="14" s="1"/>
  <c r="Z9" i="14"/>
  <c r="AI9" i="14" s="1"/>
  <c r="Z49" i="14"/>
  <c r="AI49" i="14" s="1"/>
  <c r="Z76" i="14"/>
  <c r="AI76" i="14" s="1"/>
  <c r="Z62" i="14"/>
  <c r="AI62" i="14" s="1"/>
  <c r="X105" i="14"/>
  <c r="X123" i="14"/>
  <c r="Z124" i="14"/>
  <c r="AI124" i="14" s="1"/>
  <c r="Z118" i="14"/>
  <c r="AI118" i="14" s="1"/>
  <c r="Z29" i="14"/>
  <c r="AI29" i="14" s="1"/>
  <c r="Y108" i="14"/>
  <c r="X121" i="14"/>
  <c r="X137" i="14"/>
  <c r="Z68" i="14"/>
  <c r="AI68" i="14" s="1"/>
  <c r="X70" i="14"/>
  <c r="Z79" i="14"/>
  <c r="AI79" i="14" s="1"/>
  <c r="Z137" i="14"/>
  <c r="AI137" i="14" s="1"/>
  <c r="Y94" i="14"/>
  <c r="Y131" i="14"/>
  <c r="X60" i="14"/>
  <c r="X59" i="14"/>
  <c r="Z55" i="14"/>
  <c r="AI55" i="14" s="1"/>
  <c r="Z97" i="14"/>
  <c r="AI97" i="14" s="1"/>
  <c r="X155" i="14"/>
  <c r="Z155" i="14"/>
  <c r="Y18" i="14"/>
  <c r="Z139" i="14"/>
  <c r="AI139" i="14" s="1"/>
  <c r="Z61" i="14"/>
  <c r="AI61" i="14" s="1"/>
  <c r="X50" i="14"/>
  <c r="Y54" i="14"/>
  <c r="Z78" i="14"/>
  <c r="AI78" i="14" s="1"/>
  <c r="Z25" i="14"/>
  <c r="AI25" i="14" s="1"/>
  <c r="X118" i="14"/>
  <c r="Z7" i="14"/>
  <c r="AI7" i="14" s="1"/>
  <c r="Z31" i="14"/>
  <c r="AI31" i="14" s="1"/>
  <c r="Z156" i="14"/>
  <c r="AI156" i="14" s="1"/>
  <c r="X110" i="14"/>
  <c r="Z46" i="14"/>
  <c r="AI46" i="14" s="1"/>
  <c r="Z136" i="14"/>
  <c r="AI136" i="14" s="1"/>
  <c r="Z100" i="14"/>
  <c r="AI100" i="14" s="1"/>
  <c r="Z60" i="14"/>
  <c r="AI60" i="14" s="1"/>
  <c r="Z48" i="14"/>
  <c r="AI48" i="14" s="1"/>
  <c r="X44" i="14"/>
  <c r="Z119" i="14"/>
  <c r="AI119" i="14" s="1"/>
  <c r="Z30" i="14"/>
  <c r="AI30" i="14" s="1"/>
  <c r="Z28" i="14"/>
  <c r="AI28" i="14" s="1"/>
  <c r="X29" i="14"/>
  <c r="X90" i="14"/>
  <c r="X26" i="14"/>
  <c r="X135" i="14"/>
  <c r="X19" i="14"/>
  <c r="Z114" i="14"/>
  <c r="AI114" i="14" s="1"/>
  <c r="Y58" i="14"/>
  <c r="Z125" i="14"/>
  <c r="AI125" i="14" s="1"/>
  <c r="Z44" i="14"/>
  <c r="AI44" i="14" s="1"/>
  <c r="Z107" i="14"/>
  <c r="AI107" i="14" s="1"/>
  <c r="Z123" i="14"/>
  <c r="AI123" i="14" s="1"/>
  <c r="Y13" i="14"/>
  <c r="Z87" i="14"/>
  <c r="AI87" i="14" s="1"/>
  <c r="X33" i="14"/>
  <c r="Y57" i="14"/>
  <c r="X108" i="14"/>
  <c r="X46" i="14"/>
  <c r="X15" i="14"/>
  <c r="Z122" i="14"/>
  <c r="AI122" i="14" s="1"/>
  <c r="Z105" i="14"/>
  <c r="AI105" i="14" s="1"/>
  <c r="X16" i="14"/>
  <c r="Z106" i="14"/>
  <c r="AI106" i="14" s="1"/>
  <c r="Z50" i="14"/>
  <c r="AI50" i="14" s="1"/>
  <c r="Z135" i="14"/>
  <c r="AI135" i="14" s="1"/>
  <c r="Z120" i="14"/>
  <c r="AI120" i="14" s="1"/>
  <c r="X30" i="14"/>
  <c r="Z15" i="14"/>
  <c r="AI15" i="14" s="1"/>
  <c r="Z108" i="14"/>
  <c r="AI108" i="14" s="1"/>
  <c r="X111" i="14"/>
  <c r="X106" i="14"/>
  <c r="X122" i="14"/>
  <c r="Z16" i="14"/>
  <c r="AI16" i="14" s="1"/>
  <c r="Z150" i="14"/>
  <c r="Z57" i="14"/>
  <c r="AI57" i="14" s="1"/>
  <c r="Z26" i="14"/>
  <c r="AI26" i="14" s="1"/>
  <c r="Z91" i="14"/>
  <c r="AI91" i="14" s="1"/>
  <c r="X119" i="14"/>
  <c r="X124" i="14"/>
  <c r="Z14" i="14"/>
  <c r="AI14" i="14" s="1"/>
  <c r="Z110" i="14"/>
  <c r="AI110" i="14" s="1"/>
  <c r="Y29" i="11"/>
  <c r="Z29" i="11"/>
  <c r="AI29" i="11" s="1"/>
  <c r="X29" i="11"/>
  <c r="Y65" i="9"/>
  <c r="Y7" i="9"/>
  <c r="Y126" i="9"/>
  <c r="Y148" i="9"/>
  <c r="Y147" i="9"/>
  <c r="Y151" i="9"/>
  <c r="Z84" i="9"/>
  <c r="AI84" i="9" s="1"/>
  <c r="Z154" i="9"/>
  <c r="AI154" i="9" s="1"/>
  <c r="Z104" i="9"/>
  <c r="AI104" i="9" s="1"/>
  <c r="Z47" i="9"/>
  <c r="AI47" i="9" s="1"/>
  <c r="Y112" i="9"/>
  <c r="Z74" i="9"/>
  <c r="AI74" i="9" s="1"/>
  <c r="Y94" i="9"/>
  <c r="Y10" i="9"/>
  <c r="Y120" i="9"/>
  <c r="X114" i="9"/>
  <c r="X55" i="9"/>
  <c r="Y95" i="9"/>
  <c r="Y85" i="9"/>
  <c r="X111" i="9"/>
  <c r="Y125" i="9"/>
  <c r="Z130" i="9"/>
  <c r="AI130" i="9" s="1"/>
  <c r="X104" i="9"/>
  <c r="X106" i="9"/>
  <c r="Y107" i="9"/>
  <c r="X96" i="9"/>
  <c r="Z55" i="9"/>
  <c r="AI55" i="9" s="1"/>
  <c r="Y22" i="9"/>
  <c r="X67" i="9"/>
  <c r="Y30" i="9"/>
  <c r="Y117" i="9"/>
  <c r="X18" i="9"/>
  <c r="X98" i="9"/>
  <c r="X81" i="9"/>
  <c r="Y136" i="9"/>
  <c r="X109" i="9"/>
  <c r="Y123" i="9"/>
  <c r="X139" i="9"/>
  <c r="X65" i="9"/>
  <c r="Z67" i="9"/>
  <c r="AI67" i="9" s="1"/>
  <c r="Z70" i="9"/>
  <c r="Z39" i="9"/>
  <c r="AI39" i="9" s="1"/>
  <c r="X118" i="9"/>
  <c r="X148" i="9"/>
  <c r="Y47" i="9"/>
  <c r="X76" i="9"/>
  <c r="X146" i="9"/>
  <c r="Y97" i="9"/>
  <c r="X113" i="9"/>
  <c r="X52" i="9"/>
  <c r="Z77" i="9"/>
  <c r="AI77" i="9" s="1"/>
  <c r="Z89" i="9"/>
  <c r="AI89" i="9" s="1"/>
  <c r="Y57" i="9"/>
  <c r="Y71" i="9"/>
  <c r="Y69" i="9"/>
  <c r="X33" i="9"/>
  <c r="Z51" i="9"/>
  <c r="AI51" i="9" s="1"/>
  <c r="Z134" i="9"/>
  <c r="AI134" i="9" s="1"/>
  <c r="X61" i="9"/>
  <c r="X102" i="9"/>
  <c r="Z26" i="9"/>
  <c r="AI26" i="9" s="1"/>
  <c r="Y130" i="9"/>
  <c r="Y137" i="9"/>
  <c r="Y152" i="9"/>
  <c r="Y145" i="9"/>
  <c r="Z60" i="9"/>
  <c r="Y72" i="9"/>
  <c r="Z122" i="9"/>
  <c r="AI122" i="9" s="1"/>
  <c r="Z126" i="9"/>
  <c r="AI126" i="9" s="1"/>
  <c r="X30" i="9"/>
  <c r="Y108" i="9"/>
  <c r="X97" i="9"/>
  <c r="X149" i="9"/>
  <c r="Y16" i="9"/>
  <c r="X86" i="9"/>
  <c r="Y26" i="9"/>
  <c r="Y96" i="9"/>
  <c r="Z115" i="9"/>
  <c r="AI115" i="9" s="1"/>
  <c r="X136" i="9"/>
  <c r="X74" i="9"/>
  <c r="Y52" i="9"/>
  <c r="Y62" i="9"/>
  <c r="Y77" i="9"/>
  <c r="Y39" i="9"/>
  <c r="X29" i="9"/>
  <c r="X90" i="9"/>
  <c r="X35" i="9"/>
  <c r="Z63" i="9"/>
  <c r="AI63" i="9" s="1"/>
  <c r="Z139" i="9"/>
  <c r="AI139" i="9" s="1"/>
  <c r="X75" i="9"/>
  <c r="Z75" i="9"/>
  <c r="AI75" i="9" s="1"/>
  <c r="Y153" i="9"/>
  <c r="Y128" i="9"/>
  <c r="Y25" i="9"/>
  <c r="X130" i="9"/>
  <c r="X126" i="9"/>
  <c r="Z85" i="9"/>
  <c r="AI85" i="9" s="1"/>
  <c r="Y154" i="9"/>
  <c r="Y132" i="9"/>
  <c r="Y131" i="9"/>
  <c r="Y149" i="9"/>
  <c r="Y122" i="9"/>
  <c r="Y143" i="9"/>
  <c r="Z102" i="9"/>
  <c r="AI102" i="9" s="1"/>
  <c r="Z98" i="9"/>
  <c r="AI98" i="9" s="1"/>
  <c r="Y113" i="9"/>
  <c r="Y115" i="9"/>
  <c r="X119" i="9"/>
  <c r="X154" i="9"/>
  <c r="Y48" i="9"/>
  <c r="Z24" i="9"/>
  <c r="AI24" i="9" s="1"/>
  <c r="Z72" i="9"/>
  <c r="AI72" i="9" s="1"/>
  <c r="Y32" i="9"/>
  <c r="Y29" i="9"/>
  <c r="X145" i="9"/>
  <c r="Y118" i="9"/>
  <c r="X99" i="9"/>
  <c r="Y102" i="9"/>
  <c r="Z81" i="9"/>
  <c r="X39" i="9"/>
  <c r="Y61" i="9"/>
  <c r="X26" i="9"/>
  <c r="Z76" i="9"/>
  <c r="AI76" i="9" s="1"/>
  <c r="X153" i="9"/>
  <c r="X62" i="9"/>
  <c r="X22" i="9"/>
  <c r="Z54" i="9"/>
  <c r="AI54" i="9" s="1"/>
  <c r="X94" i="9"/>
  <c r="Y104" i="9"/>
  <c r="Y140" i="9"/>
  <c r="Y134" i="9"/>
  <c r="Y139" i="9"/>
  <c r="Y135" i="9"/>
  <c r="X95" i="9"/>
  <c r="Y142" i="9"/>
  <c r="Y98" i="9"/>
  <c r="Y81" i="9"/>
  <c r="X46" i="9"/>
  <c r="Z65" i="9"/>
  <c r="AI65" i="9" s="1"/>
  <c r="Z92" i="9"/>
  <c r="AI92" i="9" s="1"/>
  <c r="Z95" i="9"/>
  <c r="AI95" i="9" s="1"/>
  <c r="X25" i="9"/>
  <c r="Y106" i="9"/>
  <c r="Z35" i="9"/>
  <c r="AI35" i="9" s="1"/>
  <c r="Z52" i="9"/>
  <c r="AI52" i="9" s="1"/>
  <c r="Y33" i="9"/>
  <c r="X140" i="9"/>
  <c r="X115" i="9"/>
  <c r="Y101" i="9"/>
  <c r="Z22" i="9"/>
  <c r="AI22" i="9" s="1"/>
  <c r="Y18" i="9"/>
  <c r="X53" i="9"/>
  <c r="Y70" i="9"/>
  <c r="Y76" i="9"/>
  <c r="Y51" i="9"/>
  <c r="Z114" i="9"/>
  <c r="AI114" i="9" s="1"/>
  <c r="Z73" i="9"/>
  <c r="AI73" i="9" s="1"/>
  <c r="X91" i="9"/>
  <c r="X7" i="9"/>
  <c r="X70" i="9"/>
  <c r="X51" i="9"/>
  <c r="Y146" i="9"/>
  <c r="X117" i="9"/>
  <c r="Y15" i="9"/>
  <c r="Y119" i="9"/>
  <c r="Z62" i="9"/>
  <c r="AI62" i="9" s="1"/>
  <c r="X112" i="9"/>
  <c r="Z97" i="9"/>
  <c r="AI97" i="9" s="1"/>
  <c r="Z99" i="9"/>
  <c r="AI99" i="9" s="1"/>
  <c r="X63" i="9"/>
  <c r="X13" i="9"/>
  <c r="Z147" i="9"/>
  <c r="AI147" i="9" s="1"/>
  <c r="Z18" i="9"/>
  <c r="AI18" i="9" s="1"/>
  <c r="Y92" i="9"/>
  <c r="X120" i="9"/>
  <c r="X147" i="9"/>
  <c r="Y14" i="9"/>
  <c r="X100" i="9"/>
  <c r="X152" i="9"/>
  <c r="X69" i="9"/>
  <c r="Y28" i="9"/>
  <c r="X132" i="9"/>
  <c r="X122" i="9"/>
  <c r="Y54" i="9"/>
  <c r="Y74" i="9"/>
  <c r="X84" i="9"/>
  <c r="Y67" i="9"/>
  <c r="X9" i="9"/>
  <c r="Z90" i="9"/>
  <c r="AI90" i="9" s="1"/>
  <c r="X101" i="9"/>
  <c r="Z50" i="9"/>
  <c r="AI50" i="9" s="1"/>
  <c r="Z28" i="9"/>
  <c r="AI28" i="9" s="1"/>
  <c r="Z113" i="9"/>
  <c r="AI113" i="9" s="1"/>
  <c r="Z152" i="9"/>
  <c r="AI152" i="9" s="1"/>
  <c r="Z111" i="9"/>
  <c r="AI111" i="9" s="1"/>
  <c r="X77" i="9"/>
  <c r="Y9" i="9"/>
  <c r="X131" i="9"/>
  <c r="Z57" i="9"/>
  <c r="AI57" i="9" s="1"/>
  <c r="Y127" i="9"/>
  <c r="X137" i="9"/>
  <c r="Y53" i="9"/>
  <c r="X10" i="9"/>
  <c r="Z29" i="9"/>
  <c r="AI29" i="9" s="1"/>
  <c r="Z132" i="9"/>
  <c r="AI132" i="9" s="1"/>
  <c r="X89" i="9"/>
  <c r="Y75" i="9"/>
  <c r="Z100" i="9"/>
  <c r="AI100" i="9" s="1"/>
  <c r="Y90" i="9"/>
  <c r="X151" i="9"/>
  <c r="Y86" i="9"/>
  <c r="Y84" i="9"/>
  <c r="X134" i="9"/>
  <c r="Y13" i="9"/>
  <c r="X85" i="9"/>
  <c r="Y63" i="9"/>
  <c r="Z140" i="9"/>
  <c r="AI140" i="9" s="1"/>
  <c r="X92" i="9"/>
  <c r="Z94" i="9"/>
  <c r="X71" i="9"/>
  <c r="X47" i="9"/>
  <c r="X54" i="9"/>
  <c r="Y89" i="9"/>
  <c r="Z112" i="9"/>
  <c r="AI112" i="9" s="1"/>
  <c r="Z13" i="9"/>
  <c r="AI13" i="9" s="1"/>
  <c r="Z91" i="9"/>
  <c r="AI91" i="9" s="1"/>
  <c r="Z137" i="9"/>
  <c r="AI137" i="9" s="1"/>
  <c r="X123" i="9"/>
  <c r="X141" i="9"/>
  <c r="Z46" i="9"/>
  <c r="AI46" i="9" s="1"/>
  <c r="Z106" i="9"/>
  <c r="AI106" i="9" s="1"/>
  <c r="Y60" i="9"/>
  <c r="Y114" i="9"/>
  <c r="Z48" i="9"/>
  <c r="AI48" i="9" s="1"/>
  <c r="Y55" i="9"/>
  <c r="Y73" i="9"/>
  <c r="Y50" i="9"/>
  <c r="Z25" i="9"/>
  <c r="X48" i="9"/>
  <c r="Z153" i="9"/>
  <c r="AI153" i="9" s="1"/>
  <c r="Y141" i="9"/>
  <c r="Y99" i="9"/>
  <c r="X28" i="9"/>
  <c r="X50" i="9"/>
  <c r="Y35" i="9"/>
  <c r="Z10" i="9"/>
  <c r="AI10" i="9" s="1"/>
  <c r="X72" i="9"/>
  <c r="Z117" i="9"/>
  <c r="AI117" i="9" s="1"/>
  <c r="Z148" i="9"/>
  <c r="AI148" i="9" s="1"/>
  <c r="X135" i="9"/>
  <c r="Z9" i="9"/>
  <c r="AI9" i="9" s="1"/>
  <c r="Z61" i="9"/>
  <c r="AI61" i="9" s="1"/>
  <c r="Z53" i="9"/>
  <c r="AI53" i="9" s="1"/>
  <c r="X24" i="9"/>
  <c r="X127" i="9"/>
  <c r="Z118" i="9"/>
  <c r="AI118" i="9" s="1"/>
  <c r="Z135" i="9"/>
  <c r="AI135" i="9" s="1"/>
  <c r="Z71" i="9"/>
  <c r="AI71" i="9" s="1"/>
  <c r="Y87" i="9"/>
  <c r="Z127" i="9"/>
  <c r="AI127" i="9" s="1"/>
  <c r="X125" i="9"/>
  <c r="X143" i="9"/>
  <c r="Z120" i="9"/>
  <c r="AI120" i="9" s="1"/>
  <c r="X14" i="9"/>
  <c r="Z123" i="9"/>
  <c r="AI123" i="9" s="1"/>
  <c r="Y100" i="9"/>
  <c r="Z149" i="9"/>
  <c r="AI149" i="9" s="1"/>
  <c r="X142" i="9"/>
  <c r="X15" i="9"/>
  <c r="X44" i="9"/>
  <c r="X108" i="9"/>
  <c r="X16" i="9"/>
  <c r="Z109" i="9"/>
  <c r="AI109" i="9" s="1"/>
  <c r="Z69" i="9"/>
  <c r="AI69" i="9" s="1"/>
  <c r="Y91" i="9"/>
  <c r="Z128" i="9"/>
  <c r="AI128" i="9" s="1"/>
  <c r="Z86" i="9"/>
  <c r="AI86" i="9" s="1"/>
  <c r="Z30" i="9"/>
  <c r="AI30" i="9" s="1"/>
  <c r="X32" i="9"/>
  <c r="Y44" i="9"/>
  <c r="X107" i="9"/>
  <c r="X87" i="9"/>
  <c r="X60" i="9"/>
  <c r="Z96" i="9"/>
  <c r="AI96" i="9" s="1"/>
  <c r="X73" i="9"/>
  <c r="Z33" i="9"/>
  <c r="AI33" i="9" s="1"/>
  <c r="Z7" i="9"/>
  <c r="Z136" i="9"/>
  <c r="Y46" i="9"/>
  <c r="Y109" i="9"/>
  <c r="Z151" i="9"/>
  <c r="X128" i="9"/>
  <c r="X45" i="9"/>
  <c r="Z32" i="9"/>
  <c r="AI32" i="9" s="1"/>
  <c r="Z44" i="9"/>
  <c r="AI44" i="9" s="1"/>
  <c r="Z16" i="9"/>
  <c r="AI16" i="9" s="1"/>
  <c r="Z108" i="9"/>
  <c r="AI108" i="9" s="1"/>
  <c r="Y24" i="9"/>
  <c r="Z101" i="9"/>
  <c r="AI101" i="9" s="1"/>
  <c r="Z131" i="9"/>
  <c r="AI131" i="9" s="1"/>
  <c r="Z45" i="9"/>
  <c r="AI45" i="9" s="1"/>
  <c r="Z14" i="9"/>
  <c r="AI14" i="9" s="1"/>
  <c r="Y45" i="9"/>
  <c r="X57" i="9"/>
  <c r="Z87" i="9"/>
  <c r="AI87" i="9" s="1"/>
  <c r="Y111" i="9"/>
  <c r="Z119" i="9"/>
  <c r="AI119" i="9" s="1"/>
  <c r="Z15" i="9"/>
  <c r="AI15" i="9" s="1"/>
  <c r="Z125" i="9"/>
  <c r="AI125" i="9" s="1"/>
  <c r="Z107" i="9"/>
  <c r="AI107" i="9" s="1"/>
  <c r="X59" i="12"/>
  <c r="X62" i="12"/>
  <c r="Y37" i="12"/>
  <c r="X38" i="12"/>
  <c r="X51" i="12"/>
  <c r="Z14" i="12"/>
  <c r="AI14" i="12" s="1"/>
  <c r="Z15" i="12"/>
  <c r="AI15" i="12" s="1"/>
  <c r="Z17" i="12"/>
  <c r="AI17" i="12" s="1"/>
  <c r="Z39" i="12"/>
  <c r="AI39" i="12" s="1"/>
  <c r="Y29" i="12"/>
  <c r="Y49" i="12"/>
  <c r="Z31" i="12"/>
  <c r="AI31" i="12" s="1"/>
  <c r="X26" i="12"/>
  <c r="Y116" i="9"/>
  <c r="X116" i="9"/>
  <c r="Z116" i="9"/>
  <c r="AI116" i="9" s="1"/>
  <c r="Z9" i="12"/>
  <c r="AI9" i="12" s="1"/>
  <c r="Y16" i="11"/>
  <c r="Z16" i="11"/>
  <c r="AI16" i="11" s="1"/>
  <c r="X16" i="11"/>
  <c r="Y71" i="10"/>
  <c r="Z71" i="10"/>
  <c r="AI71" i="10" s="1"/>
  <c r="X71" i="10"/>
  <c r="Z93" i="9"/>
  <c r="X93" i="9"/>
  <c r="Y93" i="9"/>
  <c r="Z88" i="9"/>
  <c r="AI88" i="9" s="1"/>
  <c r="Y88" i="9"/>
  <c r="X88" i="9"/>
  <c r="X24" i="11"/>
  <c r="Z24" i="11"/>
  <c r="AI24" i="11" s="1"/>
  <c r="Y24" i="11"/>
  <c r="Y31" i="10"/>
  <c r="X31" i="10"/>
  <c r="Z31" i="10"/>
  <c r="AI31" i="10" s="1"/>
  <c r="X149" i="35"/>
  <c r="Y22" i="35"/>
  <c r="X25" i="35"/>
  <c r="Y136" i="35"/>
  <c r="X124" i="35"/>
  <c r="Z83" i="35"/>
  <c r="AI83" i="35" s="1"/>
  <c r="Y13" i="35"/>
  <c r="Y92" i="35"/>
  <c r="X113" i="35"/>
  <c r="Y128" i="35"/>
  <c r="Y78" i="35"/>
  <c r="Z74" i="35"/>
  <c r="AI74" i="35" s="1"/>
  <c r="Z27" i="35"/>
  <c r="AI27" i="35" s="1"/>
  <c r="Y27" i="35"/>
  <c r="Z22" i="35"/>
  <c r="AI22" i="35" s="1"/>
  <c r="Z15" i="35"/>
  <c r="AI15" i="35" s="1"/>
  <c r="X24" i="35"/>
  <c r="Y11" i="35"/>
  <c r="Z42" i="35"/>
  <c r="AI42" i="35" s="1"/>
  <c r="X101" i="35"/>
  <c r="Z133" i="35"/>
  <c r="AI133" i="35" s="1"/>
  <c r="Y83" i="35"/>
  <c r="Z32" i="35"/>
  <c r="AI32" i="35" s="1"/>
  <c r="Y161" i="35"/>
  <c r="Y130" i="35"/>
  <c r="Y86" i="35"/>
  <c r="Y146" i="35"/>
  <c r="Z12" i="35"/>
  <c r="AI12" i="35" s="1"/>
  <c r="Z96" i="35"/>
  <c r="AI96" i="35" s="1"/>
  <c r="X72" i="35"/>
  <c r="Y94" i="35"/>
  <c r="Y58" i="35"/>
  <c r="Z148" i="35"/>
  <c r="AI148" i="35" s="1"/>
  <c r="Y162" i="35"/>
  <c r="X84" i="35"/>
  <c r="X83" i="35"/>
  <c r="Z134" i="35"/>
  <c r="AI134" i="35" s="1"/>
  <c r="Z40" i="35"/>
  <c r="Z136" i="35"/>
  <c r="AI136" i="35" s="1"/>
  <c r="Z135" i="35"/>
  <c r="AI135" i="35" s="1"/>
  <c r="Y132" i="35"/>
  <c r="X65" i="35"/>
  <c r="Y51" i="35"/>
  <c r="X80" i="35"/>
  <c r="Z106" i="35"/>
  <c r="Y32" i="35"/>
  <c r="Y14" i="35"/>
  <c r="Y25" i="35"/>
  <c r="Y30" i="32"/>
  <c r="Y36" i="32"/>
  <c r="Y130" i="33"/>
  <c r="Y127" i="33"/>
  <c r="Y24" i="32"/>
  <c r="Y14" i="14"/>
  <c r="X134" i="33"/>
  <c r="X141" i="33"/>
  <c r="X136" i="33"/>
  <c r="X139" i="33"/>
  <c r="X130" i="33"/>
  <c r="X129" i="33"/>
  <c r="X138" i="33"/>
  <c r="X137" i="33"/>
  <c r="X143" i="33"/>
  <c r="X140" i="33"/>
  <c r="AA131" i="31"/>
  <c r="AJ131" i="31" s="1"/>
  <c r="Y68" i="32"/>
  <c r="Y19" i="32"/>
  <c r="Z101" i="33"/>
  <c r="AI101" i="33" s="1"/>
  <c r="Z102" i="33"/>
  <c r="AI102" i="33" s="1"/>
  <c r="Z119" i="33"/>
  <c r="AI119" i="33" s="1"/>
  <c r="Z110" i="33"/>
  <c r="AI110" i="33" s="1"/>
  <c r="Z107" i="33"/>
  <c r="AI107" i="33" s="1"/>
  <c r="Z111" i="33"/>
  <c r="AI111" i="33" s="1"/>
  <c r="Z109" i="33"/>
  <c r="AI109" i="33" s="1"/>
  <c r="Z121" i="33"/>
  <c r="AI121" i="33" s="1"/>
  <c r="Z108" i="33"/>
  <c r="AI108" i="33" s="1"/>
  <c r="Z122" i="33"/>
  <c r="AI122" i="33" s="1"/>
  <c r="Z123" i="33"/>
  <c r="AI123" i="33" s="1"/>
  <c r="Z52" i="14"/>
  <c r="AI52" i="14" s="1"/>
  <c r="Y132" i="33"/>
  <c r="Z36" i="10"/>
  <c r="AI36" i="10" s="1"/>
  <c r="Z69" i="33"/>
  <c r="AI69" i="33" s="1"/>
  <c r="Z71" i="33"/>
  <c r="AI71" i="33" s="1"/>
  <c r="Z79" i="33"/>
  <c r="AI79" i="33" s="1"/>
  <c r="Z81" i="33"/>
  <c r="AI81" i="33" s="1"/>
  <c r="Z78" i="33"/>
  <c r="AI78" i="33" s="1"/>
  <c r="Z55" i="33"/>
  <c r="AI55" i="33" s="1"/>
  <c r="Z18" i="33"/>
  <c r="AI18" i="33" s="1"/>
  <c r="Y100" i="31"/>
  <c r="Y121" i="31"/>
  <c r="Y109" i="31"/>
  <c r="Y112" i="31"/>
  <c r="Y111" i="31"/>
  <c r="Y113" i="31"/>
  <c r="Y106" i="31"/>
  <c r="Y107" i="31"/>
  <c r="Y108" i="31"/>
  <c r="Y101" i="31"/>
  <c r="Z127" i="33"/>
  <c r="AI127" i="33" s="1"/>
  <c r="X65" i="32"/>
  <c r="X10" i="14"/>
  <c r="AA100" i="31"/>
  <c r="AJ100" i="31" s="1"/>
  <c r="Z30" i="32"/>
  <c r="AI30" i="32" s="1"/>
  <c r="Z31" i="32"/>
  <c r="AI31" i="32" s="1"/>
  <c r="Z14" i="32"/>
  <c r="AI14" i="32" s="1"/>
  <c r="Z11" i="32"/>
  <c r="AI11" i="32" s="1"/>
  <c r="Z43" i="32"/>
  <c r="Z136" i="37"/>
  <c r="AI136" i="37" s="1"/>
  <c r="Y124" i="37"/>
  <c r="Z112" i="37"/>
  <c r="AI112" i="37" s="1"/>
  <c r="Y23" i="37"/>
  <c r="X81" i="38"/>
  <c r="X86" i="38"/>
  <c r="Y27" i="38"/>
  <c r="Z116" i="38"/>
  <c r="AI116" i="38" s="1"/>
  <c r="X58" i="37"/>
  <c r="Y28" i="37"/>
  <c r="Y98" i="37"/>
  <c r="Z104" i="37"/>
  <c r="Z134" i="38"/>
  <c r="AI134" i="38" s="1"/>
  <c r="X38" i="38"/>
  <c r="Y47" i="38"/>
  <c r="Y37" i="38"/>
  <c r="Y50" i="38"/>
  <c r="X52" i="38"/>
  <c r="X92" i="38"/>
  <c r="Y108" i="38"/>
  <c r="Y80" i="38"/>
  <c r="Y31" i="38"/>
  <c r="Z51" i="12"/>
  <c r="AI51" i="12" s="1"/>
  <c r="Y136" i="37"/>
  <c r="X48" i="11"/>
  <c r="Y43" i="11"/>
  <c r="X52" i="11"/>
  <c r="Y7" i="11"/>
  <c r="X60" i="11"/>
  <c r="Y52" i="11"/>
  <c r="Y60" i="11"/>
  <c r="X43" i="11"/>
  <c r="Z31" i="11"/>
  <c r="AI31" i="11" s="1"/>
  <c r="Z40" i="11"/>
  <c r="AI40" i="11" s="1"/>
  <c r="Y27" i="11"/>
  <c r="Y31" i="11"/>
  <c r="X53" i="11"/>
  <c r="Y17" i="11"/>
  <c r="X35" i="11"/>
  <c r="X31" i="11"/>
  <c r="Z46" i="11"/>
  <c r="AI46" i="11" s="1"/>
  <c r="X12" i="11"/>
  <c r="Y35" i="11"/>
  <c r="Y26" i="11"/>
  <c r="Y38" i="11"/>
  <c r="X55" i="11"/>
  <c r="Y12" i="11"/>
  <c r="X32" i="11"/>
  <c r="Z44" i="11"/>
  <c r="Z51" i="11"/>
  <c r="AI51" i="11" s="1"/>
  <c r="X39" i="11"/>
  <c r="X37" i="11"/>
  <c r="Z56" i="11"/>
  <c r="AI56" i="11" s="1"/>
  <c r="X23" i="11"/>
  <c r="X27" i="11"/>
  <c r="Z48" i="11"/>
  <c r="AI48" i="11" s="1"/>
  <c r="Z14" i="11"/>
  <c r="AI14" i="11" s="1"/>
  <c r="X51" i="11"/>
  <c r="Y39" i="11"/>
  <c r="X42" i="11"/>
  <c r="Y42" i="11"/>
  <c r="Y62" i="11"/>
  <c r="Y14" i="11"/>
  <c r="X59" i="11"/>
  <c r="X50" i="11"/>
  <c r="Y15" i="11"/>
  <c r="Z38" i="11"/>
  <c r="AI38" i="11" s="1"/>
  <c r="X38" i="11"/>
  <c r="X14" i="11"/>
  <c r="Z34" i="11"/>
  <c r="AI34" i="11" s="1"/>
  <c r="Z19" i="11"/>
  <c r="AI19" i="11" s="1"/>
  <c r="Y51" i="11"/>
  <c r="X46" i="11"/>
  <c r="X62" i="11"/>
  <c r="Y37" i="11"/>
  <c r="Y59" i="11"/>
  <c r="X56" i="11"/>
  <c r="Y19" i="11"/>
  <c r="X54" i="11"/>
  <c r="X40" i="11"/>
  <c r="X26" i="11"/>
  <c r="Y50" i="11"/>
  <c r="Y53" i="11"/>
  <c r="Y44" i="11"/>
  <c r="Y54" i="11"/>
  <c r="Z26" i="11"/>
  <c r="Z50" i="11"/>
  <c r="X34" i="11"/>
  <c r="Z59" i="11"/>
  <c r="AI59" i="11" s="1"/>
  <c r="X44" i="11"/>
  <c r="Y40" i="11"/>
  <c r="Y9" i="11"/>
  <c r="Y56" i="11"/>
  <c r="Y58" i="11"/>
  <c r="Z53" i="11"/>
  <c r="AI53" i="11" s="1"/>
  <c r="Z32" i="11"/>
  <c r="AI32" i="11" s="1"/>
  <c r="Z39" i="11"/>
  <c r="AI39" i="11" s="1"/>
  <c r="X19" i="11"/>
  <c r="Z55" i="11"/>
  <c r="AI55" i="11" s="1"/>
  <c r="Y46" i="11"/>
  <c r="X28" i="11"/>
  <c r="Z12" i="11"/>
  <c r="AI12" i="11" s="1"/>
  <c r="Z42" i="11"/>
  <c r="AI42" i="11" s="1"/>
  <c r="Y55" i="11"/>
  <c r="Y23" i="11"/>
  <c r="Z60" i="11"/>
  <c r="AI60" i="11" s="1"/>
  <c r="Z54" i="11"/>
  <c r="AI54" i="11" s="1"/>
  <c r="Y48" i="11"/>
  <c r="Z28" i="11"/>
  <c r="Z23" i="11"/>
  <c r="X9" i="11"/>
  <c r="Y28" i="11"/>
  <c r="Y32" i="11"/>
  <c r="Z52" i="11"/>
  <c r="AI52" i="11" s="1"/>
  <c r="Z35" i="11"/>
  <c r="AI35" i="11" s="1"/>
  <c r="X58" i="11"/>
  <c r="Y34" i="11"/>
  <c r="Y11" i="11"/>
  <c r="Z62" i="11"/>
  <c r="AI62" i="11" s="1"/>
  <c r="X11" i="11"/>
  <c r="Z58" i="11"/>
  <c r="AI58" i="11" s="1"/>
  <c r="X15" i="11"/>
  <c r="X17" i="11"/>
  <c r="Z17" i="11"/>
  <c r="AI17" i="11" s="1"/>
  <c r="Z27" i="11"/>
  <c r="AI27" i="11" s="1"/>
  <c r="Z7" i="11"/>
  <c r="AI7" i="11" s="1"/>
  <c r="Z11" i="11"/>
  <c r="AI11" i="11" s="1"/>
  <c r="Z15" i="11"/>
  <c r="AI15" i="11" s="1"/>
  <c r="Z37" i="11"/>
  <c r="Z43" i="11"/>
  <c r="AI43" i="11" s="1"/>
  <c r="Y39" i="12"/>
  <c r="Y14" i="38"/>
  <c r="X14" i="38"/>
  <c r="Z14" i="38"/>
  <c r="AI14" i="38" s="1"/>
  <c r="Y132" i="38"/>
  <c r="Z62" i="37"/>
  <c r="AI62" i="37" s="1"/>
  <c r="Y161" i="37"/>
  <c r="X64" i="37"/>
  <c r="X136" i="37"/>
  <c r="Y110" i="38"/>
  <c r="X109" i="38"/>
  <c r="X139" i="38"/>
  <c r="X148" i="38"/>
  <c r="X82" i="38"/>
  <c r="Z152" i="38"/>
  <c r="AI152" i="38" s="1"/>
  <c r="Y89" i="37"/>
  <c r="Y155" i="37"/>
  <c r="X104" i="37"/>
  <c r="X43" i="37"/>
  <c r="Y123" i="32"/>
  <c r="Y112" i="32"/>
  <c r="X130" i="32"/>
  <c r="Y73" i="32"/>
  <c r="X150" i="32"/>
  <c r="Y93" i="32"/>
  <c r="Y85" i="32"/>
  <c r="Y79" i="32"/>
  <c r="X89" i="32"/>
  <c r="Y98" i="32"/>
  <c r="X112" i="32"/>
  <c r="X67" i="32"/>
  <c r="Y66" i="32"/>
  <c r="X73" i="32"/>
  <c r="X102" i="32"/>
  <c r="Y82" i="32"/>
  <c r="Y101" i="32"/>
  <c r="X106" i="32"/>
  <c r="Y87" i="32"/>
  <c r="Y21" i="32"/>
  <c r="Y100" i="32"/>
  <c r="Y70" i="32"/>
  <c r="Y102" i="32"/>
  <c r="X19" i="32"/>
  <c r="Y128" i="32"/>
  <c r="X136" i="32"/>
  <c r="Y88" i="32"/>
  <c r="X121" i="32"/>
  <c r="Y121" i="32"/>
  <c r="Y109" i="32"/>
  <c r="Y81" i="32"/>
  <c r="Y95" i="32"/>
  <c r="Y124" i="32"/>
  <c r="Y78" i="32"/>
  <c r="X149" i="32"/>
  <c r="X80" i="32"/>
  <c r="X111" i="32"/>
  <c r="X20" i="32"/>
  <c r="X152" i="32"/>
  <c r="Y136" i="32"/>
  <c r="X93" i="32"/>
  <c r="Y107" i="32"/>
  <c r="Y152" i="32"/>
  <c r="X21" i="32"/>
  <c r="X75" i="32"/>
  <c r="X117" i="32"/>
  <c r="X131" i="32"/>
  <c r="Y149" i="32"/>
  <c r="X103" i="32"/>
  <c r="Y130" i="32"/>
  <c r="X126" i="32"/>
  <c r="Y104" i="32"/>
  <c r="Y80" i="32"/>
  <c r="Y89" i="32"/>
  <c r="Y103" i="32"/>
  <c r="Y86" i="32"/>
  <c r="Y67" i="32"/>
  <c r="Y118" i="32"/>
  <c r="X116" i="32"/>
  <c r="X59" i="32"/>
  <c r="X154" i="32"/>
  <c r="Y135" i="32"/>
  <c r="X94" i="32"/>
  <c r="Y125" i="32"/>
  <c r="Y148" i="32"/>
  <c r="X64" i="32"/>
  <c r="X85" i="32"/>
  <c r="X56" i="32"/>
  <c r="X115" i="32"/>
  <c r="X78" i="32"/>
  <c r="X133" i="32"/>
  <c r="Y106" i="32"/>
  <c r="Y96" i="32"/>
  <c r="Y97" i="32"/>
  <c r="Y39" i="32"/>
  <c r="Y119" i="32"/>
  <c r="Y94" i="32"/>
  <c r="Y75" i="32"/>
  <c r="Y151" i="32"/>
  <c r="X84" i="32"/>
  <c r="Y74" i="32"/>
  <c r="Y76" i="32"/>
  <c r="Y120" i="32"/>
  <c r="Y69" i="32"/>
  <c r="Y126" i="32"/>
  <c r="Y91" i="32"/>
  <c r="X58" i="32"/>
  <c r="X26" i="32"/>
  <c r="X97" i="32"/>
  <c r="Y137" i="32"/>
  <c r="X124" i="32"/>
  <c r="X156" i="32"/>
  <c r="Y113" i="32"/>
  <c r="X107" i="32"/>
  <c r="X125" i="32"/>
  <c r="X83" i="32"/>
  <c r="Y111" i="32"/>
  <c r="Y92" i="32"/>
  <c r="X74" i="32"/>
  <c r="Y77" i="32"/>
  <c r="Y71" i="32"/>
  <c r="Y84" i="32"/>
  <c r="X155" i="32"/>
  <c r="Y99" i="32"/>
  <c r="X88" i="32"/>
  <c r="X66" i="32"/>
  <c r="X63" i="32"/>
  <c r="X98" i="32"/>
  <c r="Y134" i="32"/>
  <c r="Y139" i="32"/>
  <c r="X122" i="32"/>
  <c r="Y114" i="32"/>
  <c r="X62" i="32"/>
  <c r="Y110" i="32"/>
  <c r="X151" i="32"/>
  <c r="X96" i="32"/>
  <c r="Y153" i="32"/>
  <c r="X76" i="32"/>
  <c r="X127" i="32"/>
  <c r="X82" i="32"/>
  <c r="X52" i="32"/>
  <c r="Y122" i="32"/>
  <c r="Y105" i="32"/>
  <c r="Y54" i="32"/>
  <c r="X148" i="32"/>
  <c r="X105" i="32"/>
  <c r="X147" i="32"/>
  <c r="X53" i="32"/>
  <c r="Y133" i="32"/>
  <c r="Y117" i="32"/>
  <c r="X87" i="32"/>
  <c r="X123" i="32"/>
  <c r="X104" i="32"/>
  <c r="X70" i="32"/>
  <c r="X137" i="32"/>
  <c r="Y155" i="32"/>
  <c r="X91" i="32"/>
  <c r="X146" i="32"/>
  <c r="Y142" i="32"/>
  <c r="X141" i="32"/>
  <c r="Y83" i="32"/>
  <c r="Y50" i="32"/>
  <c r="X8" i="32"/>
  <c r="Y131" i="32"/>
  <c r="Y115" i="32"/>
  <c r="X110" i="32"/>
  <c r="X10" i="32"/>
  <c r="X118" i="32"/>
  <c r="X138" i="32"/>
  <c r="Y150" i="32"/>
  <c r="Y59" i="32"/>
  <c r="Y132" i="32"/>
  <c r="Y108" i="32"/>
  <c r="X139" i="32"/>
  <c r="X113" i="32"/>
  <c r="X31" i="32"/>
  <c r="X119" i="32"/>
  <c r="X134" i="32"/>
  <c r="X100" i="32"/>
  <c r="X77" i="32"/>
  <c r="X16" i="32"/>
  <c r="X49" i="32"/>
  <c r="Y143" i="32"/>
  <c r="Y8" i="32"/>
  <c r="X68" i="32"/>
  <c r="Y138" i="32"/>
  <c r="X114" i="32"/>
  <c r="X101" i="32"/>
  <c r="Y10" i="32"/>
  <c r="Y17" i="32"/>
  <c r="X43" i="32"/>
  <c r="X153" i="32"/>
  <c r="X14" i="32"/>
  <c r="X108" i="32"/>
  <c r="X95" i="32"/>
  <c r="X128" i="32"/>
  <c r="X142" i="32"/>
  <c r="X81" i="32"/>
  <c r="X54" i="32"/>
  <c r="X120" i="32"/>
  <c r="X11" i="32"/>
  <c r="X99" i="32"/>
  <c r="X28" i="32"/>
  <c r="Y156" i="32"/>
  <c r="X69" i="32"/>
  <c r="X140" i="32"/>
  <c r="Y144" i="32"/>
  <c r="Z103" i="32"/>
  <c r="AI103" i="32" s="1"/>
  <c r="Z73" i="32"/>
  <c r="AI73" i="32" s="1"/>
  <c r="Z88" i="32"/>
  <c r="AI88" i="32" s="1"/>
  <c r="Z86" i="32"/>
  <c r="AI86" i="32" s="1"/>
  <c r="Z99" i="32"/>
  <c r="AI99" i="32" s="1"/>
  <c r="Z124" i="32"/>
  <c r="AI124" i="32" s="1"/>
  <c r="Z116" i="32"/>
  <c r="AI116" i="32" s="1"/>
  <c r="Z129" i="32"/>
  <c r="Z112" i="32"/>
  <c r="AI112" i="32" s="1"/>
  <c r="Z147" i="32"/>
  <c r="AI147" i="32" s="1"/>
  <c r="Z149" i="32"/>
  <c r="AI149" i="32" s="1"/>
  <c r="Z106" i="32"/>
  <c r="AI106" i="32" s="1"/>
  <c r="X71" i="32"/>
  <c r="Y147" i="32"/>
  <c r="X143" i="32"/>
  <c r="Y145" i="32"/>
  <c r="Z126" i="32"/>
  <c r="AI126" i="32" s="1"/>
  <c r="Z96" i="32"/>
  <c r="AI96" i="32" s="1"/>
  <c r="Z118" i="32"/>
  <c r="AI118" i="32" s="1"/>
  <c r="Z127" i="32"/>
  <c r="X29" i="32"/>
  <c r="X32" i="32"/>
  <c r="Z104" i="32"/>
  <c r="AI104" i="32" s="1"/>
  <c r="Z77" i="32"/>
  <c r="AI77" i="32" s="1"/>
  <c r="Z132" i="32"/>
  <c r="AI132" i="32" s="1"/>
  <c r="X79" i="32"/>
  <c r="X15" i="32"/>
  <c r="X33" i="32"/>
  <c r="X144" i="32"/>
  <c r="Z131" i="32"/>
  <c r="AI131" i="32" s="1"/>
  <c r="Z97" i="32"/>
  <c r="AI97" i="32" s="1"/>
  <c r="X50" i="32"/>
  <c r="Y154" i="32"/>
  <c r="Y129" i="32"/>
  <c r="Z102" i="32"/>
  <c r="AI102" i="32" s="1"/>
  <c r="Z89" i="32"/>
  <c r="AI89" i="32" s="1"/>
  <c r="Y116" i="32"/>
  <c r="X39" i="32"/>
  <c r="X129" i="32"/>
  <c r="X92" i="32"/>
  <c r="X17" i="32"/>
  <c r="X34" i="32"/>
  <c r="Z155" i="32"/>
  <c r="Z8" i="32"/>
  <c r="AI8" i="32" s="1"/>
  <c r="Z79" i="32"/>
  <c r="AI79" i="32" s="1"/>
  <c r="Z100" i="32"/>
  <c r="AI100" i="32" s="1"/>
  <c r="Z144" i="32"/>
  <c r="AI144" i="32" s="1"/>
  <c r="Z154" i="32"/>
  <c r="AI154" i="32" s="1"/>
  <c r="Z70" i="32"/>
  <c r="AI70" i="32" s="1"/>
  <c r="Z114" i="32"/>
  <c r="AI114" i="32" s="1"/>
  <c r="Z115" i="32"/>
  <c r="AI115" i="32" s="1"/>
  <c r="Z105" i="32"/>
  <c r="AI105" i="32" s="1"/>
  <c r="Z145" i="32"/>
  <c r="AI145" i="32" s="1"/>
  <c r="Z133" i="32"/>
  <c r="AI133" i="32" s="1"/>
  <c r="Z85" i="32"/>
  <c r="AI85" i="32" s="1"/>
  <c r="X27" i="32"/>
  <c r="X135" i="32"/>
  <c r="X9" i="32"/>
  <c r="X57" i="32"/>
  <c r="X25" i="32"/>
  <c r="X48" i="32"/>
  <c r="Y141" i="32"/>
  <c r="Z130" i="32"/>
  <c r="AI130" i="32" s="1"/>
  <c r="Z74" i="32"/>
  <c r="AI74" i="32" s="1"/>
  <c r="Z95" i="32"/>
  <c r="AI95" i="32" s="1"/>
  <c r="Z122" i="32"/>
  <c r="AI122" i="32" s="1"/>
  <c r="Z71" i="32"/>
  <c r="AI71" i="32" s="1"/>
  <c r="Z153" i="32"/>
  <c r="AI153" i="32" s="1"/>
  <c r="Z76" i="32"/>
  <c r="AI76" i="32" s="1"/>
  <c r="Z117" i="32"/>
  <c r="AI117" i="32" s="1"/>
  <c r="Z140" i="32"/>
  <c r="AI140" i="32" s="1"/>
  <c r="Z120" i="32"/>
  <c r="AI120" i="32" s="1"/>
  <c r="Z142" i="32"/>
  <c r="AI142" i="32" s="1"/>
  <c r="Z83" i="32"/>
  <c r="AI83" i="32" s="1"/>
  <c r="X132" i="32"/>
  <c r="X145" i="32"/>
  <c r="Z150" i="32"/>
  <c r="AI150" i="32" s="1"/>
  <c r="Z94" i="32"/>
  <c r="AI94" i="32" s="1"/>
  <c r="Z148" i="32"/>
  <c r="AI148" i="32" s="1"/>
  <c r="Z92" i="32"/>
  <c r="AI92" i="32" s="1"/>
  <c r="Z93" i="32"/>
  <c r="AI93" i="32" s="1"/>
  <c r="Z151" i="32"/>
  <c r="AI151" i="32" s="1"/>
  <c r="Z110" i="32"/>
  <c r="AI110" i="32" s="1"/>
  <c r="Z82" i="32"/>
  <c r="AI82" i="32" s="1"/>
  <c r="Z138" i="32"/>
  <c r="AI138" i="32" s="1"/>
  <c r="Z66" i="32"/>
  <c r="AI66" i="32" s="1"/>
  <c r="Z141" i="32"/>
  <c r="AI141" i="32" s="1"/>
  <c r="Z84" i="32"/>
  <c r="AI84" i="32" s="1"/>
  <c r="Z113" i="32"/>
  <c r="AI113" i="32" s="1"/>
  <c r="Z128" i="32"/>
  <c r="Z135" i="32"/>
  <c r="AI135" i="32" s="1"/>
  <c r="Z98" i="32"/>
  <c r="AI98" i="32" s="1"/>
  <c r="Z108" i="32"/>
  <c r="AI108" i="32" s="1"/>
  <c r="Z87" i="32"/>
  <c r="AI87" i="32" s="1"/>
  <c r="X51" i="32"/>
  <c r="Z69" i="32"/>
  <c r="AI69" i="32" s="1"/>
  <c r="Z134" i="32"/>
  <c r="AI134" i="32" s="1"/>
  <c r="Y140" i="32"/>
  <c r="X109" i="32"/>
  <c r="Y127" i="32"/>
  <c r="Y146" i="32"/>
  <c r="Z67" i="32"/>
  <c r="AI67" i="32" s="1"/>
  <c r="Z111" i="32"/>
  <c r="AI111" i="32" s="1"/>
  <c r="Z121" i="32"/>
  <c r="AI121" i="32" s="1"/>
  <c r="Z80" i="32"/>
  <c r="AI80" i="32" s="1"/>
  <c r="Z125" i="32"/>
  <c r="AI125" i="32" s="1"/>
  <c r="Z152" i="32"/>
  <c r="AI152" i="32" s="1"/>
  <c r="Z91" i="32"/>
  <c r="AI91" i="32" s="1"/>
  <c r="Z119" i="32"/>
  <c r="AI119" i="32" s="1"/>
  <c r="Z139" i="32"/>
  <c r="AI139" i="32" s="1"/>
  <c r="Z101" i="32"/>
  <c r="AI101" i="32" s="1"/>
  <c r="Z81" i="32"/>
  <c r="AI81" i="32" s="1"/>
  <c r="Z136" i="32"/>
  <c r="AI136" i="32" s="1"/>
  <c r="Z146" i="32"/>
  <c r="AI146" i="32" s="1"/>
  <c r="Z75" i="32"/>
  <c r="AI75" i="32" s="1"/>
  <c r="Z143" i="32"/>
  <c r="AI143" i="32" s="1"/>
  <c r="Z107" i="32"/>
  <c r="AI107" i="32" s="1"/>
  <c r="Z137" i="32"/>
  <c r="AI137" i="32" s="1"/>
  <c r="Z123" i="32"/>
  <c r="AI123" i="32" s="1"/>
  <c r="Z78" i="32"/>
  <c r="AI78" i="32" s="1"/>
  <c r="X86" i="32"/>
  <c r="Z109" i="32"/>
  <c r="AI109" i="32" s="1"/>
  <c r="Z156" i="32"/>
  <c r="AI156" i="32" s="1"/>
  <c r="Y25" i="38"/>
  <c r="Z96" i="37"/>
  <c r="Y147" i="37"/>
  <c r="Z155" i="37"/>
  <c r="AI155" i="37" s="1"/>
  <c r="Y9" i="38"/>
  <c r="X56" i="37"/>
  <c r="Z73" i="37"/>
  <c r="AI73" i="37" s="1"/>
  <c r="Z162" i="37"/>
  <c r="X134" i="38"/>
  <c r="X72" i="38"/>
  <c r="X16" i="38"/>
  <c r="Z76" i="38"/>
  <c r="AI76" i="38" s="1"/>
  <c r="Z161" i="38"/>
  <c r="AI161" i="38" s="1"/>
  <c r="Z163" i="38"/>
  <c r="AI163" i="38" s="1"/>
  <c r="Z39" i="38"/>
  <c r="AI39" i="38" s="1"/>
  <c r="Y69" i="38"/>
  <c r="X145" i="38"/>
  <c r="Y82" i="38"/>
  <c r="X111" i="38"/>
  <c r="Y116" i="38"/>
  <c r="Z83" i="38"/>
  <c r="AI83" i="38" s="1"/>
  <c r="X66" i="38"/>
  <c r="Y68" i="38"/>
  <c r="Y81" i="38"/>
  <c r="X154" i="38"/>
  <c r="Y148" i="38"/>
  <c r="Y133" i="38"/>
  <c r="Y48" i="38"/>
  <c r="X71" i="38"/>
  <c r="Y154" i="38"/>
  <c r="Y61" i="38"/>
  <c r="X112" i="38"/>
  <c r="Y59" i="38"/>
  <c r="Y12" i="12"/>
  <c r="Y35" i="12"/>
  <c r="X58" i="12"/>
  <c r="Z69" i="37"/>
  <c r="AI69" i="37" s="1"/>
  <c r="X11" i="29"/>
  <c r="Z95" i="37"/>
  <c r="AI95" i="37" s="1"/>
  <c r="X154" i="37"/>
  <c r="X116" i="37"/>
  <c r="X117" i="37"/>
  <c r="Y159" i="37"/>
  <c r="Y33" i="37"/>
  <c r="Y74" i="37"/>
  <c r="X163" i="37"/>
  <c r="Y49" i="37"/>
  <c r="X30" i="37"/>
  <c r="Z164" i="37"/>
  <c r="AI164" i="37" s="1"/>
  <c r="X44" i="37"/>
  <c r="Y90" i="37"/>
  <c r="Y156" i="37"/>
  <c r="X121" i="37"/>
  <c r="X95" i="37"/>
  <c r="X49" i="37"/>
  <c r="Z16" i="37"/>
  <c r="AI16" i="37" s="1"/>
  <c r="Z83" i="37"/>
  <c r="Y151" i="37"/>
  <c r="Y83" i="37"/>
  <c r="Y69" i="14"/>
  <c r="X69" i="14"/>
  <c r="Z69" i="14"/>
  <c r="AI69" i="14" s="1"/>
  <c r="Z78" i="9"/>
  <c r="Y78" i="9"/>
  <c r="X78" i="9"/>
  <c r="Z45" i="11"/>
  <c r="AI45" i="11" s="1"/>
  <c r="X45" i="11"/>
  <c r="Y45" i="11"/>
  <c r="X23" i="9"/>
  <c r="Z23" i="9"/>
  <c r="AI23" i="9" s="1"/>
  <c r="Y23" i="9"/>
  <c r="Z34" i="12"/>
  <c r="AI34" i="12" s="1"/>
  <c r="Z53" i="12"/>
  <c r="AI53" i="12" s="1"/>
  <c r="X28" i="12"/>
  <c r="Y59" i="12"/>
  <c r="Y34" i="12"/>
  <c r="Y19" i="12"/>
  <c r="X16" i="12"/>
  <c r="X57" i="12"/>
  <c r="Y46" i="12"/>
  <c r="Z24" i="12"/>
  <c r="AI24" i="12" s="1"/>
  <c r="X54" i="12"/>
  <c r="X11" i="12"/>
  <c r="Y33" i="11"/>
  <c r="X33" i="11"/>
  <c r="Z33" i="11"/>
  <c r="AI33" i="11" s="1"/>
  <c r="X11" i="9"/>
  <c r="Y11" i="9"/>
  <c r="Z11" i="9"/>
  <c r="AI11" i="9" s="1"/>
  <c r="Z41" i="11"/>
  <c r="X41" i="11"/>
  <c r="Y41" i="11"/>
  <c r="Y47" i="10"/>
  <c r="X47" i="10"/>
  <c r="X16" i="35"/>
  <c r="Y16" i="35"/>
  <c r="Z16" i="35"/>
  <c r="AI16" i="35" s="1"/>
  <c r="X7" i="35"/>
  <c r="Y100" i="35"/>
  <c r="Y59" i="35"/>
  <c r="X79" i="35"/>
  <c r="Y119" i="35"/>
  <c r="X131" i="35"/>
  <c r="Y30" i="35"/>
  <c r="Y48" i="35"/>
  <c r="Y24" i="35"/>
  <c r="X9" i="35"/>
  <c r="Y95" i="35"/>
  <c r="X116" i="35"/>
  <c r="Z37" i="35"/>
  <c r="AI37" i="35" s="1"/>
  <c r="Z150" i="33"/>
  <c r="AI150" i="33" s="1"/>
  <c r="Y148" i="35"/>
  <c r="Y21" i="35"/>
  <c r="Z33" i="35"/>
  <c r="AI33" i="35" s="1"/>
  <c r="Y134" i="35"/>
  <c r="Y112" i="35"/>
  <c r="Y37" i="35"/>
  <c r="X140" i="35"/>
  <c r="Z46" i="35"/>
  <c r="AI46" i="35" s="1"/>
  <c r="Z60" i="35"/>
  <c r="AI60" i="35" s="1"/>
  <c r="Y106" i="35"/>
  <c r="X12" i="35"/>
  <c r="Y127" i="35"/>
  <c r="Y28" i="35"/>
  <c r="X43" i="35"/>
  <c r="Y17" i="35"/>
  <c r="Y125" i="35"/>
  <c r="Z26" i="35"/>
  <c r="Y47" i="35"/>
  <c r="Z31" i="35"/>
  <c r="AI31" i="35" s="1"/>
  <c r="Z162" i="35"/>
  <c r="Y61" i="35"/>
  <c r="X64" i="35"/>
  <c r="Y73" i="35"/>
  <c r="Y116" i="35"/>
  <c r="Z13" i="35"/>
  <c r="AI13" i="35" s="1"/>
  <c r="Y88" i="35"/>
  <c r="X142" i="35"/>
  <c r="Y103" i="35"/>
  <c r="X8" i="35"/>
  <c r="X154" i="33"/>
  <c r="X152" i="33"/>
  <c r="Z63" i="35"/>
  <c r="AI63" i="35" s="1"/>
  <c r="X32" i="35"/>
  <c r="X159" i="35"/>
  <c r="Y64" i="35"/>
  <c r="X123" i="35"/>
  <c r="X110" i="35"/>
  <c r="Y63" i="35"/>
  <c r="Y29" i="35"/>
  <c r="Z7" i="35"/>
  <c r="AI7" i="35" s="1"/>
  <c r="Z18" i="35"/>
  <c r="AI18" i="35" s="1"/>
  <c r="X30" i="35"/>
  <c r="X133" i="33"/>
  <c r="Z11" i="14"/>
  <c r="AI11" i="14" s="1"/>
  <c r="Y22" i="14"/>
  <c r="X144" i="33"/>
  <c r="Y45" i="32"/>
  <c r="Y53" i="32"/>
  <c r="AA81" i="31"/>
  <c r="AJ81" i="31" s="1"/>
  <c r="AA66" i="31"/>
  <c r="AJ66" i="31" s="1"/>
  <c r="Y137" i="33"/>
  <c r="AA127" i="31"/>
  <c r="AJ127" i="31" s="1"/>
  <c r="Y63" i="32"/>
  <c r="X55" i="32"/>
  <c r="Z44" i="33"/>
  <c r="AI44" i="33" s="1"/>
  <c r="Z38" i="33"/>
  <c r="AI38" i="33" s="1"/>
  <c r="Z37" i="33"/>
  <c r="AI37" i="33" s="1"/>
  <c r="Z45" i="33"/>
  <c r="AI45" i="33" s="1"/>
  <c r="Z19" i="33"/>
  <c r="AI19" i="33" s="1"/>
  <c r="Z41" i="33"/>
  <c r="AI41" i="33" s="1"/>
  <c r="Z43" i="33"/>
  <c r="AI43" i="33" s="1"/>
  <c r="Z42" i="33"/>
  <c r="AI42" i="33" s="1"/>
  <c r="Z46" i="33"/>
  <c r="AI46" i="33" s="1"/>
  <c r="Z51" i="14"/>
  <c r="AI51" i="14" s="1"/>
  <c r="X36" i="32"/>
  <c r="Z38" i="14"/>
  <c r="Z73" i="33"/>
  <c r="AI73" i="33" s="1"/>
  <c r="Z75" i="33"/>
  <c r="AI75" i="33" s="1"/>
  <c r="Z77" i="33"/>
  <c r="AI77" i="33" s="1"/>
  <c r="Z64" i="33"/>
  <c r="AI64" i="33" s="1"/>
  <c r="Z63" i="33"/>
  <c r="AI63" i="33" s="1"/>
  <c r="Z76" i="33"/>
  <c r="AI76" i="33" s="1"/>
  <c r="Z65" i="33"/>
  <c r="AI65" i="33" s="1"/>
  <c r="Z74" i="33"/>
  <c r="AI74" i="33" s="1"/>
  <c r="Z72" i="33"/>
  <c r="AI72" i="33" s="1"/>
  <c r="X62" i="33"/>
  <c r="Z58" i="14"/>
  <c r="AI58" i="14" s="1"/>
  <c r="Y9" i="29"/>
  <c r="X59" i="33"/>
  <c r="Z109" i="35"/>
  <c r="AI109" i="35" s="1"/>
  <c r="X69" i="33"/>
  <c r="X81" i="33"/>
  <c r="X80" i="33"/>
  <c r="X71" i="33"/>
  <c r="X78" i="33"/>
  <c r="X79" i="33"/>
  <c r="X70" i="33"/>
  <c r="Z51" i="33"/>
  <c r="AI51" i="33" s="1"/>
  <c r="Y64" i="32"/>
  <c r="Z17" i="33"/>
  <c r="AI17" i="33" s="1"/>
  <c r="Z51" i="25"/>
  <c r="AI51" i="25" s="1"/>
  <c r="Z56" i="25"/>
  <c r="AI56" i="25" s="1"/>
  <c r="Z23" i="25"/>
  <c r="AI23" i="25" s="1"/>
  <c r="Z24" i="25"/>
  <c r="AI24" i="25" s="1"/>
  <c r="Z52" i="25"/>
  <c r="AI52" i="25" s="1"/>
  <c r="Z54" i="25"/>
  <c r="AI54" i="25" s="1"/>
  <c r="Z53" i="25"/>
  <c r="AI53" i="25" s="1"/>
  <c r="Y99" i="31"/>
  <c r="X9" i="14"/>
  <c r="AA111" i="31"/>
  <c r="AJ111" i="31" s="1"/>
  <c r="Z53" i="32"/>
  <c r="AI53" i="32" s="1"/>
  <c r="Z49" i="32"/>
  <c r="AI49" i="32" s="1"/>
  <c r="Z21" i="32"/>
  <c r="AI21" i="32" s="1"/>
  <c r="Z33" i="32"/>
  <c r="AI33" i="32" s="1"/>
  <c r="Z107" i="38"/>
  <c r="AI107" i="38" s="1"/>
  <c r="Z137" i="38"/>
  <c r="AI137" i="38" s="1"/>
  <c r="X144" i="38"/>
  <c r="Z81" i="38"/>
  <c r="Y117" i="38"/>
  <c r="X46" i="38"/>
  <c r="Z30" i="38"/>
  <c r="AI30" i="38" s="1"/>
  <c r="Y61" i="37"/>
  <c r="X61" i="37"/>
  <c r="Z108" i="37"/>
  <c r="AI108" i="37" s="1"/>
  <c r="Z85" i="37"/>
  <c r="AI85" i="37" s="1"/>
  <c r="Z46" i="37"/>
  <c r="AI46" i="37" s="1"/>
  <c r="X36" i="37"/>
  <c r="Y114" i="29"/>
  <c r="Z114" i="29"/>
  <c r="AI114" i="29" s="1"/>
  <c r="X114" i="29"/>
  <c r="X36" i="38"/>
  <c r="Z38" i="37"/>
  <c r="AI38" i="37" s="1"/>
  <c r="Y99" i="37"/>
  <c r="X24" i="37"/>
  <c r="Y86" i="37"/>
  <c r="X87" i="37"/>
  <c r="Y71" i="37"/>
  <c r="X41" i="37"/>
  <c r="Y72" i="37"/>
  <c r="X19" i="38"/>
  <c r="Z19" i="38"/>
  <c r="AI19" i="38" s="1"/>
  <c r="X80" i="38"/>
  <c r="Z150" i="38"/>
  <c r="AI150" i="38" s="1"/>
  <c r="X18" i="38"/>
  <c r="Z36" i="37"/>
  <c r="AI36" i="37" s="1"/>
  <c r="X15" i="38"/>
  <c r="Y95" i="37"/>
  <c r="Z8" i="37"/>
  <c r="AI8" i="37" s="1"/>
  <c r="Z70" i="37"/>
  <c r="AI70" i="37" s="1"/>
  <c r="Y146" i="37"/>
  <c r="Y140" i="37"/>
  <c r="Y58" i="37"/>
  <c r="Z131" i="38"/>
  <c r="AI131" i="38" s="1"/>
  <c r="X12" i="38"/>
  <c r="X23" i="38"/>
  <c r="X99" i="37"/>
  <c r="Y69" i="37"/>
  <c r="X162" i="37"/>
  <c r="Y130" i="38"/>
  <c r="X75" i="38"/>
  <c r="Z69" i="38"/>
  <c r="AI69" i="38" s="1"/>
  <c r="X51" i="38"/>
  <c r="Y36" i="38"/>
  <c r="X61" i="38"/>
  <c r="Y94" i="38"/>
  <c r="X149" i="38"/>
  <c r="X67" i="38"/>
  <c r="Y18" i="38"/>
  <c r="Z114" i="37"/>
  <c r="AI114" i="37" s="1"/>
  <c r="Z107" i="37"/>
  <c r="AI107" i="37" s="1"/>
  <c r="Z103" i="37"/>
  <c r="AI103" i="37" s="1"/>
  <c r="X144" i="37"/>
  <c r="X138" i="37"/>
  <c r="Y30" i="37"/>
  <c r="X67" i="37"/>
  <c r="Y118" i="37"/>
  <c r="X89" i="37"/>
  <c r="Y47" i="32"/>
  <c r="X47" i="32"/>
  <c r="Z47" i="32"/>
  <c r="Z9" i="38"/>
  <c r="AI9" i="38" s="1"/>
  <c r="X29" i="38"/>
  <c r="Z60" i="38"/>
  <c r="AI60" i="38" s="1"/>
  <c r="Y23" i="38"/>
  <c r="Z75" i="37"/>
  <c r="AI75" i="37" s="1"/>
  <c r="X159" i="37"/>
  <c r="Y53" i="37"/>
  <c r="X17" i="37"/>
  <c r="Z111" i="37"/>
  <c r="AI111" i="37" s="1"/>
  <c r="X11" i="38"/>
  <c r="Y56" i="37"/>
  <c r="X92" i="37"/>
  <c r="Y75" i="37"/>
  <c r="Y153" i="38"/>
  <c r="Y33" i="38"/>
  <c r="Z40" i="38"/>
  <c r="AI40" i="38" s="1"/>
  <c r="Z71" i="38"/>
  <c r="AI71" i="38" s="1"/>
  <c r="Y98" i="38"/>
  <c r="X110" i="38"/>
  <c r="Y113" i="38"/>
  <c r="X30" i="38"/>
  <c r="Y105" i="38"/>
  <c r="X103" i="38"/>
  <c r="Y131" i="38"/>
  <c r="Y95" i="38"/>
  <c r="X161" i="38"/>
  <c r="Z41" i="38"/>
  <c r="AI41" i="38" s="1"/>
  <c r="Z146" i="38"/>
  <c r="AI146" i="38" s="1"/>
  <c r="Z97" i="38"/>
  <c r="AI97" i="38" s="1"/>
  <c r="Y65" i="38"/>
  <c r="Y102" i="38"/>
  <c r="Y53" i="38"/>
  <c r="Y165" i="38"/>
  <c r="X120" i="38"/>
  <c r="X156" i="38"/>
  <c r="Y91" i="38"/>
  <c r="Y159" i="38"/>
  <c r="X151" i="38"/>
  <c r="Y54" i="38"/>
  <c r="X99" i="38"/>
  <c r="X34" i="38"/>
  <c r="Z44" i="38"/>
  <c r="AI44" i="38" s="1"/>
  <c r="Y23" i="12"/>
  <c r="Y9" i="12"/>
  <c r="Y10" i="12"/>
  <c r="Y40" i="12"/>
  <c r="X81" i="37"/>
  <c r="Y16" i="37"/>
  <c r="Z131" i="37"/>
  <c r="AI131" i="37" s="1"/>
  <c r="X11" i="37"/>
  <c r="Z84" i="37"/>
  <c r="AI84" i="37" s="1"/>
  <c r="Y132" i="37"/>
  <c r="X145" i="37"/>
  <c r="X131" i="37"/>
  <c r="Y158" i="37"/>
  <c r="X20" i="37"/>
  <c r="X45" i="37"/>
  <c r="Y160" i="37"/>
  <c r="Z65" i="37"/>
  <c r="AI65" i="37" s="1"/>
  <c r="X118" i="37"/>
  <c r="X122" i="37"/>
  <c r="Y111" i="37"/>
  <c r="Y81" i="37"/>
  <c r="Y85" i="37"/>
  <c r="Y44" i="37"/>
  <c r="Y60" i="37"/>
  <c r="Z32" i="37"/>
  <c r="AI32" i="37" s="1"/>
  <c r="Z43" i="37"/>
  <c r="AI43" i="37" s="1"/>
  <c r="Z119" i="37"/>
  <c r="AI119" i="37" s="1"/>
  <c r="X19" i="37"/>
  <c r="X27" i="37"/>
  <c r="Y19" i="37"/>
  <c r="X83" i="9"/>
  <c r="Z83" i="9"/>
  <c r="AI83" i="9" s="1"/>
  <c r="Y83" i="9"/>
  <c r="Z150" i="9"/>
  <c r="AI150" i="9" s="1"/>
  <c r="X150" i="9"/>
  <c r="Y150" i="9"/>
  <c r="Y32" i="14"/>
  <c r="Z32" i="14"/>
  <c r="AI32" i="14" s="1"/>
  <c r="X32" i="14"/>
  <c r="X144" i="9"/>
  <c r="Y144" i="9"/>
  <c r="Y61" i="11"/>
  <c r="Z61" i="11"/>
  <c r="AI61" i="11" s="1"/>
  <c r="X61" i="11"/>
  <c r="X48" i="12"/>
  <c r="Z19" i="12"/>
  <c r="AI19" i="12" s="1"/>
  <c r="Y41" i="12"/>
  <c r="X33" i="12"/>
  <c r="Z57" i="12"/>
  <c r="AI57" i="12" s="1"/>
  <c r="Z28" i="12"/>
  <c r="AI28" i="12" s="1"/>
  <c r="Z50" i="12"/>
  <c r="AI50" i="12" s="1"/>
  <c r="Z52" i="12"/>
  <c r="AI52" i="12" s="1"/>
  <c r="Y43" i="12"/>
  <c r="Y31" i="9"/>
  <c r="Z31" i="9"/>
  <c r="AI31" i="9" s="1"/>
  <c r="X31" i="9"/>
  <c r="X138" i="9"/>
  <c r="Y138" i="9"/>
  <c r="Z138" i="9"/>
  <c r="AI138" i="9" s="1"/>
  <c r="Z10" i="12"/>
  <c r="AI10" i="12" s="1"/>
  <c r="X49" i="11"/>
  <c r="Y49" i="11"/>
  <c r="Z49" i="11"/>
  <c r="AI49" i="11" s="1"/>
  <c r="Y27" i="9"/>
  <c r="X27" i="9"/>
  <c r="Z27" i="9"/>
  <c r="AI27" i="9" s="1"/>
  <c r="Y124" i="9"/>
  <c r="X124" i="9"/>
  <c r="Z124" i="9"/>
  <c r="AI124" i="9" s="1"/>
  <c r="Y38" i="29"/>
  <c r="X38" i="29"/>
  <c r="Z38" i="29"/>
  <c r="AI38" i="29" s="1"/>
  <c r="Y57" i="11"/>
  <c r="X57" i="11"/>
  <c r="Z57" i="11"/>
  <c r="AI57" i="11" s="1"/>
  <c r="Y63" i="10"/>
  <c r="Z63" i="10"/>
  <c r="AI63" i="10" s="1"/>
  <c r="X63" i="10"/>
  <c r="Z121" i="35"/>
  <c r="AI121" i="35" s="1"/>
  <c r="X148" i="35"/>
  <c r="Z75" i="35"/>
  <c r="AI75" i="35" s="1"/>
  <c r="Z56" i="35"/>
  <c r="AI56" i="35" s="1"/>
  <c r="X162" i="35"/>
  <c r="Z116" i="35"/>
  <c r="AI116" i="35" s="1"/>
  <c r="Y77" i="35"/>
  <c r="Y35" i="35"/>
  <c r="Y121" i="35"/>
  <c r="X130" i="35"/>
  <c r="Y71" i="35"/>
  <c r="Z84" i="35"/>
  <c r="AI84" i="35" s="1"/>
  <c r="Z160" i="35"/>
  <c r="X160" i="35"/>
  <c r="X58" i="35"/>
  <c r="Z149" i="33"/>
  <c r="AI149" i="33" s="1"/>
  <c r="Y42" i="35"/>
  <c r="Z99" i="35"/>
  <c r="AI99" i="35" s="1"/>
  <c r="Y84" i="35"/>
  <c r="Z113" i="35"/>
  <c r="AI113" i="35" s="1"/>
  <c r="Z8" i="35"/>
  <c r="AI8" i="35" s="1"/>
  <c r="Y140" i="35"/>
  <c r="Y97" i="35"/>
  <c r="Z117" i="35"/>
  <c r="AI117" i="35" s="1"/>
  <c r="Y151" i="35"/>
  <c r="Z97" i="35"/>
  <c r="AI97" i="35" s="1"/>
  <c r="Z58" i="35"/>
  <c r="AI58" i="35" s="1"/>
  <c r="X10" i="35"/>
  <c r="Y118" i="35"/>
  <c r="Z108" i="35"/>
  <c r="AI108" i="35" s="1"/>
  <c r="X37" i="35"/>
  <c r="X94" i="35"/>
  <c r="Z150" i="35"/>
  <c r="Y26" i="35"/>
  <c r="X104" i="35"/>
  <c r="X121" i="35"/>
  <c r="X154" i="35"/>
  <c r="Y110" i="35"/>
  <c r="Y120" i="35"/>
  <c r="Y108" i="35"/>
  <c r="X151" i="35"/>
  <c r="X150" i="35"/>
  <c r="Y129" i="35"/>
  <c r="Z20" i="35"/>
  <c r="Y43" i="35"/>
  <c r="Y43" i="32"/>
  <c r="Y144" i="33"/>
  <c r="Y49" i="14"/>
  <c r="Z132" i="25"/>
  <c r="Z137" i="25"/>
  <c r="AI137" i="25" s="1"/>
  <c r="Z143" i="25"/>
  <c r="AI143" i="25" s="1"/>
  <c r="Z139" i="25"/>
  <c r="AI139" i="25" s="1"/>
  <c r="Z136" i="25"/>
  <c r="AI136" i="25" s="1"/>
  <c r="Z133" i="25"/>
  <c r="AI133" i="25" s="1"/>
  <c r="Z129" i="25"/>
  <c r="AI129" i="25" s="1"/>
  <c r="Z144" i="25"/>
  <c r="AI144" i="25" s="1"/>
  <c r="Z141" i="25"/>
  <c r="AI141" i="25" s="1"/>
  <c r="Z142" i="25"/>
  <c r="AI142" i="25" s="1"/>
  <c r="Z140" i="25"/>
  <c r="AI140" i="25" s="1"/>
  <c r="Z130" i="25"/>
  <c r="AI130" i="25" s="1"/>
  <c r="Y134" i="33"/>
  <c r="Y142" i="33"/>
  <c r="AA19" i="31"/>
  <c r="AJ19" i="31" s="1"/>
  <c r="AA37" i="31"/>
  <c r="AJ37" i="31" s="1"/>
  <c r="AA38" i="31"/>
  <c r="AJ38" i="31" s="1"/>
  <c r="AA49" i="31"/>
  <c r="AJ49" i="31" s="1"/>
  <c r="AA34" i="31"/>
  <c r="AJ34" i="31" s="1"/>
  <c r="AA45" i="31"/>
  <c r="AJ45" i="31" s="1"/>
  <c r="AA43" i="31"/>
  <c r="AJ43" i="31" s="1"/>
  <c r="AA44" i="31"/>
  <c r="AJ44" i="31" s="1"/>
  <c r="Y27" i="32"/>
  <c r="Y16" i="32"/>
  <c r="X38" i="33"/>
  <c r="X50" i="33"/>
  <c r="X58" i="33"/>
  <c r="X37" i="33"/>
  <c r="X46" i="33"/>
  <c r="X43" i="33"/>
  <c r="X42" i="33"/>
  <c r="X35" i="32"/>
  <c r="Z19" i="14"/>
  <c r="AI19" i="14" s="1"/>
  <c r="Y64" i="33"/>
  <c r="Y72" i="33"/>
  <c r="Y77" i="33"/>
  <c r="Y74" i="33"/>
  <c r="Y63" i="33"/>
  <c r="Y76" i="33"/>
  <c r="Y65" i="33"/>
  <c r="Y73" i="33"/>
  <c r="Y75" i="33"/>
  <c r="Z10" i="14"/>
  <c r="AI10" i="14" s="1"/>
  <c r="Z24" i="14"/>
  <c r="AI24" i="14" s="1"/>
  <c r="Z138" i="25"/>
  <c r="AI138" i="25" s="1"/>
  <c r="Y40" i="32"/>
  <c r="Y11" i="14"/>
  <c r="Z24" i="33"/>
  <c r="AI24" i="33" s="1"/>
  <c r="Y18" i="25"/>
  <c r="Y57" i="25"/>
  <c r="Y23" i="25"/>
  <c r="AA126" i="31"/>
  <c r="AJ126" i="31" s="1"/>
  <c r="AA129" i="31"/>
  <c r="AJ129" i="31" s="1"/>
  <c r="AA124" i="31"/>
  <c r="AJ124" i="31" s="1"/>
  <c r="AA132" i="31"/>
  <c r="AJ132" i="31" s="1"/>
  <c r="AA136" i="31"/>
  <c r="AJ136" i="31" s="1"/>
  <c r="AA139" i="31"/>
  <c r="AJ139" i="31" s="1"/>
  <c r="AA130" i="31"/>
  <c r="AJ130" i="31" s="1"/>
  <c r="AA128" i="31"/>
  <c r="AJ128" i="31" s="1"/>
  <c r="AA137" i="31"/>
  <c r="AJ137" i="31" s="1"/>
  <c r="AA138" i="31"/>
  <c r="AJ138" i="31" s="1"/>
  <c r="AA135" i="31"/>
  <c r="AJ135" i="31" s="1"/>
  <c r="AA134" i="31"/>
  <c r="AJ134" i="31" s="1"/>
  <c r="X25" i="14"/>
  <c r="AA113" i="31"/>
  <c r="AJ113" i="31" s="1"/>
  <c r="Z9" i="32"/>
  <c r="AI9" i="32" s="1"/>
  <c r="Z16" i="32"/>
  <c r="AI16" i="32" s="1"/>
  <c r="Z39" i="32"/>
  <c r="AI39" i="32" s="1"/>
  <c r="Z32" i="32"/>
  <c r="AI32" i="3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J10" authorId="0" shapeId="0" xr:uid="{00000000-0006-0000-0B00-000001000000}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relocated to AUC170</t>
        </r>
      </text>
    </comment>
    <comment ref="G27" authorId="0" shapeId="0" xr:uid="{00000000-0006-0000-0B00-000002000000}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relocated Jun09 so data removed</t>
        </r>
      </text>
    </comment>
    <comment ref="I39" authorId="0" shapeId="0" xr:uid="{00000000-0006-0000-0B00-000003000000}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relocated Jul 09 so data removed</t>
        </r>
      </text>
    </comment>
    <comment ref="I55" authorId="0" shapeId="0" xr:uid="{00000000-0006-0000-0B00-000004000000}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relocated Jul 09 so data removed</t>
        </r>
      </text>
    </comment>
    <comment ref="N77" authorId="0" shapeId="0" xr:uid="{00000000-0006-0000-0B00-000005000000}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relocated to WAN010</t>
        </r>
      </text>
    </comment>
    <comment ref="D96" authorId="0" shapeId="0" xr:uid="{00000000-0006-0000-0B00-000006000000}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replaces WEL004.  moved data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E46" authorId="0" shapeId="0" xr:uid="{00000000-0006-0000-0D00-000001000000}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relocated mar 07 so data for Jan/Feb removed</t>
        </r>
      </text>
    </comment>
    <comment ref="E47" authorId="0" shapeId="0" xr:uid="{00000000-0006-0000-0D00-000002000000}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relocated mar 07 so data for Jan/Feb removed</t>
        </r>
      </text>
    </comment>
  </commentList>
</comments>
</file>

<file path=xl/sharedStrings.xml><?xml version="1.0" encoding="utf-8"?>
<sst xmlns="http://schemas.openxmlformats.org/spreadsheetml/2006/main" count="5773" uniqueCount="1126">
  <si>
    <t>Easting</t>
  </si>
  <si>
    <t>Northing</t>
  </si>
  <si>
    <t>AUC001</t>
  </si>
  <si>
    <t>AUC004</t>
  </si>
  <si>
    <t>AUC005</t>
  </si>
  <si>
    <t>AUC006</t>
  </si>
  <si>
    <t>AUC007</t>
  </si>
  <si>
    <t>AUC008</t>
  </si>
  <si>
    <t>AUC009</t>
  </si>
  <si>
    <t>AUC011</t>
  </si>
  <si>
    <t>AUC013</t>
  </si>
  <si>
    <t>AUC014</t>
  </si>
  <si>
    <t>AUC015</t>
  </si>
  <si>
    <t>AUC018</t>
  </si>
  <si>
    <t>AUC019</t>
  </si>
  <si>
    <t>AUC020</t>
  </si>
  <si>
    <t>AUC021</t>
  </si>
  <si>
    <t>AUC022</t>
  </si>
  <si>
    <t>AUC025</t>
  </si>
  <si>
    <t>AUC026</t>
  </si>
  <si>
    <t>AUC027</t>
  </si>
  <si>
    <t>CHR001</t>
  </si>
  <si>
    <t>CHR002</t>
  </si>
  <si>
    <t>CHR003</t>
  </si>
  <si>
    <t>CHR004</t>
  </si>
  <si>
    <t>CHR006</t>
  </si>
  <si>
    <t>DUN001</t>
  </si>
  <si>
    <t>DUN002</t>
  </si>
  <si>
    <t>DUN003</t>
  </si>
  <si>
    <t>DUN004</t>
  </si>
  <si>
    <t>DUN005</t>
  </si>
  <si>
    <t>DUN010</t>
  </si>
  <si>
    <t>HAM001</t>
  </si>
  <si>
    <t>HAM002</t>
  </si>
  <si>
    <t>HAM003</t>
  </si>
  <si>
    <t>HAM004</t>
  </si>
  <si>
    <t>HAM005</t>
  </si>
  <si>
    <t>HAM006</t>
  </si>
  <si>
    <t xml:space="preserve">Old Taupo Rd / Pukuatua St </t>
  </si>
  <si>
    <t>HAM007</t>
  </si>
  <si>
    <t>HAM008</t>
  </si>
  <si>
    <t>HAM010</t>
  </si>
  <si>
    <t>NAP001</t>
  </si>
  <si>
    <t>NAP002</t>
  </si>
  <si>
    <t>NAP003</t>
  </si>
  <si>
    <t>NAP004</t>
  </si>
  <si>
    <t>WAN001</t>
  </si>
  <si>
    <t>WAN002</t>
  </si>
  <si>
    <t>WAN004</t>
  </si>
  <si>
    <t>WEL002</t>
  </si>
  <si>
    <t>WEL003</t>
  </si>
  <si>
    <t>WEL004</t>
  </si>
  <si>
    <t>WEL005</t>
  </si>
  <si>
    <t>WEL007</t>
  </si>
  <si>
    <t>WEL008</t>
  </si>
  <si>
    <t>WEL009</t>
  </si>
  <si>
    <t>WEL010</t>
  </si>
  <si>
    <t>WEL011</t>
  </si>
  <si>
    <t>WEL012</t>
  </si>
  <si>
    <t>AUC038</t>
  </si>
  <si>
    <t>AUC039</t>
  </si>
  <si>
    <t>AUC040</t>
  </si>
  <si>
    <t>AUC041</t>
  </si>
  <si>
    <t>AUC042</t>
  </si>
  <si>
    <t>AUC043</t>
  </si>
  <si>
    <t>AUC044</t>
  </si>
  <si>
    <t>AUC045</t>
  </si>
  <si>
    <t>AUC046</t>
  </si>
  <si>
    <t>AUC047</t>
  </si>
  <si>
    <t>AUC048</t>
  </si>
  <si>
    <t>AUC049</t>
  </si>
  <si>
    <t>AUC050</t>
  </si>
  <si>
    <t>AUC051</t>
  </si>
  <si>
    <t>AUC052</t>
  </si>
  <si>
    <t>AUC053</t>
  </si>
  <si>
    <t>AUC054</t>
  </si>
  <si>
    <t>AUC055</t>
  </si>
  <si>
    <t>AUC056</t>
  </si>
  <si>
    <t>AUC057</t>
  </si>
  <si>
    <t>AUC058</t>
  </si>
  <si>
    <t>AUC059</t>
  </si>
  <si>
    <t>AUC060</t>
  </si>
  <si>
    <t>AUC061</t>
  </si>
  <si>
    <t>AUC062</t>
  </si>
  <si>
    <t>AUC063</t>
  </si>
  <si>
    <t>AUC064</t>
  </si>
  <si>
    <t>AUC067</t>
  </si>
  <si>
    <t>AUC068</t>
  </si>
  <si>
    <t>AUC069</t>
  </si>
  <si>
    <t>AUC070</t>
  </si>
  <si>
    <t>AUC071</t>
  </si>
  <si>
    <t>AUC072</t>
  </si>
  <si>
    <t>AUC073</t>
  </si>
  <si>
    <t>AUC170</t>
  </si>
  <si>
    <t>AUC171</t>
  </si>
  <si>
    <t>HAM012</t>
  </si>
  <si>
    <t>HAM013</t>
  </si>
  <si>
    <t>HAM014</t>
  </si>
  <si>
    <t>HAM015</t>
  </si>
  <si>
    <t>HAM016</t>
  </si>
  <si>
    <t>HAM017</t>
  </si>
  <si>
    <t>HAM018</t>
  </si>
  <si>
    <t>HAM019</t>
  </si>
  <si>
    <t>HAM020</t>
  </si>
  <si>
    <t>HAM021</t>
  </si>
  <si>
    <t>HAM022</t>
  </si>
  <si>
    <t>HAM023</t>
  </si>
  <si>
    <t>NAP005</t>
  </si>
  <si>
    <t>NAP006</t>
  </si>
  <si>
    <t>WAN005</t>
  </si>
  <si>
    <t>WAN006</t>
  </si>
  <si>
    <t>WAN007</t>
  </si>
  <si>
    <t>WAN008</t>
  </si>
  <si>
    <t>WAN009</t>
  </si>
  <si>
    <t>WAN010</t>
  </si>
  <si>
    <t>WEL027</t>
  </si>
  <si>
    <t>WEL028</t>
  </si>
  <si>
    <t>WEL029</t>
  </si>
  <si>
    <t>WEL030</t>
  </si>
  <si>
    <t>WEL031</t>
  </si>
  <si>
    <t>WEL032</t>
  </si>
  <si>
    <t>WEL033</t>
  </si>
  <si>
    <t>WEL034</t>
  </si>
  <si>
    <t>WEL035</t>
  </si>
  <si>
    <t>WEL036</t>
  </si>
  <si>
    <t>WEL047</t>
  </si>
  <si>
    <t>WEL048</t>
  </si>
  <si>
    <t>WEL049</t>
  </si>
  <si>
    <t>WEL050</t>
  </si>
  <si>
    <t>WEL051</t>
  </si>
  <si>
    <t>WEL052</t>
  </si>
  <si>
    <t>WEL053</t>
  </si>
  <si>
    <t>WEL054</t>
  </si>
  <si>
    <t>WEL055</t>
  </si>
  <si>
    <t>WEL056</t>
  </si>
  <si>
    <t>WEL057</t>
  </si>
  <si>
    <t>WEL058</t>
  </si>
  <si>
    <t>WEL059</t>
  </si>
  <si>
    <t>WEL060</t>
  </si>
  <si>
    <t>WEL061</t>
  </si>
  <si>
    <t>WEL062</t>
  </si>
  <si>
    <t>WEL063</t>
  </si>
  <si>
    <t>WEL064</t>
  </si>
  <si>
    <t>CHR011</t>
  </si>
  <si>
    <t>CHR012</t>
  </si>
  <si>
    <t>CHR013</t>
  </si>
  <si>
    <t>CHR014</t>
  </si>
  <si>
    <t>CHR015</t>
  </si>
  <si>
    <t>CHR016</t>
  </si>
  <si>
    <t>CHR017</t>
  </si>
  <si>
    <t>CHR018</t>
  </si>
  <si>
    <t>CHR019</t>
  </si>
  <si>
    <t>CHR020</t>
  </si>
  <si>
    <t>CHR021</t>
  </si>
  <si>
    <t>CHR022</t>
  </si>
  <si>
    <t>DUN006</t>
  </si>
  <si>
    <t>DUN007</t>
  </si>
  <si>
    <t>DUN008</t>
  </si>
  <si>
    <t>DUN009</t>
  </si>
  <si>
    <t>SH</t>
  </si>
  <si>
    <t>Local</t>
  </si>
  <si>
    <t>Background</t>
  </si>
  <si>
    <t>NZTM</t>
  </si>
  <si>
    <t>Site Identification</t>
  </si>
  <si>
    <t>Commissioned</t>
  </si>
  <si>
    <t>Decommissioned</t>
  </si>
  <si>
    <t>Monitoring Zone</t>
  </si>
  <si>
    <t>Area</t>
  </si>
  <si>
    <t>Site Type</t>
  </si>
  <si>
    <t/>
  </si>
  <si>
    <t>Whangarei</t>
  </si>
  <si>
    <t>Western Hills Dr / Selwyn Ave</t>
  </si>
  <si>
    <t>Woodhill</t>
  </si>
  <si>
    <t>Northland</t>
  </si>
  <si>
    <t>W</t>
  </si>
  <si>
    <t>Auckland - Northern</t>
  </si>
  <si>
    <t>Grand Dr / Tauranga Pl</t>
  </si>
  <si>
    <t>Orewa</t>
  </si>
  <si>
    <t>Auckland</t>
  </si>
  <si>
    <t>N</t>
  </si>
  <si>
    <t>Oteha Valley Rd / Fairview Ave</t>
  </si>
  <si>
    <t>Albany</t>
  </si>
  <si>
    <t>S</t>
  </si>
  <si>
    <t>Northern Motorway / Curry Ln</t>
  </si>
  <si>
    <t>Westlake</t>
  </si>
  <si>
    <t>E</t>
  </si>
  <si>
    <t>Northern Motorway / Sulphur Beach Rd</t>
  </si>
  <si>
    <t>Northcote</t>
  </si>
  <si>
    <t>Auckland - Central</t>
  </si>
  <si>
    <t>Northern Motorway / St Mary's Bay Rd</t>
  </si>
  <si>
    <t>St Mary's Bay</t>
  </si>
  <si>
    <t>NE</t>
  </si>
  <si>
    <t>CMJ / Canada St</t>
  </si>
  <si>
    <t>Newton</t>
  </si>
  <si>
    <t>Southern Motorway / Mt Hobson Rd</t>
  </si>
  <si>
    <t>Remuera</t>
  </si>
  <si>
    <t>Penrose</t>
  </si>
  <si>
    <t>SW</t>
  </si>
  <si>
    <t>Southern Motorway / Waimate St</t>
  </si>
  <si>
    <t>Flat Bush</t>
  </si>
  <si>
    <t>Southern Motorway / Liggett Dr</t>
  </si>
  <si>
    <t>Manukau</t>
  </si>
  <si>
    <t>Auckland - Western</t>
  </si>
  <si>
    <t>Massey East</t>
  </si>
  <si>
    <t>Waterbank Cres</t>
  </si>
  <si>
    <t>Waterview</t>
  </si>
  <si>
    <t>North Western Motorway / Niger St</t>
  </si>
  <si>
    <t>Arch Hill</t>
  </si>
  <si>
    <t>SE</t>
  </si>
  <si>
    <t>Hugh Watt Dr / Melrose Rd</t>
  </si>
  <si>
    <t>Hillsborough</t>
  </si>
  <si>
    <t>South Western Motorway / Hastie Ave</t>
  </si>
  <si>
    <t>Mangere Bridge</t>
  </si>
  <si>
    <t>South Western Motorway / Ashmore Pl</t>
  </si>
  <si>
    <t>Mangere</t>
  </si>
  <si>
    <t>Huia St</t>
  </si>
  <si>
    <t>Whau Valley</t>
  </si>
  <si>
    <t>Albany Highway / Ashby Pl</t>
  </si>
  <si>
    <t>Unsworth Heights</t>
  </si>
  <si>
    <t>NW</t>
  </si>
  <si>
    <t>Upper Harbour Dr / William Pitcher Pl</t>
  </si>
  <si>
    <t>Greenhithe</t>
  </si>
  <si>
    <t xml:space="preserve">Glenfield Rd / Sunset Rd </t>
  </si>
  <si>
    <t>Glenfield</t>
  </si>
  <si>
    <t>Lake Rd / Service Ln</t>
  </si>
  <si>
    <t>Takapuna</t>
  </si>
  <si>
    <t>Lake Rd / Esmonde Rd</t>
  </si>
  <si>
    <t xml:space="preserve">Woodcote Dr </t>
  </si>
  <si>
    <t>Marlborough</t>
  </si>
  <si>
    <t xml:space="preserve">North Western Motorway / Te Atatu Rd </t>
  </si>
  <si>
    <t>Te Atatu</t>
  </si>
  <si>
    <t>Hobsonville Rd / Carnegie Cres</t>
  </si>
  <si>
    <t>Hobsonville</t>
  </si>
  <si>
    <t>Whenuapai</t>
  </si>
  <si>
    <t>North Western Motorway / Taitapu St</t>
  </si>
  <si>
    <t>Henderson Valley Rd / Hickory Ave</t>
  </si>
  <si>
    <t>Henderson</t>
  </si>
  <si>
    <t xml:space="preserve">Te Atatu Rd / Edmonton Rd </t>
  </si>
  <si>
    <t>Te Atatu South</t>
  </si>
  <si>
    <t>Lincoln Rd / Henderson Intermediate (AC Henderson)</t>
  </si>
  <si>
    <t>AC Glen Eden</t>
  </si>
  <si>
    <t xml:space="preserve">Glen Eden </t>
  </si>
  <si>
    <t>New North Rd / Mount Albert Rd</t>
  </si>
  <si>
    <t>Mt Albert</t>
  </si>
  <si>
    <t>Great South Rd / Green Ln East</t>
  </si>
  <si>
    <t>Greenlane</t>
  </si>
  <si>
    <t>Ellerslie Panmure Highway / Mountain Rd</t>
  </si>
  <si>
    <t>Great North Rd / Rata St</t>
  </si>
  <si>
    <t>New Lynn</t>
  </si>
  <si>
    <t>Sandringham Rd / Kowhai Intermediate (MfE Kingsland)</t>
  </si>
  <si>
    <t>Kingsland</t>
  </si>
  <si>
    <t>South Western Motorway / Ensor Pl</t>
  </si>
  <si>
    <t>Mangere East</t>
  </si>
  <si>
    <t>20A</t>
  </si>
  <si>
    <t>Bairds Rd / Otara Rd</t>
  </si>
  <si>
    <t>Otara</t>
  </si>
  <si>
    <t>Dominion Rd / Settlement Rd</t>
  </si>
  <si>
    <t>Papakura</t>
  </si>
  <si>
    <t>Mangere Rd / Walmsley Rd</t>
  </si>
  <si>
    <t>Otahuhu</t>
  </si>
  <si>
    <t>Pakuranga Rd / Bell Reserve (AC Pakuranga)</t>
  </si>
  <si>
    <t>Pakuranga</t>
  </si>
  <si>
    <t>AC Botany</t>
  </si>
  <si>
    <t>Botany</t>
  </si>
  <si>
    <t>Northern Motorway / Tristram Ave</t>
  </si>
  <si>
    <t>Korau Rd</t>
  </si>
  <si>
    <t>Tikipunga</t>
  </si>
  <si>
    <t>Hamilton</t>
  </si>
  <si>
    <t>Cambridge Rd / Morrinsville Rd</t>
  </si>
  <si>
    <t>Hillcrest</t>
  </si>
  <si>
    <t>Waikato</t>
  </si>
  <si>
    <t>Avalon Dr / Grandview Rd</t>
  </si>
  <si>
    <t>Nawton</t>
  </si>
  <si>
    <t>Lorne St / Ohaupo Rd</t>
  </si>
  <si>
    <t>Melville</t>
  </si>
  <si>
    <t>Cambridge</t>
  </si>
  <si>
    <t>Victoria St / Queen St</t>
  </si>
  <si>
    <t>Taupo</t>
  </si>
  <si>
    <t>Tongariro St / Norman Smith St</t>
  </si>
  <si>
    <t>Rotorua</t>
  </si>
  <si>
    <t>Bay of Plenty</t>
  </si>
  <si>
    <t>Tauranga</t>
  </si>
  <si>
    <t>Fifteenth Ave / Cameron Rd</t>
  </si>
  <si>
    <t>Tauranga South</t>
  </si>
  <si>
    <t>Maunganui Rd / Golf Rd</t>
  </si>
  <si>
    <t>Mt Maunganui</t>
  </si>
  <si>
    <t>Marsh St / Chapel St</t>
  </si>
  <si>
    <t>2A</t>
  </si>
  <si>
    <t xml:space="preserve">Te Rapa Rd / Ann Michele St </t>
  </si>
  <si>
    <t>Pukete</t>
  </si>
  <si>
    <t>Greenwood St / Killarney Rd</t>
  </si>
  <si>
    <t>Frankton</t>
  </si>
  <si>
    <t>Victoria St / Ulster St</t>
  </si>
  <si>
    <t>Beerescourt</t>
  </si>
  <si>
    <t xml:space="preserve">Brooklyn Rd / Peachgrove Rd </t>
  </si>
  <si>
    <t>Claudelands</t>
  </si>
  <si>
    <t>Bridge St / Cobham Dr</t>
  </si>
  <si>
    <t>Hamilton West</t>
  </si>
  <si>
    <t>Seamer Pl</t>
  </si>
  <si>
    <t>St Andrews</t>
  </si>
  <si>
    <t>SH2 / Maunganui Rd</t>
  </si>
  <si>
    <t>Te Maunga</t>
  </si>
  <si>
    <t>Bellevue Rd / Otumoetai Rd</t>
  </si>
  <si>
    <t>Brookfield</t>
  </si>
  <si>
    <t>Cameron Rd / Twentythird Ave</t>
  </si>
  <si>
    <t>Gate Pa</t>
  </si>
  <si>
    <t>Seaforth Gr</t>
  </si>
  <si>
    <t>Greerton</t>
  </si>
  <si>
    <t>Te Awamutu</t>
  </si>
  <si>
    <t>Ohaupo Rd / Albert Park Dr</t>
  </si>
  <si>
    <t>Lightheart St</t>
  </si>
  <si>
    <t>Glenholme</t>
  </si>
  <si>
    <t>Gisborne</t>
  </si>
  <si>
    <t>Wainui Rd / Craig Rd</t>
  </si>
  <si>
    <t>Kaiti</t>
  </si>
  <si>
    <t>Napier</t>
  </si>
  <si>
    <t>Napier Hastings Motorway / Meeanee Rd</t>
  </si>
  <si>
    <t>Jervoistown</t>
  </si>
  <si>
    <t>Hawke's Bay</t>
  </si>
  <si>
    <t>Hyderabad Rd / Georges Dr</t>
  </si>
  <si>
    <t>Marewa</t>
  </si>
  <si>
    <t>Hastings</t>
  </si>
  <si>
    <t>Napier Hastings Motorway / Omahu Rd</t>
  </si>
  <si>
    <t>Woolwich</t>
  </si>
  <si>
    <t>50A</t>
  </si>
  <si>
    <t>Amanda Pl</t>
  </si>
  <si>
    <t>Mayfair</t>
  </si>
  <si>
    <t xml:space="preserve">Hastie Pl </t>
  </si>
  <si>
    <t>Onekawa</t>
  </si>
  <si>
    <t>New Plymouth</t>
  </si>
  <si>
    <t>Northgate / Paynters Ave</t>
  </si>
  <si>
    <t>Fitzroy</t>
  </si>
  <si>
    <t>Taranaki</t>
  </si>
  <si>
    <t>London St / Grey St</t>
  </si>
  <si>
    <t>Palmerston North</t>
  </si>
  <si>
    <t>Rangitikei St / Featherston St</t>
  </si>
  <si>
    <t>Palmerston North Central</t>
  </si>
  <si>
    <t>Pioneer Hwy / Maxwells Line</t>
  </si>
  <si>
    <t>Awapuni</t>
  </si>
  <si>
    <t>Main St / Ruahine St</t>
  </si>
  <si>
    <t>Terrace End</t>
  </si>
  <si>
    <t>Pitt St / Ferguson St</t>
  </si>
  <si>
    <t>West End</t>
  </si>
  <si>
    <t>Tyndall St</t>
  </si>
  <si>
    <t>Roslyn</t>
  </si>
  <si>
    <t>Benbow Pl</t>
  </si>
  <si>
    <t>Lower Hutt</t>
  </si>
  <si>
    <t>Western Hutt Rd / Manor Park Rd</t>
  </si>
  <si>
    <t>Manor Park</t>
  </si>
  <si>
    <t>Wellington</t>
  </si>
  <si>
    <t>Western Hutt Rd / Riddlers Cres</t>
  </si>
  <si>
    <t>Petone</t>
  </si>
  <si>
    <t>Main Rd South / Ihakara St</t>
  </si>
  <si>
    <t>Paraparaumu</t>
  </si>
  <si>
    <t>Porirua</t>
  </si>
  <si>
    <t>Johnsonville Porirua Motorway / Titahi Bay Rd</t>
  </si>
  <si>
    <t>Wellington Urban Motorway / Bolton St</t>
  </si>
  <si>
    <t>Lambton Quay</t>
  </si>
  <si>
    <t>Rugby St / Sussex St</t>
  </si>
  <si>
    <t>Mt Cook</t>
  </si>
  <si>
    <t>Nelson</t>
  </si>
  <si>
    <t>Haven Rd / Queen Elizabeth II Dr</t>
  </si>
  <si>
    <t>Whakatu Dr / Songer St</t>
  </si>
  <si>
    <t>Stoke</t>
  </si>
  <si>
    <t>Richmond Deviation / Melia Pl</t>
  </si>
  <si>
    <t>Richmond</t>
  </si>
  <si>
    <t>Tasman</t>
  </si>
  <si>
    <t>Blenheim</t>
  </si>
  <si>
    <t>Johnsonville Porirua Motorway / Helston Rd</t>
  </si>
  <si>
    <t>Johnsonville</t>
  </si>
  <si>
    <t>Western Hutt Rd / Block Rd (GWRC Melling Station)</t>
  </si>
  <si>
    <t>Boulcott</t>
  </si>
  <si>
    <t>Vivian St / Victoria St (GWRC Corner V)</t>
  </si>
  <si>
    <t>Te Aro</t>
  </si>
  <si>
    <t xml:space="preserve">GWRC Duncan Park </t>
  </si>
  <si>
    <t>Linden</t>
  </si>
  <si>
    <t>Karori Rd / Campbell St</t>
  </si>
  <si>
    <t>Karori</t>
  </si>
  <si>
    <t>Thames St</t>
  </si>
  <si>
    <t>Island Bay</t>
  </si>
  <si>
    <t>Newtown</t>
  </si>
  <si>
    <t xml:space="preserve">Wellington Rd / Hamilton Rd </t>
  </si>
  <si>
    <t>Kilbirnie</t>
  </si>
  <si>
    <t>Miramar Ave / Hobart St</t>
  </si>
  <si>
    <t>Miramar</t>
  </si>
  <si>
    <t>Western Hutt Rd / Pharazyn St</t>
  </si>
  <si>
    <t>Knights Rd / Bloomfield Tce</t>
  </si>
  <si>
    <t xml:space="preserve">GWRC Birch Lane </t>
  </si>
  <si>
    <t>Waterloo</t>
  </si>
  <si>
    <t xml:space="preserve">Upper Hutt </t>
  </si>
  <si>
    <t>River Rd / Totara Park Rd</t>
  </si>
  <si>
    <t>Clouston Park</t>
  </si>
  <si>
    <t xml:space="preserve">GWRC Savage Park </t>
  </si>
  <si>
    <t>Otaki</t>
  </si>
  <si>
    <t>State Highway 1 / Mill Rd</t>
  </si>
  <si>
    <t>Totara St</t>
  </si>
  <si>
    <t>Toi Toi</t>
  </si>
  <si>
    <t>Main Rd South / Rimutaka St</t>
  </si>
  <si>
    <t>Greymouth</t>
  </si>
  <si>
    <t>Tainui St / School Lane</t>
  </si>
  <si>
    <t>West Coast</t>
  </si>
  <si>
    <t>Christchurch</t>
  </si>
  <si>
    <t>Main North Rd / Queen Elizabeth II Dr</t>
  </si>
  <si>
    <t>Redwood</t>
  </si>
  <si>
    <t>Canterbury</t>
  </si>
  <si>
    <t>Yaldhurst Rd / Curletts Rd</t>
  </si>
  <si>
    <t>Riccarton</t>
  </si>
  <si>
    <t>Nash Rd</t>
  </si>
  <si>
    <t>Hilmorton</t>
  </si>
  <si>
    <t>Rutherford St / Ferry Rd</t>
  </si>
  <si>
    <t>Woolston</t>
  </si>
  <si>
    <t>74A</t>
  </si>
  <si>
    <t>Main South Rd / Parker St</t>
  </si>
  <si>
    <t>Hornby</t>
  </si>
  <si>
    <t>Burnside</t>
  </si>
  <si>
    <t>Main North Rd / Johns Rd</t>
  </si>
  <si>
    <t>Belfast</t>
  </si>
  <si>
    <t>Brougham St / Waltham Rd</t>
  </si>
  <si>
    <t>Waltham</t>
  </si>
  <si>
    <t>Shirley Rd / North Pde</t>
  </si>
  <si>
    <t>Shirley</t>
  </si>
  <si>
    <t>Buckleys Rd / Norwich St</t>
  </si>
  <si>
    <t>Linwood</t>
  </si>
  <si>
    <t>ECan Riccarton Rd</t>
  </si>
  <si>
    <t>ECan Coles Pl</t>
  </si>
  <si>
    <t>St Albans</t>
  </si>
  <si>
    <t>Dunedin</t>
  </si>
  <si>
    <t>Cumberland St / Hanover St</t>
  </si>
  <si>
    <t>Otago</t>
  </si>
  <si>
    <t>Dunedin Southern Motorway / Barnes Dr</t>
  </si>
  <si>
    <t>Caversham</t>
  </si>
  <si>
    <t>Dunedin Southern Motorway / Old Brighton Rd</t>
  </si>
  <si>
    <t>Fairfield</t>
  </si>
  <si>
    <t>Queenstown</t>
  </si>
  <si>
    <t>Stanley St / Sydney St</t>
  </si>
  <si>
    <t>6A</t>
  </si>
  <si>
    <t>Invercargill</t>
  </si>
  <si>
    <t>Dee St / Don St</t>
  </si>
  <si>
    <t>Southland</t>
  </si>
  <si>
    <t xml:space="preserve">Quarry Rd / Gladstone Rd </t>
  </si>
  <si>
    <t>Mosgiel</t>
  </si>
  <si>
    <t>Durham St</t>
  </si>
  <si>
    <t>Mornington</t>
  </si>
  <si>
    <t>Stuart St / Strathmore Cres</t>
  </si>
  <si>
    <t>Anderson Bay Rd / Bay View Rd</t>
  </si>
  <si>
    <t>South Dunedin</t>
  </si>
  <si>
    <t>Terrace St</t>
  </si>
  <si>
    <t>Rosedale</t>
  </si>
  <si>
    <t xml:space="preserve">New Zealand Transport Agency - Air Quality Monitoring Network </t>
  </si>
  <si>
    <t xml:space="preserve">Measurement of Nitrogen Dioxide by Passive Diffusion Tubes </t>
  </si>
  <si>
    <t>MONTHLY RESULTS - 2010</t>
  </si>
  <si>
    <t>Results (µg/m³)</t>
  </si>
  <si>
    <t>% Valid Data</t>
  </si>
  <si>
    <t>Site ID</t>
  </si>
  <si>
    <t>Average</t>
  </si>
  <si>
    <t>Key:</t>
  </si>
  <si>
    <t>% Valid Data &lt; 50%</t>
  </si>
  <si>
    <t>Result &lt; 10µg/m³</t>
  </si>
  <si>
    <t>Result &gt; 30µg/m³</t>
  </si>
  <si>
    <t>Ann Average</t>
  </si>
  <si>
    <t>Winter</t>
  </si>
  <si>
    <t>Summer</t>
  </si>
  <si>
    <t>WHO Guideline</t>
  </si>
  <si>
    <t xml:space="preserve">Transit New Zealand - Air Quality Monitoring Network </t>
  </si>
  <si>
    <t>MONTHLY RESULTS - 2007</t>
  </si>
  <si>
    <t>MONTHLY RESULTS - 2008</t>
  </si>
  <si>
    <t>No data</t>
  </si>
  <si>
    <t>MONTHLY RESULTS - 2011</t>
  </si>
  <si>
    <t>DUN011</t>
  </si>
  <si>
    <t>Missing Data</t>
  </si>
  <si>
    <t>NZMG</t>
  </si>
  <si>
    <t>Upper Hutt</t>
  </si>
  <si>
    <t>Site type</t>
  </si>
  <si>
    <t>Max</t>
  </si>
  <si>
    <t>Min</t>
  </si>
  <si>
    <t>Avg</t>
  </si>
  <si>
    <t>Site_ID</t>
  </si>
  <si>
    <t>MONTHLY RESULTS - 2012</t>
  </si>
  <si>
    <t>MONTHLY RESULTS - 2013</t>
  </si>
  <si>
    <t>WEL072</t>
  </si>
  <si>
    <t xml:space="preserve">Missing/Invalid Data </t>
  </si>
  <si>
    <t>Naver Pl</t>
  </si>
  <si>
    <t>Papakowhai</t>
  </si>
  <si>
    <t>MONTHLY RESULTS - 2014</t>
  </si>
  <si>
    <t>CV (%)</t>
  </si>
  <si>
    <t>AUC187</t>
  </si>
  <si>
    <t>WAN011</t>
  </si>
  <si>
    <t xml:space="preserve">* Concentrations at standard temperature (0°C) and pressure (1atm). </t>
  </si>
  <si>
    <t>Missing or Invalid Data</t>
  </si>
  <si>
    <t>Coefficient of Variation (CV) &gt; 40%</t>
  </si>
  <si>
    <t>Western Hills Dr / Central Ave</t>
  </si>
  <si>
    <t>Avenues</t>
  </si>
  <si>
    <t>Strandon</t>
  </si>
  <si>
    <t>-</t>
  </si>
  <si>
    <t>Annual</t>
  </si>
  <si>
    <t>MONTHLY RESULTS - YTD 2009</t>
  </si>
  <si>
    <t>Adj</t>
  </si>
  <si>
    <t>JFM</t>
  </si>
  <si>
    <t>JAS</t>
  </si>
  <si>
    <t>AUC115</t>
  </si>
  <si>
    <t>North Western Motorway / Titoki St 1</t>
  </si>
  <si>
    <t>AUC190</t>
  </si>
  <si>
    <t xml:space="preserve">George Bolt Memorial Dr / Desford Pl </t>
  </si>
  <si>
    <t>WEL073</t>
  </si>
  <si>
    <t>Vivian St / Willis St (GWRC Willis St)</t>
  </si>
  <si>
    <t>WEL074</t>
  </si>
  <si>
    <t>WEL075</t>
  </si>
  <si>
    <t>MONTHLY RESULTS - 2015</t>
  </si>
  <si>
    <t>Reporting &amp; TRAMs</t>
  </si>
  <si>
    <t>Annual Average</t>
  </si>
  <si>
    <t>Triplicate site average</t>
  </si>
  <si>
    <r>
      <rPr>
        <b/>
        <sz val="8"/>
        <rFont val="Verdana"/>
        <family val="2"/>
      </rPr>
      <t>Note</t>
    </r>
    <r>
      <rPr>
        <sz val="8"/>
        <rFont val="Verdana"/>
        <family val="2"/>
      </rPr>
      <t>: Adj version provided by Watercare 28Jan11</t>
    </r>
  </si>
  <si>
    <t xml:space="preserve">MONTHLY RESULTS - 2016 </t>
  </si>
  <si>
    <t>WEL078</t>
  </si>
  <si>
    <t>CHR042</t>
  </si>
  <si>
    <t>CHR043</t>
  </si>
  <si>
    <t>CHR044</t>
  </si>
  <si>
    <t>Western Hutt Rd / Golf Rd</t>
  </si>
  <si>
    <t>ECan Lyttelton / Norwich Quay</t>
  </si>
  <si>
    <t>WEL080</t>
  </si>
  <si>
    <t>Titahi Bay Rd</t>
  </si>
  <si>
    <t>WEL087</t>
  </si>
  <si>
    <t>State Highway 1 / Rahui Rd</t>
  </si>
  <si>
    <t>WEL088</t>
  </si>
  <si>
    <t>State Highway 1 / Paremata Cres</t>
  </si>
  <si>
    <t xml:space="preserve">Paremata </t>
  </si>
  <si>
    <t>WEL089</t>
  </si>
  <si>
    <t>High St</t>
  </si>
  <si>
    <t>Solway</t>
  </si>
  <si>
    <t>WEL091</t>
  </si>
  <si>
    <t>Mills St</t>
  </si>
  <si>
    <t>WEL092</t>
  </si>
  <si>
    <t>Clyma St</t>
  </si>
  <si>
    <t>Elderslea</t>
  </si>
  <si>
    <t>WEL094</t>
  </si>
  <si>
    <t>Rudyard Cres</t>
  </si>
  <si>
    <t>WEL096</t>
  </si>
  <si>
    <t>Masters Cres</t>
  </si>
  <si>
    <t xml:space="preserve">Masterton </t>
  </si>
  <si>
    <t xml:space="preserve">MONTHLY RESULTS - 2017 </t>
  </si>
  <si>
    <t>Triplicate site</t>
  </si>
  <si>
    <t>Sept removed - no data</t>
  </si>
  <si>
    <t>Dec removed - site closed, no data</t>
  </si>
  <si>
    <t>Oct removed - no data</t>
  </si>
  <si>
    <t>Sept - Dec removed, no ann avg</t>
  </si>
  <si>
    <t>Only Jan with valid data</t>
  </si>
  <si>
    <t>No longer triplicate</t>
  </si>
  <si>
    <t>Oct, Dec removed - no data</t>
  </si>
  <si>
    <t>Only four months data</t>
  </si>
  <si>
    <t>Four months missing</t>
  </si>
  <si>
    <t>Jan, Feb removed - no data</t>
  </si>
  <si>
    <t>Jan, Feb, Mar removed - no data</t>
  </si>
  <si>
    <t>Site closed</t>
  </si>
  <si>
    <t>Jan,Feb,Mar removed - no data</t>
  </si>
  <si>
    <t xml:space="preserve"> City</t>
  </si>
  <si>
    <t>Urban Area /Monitoring Zone</t>
  </si>
  <si>
    <t xml:space="preserve"> NZTA Region</t>
  </si>
  <si>
    <t>Council 2007</t>
  </si>
  <si>
    <t>Site Name (full)</t>
  </si>
  <si>
    <t>Site Location</t>
  </si>
  <si>
    <t>Sensitive 
Receptor 
Type</t>
  </si>
  <si>
    <t>Sensitive 
Receptor 
Location</t>
  </si>
  <si>
    <t>Sensitive 
Receptor 
(m)</t>
  </si>
  <si>
    <t xml:space="preserve">Height </t>
  </si>
  <si>
    <t>Trees</t>
  </si>
  <si>
    <t>Intersection</t>
  </si>
  <si>
    <t xml:space="preserve">Nearest 
SH 
(m) </t>
  </si>
  <si>
    <t>Nearest 
SH Direction</t>
  </si>
  <si>
    <t xml:space="preserve">Nearest 
Local Road 
(m) </t>
  </si>
  <si>
    <t>Nearest 
Local Road Direction</t>
  </si>
  <si>
    <t>Notes</t>
  </si>
  <si>
    <t>Other Notes</t>
  </si>
  <si>
    <t>Crn Western Hills Dr &amp; Selwyn Ave</t>
  </si>
  <si>
    <t>Residential Housing</t>
  </si>
  <si>
    <t>Western Hills Dr &amp; Selwyn Ave</t>
  </si>
  <si>
    <t>Y</t>
  </si>
  <si>
    <t>Local (ex SH)</t>
  </si>
  <si>
    <t>Rodney</t>
  </si>
  <si>
    <t>Behind 4 Tauranga Pl</t>
  </si>
  <si>
    <t>Tauranga Pl</t>
  </si>
  <si>
    <t>Classed as a SH site from 2007 to 2008</t>
  </si>
  <si>
    <t xml:space="preserve">North Shore </t>
  </si>
  <si>
    <t>North Shore</t>
  </si>
  <si>
    <t>157 Oteha Valley Rd</t>
  </si>
  <si>
    <t>Meridian Ct</t>
  </si>
  <si>
    <t>Northern Busway. Near Fairview Retirement Village (120m N). Near Childcare centre (105m NE). Oteha Valley Rd off ramp 100m.</t>
  </si>
  <si>
    <t>133 Wairau Rd</t>
  </si>
  <si>
    <t>Retail Area</t>
  </si>
  <si>
    <t>28 Sulphur Beach Rd</t>
  </si>
  <si>
    <t>Sulphur Beach Rd &amp; Tennyson St</t>
  </si>
  <si>
    <t>Northern Busway. Stafford Rd off ramp 11m. SH1 30m.</t>
  </si>
  <si>
    <t>82 St Mary's Bay Rd</t>
  </si>
  <si>
    <t>St Mary's Bay Rd &amp; Swift Ave</t>
  </si>
  <si>
    <t>Victoria Park Tunnel Project opened Nov-11.</t>
  </si>
  <si>
    <t>2 Canada St</t>
  </si>
  <si>
    <t>Canada St</t>
  </si>
  <si>
    <t>12 Mt Hobson Rd</t>
  </si>
  <si>
    <t>Mt Hobson Rd</t>
  </si>
  <si>
    <t>Newmarket Viaduct Project completed Jan-12.</t>
  </si>
  <si>
    <t>Southern Motorway / Gavin St b (AC/MfE Penrose)</t>
  </si>
  <si>
    <t>19 Gavin St</t>
  </si>
  <si>
    <t>Gavin St</t>
  </si>
  <si>
    <t>AQ Station. Co-located in triplicate.</t>
  </si>
  <si>
    <t>Triplicate 1</t>
  </si>
  <si>
    <t>Southern Motorway / Gavin St c (AC/MfE Penrose)</t>
  </si>
  <si>
    <t>Triplicate 2</t>
  </si>
  <si>
    <t>Southern Motorway / Gavin St d (AC/MfE Penrose)</t>
  </si>
  <si>
    <t>Triplicate 3</t>
  </si>
  <si>
    <t xml:space="preserve">Auckland - Southern </t>
  </si>
  <si>
    <t>39 Waimate St</t>
  </si>
  <si>
    <t>Waimate St</t>
  </si>
  <si>
    <t>Liggett Dr</t>
  </si>
  <si>
    <t>Retirement Village</t>
  </si>
  <si>
    <t>SH20 to SH1 Manukau Extension completed Jan-11. SH20 closer than SH1. SH1 500m E &amp; Manukau off ramp 100m NE.</t>
  </si>
  <si>
    <t>Waitakere</t>
  </si>
  <si>
    <t>North Western Motorway / Redwood Dr</t>
  </si>
  <si>
    <t>69 Redwood Dr</t>
  </si>
  <si>
    <t>Redwood Dr</t>
  </si>
  <si>
    <t>31 Waterbank Cres</t>
  </si>
  <si>
    <t>10 Niger St</t>
  </si>
  <si>
    <t>Niger St</t>
  </si>
  <si>
    <t>58 Melrose Rd</t>
  </si>
  <si>
    <t>Melrose Rd</t>
  </si>
  <si>
    <t>Mt Roskill Extension Project completed mid 2009.</t>
  </si>
  <si>
    <t>24 Hastie Ave</t>
  </si>
  <si>
    <t>Hastie Ave</t>
  </si>
  <si>
    <t>Manukau Harbour Crossing Project. Previously monitored by ARC.</t>
  </si>
  <si>
    <t>2 Ashmore Pl (opposite)</t>
  </si>
  <si>
    <t>Ashmore Pl</t>
  </si>
  <si>
    <t>125 Whau Valley Rd</t>
  </si>
  <si>
    <t xml:space="preserve">1 Ashby Place </t>
  </si>
  <si>
    <t>Ashby Pl</t>
  </si>
  <si>
    <t>2 William Pitcher Pl</t>
  </si>
  <si>
    <t>William Pitcher Pl</t>
  </si>
  <si>
    <t>Tauhinu Rd on ramp 12m. SH1 80m.</t>
  </si>
  <si>
    <t>618 Glenfield Rd</t>
  </si>
  <si>
    <t xml:space="preserve">Glenfield Rd </t>
  </si>
  <si>
    <t>486 Lake Rd</t>
  </si>
  <si>
    <t>Lake Rd</t>
  </si>
  <si>
    <t xml:space="preserve">Previously monitored by North Shore City Council </t>
  </si>
  <si>
    <t>Northern Motorway / Wairau Rd (AC Takapuna)</t>
  </si>
  <si>
    <t>2 Wairau Rd</t>
  </si>
  <si>
    <t>Wairau Rd /Westlake Girls High School</t>
  </si>
  <si>
    <t>AQ Station. Co-located in triplicate. Inside Westlake Girls High School. Northern Busway 55m.</t>
  </si>
  <si>
    <t>384 Lake Rd</t>
  </si>
  <si>
    <t>21 High Rd</t>
  </si>
  <si>
    <t>High Rd</t>
  </si>
  <si>
    <t>Opp 2 Titoki St</t>
  </si>
  <si>
    <t>Titoki St</t>
  </si>
  <si>
    <t xml:space="preserve">417 Hobsonville Rd </t>
  </si>
  <si>
    <t>Blenheim Pl</t>
  </si>
  <si>
    <t>Classed as a SH site from 2009 to 2011</t>
  </si>
  <si>
    <t>SH16 / Kennedys Rd</t>
  </si>
  <si>
    <t>183 SH 16</t>
  </si>
  <si>
    <t>SH 16</t>
  </si>
  <si>
    <t>35 Huruhuru Rd</t>
  </si>
  <si>
    <t>Huruhuru Rd</t>
  </si>
  <si>
    <t>26 Henderson Valley Rd</t>
  </si>
  <si>
    <t>Henderson High School</t>
  </si>
  <si>
    <t>Henderson Valley Rd</t>
  </si>
  <si>
    <t>1 Lyndhurst Rd</t>
  </si>
  <si>
    <t>Lyndhurst Rd</t>
  </si>
  <si>
    <t xml:space="preserve">70 Lincoln Rd </t>
  </si>
  <si>
    <t>Henderson Intermediate</t>
  </si>
  <si>
    <t>50 Meadowvale Rise</t>
  </si>
  <si>
    <t>Meadowvale Rise</t>
  </si>
  <si>
    <t>AQ Station. Co-located in triplicate. Inside Ceramco Park.</t>
  </si>
  <si>
    <t>912 New North Rd</t>
  </si>
  <si>
    <t>Mount Albert Rd</t>
  </si>
  <si>
    <t>156 Green Ln East</t>
  </si>
  <si>
    <t>Green Ln East</t>
  </si>
  <si>
    <t>2 Mountain Rd</t>
  </si>
  <si>
    <t>Mt Wellington</t>
  </si>
  <si>
    <t>Mountain Rd</t>
  </si>
  <si>
    <t>2 Rata St</t>
  </si>
  <si>
    <t>Rata St</t>
  </si>
  <si>
    <t>2 Sanringham Rd</t>
  </si>
  <si>
    <t>Kowhai Intermediate</t>
  </si>
  <si>
    <t>Old AQ Station. Near Kowhai Intermediate.</t>
  </si>
  <si>
    <t>5 Ensor Pl</t>
  </si>
  <si>
    <t>Ensor Pl</t>
  </si>
  <si>
    <t>Massey Rd on ramp 35m. SH20 50m.</t>
  </si>
  <si>
    <t>George Bolt Memorial Dr / Kirkbride Rd</t>
  </si>
  <si>
    <t>244 Kirkbride Rd</t>
  </si>
  <si>
    <t>Mangere Central School</t>
  </si>
  <si>
    <t>36 Otara Rd</t>
  </si>
  <si>
    <t xml:space="preserve">Congregational Church </t>
  </si>
  <si>
    <t>136 Settlement Rd</t>
  </si>
  <si>
    <t>Settlement Rd</t>
  </si>
  <si>
    <t xml:space="preserve">91 Mangere Rd </t>
  </si>
  <si>
    <t xml:space="preserve">Mangere Rd </t>
  </si>
  <si>
    <t>264A Pakuranga Rd</t>
  </si>
  <si>
    <t>Pakuranga Rd</t>
  </si>
  <si>
    <t>AQ Station. Inside Bell Reserve.</t>
  </si>
  <si>
    <t>14 Oakridge Way</t>
  </si>
  <si>
    <t>Our Lady Star of the Sea School</t>
  </si>
  <si>
    <t>AQ Station. Inside Our Lady Star of the Sea School.</t>
  </si>
  <si>
    <t>17 Titoki St</t>
  </si>
  <si>
    <t>7 Korau Rd</t>
  </si>
  <si>
    <t>339 Western Hills Dr</t>
  </si>
  <si>
    <t>33 Central Ave</t>
  </si>
  <si>
    <t xml:space="preserve">14 Deford Pl </t>
  </si>
  <si>
    <t xml:space="preserve">218 Cambridge Rd </t>
  </si>
  <si>
    <t>Hillcrest Normal School</t>
  </si>
  <si>
    <t>Near Hillcrest Normal School. LR is SH26.</t>
  </si>
  <si>
    <t>64 Avalon Dr</t>
  </si>
  <si>
    <t>Grandview Rd</t>
  </si>
  <si>
    <t>SH1 Avalon Drive Bypass completed Oct-2008. Avalon Drive is now a LR.</t>
  </si>
  <si>
    <t xml:space="preserve">2 Lorne St </t>
  </si>
  <si>
    <t>Braemar Hospital</t>
  </si>
  <si>
    <t>24 Ohaupo Rd</t>
  </si>
  <si>
    <t>Near Waikato Public Hospital (250m NE). LR is SH3.</t>
  </si>
  <si>
    <t xml:space="preserve">78 Victoria St </t>
  </si>
  <si>
    <t>78 Queen St</t>
  </si>
  <si>
    <t>SH1 Cambridge Section completed Dec-2015. Victoria St is now a LR. Apr-17: pole removed - moved 20m SW.</t>
  </si>
  <si>
    <t>Classed as a SH site from 2007 to 2012</t>
  </si>
  <si>
    <t>Behind 33 Woodward St</t>
  </si>
  <si>
    <t>Woodward St</t>
  </si>
  <si>
    <t>SH1 Taupo Bypass completed Oct-2010. Tongariro St is now a LR.</t>
  </si>
  <si>
    <t xml:space="preserve">1612 Pukuatua St </t>
  </si>
  <si>
    <t>Rotorua Boys High School</t>
  </si>
  <si>
    <t>Near Rotorua Boys High School. LR is SH30A.</t>
  </si>
  <si>
    <t>211 Fifteenth Ave</t>
  </si>
  <si>
    <t>Tauranga Boys College</t>
  </si>
  <si>
    <t>728 Cameron Rd</t>
  </si>
  <si>
    <t>Opposite Tauranga Boys College. Pre December 2009 SH2.</t>
  </si>
  <si>
    <t>Opp 566 Maunganui Rd</t>
  </si>
  <si>
    <t>Maunganui Rd</t>
  </si>
  <si>
    <t>Hewletts Road Flyover at the roundabout. Near Mount Maunganui College (100m N). Pre December 2009 SH29.</t>
  </si>
  <si>
    <t>Opp 35 Chapel St</t>
  </si>
  <si>
    <t>Chapel St</t>
  </si>
  <si>
    <t>Tauranga Central Corridor Project. Pre December 2009 SH2A. Takitimu Dr Flyover.</t>
  </si>
  <si>
    <t xml:space="preserve">1 Ann Michele St </t>
  </si>
  <si>
    <t xml:space="preserve">Ann Michele St </t>
  </si>
  <si>
    <t>SH1 Te Rapa Section completed Dec-2012. Te Rapa Road is now a LR.</t>
  </si>
  <si>
    <t>Classed as a SH site from 2007 to 2015</t>
  </si>
  <si>
    <t xml:space="preserve">10 Greenwood St </t>
  </si>
  <si>
    <t>Killarney Rd</t>
  </si>
  <si>
    <t>459 Ulster St</t>
  </si>
  <si>
    <t>Ulster St</t>
  </si>
  <si>
    <t>23 Brooklyn Rd</t>
  </si>
  <si>
    <t>Brooklyn Rd</t>
  </si>
  <si>
    <t>Southwell School (260m SE)</t>
  </si>
  <si>
    <t>83 Anglesea St</t>
  </si>
  <si>
    <t>Anglesea St</t>
  </si>
  <si>
    <t>17 Seamer Pl</t>
  </si>
  <si>
    <t>Hamilton North School (50m SW)</t>
  </si>
  <si>
    <t>Opp 93 Eversham Rd</t>
  </si>
  <si>
    <t>Eversham Rd</t>
  </si>
  <si>
    <t>Opp 75 Bellevue Rd</t>
  </si>
  <si>
    <t>Otumoetai Rd</t>
  </si>
  <si>
    <t>941 Cameron Rd</t>
  </si>
  <si>
    <t>Cameron Rd</t>
  </si>
  <si>
    <t>Near Tauranga Girls College (100m NE)</t>
  </si>
  <si>
    <t>7 Seaforth Gr</t>
  </si>
  <si>
    <t>Near Green Park School (100m W)</t>
  </si>
  <si>
    <t>45 Ohaupo Rd</t>
  </si>
  <si>
    <t>Ohaupo Rd</t>
  </si>
  <si>
    <t>3 Lightheart St</t>
  </si>
  <si>
    <t>Near St Mary's Catholic School (60m NW)</t>
  </si>
  <si>
    <t xml:space="preserve">498 Wainui Rd </t>
  </si>
  <si>
    <t>Kaiti School</t>
  </si>
  <si>
    <t xml:space="preserve">517 Wainui Rd </t>
  </si>
  <si>
    <t>Near Kaiti School (20m SW). Sep-18 moved 35m E as overhead power lines and power poles were removed.</t>
  </si>
  <si>
    <t>122 Meeanee Rd</t>
  </si>
  <si>
    <t>Meeanee Rd</t>
  </si>
  <si>
    <t>Meeanee Road Intersection 2007 Upgrade at the off-ramp</t>
  </si>
  <si>
    <t xml:space="preserve">3 Hyderabad Rd </t>
  </si>
  <si>
    <t xml:space="preserve">Hyderabad Rd </t>
  </si>
  <si>
    <t>1000 Omahu Rd</t>
  </si>
  <si>
    <t>Omahu Rd</t>
  </si>
  <si>
    <t>Hawke's Bay Expressway Extension</t>
  </si>
  <si>
    <t>11 Amanda Pl</t>
  </si>
  <si>
    <t>Near Mayfair School (175m SW)</t>
  </si>
  <si>
    <t xml:space="preserve">10 Hastie Pl </t>
  </si>
  <si>
    <t>Near Henry Hill School (50m NW)</t>
  </si>
  <si>
    <t>10 Pukaka St</t>
  </si>
  <si>
    <t>Mission Resthome</t>
  </si>
  <si>
    <t>Whanganui</t>
  </si>
  <si>
    <t>Manawatu / Whanganui</t>
  </si>
  <si>
    <t xml:space="preserve">Opp 181 London St </t>
  </si>
  <si>
    <t xml:space="preserve">London St </t>
  </si>
  <si>
    <t xml:space="preserve">240 Featherston St </t>
  </si>
  <si>
    <t xml:space="preserve">Palmerston North Boys High School </t>
  </si>
  <si>
    <t xml:space="preserve">263 Featherston St </t>
  </si>
  <si>
    <t>Near Palmerston North Boys High School (70m NE)</t>
  </si>
  <si>
    <t>Opp 4 Maxwells Line</t>
  </si>
  <si>
    <t>Maxwells Line</t>
  </si>
  <si>
    <t xml:space="preserve">757 Main St </t>
  </si>
  <si>
    <t>Ruahine St</t>
  </si>
  <si>
    <t>Opp 271 Ferguson St</t>
  </si>
  <si>
    <t>Ferguson St</t>
  </si>
  <si>
    <t>Near Palmerston North Intermediate Normal School (45m SE)</t>
  </si>
  <si>
    <t>10 Tyndall St</t>
  </si>
  <si>
    <t>Near Russell St School (45m SW)</t>
  </si>
  <si>
    <t>4 Tavistock St</t>
  </si>
  <si>
    <t>Westown</t>
  </si>
  <si>
    <t>Tavistock St</t>
  </si>
  <si>
    <t>Near Westown School (145m NE)</t>
  </si>
  <si>
    <t xml:space="preserve">175 London St </t>
  </si>
  <si>
    <t>40 Paynters Ave</t>
  </si>
  <si>
    <t xml:space="preserve">Cnr Manor Park Rd &amp; Western Hutt Rd </t>
  </si>
  <si>
    <t>Mary Huse Gr</t>
  </si>
  <si>
    <t>37 Riddlers Cres</t>
  </si>
  <si>
    <t>Riddlers Cres</t>
  </si>
  <si>
    <t>Near railway.</t>
  </si>
  <si>
    <t>Kapiti Coast</t>
  </si>
  <si>
    <t xml:space="preserve">Kapiti </t>
  </si>
  <si>
    <t>3 Ihakara St</t>
  </si>
  <si>
    <t>Spencer Russell Dr</t>
  </si>
  <si>
    <t>Opp 1 Mungavin Ave</t>
  </si>
  <si>
    <t>Belmont Motor Lodge</t>
  </si>
  <si>
    <t>1 Mungavin Ave</t>
  </si>
  <si>
    <t>Porirua on ramp 25m. SH1 75m.</t>
  </si>
  <si>
    <t>Opp 82 Bolton St</t>
  </si>
  <si>
    <t>Bolton St</t>
  </si>
  <si>
    <t xml:space="preserve">Site lowered Oct-2012 from 2.5m to 1m due to the height above the bridge </t>
  </si>
  <si>
    <t>Crn Sussex St &amp; Rugby St</t>
  </si>
  <si>
    <t>Sussex St</t>
  </si>
  <si>
    <t>Wellington Inner City Bypass Project. Near Basin Reserve.</t>
  </si>
  <si>
    <t xml:space="preserve">135 Haven Rd </t>
  </si>
  <si>
    <t>Auckland Point School</t>
  </si>
  <si>
    <t xml:space="preserve">111 Haven Rd </t>
  </si>
  <si>
    <t>Near Auckland Point School (10m S)</t>
  </si>
  <si>
    <t>3 Duffy Pl</t>
  </si>
  <si>
    <t>Residential Housing / Birchwood School</t>
  </si>
  <si>
    <t>Duffy Pl</t>
  </si>
  <si>
    <t>10 Melia Pl</t>
  </si>
  <si>
    <t>Residential Housing / Salisbury School</t>
  </si>
  <si>
    <t>Melia Pl</t>
  </si>
  <si>
    <t>Near Salisbury School (45m W)</t>
  </si>
  <si>
    <t>Nelson St / McLauchlan St</t>
  </si>
  <si>
    <t>61 Nelson St</t>
  </si>
  <si>
    <t>Residential Housing / Marlborough Girls College</t>
  </si>
  <si>
    <t>Nelson St</t>
  </si>
  <si>
    <t>Opposite Marlborough Girls College (20m N). Section 61 Nelson St cleared early 2009 for housing redevelopment.</t>
  </si>
  <si>
    <t>12 Helston Rd</t>
  </si>
  <si>
    <t>Helston Rd</t>
  </si>
  <si>
    <t>Block Rd Train Station</t>
  </si>
  <si>
    <t>Train Station</t>
  </si>
  <si>
    <t>Block Rd</t>
  </si>
  <si>
    <t>Crn Vivian St &amp; Victoria St</t>
  </si>
  <si>
    <t>Vivian St</t>
  </si>
  <si>
    <t>Tawa</t>
  </si>
  <si>
    <t>8 Linden Ave</t>
  </si>
  <si>
    <t>Rossiter St</t>
  </si>
  <si>
    <t xml:space="preserve">AQ Station. Co-located in triplicate. </t>
  </si>
  <si>
    <t>4 Campbell St</t>
  </si>
  <si>
    <t>Campbell St</t>
  </si>
  <si>
    <t>3 Thames St</t>
  </si>
  <si>
    <t>Near Island Bay School (15m S)</t>
  </si>
  <si>
    <t>Riddiford St / Mein St</t>
  </si>
  <si>
    <t>88 Riddiford St</t>
  </si>
  <si>
    <t>Newtown School</t>
  </si>
  <si>
    <t>Riddiford St</t>
  </si>
  <si>
    <t>Opp Newtown School. Near Wellington Hospital (30m NE).</t>
  </si>
  <si>
    <t xml:space="preserve">29 Wellington Rd </t>
  </si>
  <si>
    <t xml:space="preserve">Wellington Rd </t>
  </si>
  <si>
    <t>Near St. Patricks College (220m W)</t>
  </si>
  <si>
    <t>86 Miramar Ave</t>
  </si>
  <si>
    <t xml:space="preserve">Catholic Church </t>
  </si>
  <si>
    <t>Opp 101 Pharzyn St</t>
  </si>
  <si>
    <t>Pharzyn St</t>
  </si>
  <si>
    <t>75 Knights Rd</t>
  </si>
  <si>
    <t>Bloomfield Tce</t>
  </si>
  <si>
    <t>46 Oxford Tce</t>
  </si>
  <si>
    <t>Oxford Tce</t>
  </si>
  <si>
    <t>AQ Station. Co-located in triplicate. Single site from Jan-13.</t>
  </si>
  <si>
    <t>40 Totara Park Rd</t>
  </si>
  <si>
    <t>Totara Park Rd</t>
  </si>
  <si>
    <t>15 Savage Cres</t>
  </si>
  <si>
    <t>Savage Cres</t>
  </si>
  <si>
    <t>AQ Station. Co-located in triplicate. Decommissioned - low data capture and low population for the site type.</t>
  </si>
  <si>
    <t>255 Main Highway</t>
  </si>
  <si>
    <t>Mill Rd</t>
  </si>
  <si>
    <t>12 Totara St</t>
  </si>
  <si>
    <t>Near Victoria Primary School (40m SW)</t>
  </si>
  <si>
    <t>20 Rimutaka St</t>
  </si>
  <si>
    <t>Rimutaka St</t>
  </si>
  <si>
    <t>8 Helston Rd</t>
  </si>
  <si>
    <t>14 Naver Pl</t>
  </si>
  <si>
    <t>Near Papakowhai School (180m E)</t>
  </si>
  <si>
    <t>222 Willis St</t>
  </si>
  <si>
    <t>Accommodation</t>
  </si>
  <si>
    <t>2A Golf Rd</t>
  </si>
  <si>
    <t>Manor Park Rd</t>
  </si>
  <si>
    <t>Behind 9 Heriot Dr</t>
  </si>
  <si>
    <t>Retail shops</t>
  </si>
  <si>
    <t>Hagley St</t>
  </si>
  <si>
    <t>GWRC Project</t>
  </si>
  <si>
    <t>254 Main Highway</t>
  </si>
  <si>
    <t>Behind 5 Paremata Cres</t>
  </si>
  <si>
    <t>Paremata Cres</t>
  </si>
  <si>
    <t>96 High St</t>
  </si>
  <si>
    <t>School and Residential Housing</t>
  </si>
  <si>
    <t>68 High St</t>
  </si>
  <si>
    <t>Hadlow Preparatory School (120m NE)</t>
  </si>
  <si>
    <t>35 Mills St</t>
  </si>
  <si>
    <t>20 Clyma St</t>
  </si>
  <si>
    <t>1 Rudyard Cres</t>
  </si>
  <si>
    <t>5 Masters Cres</t>
  </si>
  <si>
    <t xml:space="preserve">180 Tainui St </t>
  </si>
  <si>
    <t>Learning Centre</t>
  </si>
  <si>
    <t>Near Learning Centre (15m E)</t>
  </si>
  <si>
    <t>204 Main North Rd</t>
  </si>
  <si>
    <t>St Bedes College</t>
  </si>
  <si>
    <t>210 Main North Rd</t>
  </si>
  <si>
    <t>Near St Bedes College (30m N)</t>
  </si>
  <si>
    <t>34 Yaldhurst Rd</t>
  </si>
  <si>
    <t>Villa Maria College</t>
  </si>
  <si>
    <t>21 Peer St</t>
  </si>
  <si>
    <t>Near Villa Maria College (30m W)</t>
  </si>
  <si>
    <t>Cnr Nash Rd &amp; Aidanfield Dr</t>
  </si>
  <si>
    <t>Aidanfield Christian School</t>
  </si>
  <si>
    <t>Christchurch Southern Motorway Extension completed Dec-2012. "Project site" 2007 - 2009. Near St John of God Hospital and Aidanfield Christian School. SH76 is the LR.</t>
  </si>
  <si>
    <t>698 Ferry Rd</t>
  </si>
  <si>
    <t>Residential Housing / Bamford School</t>
  </si>
  <si>
    <t>Ferry Rd</t>
  </si>
  <si>
    <t>Near Bamford School (100m SW)</t>
  </si>
  <si>
    <t>2 Parker St</t>
  </si>
  <si>
    <t>Parker St</t>
  </si>
  <si>
    <t>Memorial Ave / Grahams Rd</t>
  </si>
  <si>
    <t>233 Memorial Ave</t>
  </si>
  <si>
    <t xml:space="preserve">Memorial Ave </t>
  </si>
  <si>
    <t>Near Burnside High School (150m E)</t>
  </si>
  <si>
    <t>730 Main North Rd</t>
  </si>
  <si>
    <t xml:space="preserve">Main North Rd </t>
  </si>
  <si>
    <t>Near Belfast School (120m). Western Belfast Bypass opened Oct-2017. Johns Rd is now a LR.</t>
  </si>
  <si>
    <t>145 Waltham Rd</t>
  </si>
  <si>
    <t>Waltham Rd</t>
  </si>
  <si>
    <t>Near Waltham School (100m SE). SH76 was previously known as SH73.</t>
  </si>
  <si>
    <t>4 New Brighton Rd</t>
  </si>
  <si>
    <t>Shirley Intermediate School</t>
  </si>
  <si>
    <t xml:space="preserve">60 Shirley Rd </t>
  </si>
  <si>
    <t>Near Shirley Intermediate School (30m W)</t>
  </si>
  <si>
    <t>22 Buckleys Rd</t>
  </si>
  <si>
    <t xml:space="preserve">Buckleys Rd </t>
  </si>
  <si>
    <t>Near a shopping centre</t>
  </si>
  <si>
    <t>122 Riccarton Rd</t>
  </si>
  <si>
    <t>Kauri St</t>
  </si>
  <si>
    <t>AQ Station. Co-located in triplicate. Near a shopping centre.</t>
  </si>
  <si>
    <t>21 Coles Pl</t>
  </si>
  <si>
    <t>Coles Pl</t>
  </si>
  <si>
    <t>34 Norwich Quay</t>
  </si>
  <si>
    <t>Lyttelton</t>
  </si>
  <si>
    <t xml:space="preserve"> - </t>
  </si>
  <si>
    <t xml:space="preserve">AQ Station. Co-located in triplicate. Lyttelton Tunnel Project. </t>
  </si>
  <si>
    <t xml:space="preserve">Crn Hanover St &amp; Cumberland St </t>
  </si>
  <si>
    <t>Dunedin Hospital</t>
  </si>
  <si>
    <t>201 Great King St</t>
  </si>
  <si>
    <t>Near Dunedin Hospital (35m NW)</t>
  </si>
  <si>
    <t>16 Barnes Dr</t>
  </si>
  <si>
    <t>Barnes Dr</t>
  </si>
  <si>
    <t>1 Sickels St</t>
  </si>
  <si>
    <t>Residential Housing / Fairfield School</t>
  </si>
  <si>
    <t>Sickels St</t>
  </si>
  <si>
    <t>10 Stanley St</t>
  </si>
  <si>
    <t>Sydney St</t>
  </si>
  <si>
    <t xml:space="preserve">Air Shed. </t>
  </si>
  <si>
    <t xml:space="preserve">50 Dee St </t>
  </si>
  <si>
    <t>Public Library</t>
  </si>
  <si>
    <t>Outside Library</t>
  </si>
  <si>
    <t xml:space="preserve">1 Gladstone Rd South </t>
  </si>
  <si>
    <t>Gladstone Rd North</t>
  </si>
  <si>
    <t>37 Durham St</t>
  </si>
  <si>
    <t>Mornington Playcentre</t>
  </si>
  <si>
    <t>Outside Mornington Playcentre</t>
  </si>
  <si>
    <t>379 Stuart St</t>
  </si>
  <si>
    <t>Stuart St</t>
  </si>
  <si>
    <t>555 Anderson Bay Rd</t>
  </si>
  <si>
    <t>Bay View Rd</t>
  </si>
  <si>
    <t>33 Terrace St</t>
  </si>
  <si>
    <t>31 Old Brighton Rd</t>
  </si>
  <si>
    <t>WEL079</t>
  </si>
  <si>
    <t>WEL081</t>
  </si>
  <si>
    <t>WEL082</t>
  </si>
  <si>
    <t>WEL083</t>
  </si>
  <si>
    <t>WEL084</t>
  </si>
  <si>
    <t>WEL085</t>
  </si>
  <si>
    <t>WEL086</t>
  </si>
  <si>
    <t>WEL090</t>
  </si>
  <si>
    <t>WEL093</t>
  </si>
  <si>
    <t>WEL095</t>
  </si>
  <si>
    <t>WEL097</t>
  </si>
  <si>
    <t>WEL098</t>
  </si>
  <si>
    <t xml:space="preserve">MONTHLY RESULTS - 2018 </t>
  </si>
  <si>
    <t>MONTHLY RESULTS - 2019</t>
  </si>
  <si>
    <t>HAM024</t>
  </si>
  <si>
    <t>WEL099</t>
  </si>
  <si>
    <t>AUC004a</t>
  </si>
  <si>
    <t>AUC009a</t>
  </si>
  <si>
    <t>AUC009b</t>
  </si>
  <si>
    <t>AUC018a</t>
  </si>
  <si>
    <t>AUC020a</t>
  </si>
  <si>
    <t>AUC021a</t>
  </si>
  <si>
    <t>Aug-15: moved 180m S for safer access. Relocated to AUC018a</t>
  </si>
  <si>
    <t>AUC022a</t>
  </si>
  <si>
    <t>CMJ 2 Project. Mar-15: moved 10m NW to the next pole due to excess vegetation. Relocated to AUC022a.</t>
  </si>
  <si>
    <t>AUC027a</t>
  </si>
  <si>
    <t>Relocated to AUC187 (May-14).</t>
  </si>
  <si>
    <t>Relocated from AUC004 (Apr-15).</t>
  </si>
  <si>
    <t>Northern Busway. Tristram Ave off ramp 15m. SH1 55m. Relocated to AUC170 (Jul-10).</t>
  </si>
  <si>
    <t>Relocated from AUC009 (Oct-15).</t>
  </si>
  <si>
    <t>Relocated from AUC009a (Mar-16).</t>
  </si>
  <si>
    <t>New field consultants relocated the site from 7 Cedar Heights Ave to 175m SW in Jun-08. Relocated to AUC020a.</t>
  </si>
  <si>
    <t>Relocated from AUC020 (Jun-08).</t>
  </si>
  <si>
    <t>Relocated from AUC018 (Aug-15).</t>
  </si>
  <si>
    <t>AUC021b</t>
  </si>
  <si>
    <t>Relocated from AUC021 (Sep-09).</t>
  </si>
  <si>
    <t>Relocated from AUC021a (Apr-17).</t>
  </si>
  <si>
    <t>Waterview Tunnel and other related projects. Moved from 25 to 18 by 15m NW in Sep-09. Moved to 31 by 15m SW in Apr-17. Relocated to AUC021a then AUC021b.</t>
  </si>
  <si>
    <t>Relocated from AUC022 (Mar-15).</t>
  </si>
  <si>
    <t>Relocated from AUC027 (Apr-07).</t>
  </si>
  <si>
    <t>AUC039a</t>
  </si>
  <si>
    <t>Relocated from AUC039 (Dec-09).</t>
  </si>
  <si>
    <t>Across from Korau Road Reserve. Relocated from AUC038. Moved September 2010?</t>
  </si>
  <si>
    <t>Relocated from AUC049 (Jan-15).</t>
  </si>
  <si>
    <t>Relocated from AUC049a (Nov-17).</t>
  </si>
  <si>
    <t>AUC049a</t>
  </si>
  <si>
    <t>AUC049b</t>
  </si>
  <si>
    <t>AUC050a</t>
  </si>
  <si>
    <t>AUC050b</t>
  </si>
  <si>
    <t>Relocated from AUC050a (Nov-18).</t>
  </si>
  <si>
    <t>Relocated from AUC050 (Jul-16).</t>
  </si>
  <si>
    <t>AUC051a</t>
  </si>
  <si>
    <t>Relocated from AUC051 (Jun-11).</t>
  </si>
  <si>
    <t>AUC053a</t>
  </si>
  <si>
    <t>Relocated from AUC053 (Oct-16).</t>
  </si>
  <si>
    <t>AUC053b</t>
  </si>
  <si>
    <t>Relocated from AUC053a (Oct-17).</t>
  </si>
  <si>
    <t>AUC054a</t>
  </si>
  <si>
    <t>AUC055a</t>
  </si>
  <si>
    <t>AUC056a</t>
  </si>
  <si>
    <t>Relocated from AUC054 (May-15)</t>
  </si>
  <si>
    <t>Relocated from AUC055 (May-15)</t>
  </si>
  <si>
    <t>Relocated from AUC056 (May-15)</t>
  </si>
  <si>
    <t>Relocated to AUC190 (Sep-15).</t>
  </si>
  <si>
    <t>AQ Station. Co-located in triplicate. Inside Henderson Intermediate. Moved 20m south May-15. Relocated to AUC054a.</t>
  </si>
  <si>
    <t>AQ Station. Co-located in triplicate. Inside Henderson Intermediate. Moved 20m south May-15. Relocated to AUC055a.</t>
  </si>
  <si>
    <t>AQ Station. Co-located in triplicate. Inside Henderson Intermediate. Moved 20m south May-15. Relocated to AUC056a.</t>
  </si>
  <si>
    <t>AUC071a</t>
  </si>
  <si>
    <t>Sept-15: moved 70m E around the corner for safer access. Relocated to AUC071a.</t>
  </si>
  <si>
    <t>Relocated from AUC071 (Sep-15).</t>
  </si>
  <si>
    <t>Northern corner of Mander Park. Relocated from AUC001 (May-14).</t>
  </si>
  <si>
    <t xml:space="preserve">SH20A to Auckland Airport Projects. Relocated from AUC068 (Sep-15). </t>
  </si>
  <si>
    <t>HAM004a</t>
  </si>
  <si>
    <t>Relocated from HAM004 (Apr-17).</t>
  </si>
  <si>
    <t>Relolcated from NAP001 (Sep-18).</t>
  </si>
  <si>
    <t>NAP001a</t>
  </si>
  <si>
    <t>Near Scared Heart School (105m E). Near the over bridge and railway. Relocated from WAN001 (Aug-14).</t>
  </si>
  <si>
    <t>Near Scared Heart School (40m S). Near railway. Relocated to WAN011 (Aug-14).</t>
  </si>
  <si>
    <t>Near St George's Prep School (5m NW). Relocated to WAN010 (Nov-09).</t>
  </si>
  <si>
    <t>Near Wanganui Collegiate School (25m SE). Relocated from WAN002 (Nov-09).</t>
  </si>
  <si>
    <t>Manor Park Hospital (170 E). Relocated to WEL078 (Mar-16).</t>
  </si>
  <si>
    <t>Manor Park Hospital (200m SW). Relocated from WEL002 (Mar-16). SH2/SH58 Haywards Interchange Project completed Aug-2017.</t>
  </si>
  <si>
    <t>Relocated to WEL063 (Jan-09).</t>
  </si>
  <si>
    <t>Relocated from WEL027 (Mar-10).</t>
  </si>
  <si>
    <t>Relocated to WEL064 be to closer to the SH (Mar-10).</t>
  </si>
  <si>
    <t>AQ Station removed Jan-2010. Co-located in triplicate. Relocated to a single site WEL052 (Jan-10).</t>
  </si>
  <si>
    <t>AQ Station. Co-located in triplicate. Relocated from WEL031-WEL033 (Jan-14).</t>
  </si>
  <si>
    <t>AQ Station. Co-located in triplicate. Relocated to WEL073-WEL075  (Jan-14).</t>
  </si>
  <si>
    <t>Relocated from WEL028-030 the GWRC Melling Station AQ Station. Childcare centre (35m SW) (Jan-10).</t>
  </si>
  <si>
    <t>Near Fairfield School (80m W). Relocated to DUN011 (Apr-11).</t>
  </si>
  <si>
    <t>Near Fairfield School (120m W). Relocated from DUN003 (Apr-11).</t>
  </si>
  <si>
    <t>Northern Busway. Tristram Ave off ramp 5m. Relocated from AUC006 (Jul-09).</t>
  </si>
  <si>
    <t>Relocated from WEL004 (Jan-09). SH1 Mackays to Peka Peka Expressway Project completed Feb-2017. SH1 is the Kapiti Expressway and Main Rd South is now a LR.</t>
  </si>
  <si>
    <t>Previously monitored as a project site from Jul-09 to Dec-10. Relocated Jan-15 from AUC048.</t>
  </si>
  <si>
    <t>Te Atatu Rd on ramp 15m. SH1 165m. Decommissioned due to roadworks. Jan-15: relocated 280m W to AUC115. Date?</t>
  </si>
  <si>
    <t>SH2 / Te Maunga Ln</t>
  </si>
  <si>
    <t>51 Te Maunga Ln</t>
  </si>
  <si>
    <t>Te Maunga Ln</t>
  </si>
  <si>
    <t xml:space="preserve">LR is SH29A. Relocated from HAM018 (August-19). Baypark to Bayfair Link Project. </t>
  </si>
  <si>
    <t>LR is SH29. Moved to HAM024 (August-19)</t>
  </si>
  <si>
    <t xml:space="preserve">                                                                                                                 </t>
  </si>
  <si>
    <t xml:space="preserve">                                                                                                           </t>
  </si>
  <si>
    <t xml:space="preserve">   </t>
  </si>
  <si>
    <t xml:space="preserve"> </t>
  </si>
  <si>
    <t xml:space="preserve">     </t>
  </si>
  <si>
    <t xml:space="preserve">    </t>
  </si>
  <si>
    <t xml:space="preserve">      </t>
  </si>
  <si>
    <t xml:space="preserve">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</si>
  <si>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</si>
  <si>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</t>
  </si>
  <si>
    <t xml:space="preserve">            </t>
  </si>
  <si>
    <t xml:space="preserve">                                                                                                                                                            </t>
  </si>
  <si>
    <t>% Valid Data &lt; 75%</t>
  </si>
  <si>
    <t>Site translocation gap</t>
  </si>
  <si>
    <t>City</t>
  </si>
  <si>
    <t>Height</t>
  </si>
  <si>
    <t>MONTHLY RESULTS - 2020</t>
  </si>
  <si>
    <t>Location classed as a national network site. Located near the same intersection as WEL061</t>
  </si>
  <si>
    <t>AQ Station. Co-located in triplicate. Jan-21 moved temporarily to the adjacent fence.</t>
  </si>
  <si>
    <t>2007-2020 Metadata</t>
  </si>
  <si>
    <t>2007 to 2020 Review Comments 2021</t>
  </si>
  <si>
    <t>May-20 - Moved 25m southwest to the next pole at the same address. LR was at 245m.</t>
  </si>
  <si>
    <t>Decommissioned at the end of 2020. Note added wrt WEL061.</t>
  </si>
  <si>
    <t xml:space="preserve">Jan-21 moved temporarily to the adjacent fence (2.5m north and down &lt;0.5m) until the monitoring station is relocated. Only the Note field was updated. </t>
  </si>
  <si>
    <t>Original site relocated</t>
  </si>
  <si>
    <t xml:space="preserve"> Mar-16</t>
  </si>
  <si>
    <t>Relocated to AUC171. Moved july 2010</t>
  </si>
  <si>
    <t>Site relocated, metadata incomplete</t>
  </si>
  <si>
    <t>AUC004b</t>
  </si>
  <si>
    <t>Relocated from AUC004a (renamed Aug-21)</t>
  </si>
  <si>
    <t>AUC009c</t>
  </si>
  <si>
    <t>Relocated from AUC009b (renamed Aug-21)</t>
  </si>
  <si>
    <t>AUC027b</t>
  </si>
  <si>
    <t>Relocated from AUC027a (renamed Aug-21)</t>
  </si>
  <si>
    <t>AUC039b</t>
  </si>
  <si>
    <t>Relocated from AUC039a (renamed Aug-21)</t>
  </si>
  <si>
    <t>AUC049c</t>
  </si>
  <si>
    <t>Relocated from AUC049b (renamed Aug-21)</t>
  </si>
  <si>
    <t>Hobsonville Deviation Motorway completed 7-Aug-11. Moved 50m east Jan-15 and 130m SW Nov-17. Hobsonville Road is now a LR. Relocated to AUC049a, AUC049b. SH, renamed AUC049c Aug-21.</t>
  </si>
  <si>
    <t>Albany Hwy on ramp 60m. SH1 100m. Dec-09: Pole removed - moved 10m northwest. Relocated to AUC039a. Moved 10m to the next pole, renamed AUC039b Aug-21.</t>
  </si>
  <si>
    <t>Apr-07: moved 200m N for safer access. Relocated to AUC027a. Moved due to H&amp;S bad area, renamed AUC027b Aug-21.</t>
  </si>
  <si>
    <t>CMJ 2 Project. Nelson St Cycleway - moved across the road from Oct-15 to Mar-16 then moved 30m east. Relocated to AUC009a then AUC009b. Moved across the road and back down to the next pole, renamed AUC009c Aug-21.</t>
  </si>
  <si>
    <t>Northern Motorway Extension (ALPURT B2) completed 25-Jan-09. Apr-15: Pole removed - moved 30m east. Relocated to AUC004a. Moved to next pole for H&amp;S reasons. Renamed AUC004b Aug-21.</t>
  </si>
  <si>
    <t>AUC050c</t>
  </si>
  <si>
    <t>Jul-16: moved 50m SW to the next pole due to excess vegetation. Nov-18: moved 40m NW for safer access. Relocated to AUC050a. Moved 50 then 20m from initial site, to next pole W then H&amp;S E, renamed AUC050c Aug-21.</t>
  </si>
  <si>
    <t>AUC051b</t>
  </si>
  <si>
    <t>Relocated from AUC051b (renamed Aug-21)</t>
  </si>
  <si>
    <t>Jun-11: Pole removed - moved 20m west. Relocated to AUC051a. Moved 20m to next pole, renamed AUC051b Aug-21.</t>
  </si>
  <si>
    <t>AUC053c</t>
  </si>
  <si>
    <t>Relocated from AUC053b (renamed Aug-21)</t>
  </si>
  <si>
    <t>Relocated from AUC050b (renamed Aug-21)</t>
  </si>
  <si>
    <t>Moved 130m south Oct-16 due to Te Atatu corridor improvement project returned Oct-17 20m north. Relocated to AUC053a. New lights, renamed AUC053c Aug-21.</t>
  </si>
  <si>
    <t>Site relocated, metadata incomplete, renamed Aug-21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</si>
</sst>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%"/>
  </numFmts>
  <fonts count="38" x14ac:knownFonts="1">
    <font>
      <sz val="8"/>
      <name val="Lucida Sans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Verdana"/>
      <family val="2"/>
    </font>
    <font>
      <b/>
      <sz val="9"/>
      <name val="Verdana"/>
      <family val="2"/>
    </font>
    <font>
      <b/>
      <sz val="8"/>
      <name val="Verdana"/>
      <family val="2"/>
    </font>
    <font>
      <sz val="8"/>
      <name val="Verdana"/>
      <family val="2"/>
    </font>
    <font>
      <sz val="8"/>
      <color indexed="10"/>
      <name val="Verdana"/>
      <family val="2"/>
    </font>
    <font>
      <sz val="8"/>
      <name val="Arial"/>
      <family val="2"/>
    </font>
    <font>
      <b/>
      <sz val="14"/>
      <name val="Verdana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sz val="6"/>
      <name val="Verdan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8"/>
      <color theme="0"/>
      <name val="Verdana"/>
      <family val="2"/>
    </font>
    <font>
      <sz val="9"/>
      <name val="Arial"/>
      <family val="2"/>
    </font>
    <font>
      <sz val="9"/>
      <name val="Verdana"/>
      <family val="2"/>
    </font>
    <font>
      <sz val="10"/>
      <color theme="1"/>
      <name val="Lucida Sans"/>
      <family val="2"/>
    </font>
    <font>
      <sz val="10"/>
      <name val="Arial"/>
      <family val="2"/>
    </font>
    <font>
      <sz val="8"/>
      <name val="Lucida Sans"/>
      <family val="2"/>
    </font>
    <font>
      <sz val="11"/>
      <color theme="1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</fills>
  <borders count="6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double">
        <color indexed="64"/>
      </right>
      <top/>
      <bottom style="thin">
        <color indexed="22"/>
      </bottom>
      <diagonal/>
    </border>
    <border>
      <left style="double">
        <color indexed="64"/>
      </left>
      <right style="double">
        <color indexed="64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thin">
        <color indexed="22"/>
      </right>
      <top/>
      <bottom style="double">
        <color indexed="64"/>
      </bottom>
      <diagonal/>
    </border>
    <border>
      <left style="thin">
        <color indexed="22"/>
      </left>
      <right style="thin">
        <color indexed="22"/>
      </right>
      <top/>
      <bottom style="double">
        <color indexed="64"/>
      </bottom>
      <diagonal/>
    </border>
    <border>
      <left style="thin">
        <color indexed="22"/>
      </left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22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22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22"/>
      </right>
      <top style="double">
        <color indexed="64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double">
        <color indexed="64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22"/>
      </left>
      <right/>
      <top/>
      <bottom style="double">
        <color indexed="64"/>
      </bottom>
      <diagonal/>
    </border>
    <border>
      <left style="double">
        <color indexed="64"/>
      </left>
      <right style="thin">
        <color indexed="22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22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22"/>
      </left>
      <right style="double">
        <color indexed="64"/>
      </right>
      <top style="thin">
        <color indexed="64"/>
      </top>
      <bottom style="thin">
        <color indexed="22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 style="thin">
        <color indexed="22"/>
      </top>
      <bottom style="double">
        <color indexed="64"/>
      </bottom>
      <diagonal/>
    </border>
  </borders>
  <cellStyleXfs count="63">
    <xf numFmtId="0" fontId="0" fillId="0" borderId="0">
      <alignment vertical="top"/>
    </xf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9" borderId="0" applyNumberFormat="0" applyBorder="0" applyAlignment="0" applyProtection="0"/>
    <xf numFmtId="0" fontId="13" fillId="3" borderId="0" applyNumberFormat="0" applyBorder="0" applyAlignment="0" applyProtection="0"/>
    <xf numFmtId="0" fontId="14" fillId="20" borderId="1" applyNumberFormat="0" applyAlignment="0" applyProtection="0"/>
    <xf numFmtId="0" fontId="15" fillId="21" borderId="2" applyNumberFormat="0" applyAlignment="0" applyProtection="0"/>
    <xf numFmtId="0" fontId="16" fillId="0" borderId="0" applyNumberFormat="0" applyFill="0" applyBorder="0" applyAlignment="0" applyProtection="0"/>
    <xf numFmtId="0" fontId="17" fillId="4" borderId="0" applyNumberFormat="0" applyBorder="0" applyAlignment="0" applyProtection="0"/>
    <xf numFmtId="0" fontId="26" fillId="0" borderId="3" applyNumberFormat="0" applyFill="0" applyAlignment="0" applyProtection="0"/>
    <xf numFmtId="0" fontId="2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34" fillId="0" borderId="0"/>
    <xf numFmtId="0" fontId="35" fillId="0" borderId="0"/>
    <xf numFmtId="0" fontId="1" fillId="0" borderId="0"/>
    <xf numFmtId="0" fontId="36" fillId="0" borderId="0">
      <alignment vertical="top"/>
    </xf>
    <xf numFmtId="0" fontId="36" fillId="0" borderId="0">
      <alignment vertical="top"/>
    </xf>
    <xf numFmtId="0" fontId="2" fillId="0" borderId="0"/>
    <xf numFmtId="0" fontId="2" fillId="23" borderId="7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7" fillId="0" borderId="0"/>
  </cellStyleXfs>
  <cellXfs count="510">
    <xf numFmtId="0" fontId="0" fillId="0" borderId="0" xfId="0">
      <alignment vertical="top"/>
    </xf>
    <xf numFmtId="0" fontId="4" fillId="0" borderId="0" xfId="37" applyFont="1"/>
    <xf numFmtId="0" fontId="7" fillId="0" borderId="0" xfId="37" applyFont="1" applyProtection="1">
      <protection locked="0"/>
    </xf>
    <xf numFmtId="0" fontId="7" fillId="0" borderId="0" xfId="37" applyFont="1" applyAlignment="1" applyProtection="1">
      <alignment horizontal="center"/>
      <protection locked="0"/>
    </xf>
    <xf numFmtId="0" fontId="6" fillId="0" borderId="0" xfId="37" applyFont="1" applyAlignment="1" applyProtection="1">
      <alignment horizontal="center"/>
      <protection locked="0"/>
    </xf>
    <xf numFmtId="17" fontId="6" fillId="24" borderId="10" xfId="37" applyNumberFormat="1" applyFont="1" applyFill="1" applyBorder="1" applyAlignment="1" applyProtection="1">
      <alignment horizontal="center" vertical="center"/>
      <protection locked="0"/>
    </xf>
    <xf numFmtId="0" fontId="7" fillId="25" borderId="11" xfId="37" applyFont="1" applyFill="1" applyBorder="1" applyAlignment="1" applyProtection="1">
      <alignment horizontal="center"/>
      <protection locked="0"/>
    </xf>
    <xf numFmtId="164" fontId="7" fillId="0" borderId="12" xfId="37" applyNumberFormat="1" applyFont="1" applyBorder="1" applyAlignment="1" applyProtection="1">
      <alignment horizontal="center" vertical="top" wrapText="1"/>
      <protection locked="0"/>
    </xf>
    <xf numFmtId="164" fontId="6" fillId="0" borderId="13" xfId="37" applyNumberFormat="1" applyFont="1" applyBorder="1" applyAlignment="1" applyProtection="1">
      <alignment horizontal="center" vertical="top" wrapText="1"/>
    </xf>
    <xf numFmtId="165" fontId="7" fillId="0" borderId="14" xfId="37" applyNumberFormat="1" applyFont="1" applyBorder="1" applyAlignment="1" applyProtection="1">
      <alignment horizontal="center"/>
    </xf>
    <xf numFmtId="0" fontId="7" fillId="0" borderId="0" xfId="37" applyFont="1"/>
    <xf numFmtId="0" fontId="7" fillId="25" borderId="15" xfId="37" applyFont="1" applyFill="1" applyBorder="1" applyAlignment="1" applyProtection="1">
      <alignment horizontal="center"/>
      <protection locked="0"/>
    </xf>
    <xf numFmtId="164" fontId="7" fillId="0" borderId="16" xfId="37" applyNumberFormat="1" applyFont="1" applyBorder="1" applyAlignment="1" applyProtection="1">
      <alignment horizontal="center" vertical="top" wrapText="1"/>
      <protection locked="0"/>
    </xf>
    <xf numFmtId="164" fontId="7" fillId="0" borderId="0" xfId="37" applyNumberFormat="1" applyFont="1"/>
    <xf numFmtId="0" fontId="7" fillId="25" borderId="17" xfId="37" applyFont="1" applyFill="1" applyBorder="1" applyAlignment="1" applyProtection="1">
      <alignment horizontal="center"/>
      <protection locked="0"/>
    </xf>
    <xf numFmtId="164" fontId="7" fillId="0" borderId="18" xfId="37" applyNumberFormat="1" applyFont="1" applyBorder="1" applyAlignment="1" applyProtection="1">
      <alignment horizontal="center" vertical="top" wrapText="1"/>
      <protection locked="0"/>
    </xf>
    <xf numFmtId="164" fontId="6" fillId="0" borderId="19" xfId="37" applyNumberFormat="1" applyFont="1" applyBorder="1" applyAlignment="1" applyProtection="1">
      <alignment horizontal="center" vertical="top" wrapText="1"/>
    </xf>
    <xf numFmtId="165" fontId="7" fillId="0" borderId="20" xfId="37" applyNumberFormat="1" applyFont="1" applyBorder="1" applyAlignment="1" applyProtection="1">
      <alignment horizontal="center"/>
    </xf>
    <xf numFmtId="0" fontId="6" fillId="0" borderId="0" xfId="37" applyFont="1" applyAlignment="1" applyProtection="1">
      <alignment horizontal="center"/>
    </xf>
    <xf numFmtId="0" fontId="7" fillId="0" borderId="0" xfId="37" applyFont="1" applyAlignment="1" applyProtection="1">
      <alignment horizontal="left"/>
      <protection locked="0"/>
    </xf>
    <xf numFmtId="0" fontId="6" fillId="0" borderId="0" xfId="37" applyFont="1" applyAlignment="1">
      <alignment horizontal="center"/>
    </xf>
    <xf numFmtId="0" fontId="7" fillId="0" borderId="0" xfId="37" applyFont="1" applyAlignment="1">
      <alignment horizontal="center"/>
    </xf>
    <xf numFmtId="165" fontId="7" fillId="26" borderId="14" xfId="37" applyNumberFormat="1" applyFont="1" applyFill="1" applyBorder="1" applyAlignment="1" applyProtection="1">
      <alignment horizontal="center"/>
    </xf>
    <xf numFmtId="0" fontId="6" fillId="0" borderId="0" xfId="37" applyFont="1" applyFill="1" applyBorder="1" applyAlignment="1" applyProtection="1">
      <alignment horizontal="center" vertical="center"/>
      <protection locked="0"/>
    </xf>
    <xf numFmtId="165" fontId="7" fillId="0" borderId="0" xfId="37" applyNumberFormat="1" applyFont="1" applyFill="1" applyBorder="1" applyAlignment="1" applyProtection="1">
      <alignment horizontal="center"/>
    </xf>
    <xf numFmtId="0" fontId="6" fillId="0" borderId="0" xfId="37" applyFont="1" applyFill="1" applyAlignment="1" applyProtection="1">
      <alignment horizontal="center"/>
    </xf>
    <xf numFmtId="0" fontId="6" fillId="0" borderId="0" xfId="37" applyFont="1" applyFill="1" applyAlignment="1">
      <alignment horizontal="center"/>
    </xf>
    <xf numFmtId="0" fontId="7" fillId="25" borderId="21" xfId="37" applyFont="1" applyFill="1" applyBorder="1" applyAlignment="1" applyProtection="1">
      <alignment horizontal="center"/>
      <protection locked="0"/>
    </xf>
    <xf numFmtId="0" fontId="8" fillId="0" borderId="0" xfId="37" applyFont="1" applyFill="1" applyAlignment="1" applyProtection="1">
      <alignment horizontal="center"/>
      <protection locked="0"/>
    </xf>
    <xf numFmtId="164" fontId="7" fillId="25" borderId="22" xfId="37" applyNumberFormat="1" applyFont="1" applyFill="1" applyBorder="1" applyAlignment="1" applyProtection="1">
      <alignment horizontal="center"/>
      <protection locked="0"/>
    </xf>
    <xf numFmtId="0" fontId="4" fillId="0" borderId="0" xfId="37" applyFont="1" applyAlignment="1">
      <alignment horizontal="center"/>
    </xf>
    <xf numFmtId="0" fontId="7" fillId="0" borderId="0" xfId="40" applyFont="1" applyProtection="1">
      <protection locked="0"/>
    </xf>
    <xf numFmtId="0" fontId="7" fillId="0" borderId="0" xfId="40" applyFont="1" applyAlignment="1" applyProtection="1">
      <alignment horizontal="center"/>
      <protection locked="0"/>
    </xf>
    <xf numFmtId="0" fontId="6" fillId="0" borderId="0" xfId="40" applyFont="1" applyAlignment="1" applyProtection="1">
      <alignment horizontal="center"/>
      <protection locked="0"/>
    </xf>
    <xf numFmtId="17" fontId="6" fillId="24" borderId="10" xfId="40" applyNumberFormat="1" applyFont="1" applyFill="1" applyBorder="1" applyAlignment="1" applyProtection="1">
      <alignment horizontal="center" vertical="center"/>
      <protection locked="0"/>
    </xf>
    <xf numFmtId="0" fontId="7" fillId="25" borderId="11" xfId="40" applyFont="1" applyFill="1" applyBorder="1" applyAlignment="1" applyProtection="1">
      <alignment horizontal="center"/>
      <protection locked="0"/>
    </xf>
    <xf numFmtId="164" fontId="7" fillId="0" borderId="12" xfId="40" applyNumberFormat="1" applyFont="1" applyBorder="1" applyAlignment="1" applyProtection="1">
      <alignment horizontal="center" vertical="top" wrapText="1"/>
      <protection locked="0"/>
    </xf>
    <xf numFmtId="164" fontId="6" fillId="0" borderId="13" xfId="40" applyNumberFormat="1" applyFont="1" applyBorder="1" applyAlignment="1" applyProtection="1">
      <alignment horizontal="center" vertical="top" wrapText="1"/>
    </xf>
    <xf numFmtId="165" fontId="7" fillId="0" borderId="14" xfId="40" applyNumberFormat="1" applyFont="1" applyBorder="1" applyAlignment="1" applyProtection="1">
      <alignment horizontal="center"/>
    </xf>
    <xf numFmtId="0" fontId="7" fillId="0" borderId="0" xfId="40" applyFont="1"/>
    <xf numFmtId="0" fontId="7" fillId="25" borderId="15" xfId="40" applyFont="1" applyFill="1" applyBorder="1" applyAlignment="1" applyProtection="1">
      <alignment horizontal="center"/>
      <protection locked="0"/>
    </xf>
    <xf numFmtId="0" fontId="7" fillId="25" borderId="17" xfId="40" applyFont="1" applyFill="1" applyBorder="1" applyAlignment="1" applyProtection="1">
      <alignment horizontal="center"/>
      <protection locked="0"/>
    </xf>
    <xf numFmtId="164" fontId="7" fillId="0" borderId="18" xfId="40" applyNumberFormat="1" applyFont="1" applyBorder="1" applyAlignment="1" applyProtection="1">
      <alignment horizontal="center" vertical="top" wrapText="1"/>
      <protection locked="0"/>
    </xf>
    <xf numFmtId="164" fontId="6" fillId="0" borderId="19" xfId="40" applyNumberFormat="1" applyFont="1" applyBorder="1" applyAlignment="1" applyProtection="1">
      <alignment horizontal="center" vertical="top" wrapText="1"/>
    </xf>
    <xf numFmtId="165" fontId="7" fillId="0" borderId="20" xfId="40" applyNumberFormat="1" applyFont="1" applyBorder="1" applyAlignment="1" applyProtection="1">
      <alignment horizontal="center"/>
    </xf>
    <xf numFmtId="0" fontId="6" fillId="0" borderId="0" xfId="40" applyFont="1" applyAlignment="1" applyProtection="1">
      <alignment horizontal="center"/>
    </xf>
    <xf numFmtId="0" fontId="7" fillId="0" borderId="0" xfId="40" applyFont="1" applyAlignment="1" applyProtection="1">
      <alignment horizontal="left"/>
      <protection locked="0"/>
    </xf>
    <xf numFmtId="0" fontId="7" fillId="27" borderId="0" xfId="40" applyFont="1" applyFill="1" applyAlignment="1" applyProtection="1">
      <alignment horizontal="center"/>
      <protection locked="0"/>
    </xf>
    <xf numFmtId="0" fontId="7" fillId="28" borderId="0" xfId="40" applyFont="1" applyFill="1" applyAlignment="1" applyProtection="1">
      <alignment horizontal="center"/>
      <protection locked="0"/>
    </xf>
    <xf numFmtId="0" fontId="7" fillId="29" borderId="0" xfId="40" applyFont="1" applyFill="1" applyAlignment="1" applyProtection="1">
      <alignment horizontal="center"/>
      <protection locked="0"/>
    </xf>
    <xf numFmtId="0" fontId="6" fillId="0" borderId="0" xfId="40" applyFont="1" applyAlignment="1">
      <alignment horizontal="center"/>
    </xf>
    <xf numFmtId="0" fontId="7" fillId="0" borderId="0" xfId="40" applyFont="1" applyAlignment="1">
      <alignment horizontal="center"/>
    </xf>
    <xf numFmtId="0" fontId="7" fillId="25" borderId="22" xfId="40" applyFont="1" applyFill="1" applyBorder="1" applyAlignment="1" applyProtection="1">
      <alignment horizontal="center"/>
      <protection locked="0"/>
    </xf>
    <xf numFmtId="0" fontId="7" fillId="25" borderId="21" xfId="40" applyFont="1" applyFill="1" applyBorder="1" applyAlignment="1" applyProtection="1">
      <alignment horizontal="center"/>
      <protection locked="0"/>
    </xf>
    <xf numFmtId="164" fontId="7" fillId="0" borderId="12" xfId="0" applyNumberFormat="1" applyFont="1" applyBorder="1" applyAlignment="1" applyProtection="1">
      <alignment horizontal="center" vertical="top" wrapText="1"/>
      <protection locked="0"/>
    </xf>
    <xf numFmtId="0" fontId="9" fillId="0" borderId="0" xfId="37" applyFont="1"/>
    <xf numFmtId="17" fontId="6" fillId="24" borderId="21" xfId="37" applyNumberFormat="1" applyFont="1" applyFill="1" applyBorder="1" applyAlignment="1" applyProtection="1">
      <alignment horizontal="center" vertical="center"/>
      <protection locked="0"/>
    </xf>
    <xf numFmtId="0" fontId="7" fillId="25" borderId="23" xfId="37" applyFont="1" applyFill="1" applyBorder="1" applyAlignment="1" applyProtection="1">
      <alignment horizontal="center"/>
      <protection locked="0"/>
    </xf>
    <xf numFmtId="164" fontId="7" fillId="25" borderId="24" xfId="37" applyNumberFormat="1" applyFont="1" applyFill="1" applyBorder="1" applyAlignment="1">
      <alignment horizontal="center"/>
    </xf>
    <xf numFmtId="164" fontId="7" fillId="0" borderId="25" xfId="37" applyNumberFormat="1" applyFont="1" applyBorder="1" applyAlignment="1" applyProtection="1">
      <alignment horizontal="center" vertical="top" wrapText="1"/>
      <protection locked="0"/>
    </xf>
    <xf numFmtId="164" fontId="7" fillId="0" borderId="26" xfId="37" applyNumberFormat="1" applyFont="1" applyBorder="1" applyAlignment="1" applyProtection="1">
      <alignment horizontal="center" vertical="top" wrapText="1"/>
      <protection locked="0"/>
    </xf>
    <xf numFmtId="164" fontId="6" fillId="0" borderId="26" xfId="37" applyNumberFormat="1" applyFont="1" applyBorder="1" applyAlignment="1" applyProtection="1">
      <alignment horizontal="center" vertical="top" wrapText="1"/>
    </xf>
    <xf numFmtId="164" fontId="7" fillId="0" borderId="7" xfId="37" applyNumberFormat="1" applyFont="1" applyBorder="1" applyAlignment="1" applyProtection="1">
      <alignment horizontal="center" vertical="top" wrapText="1"/>
      <protection locked="0"/>
    </xf>
    <xf numFmtId="164" fontId="6" fillId="0" borderId="7" xfId="37" applyNumberFormat="1" applyFont="1" applyBorder="1" applyAlignment="1" applyProtection="1">
      <alignment horizontal="center" vertical="top" wrapText="1"/>
    </xf>
    <xf numFmtId="164" fontId="7" fillId="0" borderId="13" xfId="37" applyNumberFormat="1" applyFont="1" applyBorder="1" applyAlignment="1" applyProtection="1">
      <alignment horizontal="center" vertical="top" wrapText="1"/>
      <protection locked="0"/>
    </xf>
    <xf numFmtId="164" fontId="7" fillId="27" borderId="13" xfId="37" applyNumberFormat="1" applyFont="1" applyFill="1" applyBorder="1" applyAlignment="1" applyProtection="1">
      <alignment horizontal="center" vertical="top" wrapText="1"/>
      <protection locked="0"/>
    </xf>
    <xf numFmtId="164" fontId="8" fillId="0" borderId="7" xfId="37" applyNumberFormat="1" applyFont="1" applyBorder="1" applyAlignment="1" applyProtection="1">
      <alignment horizontal="center" vertical="top" wrapText="1"/>
      <protection locked="0"/>
    </xf>
    <xf numFmtId="164" fontId="7" fillId="0" borderId="27" xfId="37" applyNumberFormat="1" applyFont="1" applyBorder="1" applyAlignment="1" applyProtection="1">
      <alignment horizontal="center" vertical="top" wrapText="1"/>
      <protection locked="0"/>
    </xf>
    <xf numFmtId="164" fontId="7" fillId="0" borderId="19" xfId="37" applyNumberFormat="1" applyFont="1" applyBorder="1" applyAlignment="1" applyProtection="1">
      <alignment horizontal="center" vertical="top" wrapText="1"/>
      <protection locked="0"/>
    </xf>
    <xf numFmtId="0" fontId="6" fillId="24" borderId="28" xfId="37" applyFont="1" applyFill="1" applyBorder="1" applyAlignment="1">
      <alignment horizontal="center" vertical="center"/>
    </xf>
    <xf numFmtId="17" fontId="6" fillId="24" borderId="29" xfId="37" applyNumberFormat="1" applyFont="1" applyFill="1" applyBorder="1" applyAlignment="1">
      <alignment horizontal="center" vertical="center"/>
    </xf>
    <xf numFmtId="0" fontId="7" fillId="25" borderId="24" xfId="37" applyFont="1" applyFill="1" applyBorder="1" applyAlignment="1">
      <alignment horizontal="center"/>
    </xf>
    <xf numFmtId="164" fontId="7" fillId="0" borderId="24" xfId="37" applyNumberFormat="1" applyFont="1" applyBorder="1" applyAlignment="1">
      <alignment horizontal="center" vertical="top" wrapText="1"/>
    </xf>
    <xf numFmtId="164" fontId="7" fillId="0" borderId="30" xfId="37" applyNumberFormat="1" applyFont="1" applyBorder="1" applyAlignment="1">
      <alignment horizontal="center" vertical="top" wrapText="1"/>
    </xf>
    <xf numFmtId="164" fontId="6" fillId="0" borderId="30" xfId="37" applyNumberFormat="1" applyFont="1" applyBorder="1" applyAlignment="1">
      <alignment horizontal="center" vertical="top" wrapText="1"/>
    </xf>
    <xf numFmtId="0" fontId="7" fillId="25" borderId="31" xfId="37" applyFont="1" applyFill="1" applyBorder="1" applyAlignment="1">
      <alignment horizontal="center"/>
    </xf>
    <xf numFmtId="0" fontId="7" fillId="25" borderId="17" xfId="37" applyFont="1" applyFill="1" applyBorder="1" applyAlignment="1">
      <alignment horizontal="center"/>
    </xf>
    <xf numFmtId="0" fontId="7" fillId="25" borderId="29" xfId="37" applyFont="1" applyFill="1" applyBorder="1" applyAlignment="1">
      <alignment horizontal="center"/>
    </xf>
    <xf numFmtId="164" fontId="7" fillId="0" borderId="29" xfId="37" applyNumberFormat="1" applyFont="1" applyBorder="1" applyAlignment="1">
      <alignment horizontal="center" vertical="top" wrapText="1"/>
    </xf>
    <xf numFmtId="164" fontId="7" fillId="0" borderId="32" xfId="37" applyNumberFormat="1" applyFont="1" applyBorder="1" applyAlignment="1">
      <alignment horizontal="center" vertical="top" wrapText="1"/>
    </xf>
    <xf numFmtId="164" fontId="6" fillId="0" borderId="32" xfId="37" applyNumberFormat="1" applyFont="1" applyBorder="1" applyAlignment="1">
      <alignment horizontal="center" vertical="top" wrapText="1"/>
    </xf>
    <xf numFmtId="165" fontId="7" fillId="0" borderId="33" xfId="37" applyNumberFormat="1" applyFont="1" applyBorder="1" applyAlignment="1">
      <alignment horizontal="center"/>
    </xf>
    <xf numFmtId="0" fontId="8" fillId="0" borderId="0" xfId="37" applyFont="1" applyAlignment="1">
      <alignment horizontal="center"/>
    </xf>
    <xf numFmtId="0" fontId="7" fillId="0" borderId="0" xfId="37" applyFont="1" applyAlignment="1">
      <alignment horizontal="left"/>
    </xf>
    <xf numFmtId="17" fontId="6" fillId="24" borderId="34" xfId="37" applyNumberFormat="1" applyFont="1" applyFill="1" applyBorder="1" applyAlignment="1">
      <alignment horizontal="center" vertical="center"/>
    </xf>
    <xf numFmtId="164" fontId="8" fillId="27" borderId="30" xfId="37" applyNumberFormat="1" applyFont="1" applyFill="1" applyBorder="1" applyAlignment="1">
      <alignment horizontal="center" vertical="top" wrapText="1"/>
    </xf>
    <xf numFmtId="164" fontId="7" fillId="0" borderId="0" xfId="40" applyNumberFormat="1" applyFont="1"/>
    <xf numFmtId="0" fontId="7" fillId="0" borderId="0" xfId="37" applyFont="1" applyBorder="1"/>
    <xf numFmtId="0" fontId="7" fillId="0" borderId="35" xfId="40" applyFont="1" applyBorder="1"/>
    <xf numFmtId="0" fontId="6" fillId="0" borderId="29" xfId="40" applyFont="1" applyBorder="1" applyAlignment="1" applyProtection="1">
      <alignment horizontal="center"/>
    </xf>
    <xf numFmtId="0" fontId="6" fillId="0" borderId="21" xfId="40" applyFont="1" applyBorder="1" applyAlignment="1" applyProtection="1">
      <alignment horizontal="center"/>
    </xf>
    <xf numFmtId="164" fontId="7" fillId="0" borderId="21" xfId="40" applyNumberFormat="1" applyFont="1" applyBorder="1"/>
    <xf numFmtId="0" fontId="7" fillId="0" borderId="36" xfId="40" applyFont="1" applyBorder="1"/>
    <xf numFmtId="0" fontId="6" fillId="0" borderId="0" xfId="40" applyFont="1" applyBorder="1" applyAlignment="1" applyProtection="1">
      <alignment vertical="center"/>
      <protection locked="0"/>
    </xf>
    <xf numFmtId="0" fontId="6" fillId="0" borderId="0" xfId="40" applyFont="1" applyFill="1" applyBorder="1" applyAlignment="1" applyProtection="1">
      <alignment vertical="center"/>
      <protection locked="0"/>
    </xf>
    <xf numFmtId="17" fontId="6" fillId="24" borderId="37" xfId="40" applyNumberFormat="1" applyFont="1" applyFill="1" applyBorder="1" applyAlignment="1" applyProtection="1">
      <alignment vertical="center"/>
      <protection locked="0"/>
    </xf>
    <xf numFmtId="17" fontId="6" fillId="24" borderId="38" xfId="40" applyNumberFormat="1" applyFont="1" applyFill="1" applyBorder="1" applyAlignment="1" applyProtection="1">
      <alignment vertical="center"/>
      <protection locked="0"/>
    </xf>
    <xf numFmtId="17" fontId="6" fillId="24" borderId="39" xfId="40" applyNumberFormat="1" applyFont="1" applyFill="1" applyBorder="1" applyAlignment="1" applyProtection="1">
      <alignment vertical="center"/>
      <protection locked="0"/>
    </xf>
    <xf numFmtId="17" fontId="6" fillId="24" borderId="40" xfId="40" applyNumberFormat="1" applyFont="1" applyFill="1" applyBorder="1" applyAlignment="1" applyProtection="1">
      <alignment horizontal="center" vertical="center"/>
      <protection locked="0"/>
    </xf>
    <xf numFmtId="17" fontId="6" fillId="24" borderId="41" xfId="40" applyNumberFormat="1" applyFont="1" applyFill="1" applyBorder="1" applyAlignment="1" applyProtection="1">
      <alignment horizontal="center" vertical="center"/>
      <protection locked="0"/>
    </xf>
    <xf numFmtId="0" fontId="7" fillId="0" borderId="24" xfId="40" applyFont="1" applyBorder="1"/>
    <xf numFmtId="0" fontId="7" fillId="0" borderId="29" xfId="40" applyFont="1" applyBorder="1"/>
    <xf numFmtId="0" fontId="7" fillId="0" borderId="21" xfId="37" applyFont="1" applyBorder="1"/>
    <xf numFmtId="0" fontId="6" fillId="24" borderId="46" xfId="40" applyFont="1" applyFill="1" applyBorder="1" applyAlignment="1" applyProtection="1">
      <alignment horizontal="center" vertical="center"/>
      <protection locked="0"/>
    </xf>
    <xf numFmtId="164" fontId="7" fillId="25" borderId="22" xfId="40" applyNumberFormat="1" applyFont="1" applyFill="1" applyBorder="1" applyAlignment="1" applyProtection="1">
      <alignment horizontal="center"/>
      <protection locked="0"/>
    </xf>
    <xf numFmtId="0" fontId="7" fillId="0" borderId="0" xfId="40" applyFont="1" applyBorder="1" applyProtection="1">
      <protection locked="0"/>
    </xf>
    <xf numFmtId="0" fontId="6" fillId="24" borderId="37" xfId="40" applyFont="1" applyFill="1" applyBorder="1" applyAlignment="1" applyProtection="1">
      <alignment horizontal="center" vertical="center"/>
      <protection locked="0"/>
    </xf>
    <xf numFmtId="0" fontId="7" fillId="0" borderId="35" xfId="40" applyFont="1" applyBorder="1" applyProtection="1">
      <protection locked="0"/>
    </xf>
    <xf numFmtId="0" fontId="6" fillId="0" borderId="36" xfId="40" applyFont="1" applyBorder="1" applyAlignment="1" applyProtection="1">
      <alignment horizontal="center"/>
    </xf>
    <xf numFmtId="0" fontId="7" fillId="0" borderId="0" xfId="39" applyFont="1" applyAlignment="1">
      <alignment horizontal="center" vertical="center"/>
    </xf>
    <xf numFmtId="0" fontId="7" fillId="0" borderId="0" xfId="39" applyFont="1" applyAlignment="1">
      <alignment vertical="center"/>
    </xf>
    <xf numFmtId="0" fontId="6" fillId="0" borderId="0" xfId="39" applyFont="1" applyAlignment="1">
      <alignment horizontal="center" vertical="center"/>
    </xf>
    <xf numFmtId="0" fontId="7" fillId="0" borderId="0" xfId="39" applyFont="1" applyAlignment="1" applyProtection="1">
      <alignment vertical="center"/>
      <protection locked="0"/>
    </xf>
    <xf numFmtId="0" fontId="6" fillId="0" borderId="35" xfId="39" applyFont="1" applyBorder="1" applyAlignment="1" applyProtection="1">
      <alignment horizontal="center" vertical="center"/>
      <protection locked="0"/>
    </xf>
    <xf numFmtId="0" fontId="7" fillId="0" borderId="0" xfId="39" applyFont="1" applyAlignment="1" applyProtection="1">
      <alignment horizontal="center" vertical="center"/>
      <protection locked="0"/>
    </xf>
    <xf numFmtId="0" fontId="6" fillId="0" borderId="0" xfId="39" applyFont="1" applyAlignment="1" applyProtection="1">
      <alignment horizontal="center" vertical="center"/>
      <protection locked="0"/>
    </xf>
    <xf numFmtId="0" fontId="6" fillId="24" borderId="46" xfId="39" applyFont="1" applyFill="1" applyBorder="1" applyAlignment="1" applyProtection="1">
      <alignment horizontal="center" vertical="center"/>
      <protection locked="0"/>
    </xf>
    <xf numFmtId="17" fontId="6" fillId="24" borderId="44" xfId="39" applyNumberFormat="1" applyFont="1" applyFill="1" applyBorder="1" applyAlignment="1" applyProtection="1">
      <alignment horizontal="center" vertical="center"/>
      <protection locked="0"/>
    </xf>
    <xf numFmtId="0" fontId="7" fillId="25" borderId="11" xfId="39" applyFont="1" applyFill="1" applyBorder="1" applyAlignment="1" applyProtection="1">
      <alignment horizontal="center" vertical="center"/>
      <protection locked="0"/>
    </xf>
    <xf numFmtId="164" fontId="7" fillId="0" borderId="13" xfId="39" applyNumberFormat="1" applyFont="1" applyBorder="1" applyAlignment="1" applyProtection="1">
      <alignment horizontal="center" vertical="center" wrapText="1"/>
      <protection locked="0"/>
    </xf>
    <xf numFmtId="164" fontId="7" fillId="31" borderId="12" xfId="41" applyNumberFormat="1" applyFont="1" applyFill="1" applyBorder="1" applyAlignment="1" applyProtection="1">
      <alignment horizontal="center" vertical="top" wrapText="1"/>
      <protection locked="0"/>
    </xf>
    <xf numFmtId="164" fontId="6" fillId="0" borderId="13" xfId="39" applyNumberFormat="1" applyFont="1" applyBorder="1" applyAlignment="1" applyProtection="1">
      <alignment horizontal="center" vertical="center" wrapText="1"/>
    </xf>
    <xf numFmtId="165" fontId="7" fillId="0" borderId="14" xfId="39" applyNumberFormat="1" applyFont="1" applyBorder="1" applyAlignment="1" applyProtection="1">
      <alignment horizontal="center" vertical="center"/>
    </xf>
    <xf numFmtId="0" fontId="7" fillId="25" borderId="15" xfId="39" applyFont="1" applyFill="1" applyBorder="1" applyAlignment="1" applyProtection="1">
      <alignment horizontal="center" vertical="center"/>
      <protection locked="0"/>
    </xf>
    <xf numFmtId="164" fontId="7" fillId="0" borderId="12" xfId="41" applyNumberFormat="1" applyFont="1" applyBorder="1" applyAlignment="1" applyProtection="1">
      <alignment horizontal="center" vertical="top" wrapText="1"/>
      <protection locked="0"/>
    </xf>
    <xf numFmtId="164" fontId="7" fillId="31" borderId="13" xfId="39" applyNumberFormat="1" applyFont="1" applyFill="1" applyBorder="1" applyAlignment="1" applyProtection="1">
      <alignment horizontal="center" vertical="center" wrapText="1"/>
      <protection locked="0"/>
    </xf>
    <xf numFmtId="0" fontId="7" fillId="32" borderId="0" xfId="39" applyFont="1" applyFill="1" applyAlignment="1">
      <alignment vertical="center"/>
    </xf>
    <xf numFmtId="0" fontId="7" fillId="25" borderId="17" xfId="39" applyFont="1" applyFill="1" applyBorder="1" applyAlignment="1" applyProtection="1">
      <alignment horizontal="center" vertical="center"/>
      <protection locked="0"/>
    </xf>
    <xf numFmtId="164" fontId="7" fillId="0" borderId="18" xfId="41" applyNumberFormat="1" applyFont="1" applyBorder="1" applyAlignment="1" applyProtection="1">
      <alignment horizontal="center" vertical="top" wrapText="1"/>
      <protection locked="0"/>
    </xf>
    <xf numFmtId="164" fontId="6" fillId="0" borderId="19" xfId="39" applyNumberFormat="1" applyFont="1" applyBorder="1" applyAlignment="1" applyProtection="1">
      <alignment horizontal="center" vertical="center" wrapText="1"/>
    </xf>
    <xf numFmtId="165" fontId="7" fillId="0" borderId="20" xfId="39" applyNumberFormat="1" applyFont="1" applyBorder="1" applyAlignment="1" applyProtection="1">
      <alignment horizontal="center" vertical="center"/>
    </xf>
    <xf numFmtId="0" fontId="28" fillId="0" borderId="0" xfId="37" applyFont="1" applyAlignment="1">
      <alignment vertical="top"/>
    </xf>
    <xf numFmtId="0" fontId="6" fillId="0" borderId="0" xfId="39" applyFont="1" applyAlignment="1" applyProtection="1">
      <alignment horizontal="center" vertical="center"/>
    </xf>
    <xf numFmtId="0" fontId="7" fillId="0" borderId="0" xfId="39" applyFont="1" applyAlignment="1" applyProtection="1">
      <alignment horizontal="left" vertical="center"/>
      <protection locked="0"/>
    </xf>
    <xf numFmtId="0" fontId="7" fillId="27" borderId="0" xfId="39" applyFont="1" applyFill="1" applyAlignment="1" applyProtection="1">
      <alignment horizontal="center" vertical="center"/>
      <protection locked="0"/>
    </xf>
    <xf numFmtId="0" fontId="7" fillId="28" borderId="0" xfId="39" applyFont="1" applyFill="1" applyAlignment="1" applyProtection="1">
      <alignment horizontal="center" vertical="center"/>
      <protection locked="0"/>
    </xf>
    <xf numFmtId="0" fontId="7" fillId="29" borderId="0" xfId="39" applyFont="1" applyFill="1" applyAlignment="1" applyProtection="1">
      <alignment horizontal="center" vertical="center"/>
      <protection locked="0"/>
    </xf>
    <xf numFmtId="0" fontId="7" fillId="30" borderId="0" xfId="39" applyFont="1" applyFill="1" applyAlignment="1" applyProtection="1">
      <alignment horizontal="right" vertical="center"/>
      <protection locked="0"/>
    </xf>
    <xf numFmtId="0" fontId="7" fillId="25" borderId="21" xfId="39" applyFont="1" applyFill="1" applyBorder="1" applyAlignment="1" applyProtection="1">
      <alignment horizontal="center" vertical="center"/>
      <protection locked="0"/>
    </xf>
    <xf numFmtId="17" fontId="6" fillId="24" borderId="48" xfId="37" applyNumberFormat="1" applyFont="1" applyFill="1" applyBorder="1" applyAlignment="1" applyProtection="1">
      <alignment horizontal="center" vertical="center"/>
      <protection locked="0"/>
    </xf>
    <xf numFmtId="164" fontId="7" fillId="0" borderId="24" xfId="37" applyNumberFormat="1" applyFont="1" applyBorder="1" applyAlignment="1">
      <alignment horizontal="center"/>
    </xf>
    <xf numFmtId="164" fontId="7" fillId="0" borderId="0" xfId="37" applyNumberFormat="1" applyFont="1" applyBorder="1" applyAlignment="1" applyProtection="1">
      <alignment horizontal="center"/>
    </xf>
    <xf numFmtId="165" fontId="7" fillId="0" borderId="35" xfId="37" applyNumberFormat="1" applyFont="1" applyBorder="1" applyAlignment="1" applyProtection="1">
      <alignment horizontal="center"/>
    </xf>
    <xf numFmtId="164" fontId="7" fillId="0" borderId="0" xfId="40" applyNumberFormat="1" applyFont="1" applyBorder="1" applyAlignment="1">
      <alignment horizontal="center"/>
    </xf>
    <xf numFmtId="164" fontId="7" fillId="0" borderId="35" xfId="40" applyNumberFormat="1" applyFont="1" applyBorder="1" applyAlignment="1">
      <alignment horizontal="center"/>
    </xf>
    <xf numFmtId="0" fontId="7" fillId="0" borderId="29" xfId="37" applyFont="1" applyBorder="1" applyAlignment="1">
      <alignment horizontal="center"/>
    </xf>
    <xf numFmtId="0" fontId="7" fillId="0" borderId="36" xfId="37" applyFont="1" applyBorder="1"/>
    <xf numFmtId="0" fontId="9" fillId="0" borderId="21" xfId="37" applyFont="1" applyBorder="1"/>
    <xf numFmtId="0" fontId="9" fillId="0" borderId="36" xfId="37" applyFont="1" applyBorder="1"/>
    <xf numFmtId="17" fontId="6" fillId="24" borderId="49" xfId="37" applyNumberFormat="1" applyFont="1" applyFill="1" applyBorder="1" applyAlignment="1" applyProtection="1">
      <alignment horizontal="center" vertical="center"/>
      <protection locked="0"/>
    </xf>
    <xf numFmtId="165" fontId="7" fillId="0" borderId="35" xfId="37" applyNumberFormat="1" applyFont="1" applyFill="1" applyBorder="1" applyAlignment="1" applyProtection="1">
      <alignment horizontal="center"/>
    </xf>
    <xf numFmtId="0" fontId="9" fillId="0" borderId="29" xfId="37" applyFont="1" applyBorder="1"/>
    <xf numFmtId="0" fontId="6" fillId="0" borderId="35" xfId="37" applyFont="1" applyBorder="1" applyAlignment="1" applyProtection="1">
      <alignment horizontal="center"/>
      <protection locked="0"/>
    </xf>
    <xf numFmtId="0" fontId="6" fillId="24" borderId="50" xfId="37" applyFont="1" applyFill="1" applyBorder="1" applyAlignment="1" applyProtection="1">
      <alignment horizontal="center" vertical="center"/>
      <protection locked="0"/>
    </xf>
    <xf numFmtId="17" fontId="6" fillId="24" borderId="34" xfId="37" applyNumberFormat="1" applyFont="1" applyFill="1" applyBorder="1" applyAlignment="1" applyProtection="1">
      <alignment horizontal="center" vertical="center"/>
      <protection locked="0"/>
    </xf>
    <xf numFmtId="164" fontId="7" fillId="0" borderId="51" xfId="37" applyNumberFormat="1" applyFont="1" applyBorder="1" applyAlignment="1" applyProtection="1">
      <alignment horizontal="center" vertical="top" wrapText="1"/>
      <protection locked="0"/>
    </xf>
    <xf numFmtId="164" fontId="6" fillId="0" borderId="52" xfId="37" applyNumberFormat="1" applyFont="1" applyBorder="1" applyAlignment="1" applyProtection="1">
      <alignment horizontal="center" vertical="top" wrapText="1"/>
    </xf>
    <xf numFmtId="0" fontId="6" fillId="24" borderId="46" xfId="37" applyFont="1" applyFill="1" applyBorder="1" applyAlignment="1" applyProtection="1">
      <alignment horizontal="center" vertical="center"/>
      <protection locked="0"/>
    </xf>
    <xf numFmtId="17" fontId="6" fillId="24" borderId="44" xfId="37" applyNumberFormat="1" applyFont="1" applyFill="1" applyBorder="1" applyAlignment="1" applyProtection="1">
      <alignment horizontal="center" vertical="center"/>
      <protection locked="0"/>
    </xf>
    <xf numFmtId="164" fontId="7" fillId="0" borderId="52" xfId="37" applyNumberFormat="1" applyFont="1" applyBorder="1" applyAlignment="1" applyProtection="1">
      <alignment horizontal="center" vertical="top" wrapText="1"/>
      <protection locked="0"/>
    </xf>
    <xf numFmtId="0" fontId="6" fillId="0" borderId="35" xfId="40" applyFont="1" applyBorder="1" applyAlignment="1" applyProtection="1">
      <alignment horizontal="center"/>
      <protection locked="0"/>
    </xf>
    <xf numFmtId="164" fontId="7" fillId="0" borderId="52" xfId="40" applyNumberFormat="1" applyFont="1" applyBorder="1" applyAlignment="1" applyProtection="1">
      <alignment horizontal="center" vertical="top" wrapText="1"/>
      <protection locked="0"/>
    </xf>
    <xf numFmtId="17" fontId="6" fillId="24" borderId="10" xfId="39" applyNumberFormat="1" applyFont="1" applyFill="1" applyBorder="1" applyAlignment="1" applyProtection="1">
      <alignment horizontal="center" vertical="center"/>
      <protection locked="0"/>
    </xf>
    <xf numFmtId="0" fontId="7" fillId="0" borderId="29" xfId="37" applyFont="1" applyBorder="1"/>
    <xf numFmtId="165" fontId="7" fillId="0" borderId="53" xfId="40" applyNumberFormat="1" applyFont="1" applyBorder="1" applyAlignment="1" applyProtection="1">
      <alignment horizontal="center"/>
    </xf>
    <xf numFmtId="164" fontId="7" fillId="0" borderId="54" xfId="37" applyNumberFormat="1" applyFont="1" applyBorder="1" applyAlignment="1">
      <alignment horizontal="center"/>
    </xf>
    <xf numFmtId="165" fontId="7" fillId="0" borderId="42" xfId="37" applyNumberFormat="1" applyFont="1" applyFill="1" applyBorder="1" applyAlignment="1" applyProtection="1">
      <alignment horizontal="center"/>
    </xf>
    <xf numFmtId="165" fontId="7" fillId="0" borderId="55" xfId="37" applyNumberFormat="1" applyFont="1" applyBorder="1" applyAlignment="1" applyProtection="1">
      <alignment horizontal="center"/>
    </xf>
    <xf numFmtId="17" fontId="6" fillId="24" borderId="56" xfId="37" applyNumberFormat="1" applyFont="1" applyFill="1" applyBorder="1" applyAlignment="1" applyProtection="1">
      <alignment horizontal="center" vertical="center"/>
      <protection locked="0"/>
    </xf>
    <xf numFmtId="17" fontId="6" fillId="24" borderId="57" xfId="37" applyNumberFormat="1" applyFont="1" applyFill="1" applyBorder="1" applyAlignment="1" applyProtection="1">
      <alignment horizontal="center" vertical="center"/>
      <protection locked="0"/>
    </xf>
    <xf numFmtId="17" fontId="6" fillId="24" borderId="45" xfId="37" applyNumberFormat="1" applyFont="1" applyFill="1" applyBorder="1" applyAlignment="1" applyProtection="1">
      <alignment horizontal="center" vertical="center"/>
      <protection locked="0"/>
    </xf>
    <xf numFmtId="164" fontId="7" fillId="0" borderId="54" xfId="37" applyNumberFormat="1" applyFont="1" applyBorder="1" applyAlignment="1" applyProtection="1">
      <alignment horizontal="center"/>
    </xf>
    <xf numFmtId="164" fontId="7" fillId="0" borderId="24" xfId="37" applyNumberFormat="1" applyFont="1" applyBorder="1" applyAlignment="1" applyProtection="1">
      <alignment horizontal="center"/>
    </xf>
    <xf numFmtId="164" fontId="7" fillId="33" borderId="13" xfId="39" applyNumberFormat="1" applyFont="1" applyFill="1" applyBorder="1" applyAlignment="1" applyProtection="1">
      <alignment horizontal="center" vertical="center" wrapText="1"/>
      <protection locked="0"/>
    </xf>
    <xf numFmtId="164" fontId="7" fillId="0" borderId="36" xfId="40" applyNumberFormat="1" applyFont="1" applyBorder="1" applyAlignment="1" applyProtection="1">
      <alignment horizontal="center" vertical="top" wrapText="1"/>
      <protection locked="0"/>
    </xf>
    <xf numFmtId="0" fontId="7" fillId="0" borderId="0" xfId="37" applyFont="1" applyFill="1" applyProtection="1">
      <protection locked="0"/>
    </xf>
    <xf numFmtId="0" fontId="7" fillId="34" borderId="0" xfId="39" applyFont="1" applyFill="1" applyAlignment="1" applyProtection="1">
      <alignment horizontal="center" vertical="center"/>
      <protection locked="0"/>
    </xf>
    <xf numFmtId="164" fontId="7" fillId="34" borderId="35" xfId="40" applyNumberFormat="1" applyFont="1" applyFill="1" applyBorder="1" applyAlignment="1">
      <alignment horizontal="center"/>
    </xf>
    <xf numFmtId="0" fontId="31" fillId="0" borderId="0" xfId="37" applyFont="1" applyFill="1" applyAlignment="1">
      <alignment horizontal="center"/>
    </xf>
    <xf numFmtId="0" fontId="31" fillId="0" borderId="0" xfId="37" applyFont="1" applyFill="1"/>
    <xf numFmtId="0" fontId="31" fillId="0" borderId="0" xfId="37" applyFont="1" applyFill="1" applyProtection="1">
      <protection locked="0"/>
    </xf>
    <xf numFmtId="0" fontId="7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0" borderId="35" xfId="0" applyFont="1" applyBorder="1" applyAlignment="1" applyProtection="1">
      <alignment horizontal="center" vertical="center"/>
      <protection locked="0"/>
    </xf>
    <xf numFmtId="0" fontId="6" fillId="24" borderId="46" xfId="0" applyFont="1" applyFill="1" applyBorder="1" applyAlignment="1" applyProtection="1">
      <alignment horizontal="center" vertical="center"/>
      <protection locked="0"/>
    </xf>
    <xf numFmtId="17" fontId="6" fillId="24" borderId="44" xfId="0" applyNumberFormat="1" applyFont="1" applyFill="1" applyBorder="1" applyAlignment="1" applyProtection="1">
      <alignment horizontal="center" vertical="center"/>
      <protection locked="0"/>
    </xf>
    <xf numFmtId="17" fontId="6" fillId="24" borderId="10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>
      <alignment vertical="center"/>
    </xf>
    <xf numFmtId="0" fontId="7" fillId="25" borderId="11" xfId="0" applyFont="1" applyFill="1" applyBorder="1" applyAlignment="1" applyProtection="1">
      <alignment horizontal="center" vertical="center"/>
      <protection locked="0"/>
    </xf>
    <xf numFmtId="164" fontId="7" fillId="0" borderId="13" xfId="0" applyNumberFormat="1" applyFont="1" applyBorder="1" applyAlignment="1" applyProtection="1">
      <alignment horizontal="center" vertical="center" wrapText="1"/>
      <protection locked="0"/>
    </xf>
    <xf numFmtId="164" fontId="6" fillId="0" borderId="13" xfId="0" applyNumberFormat="1" applyFont="1" applyBorder="1" applyAlignment="1" applyProtection="1">
      <alignment horizontal="center" vertical="center" wrapText="1"/>
    </xf>
    <xf numFmtId="165" fontId="7" fillId="0" borderId="14" xfId="0" applyNumberFormat="1" applyFont="1" applyBorder="1" applyAlignment="1" applyProtection="1">
      <alignment horizontal="center" vertical="center"/>
    </xf>
    <xf numFmtId="0" fontId="7" fillId="25" borderId="15" xfId="0" applyFont="1" applyFill="1" applyBorder="1" applyAlignment="1" applyProtection="1">
      <alignment horizontal="center" vertical="center"/>
      <protection locked="0"/>
    </xf>
    <xf numFmtId="164" fontId="7" fillId="33" borderId="13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Alignment="1" applyProtection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17" xfId="40" applyFont="1" applyBorder="1" applyAlignment="1" applyProtection="1">
      <alignment horizontal="center"/>
    </xf>
    <xf numFmtId="0" fontId="7" fillId="0" borderId="17" xfId="40" applyFont="1" applyBorder="1"/>
    <xf numFmtId="164" fontId="7" fillId="0" borderId="29" xfId="40" applyNumberFormat="1" applyFont="1" applyBorder="1"/>
    <xf numFmtId="0" fontId="6" fillId="0" borderId="67" xfId="40" applyFont="1" applyBorder="1" applyAlignment="1" applyProtection="1">
      <alignment horizontal="center"/>
    </xf>
    <xf numFmtId="0" fontId="3" fillId="0" borderId="0" xfId="0" applyFont="1" applyFill="1" applyBorder="1" applyAlignment="1" applyProtection="1"/>
    <xf numFmtId="0" fontId="6" fillId="0" borderId="0" xfId="51" applyFont="1" applyFill="1" applyAlignment="1">
      <alignment horizontal="center"/>
    </xf>
    <xf numFmtId="0" fontId="7" fillId="0" borderId="0" xfId="51" applyFont="1" applyAlignment="1">
      <alignment horizontal="center"/>
    </xf>
    <xf numFmtId="0" fontId="7" fillId="0" borderId="0" xfId="51" applyFont="1"/>
    <xf numFmtId="0" fontId="7" fillId="0" borderId="0" xfId="50" applyFont="1" applyAlignment="1" applyProtection="1">
      <alignment vertical="center"/>
      <protection locked="0"/>
    </xf>
    <xf numFmtId="0" fontId="6" fillId="0" borderId="0" xfId="51" applyFont="1" applyFill="1" applyBorder="1" applyAlignment="1" applyProtection="1">
      <alignment horizontal="center" vertical="center"/>
      <protection locked="0"/>
    </xf>
    <xf numFmtId="0" fontId="7" fillId="0" borderId="0" xfId="51" applyFont="1" applyAlignment="1" applyProtection="1">
      <alignment horizontal="center"/>
      <protection locked="0"/>
    </xf>
    <xf numFmtId="0" fontId="7" fillId="0" borderId="0" xfId="51" applyFont="1" applyProtection="1">
      <protection locked="0"/>
    </xf>
    <xf numFmtId="0" fontId="7" fillId="0" borderId="0" xfId="51" applyFont="1" applyFill="1" applyProtection="1">
      <protection locked="0"/>
    </xf>
    <xf numFmtId="0" fontId="7" fillId="0" borderId="0" xfId="50" applyFont="1" applyAlignment="1" applyProtection="1">
      <alignment horizontal="center" vertical="center"/>
      <protection locked="0"/>
    </xf>
    <xf numFmtId="0" fontId="6" fillId="0" borderId="0" xfId="50" applyFont="1" applyAlignment="1" applyProtection="1">
      <alignment horizontal="center" vertical="center"/>
      <protection locked="0"/>
    </xf>
    <xf numFmtId="0" fontId="6" fillId="0" borderId="35" xfId="50" applyFont="1" applyBorder="1" applyAlignment="1" applyProtection="1">
      <alignment horizontal="center" vertical="center"/>
      <protection locked="0"/>
    </xf>
    <xf numFmtId="17" fontId="6" fillId="24" borderId="48" xfId="51" applyNumberFormat="1" applyFont="1" applyFill="1" applyBorder="1" applyAlignment="1" applyProtection="1">
      <alignment horizontal="center" vertical="center"/>
      <protection locked="0"/>
    </xf>
    <xf numFmtId="17" fontId="6" fillId="24" borderId="56" xfId="51" applyNumberFormat="1" applyFont="1" applyFill="1" applyBorder="1" applyAlignment="1" applyProtection="1">
      <alignment horizontal="center" vertical="center"/>
      <protection locked="0"/>
    </xf>
    <xf numFmtId="0" fontId="6" fillId="24" borderId="46" xfId="50" applyFont="1" applyFill="1" applyBorder="1" applyAlignment="1" applyProtection="1">
      <alignment horizontal="center" vertical="center"/>
      <protection locked="0"/>
    </xf>
    <xf numFmtId="17" fontId="6" fillId="24" borderId="44" xfId="50" applyNumberFormat="1" applyFont="1" applyFill="1" applyBorder="1" applyAlignment="1" applyProtection="1">
      <alignment horizontal="center" vertical="center"/>
      <protection locked="0"/>
    </xf>
    <xf numFmtId="17" fontId="6" fillId="24" borderId="10" xfId="50" applyNumberFormat="1" applyFont="1" applyFill="1" applyBorder="1" applyAlignment="1" applyProtection="1">
      <alignment horizontal="center" vertical="center"/>
      <protection locked="0"/>
    </xf>
    <xf numFmtId="17" fontId="6" fillId="24" borderId="49" xfId="51" applyNumberFormat="1" applyFont="1" applyFill="1" applyBorder="1" applyAlignment="1" applyProtection="1">
      <alignment horizontal="center" vertical="center"/>
      <protection locked="0"/>
    </xf>
    <xf numFmtId="17" fontId="6" fillId="24" borderId="44" xfId="51" applyNumberFormat="1" applyFont="1" applyFill="1" applyBorder="1" applyAlignment="1" applyProtection="1">
      <alignment horizontal="center" vertical="center"/>
      <protection locked="0"/>
    </xf>
    <xf numFmtId="0" fontId="7" fillId="25" borderId="11" xfId="50" applyFont="1" applyFill="1" applyBorder="1" applyAlignment="1" applyProtection="1">
      <alignment horizontal="center" vertical="center"/>
      <protection locked="0"/>
    </xf>
    <xf numFmtId="164" fontId="7" fillId="0" borderId="13" xfId="50" applyNumberFormat="1" applyFont="1" applyBorder="1" applyAlignment="1" applyProtection="1">
      <alignment horizontal="center" vertical="center" wrapText="1"/>
      <protection locked="0"/>
    </xf>
    <xf numFmtId="164" fontId="6" fillId="0" borderId="13" xfId="50" applyNumberFormat="1" applyFont="1" applyBorder="1" applyAlignment="1" applyProtection="1">
      <alignment horizontal="center" vertical="center" wrapText="1"/>
    </xf>
    <xf numFmtId="165" fontId="7" fillId="0" borderId="14" xfId="50" applyNumberFormat="1" applyFont="1" applyBorder="1" applyAlignment="1" applyProtection="1">
      <alignment horizontal="center" vertical="center"/>
    </xf>
    <xf numFmtId="164" fontId="7" fillId="0" borderId="24" xfId="51" applyNumberFormat="1" applyFont="1" applyBorder="1" applyAlignment="1">
      <alignment horizontal="center"/>
    </xf>
    <xf numFmtId="165" fontId="7" fillId="0" borderId="35" xfId="51" applyNumberFormat="1" applyFont="1" applyFill="1" applyBorder="1" applyAlignment="1" applyProtection="1">
      <alignment horizontal="center"/>
    </xf>
    <xf numFmtId="164" fontId="7" fillId="0" borderId="0" xfId="51" applyNumberFormat="1" applyFont="1" applyBorder="1" applyAlignment="1" applyProtection="1">
      <alignment horizontal="center"/>
    </xf>
    <xf numFmtId="165" fontId="7" fillId="0" borderId="35" xfId="51" applyNumberFormat="1" applyFont="1" applyBorder="1" applyAlignment="1" applyProtection="1">
      <alignment horizontal="center"/>
    </xf>
    <xf numFmtId="0" fontId="7" fillId="0" borderId="0" xfId="51" applyFont="1" applyBorder="1"/>
    <xf numFmtId="0" fontId="7" fillId="0" borderId="0" xfId="50" applyFont="1" applyAlignment="1">
      <alignment vertical="center"/>
    </xf>
    <xf numFmtId="0" fontId="7" fillId="25" borderId="15" xfId="50" applyFont="1" applyFill="1" applyBorder="1" applyAlignment="1" applyProtection="1">
      <alignment horizontal="center" vertical="center"/>
      <protection locked="0"/>
    </xf>
    <xf numFmtId="0" fontId="7" fillId="35" borderId="0" xfId="50" applyFont="1" applyFill="1" applyAlignment="1">
      <alignment vertical="center"/>
    </xf>
    <xf numFmtId="164" fontId="7" fillId="35" borderId="13" xfId="50" applyNumberFormat="1" applyFont="1" applyFill="1" applyBorder="1" applyAlignment="1" applyProtection="1">
      <alignment horizontal="center" vertical="center" wrapText="1"/>
      <protection locked="0"/>
    </xf>
    <xf numFmtId="0" fontId="7" fillId="25" borderId="17" xfId="50" applyFont="1" applyFill="1" applyBorder="1" applyAlignment="1" applyProtection="1">
      <alignment horizontal="center" vertical="center"/>
      <protection locked="0"/>
    </xf>
    <xf numFmtId="164" fontId="6" fillId="0" borderId="19" xfId="50" applyNumberFormat="1" applyFont="1" applyBorder="1" applyAlignment="1" applyProtection="1">
      <alignment horizontal="center" vertical="center" wrapText="1"/>
    </xf>
    <xf numFmtId="165" fontId="7" fillId="0" borderId="20" xfId="50" applyNumberFormat="1" applyFont="1" applyBorder="1" applyAlignment="1" applyProtection="1">
      <alignment horizontal="center" vertical="center"/>
    </xf>
    <xf numFmtId="0" fontId="28" fillId="0" borderId="0" xfId="51" applyFont="1" applyAlignment="1">
      <alignment vertical="top"/>
    </xf>
    <xf numFmtId="0" fontId="6" fillId="0" borderId="0" xfId="50" applyFont="1" applyAlignment="1" applyProtection="1">
      <alignment horizontal="center" vertical="center"/>
    </xf>
    <xf numFmtId="0" fontId="6" fillId="0" borderId="0" xfId="51" applyFont="1" applyFill="1" applyAlignment="1" applyProtection="1">
      <alignment horizontal="center"/>
    </xf>
    <xf numFmtId="0" fontId="7" fillId="0" borderId="0" xfId="50" applyFont="1" applyAlignment="1" applyProtection="1">
      <alignment horizontal="left" vertical="center"/>
      <protection locked="0"/>
    </xf>
    <xf numFmtId="0" fontId="6" fillId="26" borderId="0" xfId="50" applyFont="1" applyFill="1" applyAlignment="1" applyProtection="1">
      <alignment horizontal="center" vertical="center"/>
      <protection locked="0"/>
    </xf>
    <xf numFmtId="0" fontId="7" fillId="27" borderId="0" xfId="50" applyFont="1" applyFill="1" applyAlignment="1" applyProtection="1">
      <alignment horizontal="center" vertical="center"/>
      <protection locked="0"/>
    </xf>
    <xf numFmtId="0" fontId="7" fillId="28" borderId="0" xfId="50" applyFont="1" applyFill="1" applyAlignment="1" applyProtection="1">
      <alignment horizontal="center" vertical="center"/>
      <protection locked="0"/>
    </xf>
    <xf numFmtId="0" fontId="7" fillId="29" borderId="0" xfId="50" applyFont="1" applyFill="1" applyAlignment="1" applyProtection="1">
      <alignment horizontal="center" vertical="center"/>
      <protection locked="0"/>
    </xf>
    <xf numFmtId="0" fontId="7" fillId="30" borderId="0" xfId="50" applyFont="1" applyFill="1" applyAlignment="1" applyProtection="1">
      <alignment horizontal="right" vertical="center"/>
      <protection locked="0"/>
    </xf>
    <xf numFmtId="0" fontId="6" fillId="0" borderId="0" xfId="51" applyFont="1" applyAlignment="1">
      <alignment horizontal="center"/>
    </xf>
    <xf numFmtId="0" fontId="6" fillId="0" borderId="0" xfId="50" applyFont="1" applyAlignment="1">
      <alignment horizontal="center" vertical="center"/>
    </xf>
    <xf numFmtId="0" fontId="7" fillId="0" borderId="0" xfId="50" applyFont="1" applyAlignment="1">
      <alignment horizontal="center" vertical="center"/>
    </xf>
    <xf numFmtId="0" fontId="7" fillId="0" borderId="0" xfId="51" applyFont="1" applyFill="1"/>
    <xf numFmtId="0" fontId="7" fillId="0" borderId="0" xfId="50" applyFont="1" applyFill="1" applyAlignment="1">
      <alignment vertical="center"/>
    </xf>
    <xf numFmtId="164" fontId="7" fillId="34" borderId="24" xfId="51" applyNumberFormat="1" applyFont="1" applyFill="1" applyBorder="1" applyAlignment="1">
      <alignment horizontal="center"/>
    </xf>
    <xf numFmtId="165" fontId="7" fillId="34" borderId="35" xfId="51" applyNumberFormat="1" applyFont="1" applyFill="1" applyBorder="1" applyAlignment="1" applyProtection="1">
      <alignment horizontal="center"/>
    </xf>
    <xf numFmtId="164" fontId="7" fillId="34" borderId="0" xfId="51" applyNumberFormat="1" applyFont="1" applyFill="1" applyBorder="1" applyAlignment="1" applyProtection="1">
      <alignment horizontal="center"/>
    </xf>
    <xf numFmtId="0" fontId="7" fillId="34" borderId="0" xfId="50" applyFont="1" applyFill="1" applyAlignment="1" applyProtection="1">
      <alignment horizontal="center" vertical="center"/>
      <protection locked="0"/>
    </xf>
    <xf numFmtId="0" fontId="7" fillId="34" borderId="0" xfId="51" applyFont="1" applyFill="1" applyBorder="1"/>
    <xf numFmtId="0" fontId="7" fillId="34" borderId="0" xfId="50" applyFont="1" applyFill="1" applyAlignment="1">
      <alignment vertical="center"/>
    </xf>
    <xf numFmtId="0" fontId="7" fillId="34" borderId="35" xfId="40" applyFont="1" applyFill="1" applyBorder="1"/>
    <xf numFmtId="164" fontId="7" fillId="34" borderId="0" xfId="40" applyNumberFormat="1" applyFont="1" applyFill="1" applyBorder="1" applyAlignment="1">
      <alignment horizontal="center"/>
    </xf>
    <xf numFmtId="0" fontId="7" fillId="34" borderId="0" xfId="37" applyFont="1" applyFill="1" applyBorder="1"/>
    <xf numFmtId="164" fontId="7" fillId="34" borderId="24" xfId="37" applyNumberFormat="1" applyFont="1" applyFill="1" applyBorder="1" applyAlignment="1">
      <alignment horizontal="center"/>
    </xf>
    <xf numFmtId="165" fontId="7" fillId="34" borderId="35" xfId="37" applyNumberFormat="1" applyFont="1" applyFill="1" applyBorder="1" applyAlignment="1" applyProtection="1">
      <alignment horizontal="center"/>
    </xf>
    <xf numFmtId="164" fontId="7" fillId="34" borderId="0" xfId="37" applyNumberFormat="1" applyFont="1" applyFill="1" applyBorder="1" applyAlignment="1" applyProtection="1">
      <alignment horizontal="center"/>
    </xf>
    <xf numFmtId="0" fontId="7" fillId="34" borderId="0" xfId="50" applyFont="1" applyFill="1" applyAlignment="1">
      <alignment horizontal="center" vertical="center"/>
    </xf>
    <xf numFmtId="165" fontId="7" fillId="34" borderId="0" xfId="37" applyNumberFormat="1" applyFont="1" applyFill="1" applyBorder="1" applyAlignment="1" applyProtection="1">
      <alignment horizontal="center"/>
    </xf>
    <xf numFmtId="165" fontId="7" fillId="34" borderId="14" xfId="37" applyNumberFormat="1" applyFont="1" applyFill="1" applyBorder="1" applyAlignment="1" applyProtection="1">
      <alignment horizontal="center"/>
    </xf>
    <xf numFmtId="164" fontId="7" fillId="34" borderId="24" xfId="37" applyNumberFormat="1" applyFont="1" applyFill="1" applyBorder="1" applyAlignment="1" applyProtection="1">
      <alignment horizontal="center"/>
    </xf>
    <xf numFmtId="164" fontId="7" fillId="0" borderId="35" xfId="40" applyNumberFormat="1" applyFont="1" applyFill="1" applyBorder="1" applyAlignment="1">
      <alignment horizontal="center"/>
    </xf>
    <xf numFmtId="165" fontId="7" fillId="34" borderId="14" xfId="39" applyNumberFormat="1" applyFont="1" applyFill="1" applyBorder="1" applyAlignment="1" applyProtection="1">
      <alignment horizontal="center" vertical="center"/>
    </xf>
    <xf numFmtId="164" fontId="7" fillId="0" borderId="36" xfId="37" applyNumberFormat="1" applyFont="1" applyBorder="1" applyAlignment="1" applyProtection="1">
      <alignment horizontal="center" vertical="top" wrapText="1"/>
      <protection locked="0"/>
    </xf>
    <xf numFmtId="165" fontId="7" fillId="0" borderId="0" xfId="40" applyNumberFormat="1" applyFont="1"/>
    <xf numFmtId="0" fontId="7" fillId="0" borderId="0" xfId="39" applyFont="1" applyFill="1" applyAlignment="1">
      <alignment vertical="center"/>
    </xf>
    <xf numFmtId="0" fontId="7" fillId="0" borderId="0" xfId="40" applyFont="1" applyFill="1" applyProtection="1">
      <protection locked="0"/>
    </xf>
    <xf numFmtId="0" fontId="7" fillId="0" borderId="0" xfId="40" applyFont="1" applyFill="1"/>
    <xf numFmtId="0" fontId="7" fillId="0" borderId="0" xfId="37" applyFont="1" applyFill="1"/>
    <xf numFmtId="0" fontId="6" fillId="0" borderId="35" xfId="0" applyFont="1" applyBorder="1" applyAlignment="1" applyProtection="1">
      <alignment horizontal="center" vertical="center"/>
      <protection locked="0"/>
    </xf>
    <xf numFmtId="1" fontId="4" fillId="0" borderId="0" xfId="51" applyNumberFormat="1" applyFont="1" applyAlignment="1">
      <alignment horizontal="center"/>
    </xf>
    <xf numFmtId="17" fontId="4" fillId="0" borderId="0" xfId="51" applyNumberFormat="1" applyFont="1" applyAlignment="1">
      <alignment horizontal="center"/>
    </xf>
    <xf numFmtId="0" fontId="4" fillId="0" borderId="0" xfId="51" applyFont="1"/>
    <xf numFmtId="0" fontId="4" fillId="0" borderId="0" xfId="51" applyFont="1" applyAlignment="1">
      <alignment horizontal="center"/>
    </xf>
    <xf numFmtId="0" fontId="33" fillId="0" borderId="0" xfId="51" applyFont="1"/>
    <xf numFmtId="1" fontId="5" fillId="24" borderId="10" xfId="51" applyNumberFormat="1" applyFont="1" applyFill="1" applyBorder="1" applyAlignment="1">
      <alignment horizontal="center" wrapText="1"/>
    </xf>
    <xf numFmtId="17" fontId="33" fillId="0" borderId="0" xfId="51" applyNumberFormat="1" applyFont="1" applyAlignment="1">
      <alignment horizontal="center"/>
    </xf>
    <xf numFmtId="1" fontId="33" fillId="0" borderId="0" xfId="51" applyNumberFormat="1" applyFont="1" applyAlignment="1">
      <alignment horizontal="center"/>
    </xf>
    <xf numFmtId="0" fontId="33" fillId="0" borderId="0" xfId="51" applyFont="1" applyAlignment="1">
      <alignment horizontal="center"/>
    </xf>
    <xf numFmtId="0" fontId="33" fillId="0" borderId="0" xfId="51" applyFont="1" applyFill="1"/>
    <xf numFmtId="1" fontId="33" fillId="0" borderId="0" xfId="51" applyNumberFormat="1" applyFont="1" applyFill="1" applyAlignment="1">
      <alignment horizontal="center"/>
    </xf>
    <xf numFmtId="17" fontId="33" fillId="0" borderId="0" xfId="51" applyNumberFormat="1" applyFont="1" applyFill="1" applyAlignment="1">
      <alignment horizontal="center"/>
    </xf>
    <xf numFmtId="0" fontId="33" fillId="0" borderId="0" xfId="51" applyFont="1" applyFill="1" applyAlignment="1">
      <alignment horizontal="center"/>
    </xf>
    <xf numFmtId="0" fontId="4" fillId="0" borderId="0" xfId="51" applyFont="1" applyFill="1"/>
    <xf numFmtId="1" fontId="4" fillId="0" borderId="0" xfId="51" applyNumberFormat="1" applyFont="1" applyFill="1" applyAlignment="1">
      <alignment horizontal="center"/>
    </xf>
    <xf numFmtId="17" fontId="4" fillId="0" borderId="0" xfId="51" applyNumberFormat="1" applyFont="1" applyFill="1" applyAlignment="1">
      <alignment horizontal="center"/>
    </xf>
    <xf numFmtId="0" fontId="4" fillId="0" borderId="0" xfId="51" applyFont="1" applyFill="1" applyAlignment="1">
      <alignment horizontal="center"/>
    </xf>
    <xf numFmtId="0" fontId="7" fillId="25" borderId="17" xfId="0" applyFont="1" applyFill="1" applyBorder="1" applyAlignment="1" applyProtection="1">
      <alignment horizontal="center" vertical="center"/>
      <protection locked="0"/>
    </xf>
    <xf numFmtId="164" fontId="6" fillId="0" borderId="19" xfId="0" applyNumberFormat="1" applyFont="1" applyBorder="1" applyAlignment="1" applyProtection="1">
      <alignment horizontal="center" vertical="center" wrapText="1"/>
    </xf>
    <xf numFmtId="165" fontId="7" fillId="0" borderId="20" xfId="0" applyNumberFormat="1" applyFont="1" applyBorder="1" applyAlignment="1" applyProtection="1">
      <alignment horizontal="center" vertical="center"/>
    </xf>
    <xf numFmtId="0" fontId="7" fillId="0" borderId="0" xfId="0" applyFont="1" applyAlignment="1" applyProtection="1">
      <alignment horizontal="left" vertical="center"/>
      <protection locked="0"/>
    </xf>
    <xf numFmtId="0" fontId="7" fillId="27" borderId="0" xfId="0" applyFont="1" applyFill="1" applyAlignment="1" applyProtection="1">
      <alignment horizontal="center" vertical="center"/>
      <protection locked="0"/>
    </xf>
    <xf numFmtId="0" fontId="7" fillId="28" borderId="0" xfId="0" applyFont="1" applyFill="1" applyAlignment="1" applyProtection="1">
      <alignment horizontal="center" vertical="center"/>
      <protection locked="0"/>
    </xf>
    <xf numFmtId="0" fontId="7" fillId="29" borderId="0" xfId="0" applyFont="1" applyFill="1" applyAlignment="1" applyProtection="1">
      <alignment horizontal="center" vertical="center"/>
      <protection locked="0"/>
    </xf>
    <xf numFmtId="0" fontId="7" fillId="30" borderId="0" xfId="0" applyFont="1" applyFill="1" applyAlignment="1" applyProtection="1">
      <alignment horizontal="right" vertical="center"/>
      <protection locked="0"/>
    </xf>
    <xf numFmtId="0" fontId="7" fillId="0" borderId="0" xfId="53" applyFont="1" applyAlignment="1" applyProtection="1">
      <alignment vertical="center"/>
      <protection locked="0"/>
    </xf>
    <xf numFmtId="0" fontId="7" fillId="0" borderId="0" xfId="53" applyFont="1" applyAlignment="1" applyProtection="1">
      <alignment horizontal="center" vertical="center"/>
      <protection locked="0"/>
    </xf>
    <xf numFmtId="0" fontId="6" fillId="0" borderId="0" xfId="53" applyFont="1" applyAlignment="1" applyProtection="1">
      <alignment horizontal="center" vertical="center"/>
      <protection locked="0"/>
    </xf>
    <xf numFmtId="0" fontId="6" fillId="0" borderId="35" xfId="53" applyFont="1" applyBorder="1" applyAlignment="1" applyProtection="1">
      <alignment horizontal="center" vertical="center"/>
      <protection locked="0"/>
    </xf>
    <xf numFmtId="0" fontId="6" fillId="24" borderId="46" xfId="53" applyFont="1" applyFill="1" applyBorder="1" applyAlignment="1" applyProtection="1">
      <alignment horizontal="center" vertical="center"/>
      <protection locked="0"/>
    </xf>
    <xf numFmtId="17" fontId="6" fillId="24" borderId="44" xfId="53" applyNumberFormat="1" applyFont="1" applyFill="1" applyBorder="1" applyAlignment="1" applyProtection="1">
      <alignment horizontal="center" vertical="center"/>
      <protection locked="0"/>
    </xf>
    <xf numFmtId="17" fontId="6" fillId="24" borderId="10" xfId="53" applyNumberFormat="1" applyFont="1" applyFill="1" applyBorder="1" applyAlignment="1" applyProtection="1">
      <alignment horizontal="center" vertical="center"/>
      <protection locked="0"/>
    </xf>
    <xf numFmtId="0" fontId="7" fillId="25" borderId="11" xfId="53" applyFont="1" applyFill="1" applyBorder="1" applyAlignment="1" applyProtection="1">
      <alignment horizontal="center" vertical="center"/>
      <protection locked="0"/>
    </xf>
    <xf numFmtId="164" fontId="7" fillId="0" borderId="13" xfId="53" applyNumberFormat="1" applyFont="1" applyBorder="1" applyAlignment="1" applyProtection="1">
      <alignment horizontal="center" vertical="center" wrapText="1"/>
      <protection locked="0"/>
    </xf>
    <xf numFmtId="164" fontId="6" fillId="0" borderId="13" xfId="53" applyNumberFormat="1" applyFont="1" applyBorder="1" applyAlignment="1" applyProtection="1">
      <alignment horizontal="center" vertical="center" wrapText="1"/>
    </xf>
    <xf numFmtId="165" fontId="7" fillId="0" borderId="14" xfId="53" applyNumberFormat="1" applyFont="1" applyBorder="1" applyAlignment="1" applyProtection="1">
      <alignment horizontal="center" vertical="center"/>
    </xf>
    <xf numFmtId="0" fontId="7" fillId="0" borderId="0" xfId="53" applyFont="1" applyAlignment="1">
      <alignment vertical="center"/>
    </xf>
    <xf numFmtId="0" fontId="7" fillId="25" borderId="15" xfId="53" applyFont="1" applyFill="1" applyBorder="1" applyAlignment="1" applyProtection="1">
      <alignment horizontal="center" vertical="center"/>
      <protection locked="0"/>
    </xf>
    <xf numFmtId="164" fontId="7" fillId="33" borderId="13" xfId="53" applyNumberFormat="1" applyFont="1" applyFill="1" applyBorder="1" applyAlignment="1" applyProtection="1">
      <alignment horizontal="center" vertical="center" wrapText="1"/>
      <protection locked="0"/>
    </xf>
    <xf numFmtId="164" fontId="7" fillId="31" borderId="13" xfId="53" applyNumberFormat="1" applyFont="1" applyFill="1" applyBorder="1" applyAlignment="1" applyProtection="1">
      <alignment horizontal="center" vertical="center" wrapText="1"/>
      <protection locked="0"/>
    </xf>
    <xf numFmtId="0" fontId="7" fillId="25" borderId="17" xfId="53" applyFont="1" applyFill="1" applyBorder="1" applyAlignment="1" applyProtection="1">
      <alignment horizontal="center" vertical="center"/>
      <protection locked="0"/>
    </xf>
    <xf numFmtId="164" fontId="6" fillId="0" borderId="19" xfId="53" applyNumberFormat="1" applyFont="1" applyBorder="1" applyAlignment="1" applyProtection="1">
      <alignment horizontal="center" vertical="center" wrapText="1"/>
    </xf>
    <xf numFmtId="165" fontId="7" fillId="0" borderId="20" xfId="53" applyNumberFormat="1" applyFont="1" applyBorder="1" applyAlignment="1" applyProtection="1">
      <alignment horizontal="center" vertical="center"/>
    </xf>
    <xf numFmtId="0" fontId="6" fillId="0" borderId="0" xfId="53" applyFont="1" applyAlignment="1" applyProtection="1">
      <alignment horizontal="center" vertical="center"/>
    </xf>
    <xf numFmtId="0" fontId="7" fillId="0" borderId="0" xfId="53" applyFont="1" applyAlignment="1" applyProtection="1">
      <alignment horizontal="left" vertical="center"/>
      <protection locked="0"/>
    </xf>
    <xf numFmtId="0" fontId="6" fillId="26" borderId="0" xfId="53" applyFont="1" applyFill="1" applyAlignment="1" applyProtection="1">
      <alignment horizontal="center" vertical="center"/>
      <protection locked="0"/>
    </xf>
    <xf numFmtId="0" fontId="7" fillId="27" borderId="0" xfId="53" applyFont="1" applyFill="1" applyAlignment="1" applyProtection="1">
      <alignment horizontal="center" vertical="center"/>
      <protection locked="0"/>
    </xf>
    <xf numFmtId="0" fontId="7" fillId="28" borderId="0" xfId="53" applyFont="1" applyFill="1" applyAlignment="1" applyProtection="1">
      <alignment horizontal="center" vertical="center"/>
      <protection locked="0"/>
    </xf>
    <xf numFmtId="0" fontId="7" fillId="29" borderId="0" xfId="53" applyFont="1" applyFill="1" applyAlignment="1" applyProtection="1">
      <alignment horizontal="center" vertical="center"/>
      <protection locked="0"/>
    </xf>
    <xf numFmtId="0" fontId="7" fillId="30" borderId="0" xfId="53" applyFont="1" applyFill="1" applyAlignment="1" applyProtection="1">
      <alignment horizontal="right" vertical="center"/>
      <protection locked="0"/>
    </xf>
    <xf numFmtId="0" fontId="6" fillId="0" borderId="0" xfId="53" applyFont="1" applyAlignment="1">
      <alignment horizontal="center" vertical="center"/>
    </xf>
    <xf numFmtId="0" fontId="7" fillId="0" borderId="0" xfId="53" applyFont="1" applyAlignment="1">
      <alignment horizontal="center" vertical="center"/>
    </xf>
    <xf numFmtId="0" fontId="33" fillId="36" borderId="0" xfId="51" applyFont="1" applyFill="1"/>
    <xf numFmtId="0" fontId="7" fillId="0" borderId="29" xfId="0" applyFont="1" applyBorder="1" applyAlignment="1">
      <alignment vertical="center"/>
    </xf>
    <xf numFmtId="0" fontId="7" fillId="0" borderId="21" xfId="0" applyFont="1" applyBorder="1" applyAlignment="1">
      <alignment vertical="center"/>
    </xf>
    <xf numFmtId="0" fontId="7" fillId="0" borderId="36" xfId="0" applyFont="1" applyBorder="1" applyAlignment="1">
      <alignment vertical="center"/>
    </xf>
    <xf numFmtId="164" fontId="7" fillId="0" borderId="24" xfId="51" applyNumberFormat="1" applyFont="1" applyFill="1" applyBorder="1" applyAlignment="1">
      <alignment horizontal="center"/>
    </xf>
    <xf numFmtId="164" fontId="7" fillId="0" borderId="0" xfId="51" applyNumberFormat="1" applyFont="1" applyFill="1" applyBorder="1" applyAlignment="1" applyProtection="1">
      <alignment horizontal="center"/>
    </xf>
    <xf numFmtId="0" fontId="7" fillId="0" borderId="0" xfId="51" applyFont="1" applyFill="1" applyBorder="1"/>
    <xf numFmtId="0" fontId="7" fillId="0" borderId="35" xfId="40" applyFont="1" applyFill="1" applyBorder="1"/>
    <xf numFmtId="164" fontId="7" fillId="0" borderId="0" xfId="40" applyNumberFormat="1" applyFont="1" applyFill="1" applyBorder="1" applyAlignment="1">
      <alignment horizontal="center"/>
    </xf>
    <xf numFmtId="0" fontId="33" fillId="37" borderId="0" xfId="51" applyFont="1" applyFill="1"/>
    <xf numFmtId="0" fontId="33" fillId="38" borderId="0" xfId="51" applyFont="1" applyFill="1"/>
    <xf numFmtId="164" fontId="7" fillId="33" borderId="30" xfId="37" applyNumberFormat="1" applyFont="1" applyFill="1" applyBorder="1" applyAlignment="1">
      <alignment horizontal="center" vertical="top" wrapText="1"/>
    </xf>
    <xf numFmtId="164" fontId="7" fillId="33" borderId="24" xfId="37" applyNumberFormat="1" applyFont="1" applyFill="1" applyBorder="1" applyAlignment="1">
      <alignment horizontal="center" vertical="top" wrapText="1"/>
    </xf>
    <xf numFmtId="164" fontId="7" fillId="33" borderId="13" xfId="50" applyNumberFormat="1" applyFont="1" applyFill="1" applyBorder="1" applyAlignment="1" applyProtection="1">
      <alignment horizontal="center" vertical="center" wrapText="1"/>
      <protection locked="0"/>
    </xf>
    <xf numFmtId="164" fontId="7" fillId="33" borderId="16" xfId="37" applyNumberFormat="1" applyFont="1" applyFill="1" applyBorder="1" applyAlignment="1" applyProtection="1">
      <alignment horizontal="center" vertical="top" wrapText="1"/>
      <protection locked="0"/>
    </xf>
    <xf numFmtId="164" fontId="7" fillId="33" borderId="7" xfId="37" applyNumberFormat="1" applyFont="1" applyFill="1" applyBorder="1" applyAlignment="1" applyProtection="1">
      <alignment horizontal="center" vertical="top" wrapText="1"/>
      <protection locked="0"/>
    </xf>
    <xf numFmtId="164" fontId="7" fillId="33" borderId="12" xfId="40" applyNumberFormat="1" applyFont="1" applyFill="1" applyBorder="1" applyAlignment="1" applyProtection="1">
      <alignment horizontal="center" vertical="top" wrapText="1"/>
      <protection locked="0"/>
    </xf>
    <xf numFmtId="164" fontId="7" fillId="33" borderId="12" xfId="37" applyNumberFormat="1" applyFont="1" applyFill="1" applyBorder="1" applyAlignment="1" applyProtection="1">
      <alignment horizontal="center" vertical="top" wrapText="1"/>
      <protection locked="0"/>
    </xf>
    <xf numFmtId="164" fontId="6" fillId="0" borderId="51" xfId="53" applyNumberFormat="1" applyFont="1" applyBorder="1" applyAlignment="1" applyProtection="1">
      <alignment horizontal="center" vertical="center" wrapText="1"/>
    </xf>
    <xf numFmtId="165" fontId="7" fillId="0" borderId="17" xfId="53" applyNumberFormat="1" applyFont="1" applyBorder="1" applyAlignment="1" applyProtection="1">
      <alignment horizontal="center" vertical="center"/>
    </xf>
    <xf numFmtId="164" fontId="6" fillId="0" borderId="52" xfId="53" applyNumberFormat="1" applyFont="1" applyBorder="1" applyAlignment="1" applyProtection="1">
      <alignment horizontal="center" vertical="center" wrapText="1"/>
    </xf>
    <xf numFmtId="164" fontId="6" fillId="0" borderId="29" xfId="53" applyNumberFormat="1" applyFont="1" applyBorder="1" applyAlignment="1" applyProtection="1">
      <alignment horizontal="center" vertical="center" wrapText="1"/>
    </xf>
    <xf numFmtId="165" fontId="7" fillId="0" borderId="29" xfId="53" applyNumberFormat="1" applyFont="1" applyBorder="1" applyAlignment="1" applyProtection="1">
      <alignment horizontal="center" vertical="center"/>
    </xf>
    <xf numFmtId="164" fontId="6" fillId="0" borderId="36" xfId="53" applyNumberFormat="1" applyFont="1" applyBorder="1" applyAlignment="1" applyProtection="1">
      <alignment horizontal="center" vertical="center" wrapText="1"/>
    </xf>
    <xf numFmtId="165" fontId="7" fillId="0" borderId="51" xfId="53" applyNumberFormat="1" applyFont="1" applyBorder="1" applyAlignment="1" applyProtection="1">
      <alignment horizontal="center" vertical="center"/>
    </xf>
    <xf numFmtId="164" fontId="6" fillId="0" borderId="18" xfId="53" applyNumberFormat="1" applyFont="1" applyBorder="1" applyAlignment="1" applyProtection="1">
      <alignment horizontal="center" vertical="center" wrapText="1"/>
    </xf>
    <xf numFmtId="164" fontId="7" fillId="0" borderId="35" xfId="40" applyNumberFormat="1" applyFont="1" applyBorder="1" applyAlignment="1">
      <alignment horizontal="center"/>
    </xf>
    <xf numFmtId="0" fontId="7" fillId="0" borderId="35" xfId="40" applyFont="1" applyBorder="1"/>
    <xf numFmtId="0" fontId="7" fillId="0" borderId="0" xfId="50" applyFont="1" applyAlignment="1">
      <alignment vertical="center"/>
    </xf>
    <xf numFmtId="0" fontId="7" fillId="0" borderId="24" xfId="40" applyFont="1" applyBorder="1"/>
    <xf numFmtId="0" fontId="7" fillId="0" borderId="0" xfId="50" applyFont="1" applyAlignment="1">
      <alignment horizontal="center" vertical="center"/>
    </xf>
    <xf numFmtId="164" fontId="7" fillId="34" borderId="35" xfId="40" applyNumberFormat="1" applyFont="1" applyFill="1" applyBorder="1" applyAlignment="1">
      <alignment horizontal="center"/>
    </xf>
    <xf numFmtId="0" fontId="7" fillId="34" borderId="35" xfId="40" applyFont="1" applyFill="1" applyBorder="1"/>
    <xf numFmtId="0" fontId="7" fillId="34" borderId="0" xfId="50" applyFont="1" applyFill="1" applyAlignment="1">
      <alignment vertical="center"/>
    </xf>
    <xf numFmtId="0" fontId="7" fillId="34" borderId="0" xfId="50" applyFont="1" applyFill="1" applyAlignment="1">
      <alignment horizontal="center" vertical="center"/>
    </xf>
    <xf numFmtId="164" fontId="7" fillId="0" borderId="12" xfId="40" applyNumberFormat="1" applyFont="1" applyBorder="1" applyAlignment="1" applyProtection="1">
      <alignment horizontal="center" vertical="top" wrapText="1"/>
      <protection locked="0"/>
    </xf>
    <xf numFmtId="164" fontId="7" fillId="0" borderId="0" xfId="40" applyNumberFormat="1" applyFont="1" applyBorder="1" applyAlignment="1">
      <alignment horizontal="center"/>
    </xf>
    <xf numFmtId="164" fontId="7" fillId="34" borderId="0" xfId="40" applyNumberFormat="1" applyFont="1" applyFill="1" applyBorder="1" applyAlignment="1">
      <alignment horizontal="center"/>
    </xf>
    <xf numFmtId="0" fontId="7" fillId="34" borderId="0" xfId="51" applyFont="1" applyFill="1"/>
    <xf numFmtId="164" fontId="4" fillId="0" borderId="0" xfId="51" applyNumberFormat="1" applyFont="1" applyAlignment="1">
      <alignment horizontal="center"/>
    </xf>
    <xf numFmtId="164" fontId="33" fillId="0" borderId="0" xfId="51" applyNumberFormat="1" applyFont="1" applyAlignment="1">
      <alignment horizontal="center"/>
    </xf>
    <xf numFmtId="164" fontId="33" fillId="0" borderId="0" xfId="51" applyNumberFormat="1" applyFont="1" applyFill="1" applyAlignment="1">
      <alignment horizontal="center"/>
    </xf>
    <xf numFmtId="164" fontId="4" fillId="0" borderId="0" xfId="51" applyNumberFormat="1" applyFont="1" applyFill="1" applyAlignment="1">
      <alignment horizontal="center"/>
    </xf>
    <xf numFmtId="0" fontId="7" fillId="37" borderId="0" xfId="53" applyFont="1" applyFill="1" applyAlignment="1">
      <alignment horizontal="center" vertical="center"/>
    </xf>
    <xf numFmtId="0" fontId="7" fillId="39" borderId="0" xfId="37" applyFont="1" applyFill="1"/>
    <xf numFmtId="0" fontId="6" fillId="0" borderId="35" xfId="53" applyFont="1" applyBorder="1" applyAlignment="1" applyProtection="1">
      <alignment horizontal="center" vertical="center"/>
      <protection locked="0"/>
    </xf>
    <xf numFmtId="0" fontId="33" fillId="0" borderId="0" xfId="59" applyFont="1"/>
    <xf numFmtId="0" fontId="10" fillId="0" borderId="0" xfId="51" applyFont="1" applyAlignment="1">
      <alignment horizontal="left" vertical="center"/>
    </xf>
    <xf numFmtId="0" fontId="33" fillId="40" borderId="0" xfId="51" applyFont="1" applyFill="1"/>
    <xf numFmtId="0" fontId="4" fillId="38" borderId="0" xfId="51" applyFont="1" applyFill="1" applyAlignment="1">
      <alignment horizontal="left"/>
    </xf>
    <xf numFmtId="0" fontId="4" fillId="0" borderId="0" xfId="51" applyFont="1" applyAlignment="1">
      <alignment horizontal="left" vertical="center"/>
    </xf>
    <xf numFmtId="0" fontId="33" fillId="37" borderId="0" xfId="51" applyFont="1" applyFill="1" applyAlignment="1">
      <alignment horizontal="center"/>
    </xf>
    <xf numFmtId="1" fontId="33" fillId="0" borderId="0" xfId="51" applyNumberFormat="1" applyFont="1" applyFill="1" applyBorder="1" applyAlignment="1">
      <alignment horizontal="center"/>
    </xf>
    <xf numFmtId="0" fontId="33" fillId="0" borderId="0" xfId="59" applyFont="1" applyBorder="1" applyAlignment="1">
      <alignment horizontal="center" vertical="center"/>
    </xf>
    <xf numFmtId="1" fontId="33" fillId="0" borderId="0" xfId="51" applyNumberFormat="1" applyFont="1" applyBorder="1" applyAlignment="1">
      <alignment horizontal="center"/>
    </xf>
    <xf numFmtId="1" fontId="33" fillId="0" borderId="0" xfId="0" applyNumberFormat="1" applyFont="1" applyBorder="1" applyAlignment="1">
      <alignment horizontal="center"/>
    </xf>
    <xf numFmtId="1" fontId="33" fillId="0" borderId="0" xfId="59" applyNumberFormat="1" applyFont="1" applyBorder="1" applyAlignment="1">
      <alignment horizontal="center" vertical="center"/>
    </xf>
    <xf numFmtId="1" fontId="33" fillId="38" borderId="0" xfId="51" applyNumberFormat="1" applyFont="1" applyFill="1" applyBorder="1" applyAlignment="1">
      <alignment horizontal="center"/>
    </xf>
    <xf numFmtId="0" fontId="33" fillId="41" borderId="0" xfId="51" applyFont="1" applyFill="1"/>
    <xf numFmtId="1" fontId="33" fillId="41" borderId="0" xfId="51" applyNumberFormat="1" applyFont="1" applyFill="1" applyBorder="1" applyAlignment="1">
      <alignment horizontal="center"/>
    </xf>
    <xf numFmtId="17" fontId="33" fillId="41" borderId="0" xfId="51" applyNumberFormat="1" applyFont="1" applyFill="1" applyAlignment="1">
      <alignment horizontal="center"/>
    </xf>
    <xf numFmtId="0" fontId="4" fillId="41" borderId="0" xfId="51" applyFont="1" applyFill="1"/>
    <xf numFmtId="17" fontId="4" fillId="0" borderId="0" xfId="51" applyNumberFormat="1" applyFont="1" applyAlignment="1">
      <alignment horizontal="center" vertical="center"/>
    </xf>
    <xf numFmtId="164" fontId="5" fillId="24" borderId="43" xfId="51" applyNumberFormat="1" applyFont="1" applyFill="1" applyBorder="1" applyAlignment="1">
      <alignment horizontal="center" textRotation="90" wrapText="1"/>
    </xf>
    <xf numFmtId="164" fontId="5" fillId="24" borderId="45" xfId="51" applyNumberFormat="1" applyFont="1" applyFill="1" applyBorder="1" applyAlignment="1">
      <alignment horizontal="center" textRotation="90" wrapText="1"/>
    </xf>
    <xf numFmtId="0" fontId="5" fillId="24" borderId="10" xfId="51" applyFont="1" applyFill="1" applyBorder="1" applyAlignment="1">
      <alignment horizontal="center" textRotation="90" wrapText="1"/>
    </xf>
    <xf numFmtId="0" fontId="33" fillId="24" borderId="10" xfId="51" applyFont="1" applyFill="1" applyBorder="1" applyAlignment="1">
      <alignment horizontal="center" textRotation="90" wrapText="1"/>
    </xf>
    <xf numFmtId="1" fontId="5" fillId="24" borderId="10" xfId="51" applyNumberFormat="1" applyFont="1" applyFill="1" applyBorder="1" applyAlignment="1">
      <alignment horizontal="center" textRotation="90" wrapText="1"/>
    </xf>
    <xf numFmtId="1" fontId="33" fillId="24" borderId="10" xfId="51" applyNumberFormat="1" applyFont="1" applyFill="1" applyBorder="1" applyAlignment="1">
      <alignment horizontal="center" textRotation="90" wrapText="1"/>
    </xf>
    <xf numFmtId="0" fontId="32" fillId="24" borderId="10" xfId="51" applyFont="1" applyFill="1" applyBorder="1" applyAlignment="1">
      <alignment horizontal="center" textRotation="90" wrapText="1"/>
    </xf>
    <xf numFmtId="17" fontId="5" fillId="24" borderId="10" xfId="51" applyNumberFormat="1" applyFont="1" applyFill="1" applyBorder="1" applyAlignment="1">
      <alignment horizontal="center" textRotation="90" wrapText="1"/>
    </xf>
    <xf numFmtId="17" fontId="33" fillId="24" borderId="10" xfId="51" applyNumberFormat="1" applyFont="1" applyFill="1" applyBorder="1" applyAlignment="1">
      <alignment horizontal="center" textRotation="90" wrapText="1"/>
    </xf>
    <xf numFmtId="0" fontId="5" fillId="24" borderId="43" xfId="51" applyFont="1" applyFill="1" applyBorder="1" applyAlignment="1">
      <alignment horizontal="center" textRotation="90" wrapText="1"/>
    </xf>
    <xf numFmtId="0" fontId="5" fillId="24" borderId="45" xfId="51" applyFont="1" applyFill="1" applyBorder="1" applyAlignment="1">
      <alignment horizontal="center" textRotation="90" wrapText="1"/>
    </xf>
    <xf numFmtId="1" fontId="33" fillId="24" borderId="43" xfId="51" applyNumberFormat="1" applyFont="1" applyFill="1" applyBorder="1" applyAlignment="1">
      <alignment horizontal="center" textRotation="90" wrapText="1"/>
    </xf>
    <xf numFmtId="1" fontId="5" fillId="24" borderId="43" xfId="51" applyNumberFormat="1" applyFont="1" applyFill="1" applyBorder="1" applyAlignment="1">
      <alignment horizontal="center" textRotation="90" wrapText="1"/>
    </xf>
    <xf numFmtId="1" fontId="5" fillId="24" borderId="45" xfId="51" applyNumberFormat="1" applyFont="1" applyFill="1" applyBorder="1" applyAlignment="1">
      <alignment horizontal="center" textRotation="90" wrapText="1"/>
    </xf>
    <xf numFmtId="0" fontId="5" fillId="24" borderId="10" xfId="59" applyFont="1" applyFill="1" applyBorder="1" applyAlignment="1">
      <alignment horizontal="center" vertical="center" wrapText="1"/>
    </xf>
    <xf numFmtId="0" fontId="33" fillId="24" borderId="10" xfId="59" applyFont="1" applyFill="1" applyBorder="1" applyAlignment="1">
      <alignment horizontal="center" vertical="center" wrapText="1"/>
    </xf>
    <xf numFmtId="0" fontId="6" fillId="0" borderId="48" xfId="53" applyFont="1" applyBorder="1" applyAlignment="1" applyProtection="1">
      <alignment horizontal="center" vertical="center"/>
      <protection locked="0"/>
    </xf>
    <xf numFmtId="0" fontId="6" fillId="0" borderId="56" xfId="53" applyFont="1" applyBorder="1" applyAlignment="1" applyProtection="1">
      <alignment horizontal="center" vertical="center"/>
      <protection locked="0"/>
    </xf>
    <xf numFmtId="0" fontId="6" fillId="0" borderId="60" xfId="53" applyFont="1" applyBorder="1" applyAlignment="1" applyProtection="1">
      <alignment horizontal="center" vertical="center"/>
      <protection locked="0"/>
    </xf>
    <xf numFmtId="0" fontId="6" fillId="0" borderId="24" xfId="53" applyFont="1" applyBorder="1" applyAlignment="1" applyProtection="1">
      <alignment horizontal="center" vertical="center"/>
      <protection locked="0"/>
    </xf>
    <xf numFmtId="0" fontId="6" fillId="0" borderId="0" xfId="53" applyFont="1" applyBorder="1" applyAlignment="1" applyProtection="1">
      <alignment horizontal="center" vertical="center"/>
      <protection locked="0"/>
    </xf>
    <xf numFmtId="0" fontId="6" fillId="0" borderId="35" xfId="53" applyFont="1" applyBorder="1" applyAlignment="1" applyProtection="1">
      <alignment horizontal="center" vertical="center"/>
      <protection locked="0"/>
    </xf>
    <xf numFmtId="0" fontId="6" fillId="24" borderId="61" xfId="53" applyFont="1" applyFill="1" applyBorder="1" applyAlignment="1" applyProtection="1">
      <alignment horizontal="center" vertical="center"/>
      <protection locked="0"/>
    </xf>
    <xf numFmtId="0" fontId="6" fillId="24" borderId="62" xfId="53" applyFont="1" applyFill="1" applyBorder="1" applyAlignment="1" applyProtection="1">
      <alignment horizontal="center" vertical="center"/>
      <protection locked="0"/>
    </xf>
    <xf numFmtId="0" fontId="6" fillId="24" borderId="63" xfId="53" applyFont="1" applyFill="1" applyBorder="1" applyAlignment="1" applyProtection="1">
      <alignment horizontal="center" vertical="center"/>
      <protection locked="0"/>
    </xf>
    <xf numFmtId="0" fontId="6" fillId="0" borderId="21" xfId="51" applyFont="1" applyBorder="1" applyAlignment="1">
      <alignment horizontal="center"/>
    </xf>
    <xf numFmtId="17" fontId="6" fillId="24" borderId="38" xfId="53" applyNumberFormat="1" applyFont="1" applyFill="1" applyBorder="1" applyAlignment="1" applyProtection="1">
      <alignment horizontal="center" vertical="center"/>
      <protection locked="0"/>
    </xf>
    <xf numFmtId="17" fontId="6" fillId="24" borderId="64" xfId="53" applyNumberFormat="1" applyFont="1" applyFill="1" applyBorder="1" applyAlignment="1" applyProtection="1">
      <alignment horizontal="center" vertical="center"/>
      <protection locked="0"/>
    </xf>
    <xf numFmtId="17" fontId="6" fillId="24" borderId="58" xfId="53" applyNumberFormat="1" applyFont="1" applyFill="1" applyBorder="1" applyAlignment="1" applyProtection="1">
      <alignment horizontal="center" vertical="center" wrapText="1"/>
      <protection locked="0"/>
    </xf>
    <xf numFmtId="0" fontId="6" fillId="0" borderId="59" xfId="53" applyFont="1" applyBorder="1" applyAlignment="1" applyProtection="1">
      <alignment horizontal="center" vertical="center" wrapText="1"/>
      <protection locked="0"/>
    </xf>
    <xf numFmtId="17" fontId="6" fillId="24" borderId="58" xfId="51" applyNumberFormat="1" applyFont="1" applyFill="1" applyBorder="1" applyAlignment="1" applyProtection="1">
      <alignment horizontal="center" vertical="center" wrapText="1"/>
      <protection locked="0"/>
    </xf>
    <xf numFmtId="0" fontId="6" fillId="0" borderId="59" xfId="51" applyFont="1" applyBorder="1" applyAlignment="1" applyProtection="1">
      <alignment horizontal="center" wrapText="1"/>
      <protection locked="0"/>
    </xf>
    <xf numFmtId="0" fontId="6" fillId="0" borderId="24" xfId="0" applyFont="1" applyBorder="1" applyAlignment="1" applyProtection="1">
      <alignment horizontal="center" vertical="center"/>
      <protection locked="0"/>
    </xf>
    <xf numFmtId="0" fontId="6" fillId="0" borderId="0" xfId="0" applyFont="1" applyBorder="1" applyAlignment="1" applyProtection="1">
      <alignment horizontal="center" vertical="center"/>
      <protection locked="0"/>
    </xf>
    <xf numFmtId="0" fontId="6" fillId="0" borderId="35" xfId="0" applyFont="1" applyBorder="1" applyAlignment="1" applyProtection="1">
      <alignment horizontal="center" vertical="center"/>
      <protection locked="0"/>
    </xf>
    <xf numFmtId="0" fontId="6" fillId="24" borderId="61" xfId="0" applyFont="1" applyFill="1" applyBorder="1" applyAlignment="1" applyProtection="1">
      <alignment horizontal="center" vertical="center"/>
      <protection locked="0"/>
    </xf>
    <xf numFmtId="0" fontId="6" fillId="24" borderId="62" xfId="0" applyFont="1" applyFill="1" applyBorder="1" applyAlignment="1" applyProtection="1">
      <alignment horizontal="center" vertical="center"/>
      <protection locked="0"/>
    </xf>
    <xf numFmtId="0" fontId="6" fillId="24" borderId="63" xfId="0" applyFont="1" applyFill="1" applyBorder="1" applyAlignment="1" applyProtection="1">
      <alignment horizontal="center" vertical="center"/>
      <protection locked="0"/>
    </xf>
    <xf numFmtId="17" fontId="6" fillId="24" borderId="38" xfId="0" applyNumberFormat="1" applyFont="1" applyFill="1" applyBorder="1" applyAlignment="1" applyProtection="1">
      <alignment horizontal="center" vertical="center"/>
      <protection locked="0"/>
    </xf>
    <xf numFmtId="17" fontId="6" fillId="24" borderId="64" xfId="0" applyNumberFormat="1" applyFont="1" applyFill="1" applyBorder="1" applyAlignment="1" applyProtection="1">
      <alignment horizontal="center" vertical="center"/>
      <protection locked="0"/>
    </xf>
    <xf numFmtId="17" fontId="6" fillId="24" borderId="58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59" xfId="0" applyFont="1" applyBorder="1" applyAlignment="1" applyProtection="1">
      <alignment horizontal="center" vertical="center" wrapText="1"/>
      <protection locked="0"/>
    </xf>
    <xf numFmtId="0" fontId="6" fillId="0" borderId="48" xfId="0" applyFont="1" applyBorder="1" applyAlignment="1" applyProtection="1">
      <alignment horizontal="center" vertical="center"/>
      <protection locked="0"/>
    </xf>
    <xf numFmtId="0" fontId="6" fillId="0" borderId="56" xfId="0" applyFont="1" applyBorder="1" applyAlignment="1" applyProtection="1">
      <alignment horizontal="center" vertical="center"/>
      <protection locked="0"/>
    </xf>
    <xf numFmtId="0" fontId="6" fillId="0" borderId="60" xfId="0" applyFont="1" applyBorder="1" applyAlignment="1" applyProtection="1">
      <alignment horizontal="center" vertical="center"/>
      <protection locked="0"/>
    </xf>
    <xf numFmtId="0" fontId="6" fillId="0" borderId="48" xfId="50" applyFont="1" applyBorder="1" applyAlignment="1" applyProtection="1">
      <alignment horizontal="center" vertical="center"/>
      <protection locked="0"/>
    </xf>
    <xf numFmtId="0" fontId="6" fillId="0" borderId="56" xfId="50" applyFont="1" applyBorder="1" applyAlignment="1" applyProtection="1">
      <alignment horizontal="center" vertical="center"/>
      <protection locked="0"/>
    </xf>
    <xf numFmtId="0" fontId="6" fillId="0" borderId="60" xfId="50" applyFont="1" applyBorder="1" applyAlignment="1" applyProtection="1">
      <alignment horizontal="center" vertical="center"/>
      <protection locked="0"/>
    </xf>
    <xf numFmtId="0" fontId="6" fillId="0" borderId="24" xfId="50" applyFont="1" applyBorder="1" applyAlignment="1" applyProtection="1">
      <alignment horizontal="center" vertical="center"/>
      <protection locked="0"/>
    </xf>
    <xf numFmtId="0" fontId="6" fillId="0" borderId="0" xfId="50" applyFont="1" applyBorder="1" applyAlignment="1" applyProtection="1">
      <alignment horizontal="center" vertical="center"/>
      <protection locked="0"/>
    </xf>
    <xf numFmtId="0" fontId="6" fillId="0" borderId="35" xfId="50" applyFont="1" applyBorder="1" applyAlignment="1" applyProtection="1">
      <alignment horizontal="center" vertical="center"/>
      <protection locked="0"/>
    </xf>
    <xf numFmtId="0" fontId="6" fillId="24" borderId="61" xfId="50" applyFont="1" applyFill="1" applyBorder="1" applyAlignment="1" applyProtection="1">
      <alignment horizontal="center" vertical="center"/>
      <protection locked="0"/>
    </xf>
    <xf numFmtId="0" fontId="6" fillId="24" borderId="62" xfId="50" applyFont="1" applyFill="1" applyBorder="1" applyAlignment="1" applyProtection="1">
      <alignment horizontal="center" vertical="center"/>
      <protection locked="0"/>
    </xf>
    <xf numFmtId="0" fontId="6" fillId="24" borderId="63" xfId="50" applyFont="1" applyFill="1" applyBorder="1" applyAlignment="1" applyProtection="1">
      <alignment horizontal="center" vertical="center"/>
      <protection locked="0"/>
    </xf>
    <xf numFmtId="17" fontId="6" fillId="24" borderId="38" xfId="50" applyNumberFormat="1" applyFont="1" applyFill="1" applyBorder="1" applyAlignment="1" applyProtection="1">
      <alignment horizontal="center" vertical="center"/>
      <protection locked="0"/>
    </xf>
    <xf numFmtId="17" fontId="6" fillId="24" borderId="64" xfId="50" applyNumberFormat="1" applyFont="1" applyFill="1" applyBorder="1" applyAlignment="1" applyProtection="1">
      <alignment horizontal="center" vertical="center"/>
      <protection locked="0"/>
    </xf>
    <xf numFmtId="17" fontId="6" fillId="24" borderId="58" xfId="50" applyNumberFormat="1" applyFont="1" applyFill="1" applyBorder="1" applyAlignment="1" applyProtection="1">
      <alignment horizontal="center" vertical="center" wrapText="1"/>
      <protection locked="0"/>
    </xf>
    <xf numFmtId="0" fontId="6" fillId="0" borderId="59" xfId="50" applyFont="1" applyBorder="1" applyAlignment="1" applyProtection="1">
      <alignment horizontal="center" vertical="center" wrapText="1"/>
      <protection locked="0"/>
    </xf>
    <xf numFmtId="0" fontId="6" fillId="0" borderId="21" xfId="37" applyFont="1" applyBorder="1" applyAlignment="1">
      <alignment horizontal="center"/>
    </xf>
    <xf numFmtId="17" fontId="6" fillId="24" borderId="58" xfId="37" applyNumberFormat="1" applyFont="1" applyFill="1" applyBorder="1" applyAlignment="1" applyProtection="1">
      <alignment horizontal="center" vertical="center" wrapText="1"/>
      <protection locked="0"/>
    </xf>
    <xf numFmtId="0" fontId="6" fillId="0" borderId="59" xfId="37" applyFont="1" applyBorder="1" applyAlignment="1" applyProtection="1">
      <alignment horizontal="center" wrapText="1"/>
      <protection locked="0"/>
    </xf>
    <xf numFmtId="0" fontId="6" fillId="0" borderId="48" xfId="39" applyFont="1" applyBorder="1" applyAlignment="1" applyProtection="1">
      <alignment horizontal="center" vertical="center"/>
      <protection locked="0"/>
    </xf>
    <xf numFmtId="0" fontId="6" fillId="0" borderId="56" xfId="39" applyFont="1" applyBorder="1" applyAlignment="1" applyProtection="1">
      <alignment horizontal="center" vertical="center"/>
      <protection locked="0"/>
    </xf>
    <xf numFmtId="0" fontId="6" fillId="0" borderId="60" xfId="39" applyFont="1" applyBorder="1" applyAlignment="1" applyProtection="1">
      <alignment horizontal="center" vertical="center"/>
      <protection locked="0"/>
    </xf>
    <xf numFmtId="0" fontId="6" fillId="0" borderId="24" xfId="39" applyFont="1" applyBorder="1" applyAlignment="1" applyProtection="1">
      <alignment horizontal="center" vertical="center"/>
      <protection locked="0"/>
    </xf>
    <xf numFmtId="0" fontId="6" fillId="0" borderId="0" xfId="39" applyFont="1" applyBorder="1" applyAlignment="1" applyProtection="1">
      <alignment horizontal="center" vertical="center"/>
      <protection locked="0"/>
    </xf>
    <xf numFmtId="0" fontId="6" fillId="0" borderId="35" xfId="39" applyFont="1" applyBorder="1" applyAlignment="1" applyProtection="1">
      <alignment horizontal="center" vertical="center"/>
      <protection locked="0"/>
    </xf>
    <xf numFmtId="0" fontId="6" fillId="24" borderId="61" xfId="39" applyFont="1" applyFill="1" applyBorder="1" applyAlignment="1" applyProtection="1">
      <alignment horizontal="center" vertical="center"/>
      <protection locked="0"/>
    </xf>
    <xf numFmtId="0" fontId="6" fillId="24" borderId="62" xfId="39" applyFont="1" applyFill="1" applyBorder="1" applyAlignment="1" applyProtection="1">
      <alignment horizontal="center" vertical="center"/>
      <protection locked="0"/>
    </xf>
    <xf numFmtId="0" fontId="6" fillId="24" borderId="63" xfId="39" applyFont="1" applyFill="1" applyBorder="1" applyAlignment="1" applyProtection="1">
      <alignment horizontal="center" vertical="center"/>
      <protection locked="0"/>
    </xf>
    <xf numFmtId="17" fontId="6" fillId="24" borderId="37" xfId="39" applyNumberFormat="1" applyFont="1" applyFill="1" applyBorder="1" applyAlignment="1" applyProtection="1">
      <alignment horizontal="center" vertical="center"/>
      <protection locked="0"/>
    </xf>
    <xf numFmtId="17" fontId="6" fillId="24" borderId="38" xfId="39" applyNumberFormat="1" applyFont="1" applyFill="1" applyBorder="1" applyAlignment="1" applyProtection="1">
      <alignment horizontal="center" vertical="center"/>
      <protection locked="0"/>
    </xf>
    <xf numFmtId="17" fontId="6" fillId="24" borderId="64" xfId="39" applyNumberFormat="1" applyFont="1" applyFill="1" applyBorder="1" applyAlignment="1" applyProtection="1">
      <alignment horizontal="center" vertical="center"/>
      <protection locked="0"/>
    </xf>
    <xf numFmtId="17" fontId="6" fillId="24" borderId="58" xfId="39" applyNumberFormat="1" applyFont="1" applyFill="1" applyBorder="1" applyAlignment="1" applyProtection="1">
      <alignment horizontal="center" vertical="center" wrapText="1"/>
      <protection locked="0"/>
    </xf>
    <xf numFmtId="0" fontId="6" fillId="0" borderId="59" xfId="39" applyFont="1" applyBorder="1" applyAlignment="1" applyProtection="1">
      <alignment horizontal="center" vertical="center" wrapText="1"/>
      <protection locked="0"/>
    </xf>
    <xf numFmtId="17" fontId="6" fillId="24" borderId="57" xfId="37" applyNumberFormat="1" applyFont="1" applyFill="1" applyBorder="1" applyAlignment="1" applyProtection="1">
      <alignment horizontal="center" vertical="center" wrapText="1"/>
      <protection locked="0"/>
    </xf>
    <xf numFmtId="0" fontId="6" fillId="0" borderId="45" xfId="37" applyFont="1" applyBorder="1" applyAlignment="1" applyProtection="1">
      <alignment horizontal="center" wrapText="1"/>
      <protection locked="0"/>
    </xf>
    <xf numFmtId="0" fontId="6" fillId="0" borderId="48" xfId="40" applyFont="1" applyBorder="1" applyAlignment="1" applyProtection="1">
      <alignment horizontal="center" vertical="center"/>
      <protection locked="0"/>
    </xf>
    <xf numFmtId="0" fontId="6" fillId="0" borderId="56" xfId="40" applyFont="1" applyBorder="1" applyAlignment="1" applyProtection="1">
      <alignment horizontal="center" vertical="center"/>
      <protection locked="0"/>
    </xf>
    <xf numFmtId="0" fontId="6" fillId="0" borderId="60" xfId="40" applyFont="1" applyBorder="1" applyAlignment="1" applyProtection="1">
      <alignment horizontal="center" vertical="center"/>
      <protection locked="0"/>
    </xf>
    <xf numFmtId="0" fontId="6" fillId="0" borderId="24" xfId="40" applyFont="1" applyBorder="1" applyAlignment="1" applyProtection="1">
      <alignment horizontal="center" vertical="center"/>
      <protection locked="0"/>
    </xf>
    <xf numFmtId="0" fontId="6" fillId="0" borderId="0" xfId="40" applyFont="1" applyBorder="1" applyAlignment="1" applyProtection="1">
      <alignment horizontal="center" vertical="center"/>
      <protection locked="0"/>
    </xf>
    <xf numFmtId="0" fontId="6" fillId="0" borderId="35" xfId="40" applyFont="1" applyBorder="1" applyAlignment="1" applyProtection="1">
      <alignment horizontal="center" vertical="center"/>
      <protection locked="0"/>
    </xf>
    <xf numFmtId="0" fontId="6" fillId="24" borderId="61" xfId="40" applyFont="1" applyFill="1" applyBorder="1" applyAlignment="1" applyProtection="1">
      <alignment horizontal="center" vertical="center"/>
      <protection locked="0"/>
    </xf>
    <xf numFmtId="0" fontId="6" fillId="24" borderId="62" xfId="40" applyFont="1" applyFill="1" applyBorder="1" applyAlignment="1" applyProtection="1">
      <alignment horizontal="center" vertical="center"/>
      <protection locked="0"/>
    </xf>
    <xf numFmtId="0" fontId="6" fillId="24" borderId="63" xfId="40" applyFont="1" applyFill="1" applyBorder="1" applyAlignment="1" applyProtection="1">
      <alignment horizontal="center" vertical="center"/>
      <protection locked="0"/>
    </xf>
    <xf numFmtId="17" fontId="6" fillId="24" borderId="38" xfId="40" applyNumberFormat="1" applyFont="1" applyFill="1" applyBorder="1" applyAlignment="1" applyProtection="1">
      <alignment horizontal="center" vertical="center"/>
      <protection locked="0"/>
    </xf>
    <xf numFmtId="17" fontId="6" fillId="24" borderId="58" xfId="40" applyNumberFormat="1" applyFont="1" applyFill="1" applyBorder="1" applyAlignment="1" applyProtection="1">
      <alignment horizontal="center" vertical="center" wrapText="1"/>
      <protection locked="0"/>
    </xf>
    <xf numFmtId="0" fontId="6" fillId="0" borderId="59" xfId="40" applyFont="1" applyBorder="1" applyAlignment="1" applyProtection="1">
      <alignment horizontal="center" wrapText="1"/>
      <protection locked="0"/>
    </xf>
    <xf numFmtId="17" fontId="6" fillId="24" borderId="65" xfId="37" applyNumberFormat="1" applyFont="1" applyFill="1" applyBorder="1" applyAlignment="1" applyProtection="1">
      <alignment horizontal="center" vertical="center" wrapText="1"/>
      <protection locked="0"/>
    </xf>
    <xf numFmtId="0" fontId="6" fillId="0" borderId="47" xfId="37" applyFont="1" applyBorder="1" applyAlignment="1" applyProtection="1">
      <alignment horizontal="center" wrapText="1"/>
      <protection locked="0"/>
    </xf>
    <xf numFmtId="0" fontId="6" fillId="0" borderId="48" xfId="37" applyFont="1" applyBorder="1" applyAlignment="1" applyProtection="1">
      <alignment horizontal="center" vertical="center"/>
      <protection locked="0"/>
    </xf>
    <xf numFmtId="0" fontId="6" fillId="0" borderId="56" xfId="37" applyFont="1" applyBorder="1" applyAlignment="1" applyProtection="1">
      <alignment horizontal="center" vertical="center"/>
      <protection locked="0"/>
    </xf>
    <xf numFmtId="0" fontId="6" fillId="0" borderId="60" xfId="37" applyFont="1" applyBorder="1" applyAlignment="1" applyProtection="1">
      <alignment horizontal="center" vertical="center"/>
      <protection locked="0"/>
    </xf>
    <xf numFmtId="0" fontId="6" fillId="0" borderId="24" xfId="37" applyFont="1" applyBorder="1" applyAlignment="1" applyProtection="1">
      <alignment horizontal="center" vertical="center"/>
      <protection locked="0"/>
    </xf>
    <xf numFmtId="0" fontId="6" fillId="0" borderId="0" xfId="37" applyFont="1" applyBorder="1" applyAlignment="1" applyProtection="1">
      <alignment horizontal="center" vertical="center"/>
      <protection locked="0"/>
    </xf>
    <xf numFmtId="0" fontId="6" fillId="0" borderId="35" xfId="37" applyFont="1" applyBorder="1" applyAlignment="1" applyProtection="1">
      <alignment horizontal="center" vertical="center"/>
      <protection locked="0"/>
    </xf>
    <xf numFmtId="0" fontId="6" fillId="24" borderId="61" xfId="37" applyFont="1" applyFill="1" applyBorder="1" applyAlignment="1" applyProtection="1">
      <alignment horizontal="center" vertical="center"/>
      <protection locked="0"/>
    </xf>
    <xf numFmtId="0" fontId="6" fillId="24" borderId="62" xfId="37" applyFont="1" applyFill="1" applyBorder="1" applyAlignment="1" applyProtection="1">
      <alignment horizontal="center" vertical="center"/>
      <protection locked="0"/>
    </xf>
    <xf numFmtId="0" fontId="6" fillId="24" borderId="63" xfId="37" applyFont="1" applyFill="1" applyBorder="1" applyAlignment="1" applyProtection="1">
      <alignment horizontal="center" vertical="center"/>
      <protection locked="0"/>
    </xf>
    <xf numFmtId="17" fontId="6" fillId="24" borderId="38" xfId="37" applyNumberFormat="1" applyFont="1" applyFill="1" applyBorder="1" applyAlignment="1" applyProtection="1">
      <alignment horizontal="center" vertical="center"/>
      <protection locked="0"/>
    </xf>
    <xf numFmtId="17" fontId="6" fillId="24" borderId="60" xfId="37" applyNumberFormat="1" applyFont="1" applyFill="1" applyBorder="1" applyAlignment="1" applyProtection="1">
      <alignment horizontal="center" vertical="center" wrapText="1"/>
      <protection locked="0"/>
    </xf>
    <xf numFmtId="0" fontId="6" fillId="0" borderId="36" xfId="37" applyFont="1" applyBorder="1" applyAlignment="1" applyProtection="1">
      <alignment horizontal="center" wrapText="1"/>
      <protection locked="0"/>
    </xf>
    <xf numFmtId="17" fontId="6" fillId="24" borderId="64" xfId="37" applyNumberFormat="1" applyFont="1" applyFill="1" applyBorder="1" applyAlignment="1" applyProtection="1">
      <alignment horizontal="center" vertical="center"/>
      <protection locked="0"/>
    </xf>
    <xf numFmtId="17" fontId="6" fillId="24" borderId="59" xfId="37" applyNumberFormat="1" applyFont="1" applyFill="1" applyBorder="1" applyAlignment="1" applyProtection="1">
      <alignment horizontal="center" vertical="center" wrapText="1"/>
      <protection locked="0"/>
    </xf>
    <xf numFmtId="0" fontId="6" fillId="0" borderId="48" xfId="37" applyFont="1" applyBorder="1" applyAlignment="1">
      <alignment horizontal="center" vertical="center"/>
    </xf>
    <xf numFmtId="0" fontId="6" fillId="0" borderId="56" xfId="37" applyFont="1" applyBorder="1" applyAlignment="1">
      <alignment horizontal="center" vertical="center"/>
    </xf>
    <xf numFmtId="0" fontId="6" fillId="0" borderId="60" xfId="37" applyFont="1" applyBorder="1" applyAlignment="1">
      <alignment horizontal="center" vertical="center"/>
    </xf>
    <xf numFmtId="0" fontId="6" fillId="0" borderId="49" xfId="37" applyFont="1" applyBorder="1" applyAlignment="1">
      <alignment horizontal="center" vertical="center"/>
    </xf>
    <xf numFmtId="0" fontId="6" fillId="0" borderId="44" xfId="37" applyFont="1" applyBorder="1" applyAlignment="1">
      <alignment horizontal="center" vertical="center"/>
    </xf>
    <xf numFmtId="0" fontId="6" fillId="0" borderId="66" xfId="37" applyFont="1" applyBorder="1" applyAlignment="1">
      <alignment horizontal="center" vertical="center"/>
    </xf>
    <xf numFmtId="0" fontId="6" fillId="24" borderId="61" xfId="37" applyFont="1" applyFill="1" applyBorder="1" applyAlignment="1">
      <alignment horizontal="center" vertical="center"/>
    </xf>
    <xf numFmtId="0" fontId="6" fillId="24" borderId="62" xfId="37" applyFont="1" applyFill="1" applyBorder="1" applyAlignment="1">
      <alignment horizontal="center" vertical="center"/>
    </xf>
    <xf numFmtId="0" fontId="6" fillId="24" borderId="63" xfId="37" applyFont="1" applyFill="1" applyBorder="1" applyAlignment="1">
      <alignment horizontal="center" vertical="center"/>
    </xf>
    <xf numFmtId="17" fontId="6" fillId="24" borderId="58" xfId="37" applyNumberFormat="1" applyFont="1" applyFill="1" applyBorder="1" applyAlignment="1">
      <alignment horizontal="center" vertical="center" wrapText="1"/>
    </xf>
    <xf numFmtId="17" fontId="6" fillId="24" borderId="59" xfId="37" applyNumberFormat="1" applyFont="1" applyFill="1" applyBorder="1" applyAlignment="1">
      <alignment horizontal="center" vertical="center" wrapText="1"/>
    </xf>
    <xf numFmtId="17" fontId="6" fillId="24" borderId="37" xfId="37" applyNumberFormat="1" applyFont="1" applyFill="1" applyBorder="1" applyAlignment="1">
      <alignment horizontal="center" vertical="center"/>
    </xf>
    <xf numFmtId="17" fontId="6" fillId="24" borderId="38" xfId="37" applyNumberFormat="1" applyFont="1" applyFill="1" applyBorder="1" applyAlignment="1">
      <alignment horizontal="center" vertical="center"/>
    </xf>
    <xf numFmtId="17" fontId="6" fillId="24" borderId="64" xfId="37" applyNumberFormat="1" applyFont="1" applyFill="1" applyBorder="1" applyAlignment="1">
      <alignment horizontal="center" vertical="center"/>
    </xf>
  </cellXfs>
  <cellStyles count="63">
    <cellStyle name="20% - Accent1 2" xfId="1" xr:uid="{00000000-0005-0000-0000-000000000000}"/>
    <cellStyle name="20% - Accent2 2" xfId="2" xr:uid="{00000000-0005-0000-0000-000001000000}"/>
    <cellStyle name="20% - Accent3 2" xfId="3" xr:uid="{00000000-0005-0000-0000-000002000000}"/>
    <cellStyle name="20% - Accent4 2" xfId="4" xr:uid="{00000000-0005-0000-0000-000003000000}"/>
    <cellStyle name="20% - Accent5 2" xfId="5" xr:uid="{00000000-0005-0000-0000-000004000000}"/>
    <cellStyle name="20% - Accent6 2" xfId="6" xr:uid="{00000000-0005-0000-0000-000005000000}"/>
    <cellStyle name="40% - Accent1 2" xfId="7" xr:uid="{00000000-0005-0000-0000-000006000000}"/>
    <cellStyle name="40% - Accent2 2" xfId="8" xr:uid="{00000000-0005-0000-0000-000007000000}"/>
    <cellStyle name="40% - Accent3 2" xfId="9" xr:uid="{00000000-0005-0000-0000-000008000000}"/>
    <cellStyle name="40% - Accent4 2" xfId="10" xr:uid="{00000000-0005-0000-0000-000009000000}"/>
    <cellStyle name="40% - Accent5 2" xfId="11" xr:uid="{00000000-0005-0000-0000-00000A000000}"/>
    <cellStyle name="40% - Accent6 2" xfId="12" xr:uid="{00000000-0005-0000-0000-00000B000000}"/>
    <cellStyle name="60% - Accent1 2" xfId="13" xr:uid="{00000000-0005-0000-0000-00000C000000}"/>
    <cellStyle name="60% - Accent2 2" xfId="14" xr:uid="{00000000-0005-0000-0000-00000D000000}"/>
    <cellStyle name="60% - Accent3 2" xfId="15" xr:uid="{00000000-0005-0000-0000-00000E000000}"/>
    <cellStyle name="60% - Accent4 2" xfId="16" xr:uid="{00000000-0005-0000-0000-00000F000000}"/>
    <cellStyle name="60% - Accent5 2" xfId="17" xr:uid="{00000000-0005-0000-0000-000010000000}"/>
    <cellStyle name="60% - Accent6 2" xfId="18" xr:uid="{00000000-0005-0000-0000-000011000000}"/>
    <cellStyle name="Accent1 2" xfId="19" xr:uid="{00000000-0005-0000-0000-000012000000}"/>
    <cellStyle name="Accent2 2" xfId="20" xr:uid="{00000000-0005-0000-0000-000013000000}"/>
    <cellStyle name="Accent3 2" xfId="21" xr:uid="{00000000-0005-0000-0000-000014000000}"/>
    <cellStyle name="Accent4 2" xfId="22" xr:uid="{00000000-0005-0000-0000-000015000000}"/>
    <cellStyle name="Accent5 2" xfId="23" xr:uid="{00000000-0005-0000-0000-000016000000}"/>
    <cellStyle name="Accent6 2" xfId="24" xr:uid="{00000000-0005-0000-0000-000017000000}"/>
    <cellStyle name="Bad 2" xfId="25" xr:uid="{00000000-0005-0000-0000-000018000000}"/>
    <cellStyle name="Calculation 2" xfId="26" xr:uid="{00000000-0005-0000-0000-000019000000}"/>
    <cellStyle name="Check Cell 2" xfId="27" xr:uid="{00000000-0005-0000-0000-00001A000000}"/>
    <cellStyle name="Explanatory Text 2" xfId="28" xr:uid="{00000000-0005-0000-0000-00001B000000}"/>
    <cellStyle name="Good 2" xfId="29" xr:uid="{00000000-0005-0000-0000-00001C000000}"/>
    <cellStyle name="Heading 1 2" xfId="30" xr:uid="{00000000-0005-0000-0000-00001D000000}"/>
    <cellStyle name="Heading 2 2" xfId="31" xr:uid="{00000000-0005-0000-0000-00001E000000}"/>
    <cellStyle name="Heading 3 2" xfId="32" xr:uid="{00000000-0005-0000-0000-00001F000000}"/>
    <cellStyle name="Heading 4 2" xfId="33" xr:uid="{00000000-0005-0000-0000-000020000000}"/>
    <cellStyle name="Input 2" xfId="34" xr:uid="{00000000-0005-0000-0000-000021000000}"/>
    <cellStyle name="Linked Cell 2" xfId="35" xr:uid="{00000000-0005-0000-0000-000022000000}"/>
    <cellStyle name="Neutral 2" xfId="36" xr:uid="{00000000-0005-0000-0000-000023000000}"/>
    <cellStyle name="Normal" xfId="0" builtinId="0"/>
    <cellStyle name="Normal 10" xfId="62" xr:uid="{00000000-0005-0000-0000-000025000000}"/>
    <cellStyle name="Normal 2" xfId="37" xr:uid="{00000000-0005-0000-0000-000026000000}"/>
    <cellStyle name="Normal 2 2" xfId="47" xr:uid="{00000000-0005-0000-0000-000027000000}"/>
    <cellStyle name="Normal 2 2 2" xfId="59" xr:uid="{00000000-0005-0000-0000-000028000000}"/>
    <cellStyle name="Normal 2 3" xfId="51" xr:uid="{00000000-0005-0000-0000-000029000000}"/>
    <cellStyle name="Normal 2 4" xfId="55" xr:uid="{00000000-0005-0000-0000-00002A000000}"/>
    <cellStyle name="Normal 3" xfId="38" xr:uid="{00000000-0005-0000-0000-00002B000000}"/>
    <cellStyle name="Normal 3 2" xfId="57" xr:uid="{00000000-0005-0000-0000-00002C000000}"/>
    <cellStyle name="Normal 4" xfId="39" xr:uid="{00000000-0005-0000-0000-00002D000000}"/>
    <cellStyle name="Normal 5" xfId="50" xr:uid="{00000000-0005-0000-0000-00002E000000}"/>
    <cellStyle name="Normal 6" xfId="52" xr:uid="{00000000-0005-0000-0000-00002F000000}"/>
    <cellStyle name="Normal 7" xfId="53" xr:uid="{00000000-0005-0000-0000-000030000000}"/>
    <cellStyle name="Normal 8" xfId="56" xr:uid="{00000000-0005-0000-0000-000031000000}"/>
    <cellStyle name="Normal 9" xfId="54" xr:uid="{00000000-0005-0000-0000-000032000000}"/>
    <cellStyle name="Normal_NZTA NO2 Survey Results Dec 2011v2" xfId="40" xr:uid="{00000000-0005-0000-0000-000033000000}"/>
    <cellStyle name="Normal_NZTA NO2 Survey Results Dec 2011v2 2" xfId="41" xr:uid="{00000000-0005-0000-0000-000034000000}"/>
    <cellStyle name="Note 2" xfId="42" xr:uid="{00000000-0005-0000-0000-000035000000}"/>
    <cellStyle name="Note 2 2" xfId="58" xr:uid="{00000000-0005-0000-0000-000036000000}"/>
    <cellStyle name="Output 2" xfId="43" xr:uid="{00000000-0005-0000-0000-000037000000}"/>
    <cellStyle name="Percent 2" xfId="48" xr:uid="{00000000-0005-0000-0000-000038000000}"/>
    <cellStyle name="Percent 2 2" xfId="60" xr:uid="{00000000-0005-0000-0000-000039000000}"/>
    <cellStyle name="Percent 3" xfId="49" xr:uid="{00000000-0005-0000-0000-00003A000000}"/>
    <cellStyle name="Percent 3 2" xfId="61" xr:uid="{00000000-0005-0000-0000-00003B000000}"/>
    <cellStyle name="Title 2" xfId="44" xr:uid="{00000000-0005-0000-0000-00003C000000}"/>
    <cellStyle name="Total 2" xfId="45" xr:uid="{00000000-0005-0000-0000-00003D000000}"/>
    <cellStyle name="Warning Text 2" xfId="46" xr:uid="{00000000-0005-0000-0000-00003E000000}"/>
  </cellStyles>
  <dxfs count="354">
    <dxf>
      <font>
        <color auto="1"/>
      </font>
      <fill>
        <patternFill>
          <bgColor theme="3" tint="0.59996337778862885"/>
        </patternFill>
      </fill>
    </dxf>
    <dxf>
      <fill>
        <patternFill>
          <bgColor indexed="31"/>
        </patternFill>
      </fill>
    </dxf>
    <dxf>
      <fill>
        <patternFill>
          <bgColor indexed="47"/>
        </patternFill>
      </fill>
    </dxf>
    <dxf>
      <fill>
        <patternFill>
          <bgColor indexed="41"/>
        </patternFill>
      </fill>
    </dxf>
    <dxf>
      <fill>
        <patternFill>
          <bgColor indexed="42"/>
        </patternFill>
      </fill>
    </dxf>
    <dxf>
      <fill>
        <patternFill>
          <bgColor theme="3" tint="0.59996337778862885"/>
        </patternFill>
      </fill>
    </dxf>
    <dxf>
      <fill>
        <patternFill>
          <bgColor indexed="31"/>
        </patternFill>
      </fill>
    </dxf>
    <dxf>
      <fill>
        <patternFill>
          <bgColor indexed="47"/>
        </patternFill>
      </fill>
    </dxf>
    <dxf>
      <fill>
        <patternFill>
          <bgColor indexed="41"/>
        </patternFill>
      </fill>
    </dxf>
    <dxf>
      <fill>
        <patternFill>
          <bgColor indexed="42"/>
        </patternFill>
      </fill>
    </dxf>
    <dxf>
      <font>
        <color auto="1"/>
      </font>
      <fill>
        <patternFill>
          <bgColor theme="3" tint="0.59996337778862885"/>
        </patternFill>
      </fill>
    </dxf>
    <dxf>
      <fill>
        <patternFill>
          <bgColor indexed="31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theme="3" tint="0.59996337778862885"/>
        </patternFill>
      </fill>
    </dxf>
    <dxf>
      <fill>
        <patternFill>
          <bgColor indexed="31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theme="3" tint="0.59996337778862885"/>
        </patternFill>
      </fill>
    </dxf>
    <dxf>
      <fill>
        <patternFill>
          <bgColor indexed="31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theme="3" tint="0.59996337778862885"/>
        </patternFill>
      </fill>
    </dxf>
    <dxf>
      <fill>
        <patternFill>
          <bgColor indexed="31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theme="3" tint="0.59996337778862885"/>
        </patternFill>
      </fill>
    </dxf>
    <dxf>
      <fill>
        <patternFill>
          <bgColor indexed="31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theme="3" tint="0.59996337778862885"/>
        </patternFill>
      </fill>
    </dxf>
    <dxf>
      <fill>
        <patternFill>
          <bgColor indexed="31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6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theme="3" tint="0.59996337778862885"/>
        </patternFill>
      </fill>
    </dxf>
    <dxf>
      <fill>
        <patternFill>
          <bgColor indexed="31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6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6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theme="3" tint="0.59996337778862885"/>
        </patternFill>
      </fill>
    </dxf>
    <dxf>
      <fill>
        <patternFill>
          <bgColor indexed="31"/>
        </patternFill>
      </fill>
    </dxf>
    <dxf>
      <fill>
        <patternFill>
          <bgColor theme="3" tint="0.59996337778862885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6"/>
        </patternFill>
      </fill>
    </dxf>
    <dxf>
      <fill>
        <patternFill>
          <bgColor indexed="31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theme="3" tint="0.59996337778862885"/>
        </patternFill>
      </fill>
    </dxf>
    <dxf>
      <fill>
        <patternFill>
          <bgColor indexed="31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6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theme="3" tint="0.59996337778862885"/>
        </patternFill>
      </fill>
    </dxf>
    <dxf>
      <fill>
        <patternFill>
          <bgColor indexed="31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6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theme="3" tint="0.59996337778862885"/>
        </patternFill>
      </fill>
    </dxf>
    <dxf>
      <fill>
        <patternFill>
          <bgColor indexed="31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6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indexed="26"/>
        </patternFill>
      </fill>
    </dxf>
  </dxfs>
  <tableStyles count="0" defaultTableStyle="TableStyleMedium9" defaultPivotStyle="PivotStyleLight16"/>
  <colors>
    <mruColors>
      <color rgb="FFFF00FF"/>
      <color rgb="FFFF66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externalLinkPath" Target="file:///\\DLINK-96D126\Volume_1\Air%20Quality\Client%20Projects\NZTA\NZTA%20Passives\Data\Monthly%20Results\2011\NZTA%20NO2%20Survey%20Results%20Jan%202011.xls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externalLinkPath" Target="file:///\\DLINK-96D126\Volume_1\Air%20Quality\Client%20Projects\NZTA\NZTA%20Passives\Data\Monthly%20Results\2011\NZTA%20NO2%20Survey%20Results%20Jan%202011.xls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externalLinkPath" Target="file:///\\DLINK-96D126\Volume_1\Gerda's%20Files\Work\NZTA\NO2%20reporting\2010%20Annual%20Report\NZTA%20NO2%20Survey%20Results%20Dec%202010%20v2.xls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externalLinkPath" Target="file:///\\WSLDCTFILR\Org$\Air%20Quality\Client%20Projects\NZTA\NZTA%20Passives\Data\Monthly%20Results\2012\NZTA%20NO2%20Survey%20Results%20Jan%202011.xls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externalLinkPath" Target="file:///\\WSLDCTFILR\Org$\Air%20Quality\Client%20Projects\NZTA\NZTA%20Passives\Data\Monthly%20Results\2012\NZTA%20NO2%20Survey%20Results%20Jan%202011.xls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externalLinkPath" Target="file:///\\WSLDCTFILR\Org$\Air%20Quality\Client%20Projects\NZTA\NZTA%20Passives\Data\Monthly%20Results\2012\NZTA%20NO2%20Survey%20Results%20Jan%202011.xls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externalLinkPath" Target="file:///\\WSLDCTFILR\Org$\Air%20Quality\Client%20Projects\NZTA\NZTA%20Passives\Data\Monthly%20Results\2012\NZTA%20NO2%20Survey%20Results%20Jan%202011.xls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externalLinkPath" Target="file:///\\WSLDCTFILR\Org$\Air%20Quality\Client%20Projects\NZTA\NZTA%20Passives\Data\Monthly%20Results\2012\NZTA%20NO2%20Survey%20Results%20Jan%202011.xls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externalLinkPath" Target="file:///\\DLINK-96D126\Volume_1\Air%20Quality\Client%20Projects\NZTA\NZTA%20Passives\Data\Monthly%20Results\2011\NZTA%20NO2%20Survey%20Results%20Jan%202011.xl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D221"/>
  <sheetViews>
    <sheetView tabSelected="1" zoomScaleNormal="100" workbookViewId="0">
      <pane xSplit="1" ySplit="5" topLeftCell="V6" activePane="bottomRight" state="frozen"/>
      <selection pane="topRight" activeCell="B1" sqref="B1"/>
      <selection pane="bottomLeft" activeCell="A6" sqref="A6"/>
      <selection pane="bottomRight" activeCell="G7" sqref="G7"/>
    </sheetView>
  </sheetViews>
  <sheetFormatPr defaultRowHeight="12.75" x14ac:dyDescent="0.2"/>
  <cols>
    <col min="1" max="1" width="39.85546875" style="278" bestFit="1" customWidth="1"/>
    <col min="2" max="2" width="23.85546875" style="276" customWidth="1"/>
    <col min="3" max="3" width="18.42578125" style="276" customWidth="1"/>
    <col min="4" max="4" width="14.5703125" style="276" customWidth="1"/>
    <col min="5" max="5" width="12.7109375" style="276" bestFit="1" customWidth="1"/>
    <col min="6" max="6" width="29.5703125" style="277" customWidth="1"/>
    <col min="7" max="7" width="28.42578125" style="277" customWidth="1"/>
    <col min="8" max="8" width="23.5703125" style="278" customWidth="1"/>
    <col min="9" max="9" width="25.5703125" style="278" customWidth="1"/>
    <col min="10" max="10" width="21" style="278" customWidth="1"/>
    <col min="11" max="11" width="25.140625" style="278" bestFit="1" customWidth="1"/>
    <col min="12" max="12" width="23.42578125" style="278" bestFit="1" customWidth="1"/>
    <col min="13" max="13" width="57" style="278" customWidth="1"/>
    <col min="14" max="14" width="40" style="278" bestFit="1" customWidth="1"/>
    <col min="15" max="15" width="26.42578125" style="278" bestFit="1" customWidth="1"/>
    <col min="16" max="16" width="48.85546875" style="278" bestFit="1" customWidth="1"/>
    <col min="17" max="17" width="39.5703125" style="278" bestFit="1" customWidth="1"/>
    <col min="18" max="18" width="8.140625" style="276" bestFit="1" customWidth="1"/>
    <col min="19" max="19" width="4.140625" style="367" bestFit="1" customWidth="1"/>
    <col min="20" max="20" width="11.7109375" style="276" customWidth="1"/>
    <col min="21" max="26" width="11.7109375" style="279" customWidth="1"/>
    <col min="27" max="27" width="183.42578125" style="278" bestFit="1" customWidth="1"/>
    <col min="28" max="28" width="41.7109375" style="278" bestFit="1" customWidth="1"/>
    <col min="29" max="29" width="138.42578125" style="278" customWidth="1"/>
    <col min="30" max="256" width="9" style="278"/>
    <col min="257" max="257" width="15.140625" style="278" customWidth="1"/>
    <col min="258" max="261" width="13.85546875" style="278" customWidth="1"/>
    <col min="262" max="263" width="8.85546875" style="278" bestFit="1" customWidth="1"/>
    <col min="264" max="264" width="15.140625" style="278" bestFit="1" customWidth="1"/>
    <col min="265" max="265" width="24.5703125" style="278" bestFit="1" customWidth="1"/>
    <col min="266" max="266" width="23.5703125" style="278" bestFit="1" customWidth="1"/>
    <col min="267" max="268" width="25.85546875" style="278" bestFit="1" customWidth="1"/>
    <col min="269" max="269" width="62.42578125" style="278" bestFit="1" customWidth="1"/>
    <col min="270" max="270" width="42" style="278" bestFit="1" customWidth="1"/>
    <col min="271" max="271" width="27.42578125" style="278" bestFit="1" customWidth="1"/>
    <col min="272" max="272" width="50.140625" style="278" bestFit="1" customWidth="1"/>
    <col min="273" max="273" width="41.140625" style="278" bestFit="1" customWidth="1"/>
    <col min="274" max="282" width="11.7109375" style="278" customWidth="1"/>
    <col min="283" max="283" width="183.42578125" style="278" bestFit="1" customWidth="1"/>
    <col min="284" max="284" width="49.5703125" style="278" bestFit="1" customWidth="1"/>
    <col min="285" max="285" width="279.5703125" style="278" bestFit="1" customWidth="1"/>
    <col min="286" max="512" width="9" style="278"/>
    <col min="513" max="513" width="15.140625" style="278" customWidth="1"/>
    <col min="514" max="517" width="13.85546875" style="278" customWidth="1"/>
    <col min="518" max="519" width="8.85546875" style="278" bestFit="1" customWidth="1"/>
    <col min="520" max="520" width="15.140625" style="278" bestFit="1" customWidth="1"/>
    <col min="521" max="521" width="24.5703125" style="278" bestFit="1" customWidth="1"/>
    <col min="522" max="522" width="23.5703125" style="278" bestFit="1" customWidth="1"/>
    <col min="523" max="524" width="25.85546875" style="278" bestFit="1" customWidth="1"/>
    <col min="525" max="525" width="62.42578125" style="278" bestFit="1" customWidth="1"/>
    <col min="526" max="526" width="42" style="278" bestFit="1" customWidth="1"/>
    <col min="527" max="527" width="27.42578125" style="278" bestFit="1" customWidth="1"/>
    <col min="528" max="528" width="50.140625" style="278" bestFit="1" customWidth="1"/>
    <col min="529" max="529" width="41.140625" style="278" bestFit="1" customWidth="1"/>
    <col min="530" max="538" width="11.7109375" style="278" customWidth="1"/>
    <col min="539" max="539" width="183.42578125" style="278" bestFit="1" customWidth="1"/>
    <col min="540" max="540" width="49.5703125" style="278" bestFit="1" customWidth="1"/>
    <col min="541" max="541" width="279.5703125" style="278" bestFit="1" customWidth="1"/>
    <col min="542" max="768" width="9" style="278"/>
    <col min="769" max="769" width="15.140625" style="278" customWidth="1"/>
    <col min="770" max="773" width="13.85546875" style="278" customWidth="1"/>
    <col min="774" max="775" width="8.85546875" style="278" bestFit="1" customWidth="1"/>
    <col min="776" max="776" width="15.140625" style="278" bestFit="1" customWidth="1"/>
    <col min="777" max="777" width="24.5703125" style="278" bestFit="1" customWidth="1"/>
    <col min="778" max="778" width="23.5703125" style="278" bestFit="1" customWidth="1"/>
    <col min="779" max="780" width="25.85546875" style="278" bestFit="1" customWidth="1"/>
    <col min="781" max="781" width="62.42578125" style="278" bestFit="1" customWidth="1"/>
    <col min="782" max="782" width="42" style="278" bestFit="1" customWidth="1"/>
    <col min="783" max="783" width="27.42578125" style="278" bestFit="1" customWidth="1"/>
    <col min="784" max="784" width="50.140625" style="278" bestFit="1" customWidth="1"/>
    <col min="785" max="785" width="41.140625" style="278" bestFit="1" customWidth="1"/>
    <col min="786" max="794" width="11.7109375" style="278" customWidth="1"/>
    <col min="795" max="795" width="183.42578125" style="278" bestFit="1" customWidth="1"/>
    <col min="796" max="796" width="49.5703125" style="278" bestFit="1" customWidth="1"/>
    <col min="797" max="797" width="279.5703125" style="278" bestFit="1" customWidth="1"/>
    <col min="798" max="1024" width="9" style="278"/>
    <col min="1025" max="1025" width="15.140625" style="278" customWidth="1"/>
    <col min="1026" max="1029" width="13.85546875" style="278" customWidth="1"/>
    <col min="1030" max="1031" width="8.85546875" style="278" bestFit="1" customWidth="1"/>
    <col min="1032" max="1032" width="15.140625" style="278" bestFit="1" customWidth="1"/>
    <col min="1033" max="1033" width="24.5703125" style="278" bestFit="1" customWidth="1"/>
    <col min="1034" max="1034" width="23.5703125" style="278" bestFit="1" customWidth="1"/>
    <col min="1035" max="1036" width="25.85546875" style="278" bestFit="1" customWidth="1"/>
    <col min="1037" max="1037" width="62.42578125" style="278" bestFit="1" customWidth="1"/>
    <col min="1038" max="1038" width="42" style="278" bestFit="1" customWidth="1"/>
    <col min="1039" max="1039" width="27.42578125" style="278" bestFit="1" customWidth="1"/>
    <col min="1040" max="1040" width="50.140625" style="278" bestFit="1" customWidth="1"/>
    <col min="1041" max="1041" width="41.140625" style="278" bestFit="1" customWidth="1"/>
    <col min="1042" max="1050" width="11.7109375" style="278" customWidth="1"/>
    <col min="1051" max="1051" width="183.42578125" style="278" bestFit="1" customWidth="1"/>
    <col min="1052" max="1052" width="49.5703125" style="278" bestFit="1" customWidth="1"/>
    <col min="1053" max="1053" width="279.5703125" style="278" bestFit="1" customWidth="1"/>
    <col min="1054" max="1280" width="9" style="278"/>
    <col min="1281" max="1281" width="15.140625" style="278" customWidth="1"/>
    <col min="1282" max="1285" width="13.85546875" style="278" customWidth="1"/>
    <col min="1286" max="1287" width="8.85546875" style="278" bestFit="1" customWidth="1"/>
    <col min="1288" max="1288" width="15.140625" style="278" bestFit="1" customWidth="1"/>
    <col min="1289" max="1289" width="24.5703125" style="278" bestFit="1" customWidth="1"/>
    <col min="1290" max="1290" width="23.5703125" style="278" bestFit="1" customWidth="1"/>
    <col min="1291" max="1292" width="25.85546875" style="278" bestFit="1" customWidth="1"/>
    <col min="1293" max="1293" width="62.42578125" style="278" bestFit="1" customWidth="1"/>
    <col min="1294" max="1294" width="42" style="278" bestFit="1" customWidth="1"/>
    <col min="1295" max="1295" width="27.42578125" style="278" bestFit="1" customWidth="1"/>
    <col min="1296" max="1296" width="50.140625" style="278" bestFit="1" customWidth="1"/>
    <col min="1297" max="1297" width="41.140625" style="278" bestFit="1" customWidth="1"/>
    <col min="1298" max="1306" width="11.7109375" style="278" customWidth="1"/>
    <col min="1307" max="1307" width="183.42578125" style="278" bestFit="1" customWidth="1"/>
    <col min="1308" max="1308" width="49.5703125" style="278" bestFit="1" customWidth="1"/>
    <col min="1309" max="1309" width="279.5703125" style="278" bestFit="1" customWidth="1"/>
    <col min="1310" max="1536" width="9" style="278"/>
    <col min="1537" max="1537" width="15.140625" style="278" customWidth="1"/>
    <col min="1538" max="1541" width="13.85546875" style="278" customWidth="1"/>
    <col min="1542" max="1543" width="8.85546875" style="278" bestFit="1" customWidth="1"/>
    <col min="1544" max="1544" width="15.140625" style="278" bestFit="1" customWidth="1"/>
    <col min="1545" max="1545" width="24.5703125" style="278" bestFit="1" customWidth="1"/>
    <col min="1546" max="1546" width="23.5703125" style="278" bestFit="1" customWidth="1"/>
    <col min="1547" max="1548" width="25.85546875" style="278" bestFit="1" customWidth="1"/>
    <col min="1549" max="1549" width="62.42578125" style="278" bestFit="1" customWidth="1"/>
    <col min="1550" max="1550" width="42" style="278" bestFit="1" customWidth="1"/>
    <col min="1551" max="1551" width="27.42578125" style="278" bestFit="1" customWidth="1"/>
    <col min="1552" max="1552" width="50.140625" style="278" bestFit="1" customWidth="1"/>
    <col min="1553" max="1553" width="41.140625" style="278" bestFit="1" customWidth="1"/>
    <col min="1554" max="1562" width="11.7109375" style="278" customWidth="1"/>
    <col min="1563" max="1563" width="183.42578125" style="278" bestFit="1" customWidth="1"/>
    <col min="1564" max="1564" width="49.5703125" style="278" bestFit="1" customWidth="1"/>
    <col min="1565" max="1565" width="279.5703125" style="278" bestFit="1" customWidth="1"/>
    <col min="1566" max="1792" width="9" style="278"/>
    <col min="1793" max="1793" width="15.140625" style="278" customWidth="1"/>
    <col min="1794" max="1797" width="13.85546875" style="278" customWidth="1"/>
    <col min="1798" max="1799" width="8.85546875" style="278" bestFit="1" customWidth="1"/>
    <col min="1800" max="1800" width="15.140625" style="278" bestFit="1" customWidth="1"/>
    <col min="1801" max="1801" width="24.5703125" style="278" bestFit="1" customWidth="1"/>
    <col min="1802" max="1802" width="23.5703125" style="278" bestFit="1" customWidth="1"/>
    <col min="1803" max="1804" width="25.85546875" style="278" bestFit="1" customWidth="1"/>
    <col min="1805" max="1805" width="62.42578125" style="278" bestFit="1" customWidth="1"/>
    <col min="1806" max="1806" width="42" style="278" bestFit="1" customWidth="1"/>
    <col min="1807" max="1807" width="27.42578125" style="278" bestFit="1" customWidth="1"/>
    <col min="1808" max="1808" width="50.140625" style="278" bestFit="1" customWidth="1"/>
    <col min="1809" max="1809" width="41.140625" style="278" bestFit="1" customWidth="1"/>
    <col min="1810" max="1818" width="11.7109375" style="278" customWidth="1"/>
    <col min="1819" max="1819" width="183.42578125" style="278" bestFit="1" customWidth="1"/>
    <col min="1820" max="1820" width="49.5703125" style="278" bestFit="1" customWidth="1"/>
    <col min="1821" max="1821" width="279.5703125" style="278" bestFit="1" customWidth="1"/>
    <col min="1822" max="2048" width="9" style="278"/>
    <col min="2049" max="2049" width="15.140625" style="278" customWidth="1"/>
    <col min="2050" max="2053" width="13.85546875" style="278" customWidth="1"/>
    <col min="2054" max="2055" width="8.85546875" style="278" bestFit="1" customWidth="1"/>
    <col min="2056" max="2056" width="15.140625" style="278" bestFit="1" customWidth="1"/>
    <col min="2057" max="2057" width="24.5703125" style="278" bestFit="1" customWidth="1"/>
    <col min="2058" max="2058" width="23.5703125" style="278" bestFit="1" customWidth="1"/>
    <col min="2059" max="2060" width="25.85546875" style="278" bestFit="1" customWidth="1"/>
    <col min="2061" max="2061" width="62.42578125" style="278" bestFit="1" customWidth="1"/>
    <col min="2062" max="2062" width="42" style="278" bestFit="1" customWidth="1"/>
    <col min="2063" max="2063" width="27.42578125" style="278" bestFit="1" customWidth="1"/>
    <col min="2064" max="2064" width="50.140625" style="278" bestFit="1" customWidth="1"/>
    <col min="2065" max="2065" width="41.140625" style="278" bestFit="1" customWidth="1"/>
    <col min="2066" max="2074" width="11.7109375" style="278" customWidth="1"/>
    <col min="2075" max="2075" width="183.42578125" style="278" bestFit="1" customWidth="1"/>
    <col min="2076" max="2076" width="49.5703125" style="278" bestFit="1" customWidth="1"/>
    <col min="2077" max="2077" width="279.5703125" style="278" bestFit="1" customWidth="1"/>
    <col min="2078" max="2304" width="9" style="278"/>
    <col min="2305" max="2305" width="15.140625" style="278" customWidth="1"/>
    <col min="2306" max="2309" width="13.85546875" style="278" customWidth="1"/>
    <col min="2310" max="2311" width="8.85546875" style="278" bestFit="1" customWidth="1"/>
    <col min="2312" max="2312" width="15.140625" style="278" bestFit="1" customWidth="1"/>
    <col min="2313" max="2313" width="24.5703125" style="278" bestFit="1" customWidth="1"/>
    <col min="2314" max="2314" width="23.5703125" style="278" bestFit="1" customWidth="1"/>
    <col min="2315" max="2316" width="25.85546875" style="278" bestFit="1" customWidth="1"/>
    <col min="2317" max="2317" width="62.42578125" style="278" bestFit="1" customWidth="1"/>
    <col min="2318" max="2318" width="42" style="278" bestFit="1" customWidth="1"/>
    <col min="2319" max="2319" width="27.42578125" style="278" bestFit="1" customWidth="1"/>
    <col min="2320" max="2320" width="50.140625" style="278" bestFit="1" customWidth="1"/>
    <col min="2321" max="2321" width="41.140625" style="278" bestFit="1" customWidth="1"/>
    <col min="2322" max="2330" width="11.7109375" style="278" customWidth="1"/>
    <col min="2331" max="2331" width="183.42578125" style="278" bestFit="1" customWidth="1"/>
    <col min="2332" max="2332" width="49.5703125" style="278" bestFit="1" customWidth="1"/>
    <col min="2333" max="2333" width="279.5703125" style="278" bestFit="1" customWidth="1"/>
    <col min="2334" max="2560" width="9" style="278"/>
    <col min="2561" max="2561" width="15.140625" style="278" customWidth="1"/>
    <col min="2562" max="2565" width="13.85546875" style="278" customWidth="1"/>
    <col min="2566" max="2567" width="8.85546875" style="278" bestFit="1" customWidth="1"/>
    <col min="2568" max="2568" width="15.140625" style="278" bestFit="1" customWidth="1"/>
    <col min="2569" max="2569" width="24.5703125" style="278" bestFit="1" customWidth="1"/>
    <col min="2570" max="2570" width="23.5703125" style="278" bestFit="1" customWidth="1"/>
    <col min="2571" max="2572" width="25.85546875" style="278" bestFit="1" customWidth="1"/>
    <col min="2573" max="2573" width="62.42578125" style="278" bestFit="1" customWidth="1"/>
    <col min="2574" max="2574" width="42" style="278" bestFit="1" customWidth="1"/>
    <col min="2575" max="2575" width="27.42578125" style="278" bestFit="1" customWidth="1"/>
    <col min="2576" max="2576" width="50.140625" style="278" bestFit="1" customWidth="1"/>
    <col min="2577" max="2577" width="41.140625" style="278" bestFit="1" customWidth="1"/>
    <col min="2578" max="2586" width="11.7109375" style="278" customWidth="1"/>
    <col min="2587" max="2587" width="183.42578125" style="278" bestFit="1" customWidth="1"/>
    <col min="2588" max="2588" width="49.5703125" style="278" bestFit="1" customWidth="1"/>
    <col min="2589" max="2589" width="279.5703125" style="278" bestFit="1" customWidth="1"/>
    <col min="2590" max="2816" width="9" style="278"/>
    <col min="2817" max="2817" width="15.140625" style="278" customWidth="1"/>
    <col min="2818" max="2821" width="13.85546875" style="278" customWidth="1"/>
    <col min="2822" max="2823" width="8.85546875" style="278" bestFit="1" customWidth="1"/>
    <col min="2824" max="2824" width="15.140625" style="278" bestFit="1" customWidth="1"/>
    <col min="2825" max="2825" width="24.5703125" style="278" bestFit="1" customWidth="1"/>
    <col min="2826" max="2826" width="23.5703125" style="278" bestFit="1" customWidth="1"/>
    <col min="2827" max="2828" width="25.85546875" style="278" bestFit="1" customWidth="1"/>
    <col min="2829" max="2829" width="62.42578125" style="278" bestFit="1" customWidth="1"/>
    <col min="2830" max="2830" width="42" style="278" bestFit="1" customWidth="1"/>
    <col min="2831" max="2831" width="27.42578125" style="278" bestFit="1" customWidth="1"/>
    <col min="2832" max="2832" width="50.140625" style="278" bestFit="1" customWidth="1"/>
    <col min="2833" max="2833" width="41.140625" style="278" bestFit="1" customWidth="1"/>
    <col min="2834" max="2842" width="11.7109375" style="278" customWidth="1"/>
    <col min="2843" max="2843" width="183.42578125" style="278" bestFit="1" customWidth="1"/>
    <col min="2844" max="2844" width="49.5703125" style="278" bestFit="1" customWidth="1"/>
    <col min="2845" max="2845" width="279.5703125" style="278" bestFit="1" customWidth="1"/>
    <col min="2846" max="3072" width="9" style="278"/>
    <col min="3073" max="3073" width="15.140625" style="278" customWidth="1"/>
    <col min="3074" max="3077" width="13.85546875" style="278" customWidth="1"/>
    <col min="3078" max="3079" width="8.85546875" style="278" bestFit="1" customWidth="1"/>
    <col min="3080" max="3080" width="15.140625" style="278" bestFit="1" customWidth="1"/>
    <col min="3081" max="3081" width="24.5703125" style="278" bestFit="1" customWidth="1"/>
    <col min="3082" max="3082" width="23.5703125" style="278" bestFit="1" customWidth="1"/>
    <col min="3083" max="3084" width="25.85546875" style="278" bestFit="1" customWidth="1"/>
    <col min="3085" max="3085" width="62.42578125" style="278" bestFit="1" customWidth="1"/>
    <col min="3086" max="3086" width="42" style="278" bestFit="1" customWidth="1"/>
    <col min="3087" max="3087" width="27.42578125" style="278" bestFit="1" customWidth="1"/>
    <col min="3088" max="3088" width="50.140625" style="278" bestFit="1" customWidth="1"/>
    <col min="3089" max="3089" width="41.140625" style="278" bestFit="1" customWidth="1"/>
    <col min="3090" max="3098" width="11.7109375" style="278" customWidth="1"/>
    <col min="3099" max="3099" width="183.42578125" style="278" bestFit="1" customWidth="1"/>
    <col min="3100" max="3100" width="49.5703125" style="278" bestFit="1" customWidth="1"/>
    <col min="3101" max="3101" width="279.5703125" style="278" bestFit="1" customWidth="1"/>
    <col min="3102" max="3328" width="9" style="278"/>
    <col min="3329" max="3329" width="15.140625" style="278" customWidth="1"/>
    <col min="3330" max="3333" width="13.85546875" style="278" customWidth="1"/>
    <col min="3334" max="3335" width="8.85546875" style="278" bestFit="1" customWidth="1"/>
    <col min="3336" max="3336" width="15.140625" style="278" bestFit="1" customWidth="1"/>
    <col min="3337" max="3337" width="24.5703125" style="278" bestFit="1" customWidth="1"/>
    <col min="3338" max="3338" width="23.5703125" style="278" bestFit="1" customWidth="1"/>
    <col min="3339" max="3340" width="25.85546875" style="278" bestFit="1" customWidth="1"/>
    <col min="3341" max="3341" width="62.42578125" style="278" bestFit="1" customWidth="1"/>
    <col min="3342" max="3342" width="42" style="278" bestFit="1" customWidth="1"/>
    <col min="3343" max="3343" width="27.42578125" style="278" bestFit="1" customWidth="1"/>
    <col min="3344" max="3344" width="50.140625" style="278" bestFit="1" customWidth="1"/>
    <col min="3345" max="3345" width="41.140625" style="278" bestFit="1" customWidth="1"/>
    <col min="3346" max="3354" width="11.7109375" style="278" customWidth="1"/>
    <col min="3355" max="3355" width="183.42578125" style="278" bestFit="1" customWidth="1"/>
    <col min="3356" max="3356" width="49.5703125" style="278" bestFit="1" customWidth="1"/>
    <col min="3357" max="3357" width="279.5703125" style="278" bestFit="1" customWidth="1"/>
    <col min="3358" max="3584" width="9" style="278"/>
    <col min="3585" max="3585" width="15.140625" style="278" customWidth="1"/>
    <col min="3586" max="3589" width="13.85546875" style="278" customWidth="1"/>
    <col min="3590" max="3591" width="8.85546875" style="278" bestFit="1" customWidth="1"/>
    <col min="3592" max="3592" width="15.140625" style="278" bestFit="1" customWidth="1"/>
    <col min="3593" max="3593" width="24.5703125" style="278" bestFit="1" customWidth="1"/>
    <col min="3594" max="3594" width="23.5703125" style="278" bestFit="1" customWidth="1"/>
    <col min="3595" max="3596" width="25.85546875" style="278" bestFit="1" customWidth="1"/>
    <col min="3597" max="3597" width="62.42578125" style="278" bestFit="1" customWidth="1"/>
    <col min="3598" max="3598" width="42" style="278" bestFit="1" customWidth="1"/>
    <col min="3599" max="3599" width="27.42578125" style="278" bestFit="1" customWidth="1"/>
    <col min="3600" max="3600" width="50.140625" style="278" bestFit="1" customWidth="1"/>
    <col min="3601" max="3601" width="41.140625" style="278" bestFit="1" customWidth="1"/>
    <col min="3602" max="3610" width="11.7109375" style="278" customWidth="1"/>
    <col min="3611" max="3611" width="183.42578125" style="278" bestFit="1" customWidth="1"/>
    <col min="3612" max="3612" width="49.5703125" style="278" bestFit="1" customWidth="1"/>
    <col min="3613" max="3613" width="279.5703125" style="278" bestFit="1" customWidth="1"/>
    <col min="3614" max="3840" width="9" style="278"/>
    <col min="3841" max="3841" width="15.140625" style="278" customWidth="1"/>
    <col min="3842" max="3845" width="13.85546875" style="278" customWidth="1"/>
    <col min="3846" max="3847" width="8.85546875" style="278" bestFit="1" customWidth="1"/>
    <col min="3848" max="3848" width="15.140625" style="278" bestFit="1" customWidth="1"/>
    <col min="3849" max="3849" width="24.5703125" style="278" bestFit="1" customWidth="1"/>
    <col min="3850" max="3850" width="23.5703125" style="278" bestFit="1" customWidth="1"/>
    <col min="3851" max="3852" width="25.85546875" style="278" bestFit="1" customWidth="1"/>
    <col min="3853" max="3853" width="62.42578125" style="278" bestFit="1" customWidth="1"/>
    <col min="3854" max="3854" width="42" style="278" bestFit="1" customWidth="1"/>
    <col min="3855" max="3855" width="27.42578125" style="278" bestFit="1" customWidth="1"/>
    <col min="3856" max="3856" width="50.140625" style="278" bestFit="1" customWidth="1"/>
    <col min="3857" max="3857" width="41.140625" style="278" bestFit="1" customWidth="1"/>
    <col min="3858" max="3866" width="11.7109375" style="278" customWidth="1"/>
    <col min="3867" max="3867" width="183.42578125" style="278" bestFit="1" customWidth="1"/>
    <col min="3868" max="3868" width="49.5703125" style="278" bestFit="1" customWidth="1"/>
    <col min="3869" max="3869" width="279.5703125" style="278" bestFit="1" customWidth="1"/>
    <col min="3870" max="4096" width="9" style="278"/>
    <col min="4097" max="4097" width="15.140625" style="278" customWidth="1"/>
    <col min="4098" max="4101" width="13.85546875" style="278" customWidth="1"/>
    <col min="4102" max="4103" width="8.85546875" style="278" bestFit="1" customWidth="1"/>
    <col min="4104" max="4104" width="15.140625" style="278" bestFit="1" customWidth="1"/>
    <col min="4105" max="4105" width="24.5703125" style="278" bestFit="1" customWidth="1"/>
    <col min="4106" max="4106" width="23.5703125" style="278" bestFit="1" customWidth="1"/>
    <col min="4107" max="4108" width="25.85546875" style="278" bestFit="1" customWidth="1"/>
    <col min="4109" max="4109" width="62.42578125" style="278" bestFit="1" customWidth="1"/>
    <col min="4110" max="4110" width="42" style="278" bestFit="1" customWidth="1"/>
    <col min="4111" max="4111" width="27.42578125" style="278" bestFit="1" customWidth="1"/>
    <col min="4112" max="4112" width="50.140625" style="278" bestFit="1" customWidth="1"/>
    <col min="4113" max="4113" width="41.140625" style="278" bestFit="1" customWidth="1"/>
    <col min="4114" max="4122" width="11.7109375" style="278" customWidth="1"/>
    <col min="4123" max="4123" width="183.42578125" style="278" bestFit="1" customWidth="1"/>
    <col min="4124" max="4124" width="49.5703125" style="278" bestFit="1" customWidth="1"/>
    <col min="4125" max="4125" width="279.5703125" style="278" bestFit="1" customWidth="1"/>
    <col min="4126" max="4352" width="9" style="278"/>
    <col min="4353" max="4353" width="15.140625" style="278" customWidth="1"/>
    <col min="4354" max="4357" width="13.85546875" style="278" customWidth="1"/>
    <col min="4358" max="4359" width="8.85546875" style="278" bestFit="1" customWidth="1"/>
    <col min="4360" max="4360" width="15.140625" style="278" bestFit="1" customWidth="1"/>
    <col min="4361" max="4361" width="24.5703125" style="278" bestFit="1" customWidth="1"/>
    <col min="4362" max="4362" width="23.5703125" style="278" bestFit="1" customWidth="1"/>
    <col min="4363" max="4364" width="25.85546875" style="278" bestFit="1" customWidth="1"/>
    <col min="4365" max="4365" width="62.42578125" style="278" bestFit="1" customWidth="1"/>
    <col min="4366" max="4366" width="42" style="278" bestFit="1" customWidth="1"/>
    <col min="4367" max="4367" width="27.42578125" style="278" bestFit="1" customWidth="1"/>
    <col min="4368" max="4368" width="50.140625" style="278" bestFit="1" customWidth="1"/>
    <col min="4369" max="4369" width="41.140625" style="278" bestFit="1" customWidth="1"/>
    <col min="4370" max="4378" width="11.7109375" style="278" customWidth="1"/>
    <col min="4379" max="4379" width="183.42578125" style="278" bestFit="1" customWidth="1"/>
    <col min="4380" max="4380" width="49.5703125" style="278" bestFit="1" customWidth="1"/>
    <col min="4381" max="4381" width="279.5703125" style="278" bestFit="1" customWidth="1"/>
    <col min="4382" max="4608" width="9" style="278"/>
    <col min="4609" max="4609" width="15.140625" style="278" customWidth="1"/>
    <col min="4610" max="4613" width="13.85546875" style="278" customWidth="1"/>
    <col min="4614" max="4615" width="8.85546875" style="278" bestFit="1" customWidth="1"/>
    <col min="4616" max="4616" width="15.140625" style="278" bestFit="1" customWidth="1"/>
    <col min="4617" max="4617" width="24.5703125" style="278" bestFit="1" customWidth="1"/>
    <col min="4618" max="4618" width="23.5703125" style="278" bestFit="1" customWidth="1"/>
    <col min="4619" max="4620" width="25.85546875" style="278" bestFit="1" customWidth="1"/>
    <col min="4621" max="4621" width="62.42578125" style="278" bestFit="1" customWidth="1"/>
    <col min="4622" max="4622" width="42" style="278" bestFit="1" customWidth="1"/>
    <col min="4623" max="4623" width="27.42578125" style="278" bestFit="1" customWidth="1"/>
    <col min="4624" max="4624" width="50.140625" style="278" bestFit="1" customWidth="1"/>
    <col min="4625" max="4625" width="41.140625" style="278" bestFit="1" customWidth="1"/>
    <col min="4626" max="4634" width="11.7109375" style="278" customWidth="1"/>
    <col min="4635" max="4635" width="183.42578125" style="278" bestFit="1" customWidth="1"/>
    <col min="4636" max="4636" width="49.5703125" style="278" bestFit="1" customWidth="1"/>
    <col min="4637" max="4637" width="279.5703125" style="278" bestFit="1" customWidth="1"/>
    <col min="4638" max="4864" width="9" style="278"/>
    <col min="4865" max="4865" width="15.140625" style="278" customWidth="1"/>
    <col min="4866" max="4869" width="13.85546875" style="278" customWidth="1"/>
    <col min="4870" max="4871" width="8.85546875" style="278" bestFit="1" customWidth="1"/>
    <col min="4872" max="4872" width="15.140625" style="278" bestFit="1" customWidth="1"/>
    <col min="4873" max="4873" width="24.5703125" style="278" bestFit="1" customWidth="1"/>
    <col min="4874" max="4874" width="23.5703125" style="278" bestFit="1" customWidth="1"/>
    <col min="4875" max="4876" width="25.85546875" style="278" bestFit="1" customWidth="1"/>
    <col min="4877" max="4877" width="62.42578125" style="278" bestFit="1" customWidth="1"/>
    <col min="4878" max="4878" width="42" style="278" bestFit="1" customWidth="1"/>
    <col min="4879" max="4879" width="27.42578125" style="278" bestFit="1" customWidth="1"/>
    <col min="4880" max="4880" width="50.140625" style="278" bestFit="1" customWidth="1"/>
    <col min="4881" max="4881" width="41.140625" style="278" bestFit="1" customWidth="1"/>
    <col min="4882" max="4890" width="11.7109375" style="278" customWidth="1"/>
    <col min="4891" max="4891" width="183.42578125" style="278" bestFit="1" customWidth="1"/>
    <col min="4892" max="4892" width="49.5703125" style="278" bestFit="1" customWidth="1"/>
    <col min="4893" max="4893" width="279.5703125" style="278" bestFit="1" customWidth="1"/>
    <col min="4894" max="5120" width="9" style="278"/>
    <col min="5121" max="5121" width="15.140625" style="278" customWidth="1"/>
    <col min="5122" max="5125" width="13.85546875" style="278" customWidth="1"/>
    <col min="5126" max="5127" width="8.85546875" style="278" bestFit="1" customWidth="1"/>
    <col min="5128" max="5128" width="15.140625" style="278" bestFit="1" customWidth="1"/>
    <col min="5129" max="5129" width="24.5703125" style="278" bestFit="1" customWidth="1"/>
    <col min="5130" max="5130" width="23.5703125" style="278" bestFit="1" customWidth="1"/>
    <col min="5131" max="5132" width="25.85546875" style="278" bestFit="1" customWidth="1"/>
    <col min="5133" max="5133" width="62.42578125" style="278" bestFit="1" customWidth="1"/>
    <col min="5134" max="5134" width="42" style="278" bestFit="1" customWidth="1"/>
    <col min="5135" max="5135" width="27.42578125" style="278" bestFit="1" customWidth="1"/>
    <col min="5136" max="5136" width="50.140625" style="278" bestFit="1" customWidth="1"/>
    <col min="5137" max="5137" width="41.140625" style="278" bestFit="1" customWidth="1"/>
    <col min="5138" max="5146" width="11.7109375" style="278" customWidth="1"/>
    <col min="5147" max="5147" width="183.42578125" style="278" bestFit="1" customWidth="1"/>
    <col min="5148" max="5148" width="49.5703125" style="278" bestFit="1" customWidth="1"/>
    <col min="5149" max="5149" width="279.5703125" style="278" bestFit="1" customWidth="1"/>
    <col min="5150" max="5376" width="9" style="278"/>
    <col min="5377" max="5377" width="15.140625" style="278" customWidth="1"/>
    <col min="5378" max="5381" width="13.85546875" style="278" customWidth="1"/>
    <col min="5382" max="5383" width="8.85546875" style="278" bestFit="1" customWidth="1"/>
    <col min="5384" max="5384" width="15.140625" style="278" bestFit="1" customWidth="1"/>
    <col min="5385" max="5385" width="24.5703125" style="278" bestFit="1" customWidth="1"/>
    <col min="5386" max="5386" width="23.5703125" style="278" bestFit="1" customWidth="1"/>
    <col min="5387" max="5388" width="25.85546875" style="278" bestFit="1" customWidth="1"/>
    <col min="5389" max="5389" width="62.42578125" style="278" bestFit="1" customWidth="1"/>
    <col min="5390" max="5390" width="42" style="278" bestFit="1" customWidth="1"/>
    <col min="5391" max="5391" width="27.42578125" style="278" bestFit="1" customWidth="1"/>
    <col min="5392" max="5392" width="50.140625" style="278" bestFit="1" customWidth="1"/>
    <col min="5393" max="5393" width="41.140625" style="278" bestFit="1" customWidth="1"/>
    <col min="5394" max="5402" width="11.7109375" style="278" customWidth="1"/>
    <col min="5403" max="5403" width="183.42578125" style="278" bestFit="1" customWidth="1"/>
    <col min="5404" max="5404" width="49.5703125" style="278" bestFit="1" customWidth="1"/>
    <col min="5405" max="5405" width="279.5703125" style="278" bestFit="1" customWidth="1"/>
    <col min="5406" max="5632" width="9" style="278"/>
    <col min="5633" max="5633" width="15.140625" style="278" customWidth="1"/>
    <col min="5634" max="5637" width="13.85546875" style="278" customWidth="1"/>
    <col min="5638" max="5639" width="8.85546875" style="278" bestFit="1" customWidth="1"/>
    <col min="5640" max="5640" width="15.140625" style="278" bestFit="1" customWidth="1"/>
    <col min="5641" max="5641" width="24.5703125" style="278" bestFit="1" customWidth="1"/>
    <col min="5642" max="5642" width="23.5703125" style="278" bestFit="1" customWidth="1"/>
    <col min="5643" max="5644" width="25.85546875" style="278" bestFit="1" customWidth="1"/>
    <col min="5645" max="5645" width="62.42578125" style="278" bestFit="1" customWidth="1"/>
    <col min="5646" max="5646" width="42" style="278" bestFit="1" customWidth="1"/>
    <col min="5647" max="5647" width="27.42578125" style="278" bestFit="1" customWidth="1"/>
    <col min="5648" max="5648" width="50.140625" style="278" bestFit="1" customWidth="1"/>
    <col min="5649" max="5649" width="41.140625" style="278" bestFit="1" customWidth="1"/>
    <col min="5650" max="5658" width="11.7109375" style="278" customWidth="1"/>
    <col min="5659" max="5659" width="183.42578125" style="278" bestFit="1" customWidth="1"/>
    <col min="5660" max="5660" width="49.5703125" style="278" bestFit="1" customWidth="1"/>
    <col min="5661" max="5661" width="279.5703125" style="278" bestFit="1" customWidth="1"/>
    <col min="5662" max="5888" width="9" style="278"/>
    <col min="5889" max="5889" width="15.140625" style="278" customWidth="1"/>
    <col min="5890" max="5893" width="13.85546875" style="278" customWidth="1"/>
    <col min="5894" max="5895" width="8.85546875" style="278" bestFit="1" customWidth="1"/>
    <col min="5896" max="5896" width="15.140625" style="278" bestFit="1" customWidth="1"/>
    <col min="5897" max="5897" width="24.5703125" style="278" bestFit="1" customWidth="1"/>
    <col min="5898" max="5898" width="23.5703125" style="278" bestFit="1" customWidth="1"/>
    <col min="5899" max="5900" width="25.85546875" style="278" bestFit="1" customWidth="1"/>
    <col min="5901" max="5901" width="62.42578125" style="278" bestFit="1" customWidth="1"/>
    <col min="5902" max="5902" width="42" style="278" bestFit="1" customWidth="1"/>
    <col min="5903" max="5903" width="27.42578125" style="278" bestFit="1" customWidth="1"/>
    <col min="5904" max="5904" width="50.140625" style="278" bestFit="1" customWidth="1"/>
    <col min="5905" max="5905" width="41.140625" style="278" bestFit="1" customWidth="1"/>
    <col min="5906" max="5914" width="11.7109375" style="278" customWidth="1"/>
    <col min="5915" max="5915" width="183.42578125" style="278" bestFit="1" customWidth="1"/>
    <col min="5916" max="5916" width="49.5703125" style="278" bestFit="1" customWidth="1"/>
    <col min="5917" max="5917" width="279.5703125" style="278" bestFit="1" customWidth="1"/>
    <col min="5918" max="6144" width="9" style="278"/>
    <col min="6145" max="6145" width="15.140625" style="278" customWidth="1"/>
    <col min="6146" max="6149" width="13.85546875" style="278" customWidth="1"/>
    <col min="6150" max="6151" width="8.85546875" style="278" bestFit="1" customWidth="1"/>
    <col min="6152" max="6152" width="15.140625" style="278" bestFit="1" customWidth="1"/>
    <col min="6153" max="6153" width="24.5703125" style="278" bestFit="1" customWidth="1"/>
    <col min="6154" max="6154" width="23.5703125" style="278" bestFit="1" customWidth="1"/>
    <col min="6155" max="6156" width="25.85546875" style="278" bestFit="1" customWidth="1"/>
    <col min="6157" max="6157" width="62.42578125" style="278" bestFit="1" customWidth="1"/>
    <col min="6158" max="6158" width="42" style="278" bestFit="1" customWidth="1"/>
    <col min="6159" max="6159" width="27.42578125" style="278" bestFit="1" customWidth="1"/>
    <col min="6160" max="6160" width="50.140625" style="278" bestFit="1" customWidth="1"/>
    <col min="6161" max="6161" width="41.140625" style="278" bestFit="1" customWidth="1"/>
    <col min="6162" max="6170" width="11.7109375" style="278" customWidth="1"/>
    <col min="6171" max="6171" width="183.42578125" style="278" bestFit="1" customWidth="1"/>
    <col min="6172" max="6172" width="49.5703125" style="278" bestFit="1" customWidth="1"/>
    <col min="6173" max="6173" width="279.5703125" style="278" bestFit="1" customWidth="1"/>
    <col min="6174" max="6400" width="9" style="278"/>
    <col min="6401" max="6401" width="15.140625" style="278" customWidth="1"/>
    <col min="6402" max="6405" width="13.85546875" style="278" customWidth="1"/>
    <col min="6406" max="6407" width="8.85546875" style="278" bestFit="1" customWidth="1"/>
    <col min="6408" max="6408" width="15.140625" style="278" bestFit="1" customWidth="1"/>
    <col min="6409" max="6409" width="24.5703125" style="278" bestFit="1" customWidth="1"/>
    <col min="6410" max="6410" width="23.5703125" style="278" bestFit="1" customWidth="1"/>
    <col min="6411" max="6412" width="25.85546875" style="278" bestFit="1" customWidth="1"/>
    <col min="6413" max="6413" width="62.42578125" style="278" bestFit="1" customWidth="1"/>
    <col min="6414" max="6414" width="42" style="278" bestFit="1" customWidth="1"/>
    <col min="6415" max="6415" width="27.42578125" style="278" bestFit="1" customWidth="1"/>
    <col min="6416" max="6416" width="50.140625" style="278" bestFit="1" customWidth="1"/>
    <col min="6417" max="6417" width="41.140625" style="278" bestFit="1" customWidth="1"/>
    <col min="6418" max="6426" width="11.7109375" style="278" customWidth="1"/>
    <col min="6427" max="6427" width="183.42578125" style="278" bestFit="1" customWidth="1"/>
    <col min="6428" max="6428" width="49.5703125" style="278" bestFit="1" customWidth="1"/>
    <col min="6429" max="6429" width="279.5703125" style="278" bestFit="1" customWidth="1"/>
    <col min="6430" max="6656" width="9" style="278"/>
    <col min="6657" max="6657" width="15.140625" style="278" customWidth="1"/>
    <col min="6658" max="6661" width="13.85546875" style="278" customWidth="1"/>
    <col min="6662" max="6663" width="8.85546875" style="278" bestFit="1" customWidth="1"/>
    <col min="6664" max="6664" width="15.140625" style="278" bestFit="1" customWidth="1"/>
    <col min="6665" max="6665" width="24.5703125" style="278" bestFit="1" customWidth="1"/>
    <col min="6666" max="6666" width="23.5703125" style="278" bestFit="1" customWidth="1"/>
    <col min="6667" max="6668" width="25.85546875" style="278" bestFit="1" customWidth="1"/>
    <col min="6669" max="6669" width="62.42578125" style="278" bestFit="1" customWidth="1"/>
    <col min="6670" max="6670" width="42" style="278" bestFit="1" customWidth="1"/>
    <col min="6671" max="6671" width="27.42578125" style="278" bestFit="1" customWidth="1"/>
    <col min="6672" max="6672" width="50.140625" style="278" bestFit="1" customWidth="1"/>
    <col min="6673" max="6673" width="41.140625" style="278" bestFit="1" customWidth="1"/>
    <col min="6674" max="6682" width="11.7109375" style="278" customWidth="1"/>
    <col min="6683" max="6683" width="183.42578125" style="278" bestFit="1" customWidth="1"/>
    <col min="6684" max="6684" width="49.5703125" style="278" bestFit="1" customWidth="1"/>
    <col min="6685" max="6685" width="279.5703125" style="278" bestFit="1" customWidth="1"/>
    <col min="6686" max="6912" width="9" style="278"/>
    <col min="6913" max="6913" width="15.140625" style="278" customWidth="1"/>
    <col min="6914" max="6917" width="13.85546875" style="278" customWidth="1"/>
    <col min="6918" max="6919" width="8.85546875" style="278" bestFit="1" customWidth="1"/>
    <col min="6920" max="6920" width="15.140625" style="278" bestFit="1" customWidth="1"/>
    <col min="6921" max="6921" width="24.5703125" style="278" bestFit="1" customWidth="1"/>
    <col min="6922" max="6922" width="23.5703125" style="278" bestFit="1" customWidth="1"/>
    <col min="6923" max="6924" width="25.85546875" style="278" bestFit="1" customWidth="1"/>
    <col min="6925" max="6925" width="62.42578125" style="278" bestFit="1" customWidth="1"/>
    <col min="6926" max="6926" width="42" style="278" bestFit="1" customWidth="1"/>
    <col min="6927" max="6927" width="27.42578125" style="278" bestFit="1" customWidth="1"/>
    <col min="6928" max="6928" width="50.140625" style="278" bestFit="1" customWidth="1"/>
    <col min="6929" max="6929" width="41.140625" style="278" bestFit="1" customWidth="1"/>
    <col min="6930" max="6938" width="11.7109375" style="278" customWidth="1"/>
    <col min="6939" max="6939" width="183.42578125" style="278" bestFit="1" customWidth="1"/>
    <col min="6940" max="6940" width="49.5703125" style="278" bestFit="1" customWidth="1"/>
    <col min="6941" max="6941" width="279.5703125" style="278" bestFit="1" customWidth="1"/>
    <col min="6942" max="7168" width="9" style="278"/>
    <col min="7169" max="7169" width="15.140625" style="278" customWidth="1"/>
    <col min="7170" max="7173" width="13.85546875" style="278" customWidth="1"/>
    <col min="7174" max="7175" width="8.85546875" style="278" bestFit="1" customWidth="1"/>
    <col min="7176" max="7176" width="15.140625" style="278" bestFit="1" customWidth="1"/>
    <col min="7177" max="7177" width="24.5703125" style="278" bestFit="1" customWidth="1"/>
    <col min="7178" max="7178" width="23.5703125" style="278" bestFit="1" customWidth="1"/>
    <col min="7179" max="7180" width="25.85546875" style="278" bestFit="1" customWidth="1"/>
    <col min="7181" max="7181" width="62.42578125" style="278" bestFit="1" customWidth="1"/>
    <col min="7182" max="7182" width="42" style="278" bestFit="1" customWidth="1"/>
    <col min="7183" max="7183" width="27.42578125" style="278" bestFit="1" customWidth="1"/>
    <col min="7184" max="7184" width="50.140625" style="278" bestFit="1" customWidth="1"/>
    <col min="7185" max="7185" width="41.140625" style="278" bestFit="1" customWidth="1"/>
    <col min="7186" max="7194" width="11.7109375" style="278" customWidth="1"/>
    <col min="7195" max="7195" width="183.42578125" style="278" bestFit="1" customWidth="1"/>
    <col min="7196" max="7196" width="49.5703125" style="278" bestFit="1" customWidth="1"/>
    <col min="7197" max="7197" width="279.5703125" style="278" bestFit="1" customWidth="1"/>
    <col min="7198" max="7424" width="9" style="278"/>
    <col min="7425" max="7425" width="15.140625" style="278" customWidth="1"/>
    <col min="7426" max="7429" width="13.85546875" style="278" customWidth="1"/>
    <col min="7430" max="7431" width="8.85546875" style="278" bestFit="1" customWidth="1"/>
    <col min="7432" max="7432" width="15.140625" style="278" bestFit="1" customWidth="1"/>
    <col min="7433" max="7433" width="24.5703125" style="278" bestFit="1" customWidth="1"/>
    <col min="7434" max="7434" width="23.5703125" style="278" bestFit="1" customWidth="1"/>
    <col min="7435" max="7436" width="25.85546875" style="278" bestFit="1" customWidth="1"/>
    <col min="7437" max="7437" width="62.42578125" style="278" bestFit="1" customWidth="1"/>
    <col min="7438" max="7438" width="42" style="278" bestFit="1" customWidth="1"/>
    <col min="7439" max="7439" width="27.42578125" style="278" bestFit="1" customWidth="1"/>
    <col min="7440" max="7440" width="50.140625" style="278" bestFit="1" customWidth="1"/>
    <col min="7441" max="7441" width="41.140625" style="278" bestFit="1" customWidth="1"/>
    <col min="7442" max="7450" width="11.7109375" style="278" customWidth="1"/>
    <col min="7451" max="7451" width="183.42578125" style="278" bestFit="1" customWidth="1"/>
    <col min="7452" max="7452" width="49.5703125" style="278" bestFit="1" customWidth="1"/>
    <col min="7453" max="7453" width="279.5703125" style="278" bestFit="1" customWidth="1"/>
    <col min="7454" max="7680" width="9" style="278"/>
    <col min="7681" max="7681" width="15.140625" style="278" customWidth="1"/>
    <col min="7682" max="7685" width="13.85546875" style="278" customWidth="1"/>
    <col min="7686" max="7687" width="8.85546875" style="278" bestFit="1" customWidth="1"/>
    <col min="7688" max="7688" width="15.140625" style="278" bestFit="1" customWidth="1"/>
    <col min="7689" max="7689" width="24.5703125" style="278" bestFit="1" customWidth="1"/>
    <col min="7690" max="7690" width="23.5703125" style="278" bestFit="1" customWidth="1"/>
    <col min="7691" max="7692" width="25.85546875" style="278" bestFit="1" customWidth="1"/>
    <col min="7693" max="7693" width="62.42578125" style="278" bestFit="1" customWidth="1"/>
    <col min="7694" max="7694" width="42" style="278" bestFit="1" customWidth="1"/>
    <col min="7695" max="7695" width="27.42578125" style="278" bestFit="1" customWidth="1"/>
    <col min="7696" max="7696" width="50.140625" style="278" bestFit="1" customWidth="1"/>
    <col min="7697" max="7697" width="41.140625" style="278" bestFit="1" customWidth="1"/>
    <col min="7698" max="7706" width="11.7109375" style="278" customWidth="1"/>
    <col min="7707" max="7707" width="183.42578125" style="278" bestFit="1" customWidth="1"/>
    <col min="7708" max="7708" width="49.5703125" style="278" bestFit="1" customWidth="1"/>
    <col min="7709" max="7709" width="279.5703125" style="278" bestFit="1" customWidth="1"/>
    <col min="7710" max="7936" width="9" style="278"/>
    <col min="7937" max="7937" width="15.140625" style="278" customWidth="1"/>
    <col min="7938" max="7941" width="13.85546875" style="278" customWidth="1"/>
    <col min="7942" max="7943" width="8.85546875" style="278" bestFit="1" customWidth="1"/>
    <col min="7944" max="7944" width="15.140625" style="278" bestFit="1" customWidth="1"/>
    <col min="7945" max="7945" width="24.5703125" style="278" bestFit="1" customWidth="1"/>
    <col min="7946" max="7946" width="23.5703125" style="278" bestFit="1" customWidth="1"/>
    <col min="7947" max="7948" width="25.85546875" style="278" bestFit="1" customWidth="1"/>
    <col min="7949" max="7949" width="62.42578125" style="278" bestFit="1" customWidth="1"/>
    <col min="7950" max="7950" width="42" style="278" bestFit="1" customWidth="1"/>
    <col min="7951" max="7951" width="27.42578125" style="278" bestFit="1" customWidth="1"/>
    <col min="7952" max="7952" width="50.140625" style="278" bestFit="1" customWidth="1"/>
    <col min="7953" max="7953" width="41.140625" style="278" bestFit="1" customWidth="1"/>
    <col min="7954" max="7962" width="11.7109375" style="278" customWidth="1"/>
    <col min="7963" max="7963" width="183.42578125" style="278" bestFit="1" customWidth="1"/>
    <col min="7964" max="7964" width="49.5703125" style="278" bestFit="1" customWidth="1"/>
    <col min="7965" max="7965" width="279.5703125" style="278" bestFit="1" customWidth="1"/>
    <col min="7966" max="8192" width="9" style="278"/>
    <col min="8193" max="8193" width="15.140625" style="278" customWidth="1"/>
    <col min="8194" max="8197" width="13.85546875" style="278" customWidth="1"/>
    <col min="8198" max="8199" width="8.85546875" style="278" bestFit="1" customWidth="1"/>
    <col min="8200" max="8200" width="15.140625" style="278" bestFit="1" customWidth="1"/>
    <col min="8201" max="8201" width="24.5703125" style="278" bestFit="1" customWidth="1"/>
    <col min="8202" max="8202" width="23.5703125" style="278" bestFit="1" customWidth="1"/>
    <col min="8203" max="8204" width="25.85546875" style="278" bestFit="1" customWidth="1"/>
    <col min="8205" max="8205" width="62.42578125" style="278" bestFit="1" customWidth="1"/>
    <col min="8206" max="8206" width="42" style="278" bestFit="1" customWidth="1"/>
    <col min="8207" max="8207" width="27.42578125" style="278" bestFit="1" customWidth="1"/>
    <col min="8208" max="8208" width="50.140625" style="278" bestFit="1" customWidth="1"/>
    <col min="8209" max="8209" width="41.140625" style="278" bestFit="1" customWidth="1"/>
    <col min="8210" max="8218" width="11.7109375" style="278" customWidth="1"/>
    <col min="8219" max="8219" width="183.42578125" style="278" bestFit="1" customWidth="1"/>
    <col min="8220" max="8220" width="49.5703125" style="278" bestFit="1" customWidth="1"/>
    <col min="8221" max="8221" width="279.5703125" style="278" bestFit="1" customWidth="1"/>
    <col min="8222" max="8448" width="9" style="278"/>
    <col min="8449" max="8449" width="15.140625" style="278" customWidth="1"/>
    <col min="8450" max="8453" width="13.85546875" style="278" customWidth="1"/>
    <col min="8454" max="8455" width="8.85546875" style="278" bestFit="1" customWidth="1"/>
    <col min="8456" max="8456" width="15.140625" style="278" bestFit="1" customWidth="1"/>
    <col min="8457" max="8457" width="24.5703125" style="278" bestFit="1" customWidth="1"/>
    <col min="8458" max="8458" width="23.5703125" style="278" bestFit="1" customWidth="1"/>
    <col min="8459" max="8460" width="25.85546875" style="278" bestFit="1" customWidth="1"/>
    <col min="8461" max="8461" width="62.42578125" style="278" bestFit="1" customWidth="1"/>
    <col min="8462" max="8462" width="42" style="278" bestFit="1" customWidth="1"/>
    <col min="8463" max="8463" width="27.42578125" style="278" bestFit="1" customWidth="1"/>
    <col min="8464" max="8464" width="50.140625" style="278" bestFit="1" customWidth="1"/>
    <col min="8465" max="8465" width="41.140625" style="278" bestFit="1" customWidth="1"/>
    <col min="8466" max="8474" width="11.7109375" style="278" customWidth="1"/>
    <col min="8475" max="8475" width="183.42578125" style="278" bestFit="1" customWidth="1"/>
    <col min="8476" max="8476" width="49.5703125" style="278" bestFit="1" customWidth="1"/>
    <col min="8477" max="8477" width="279.5703125" style="278" bestFit="1" customWidth="1"/>
    <col min="8478" max="8704" width="9" style="278"/>
    <col min="8705" max="8705" width="15.140625" style="278" customWidth="1"/>
    <col min="8706" max="8709" width="13.85546875" style="278" customWidth="1"/>
    <col min="8710" max="8711" width="8.85546875" style="278" bestFit="1" customWidth="1"/>
    <col min="8712" max="8712" width="15.140625" style="278" bestFit="1" customWidth="1"/>
    <col min="8713" max="8713" width="24.5703125" style="278" bestFit="1" customWidth="1"/>
    <col min="8714" max="8714" width="23.5703125" style="278" bestFit="1" customWidth="1"/>
    <col min="8715" max="8716" width="25.85546875" style="278" bestFit="1" customWidth="1"/>
    <col min="8717" max="8717" width="62.42578125" style="278" bestFit="1" customWidth="1"/>
    <col min="8718" max="8718" width="42" style="278" bestFit="1" customWidth="1"/>
    <col min="8719" max="8719" width="27.42578125" style="278" bestFit="1" customWidth="1"/>
    <col min="8720" max="8720" width="50.140625" style="278" bestFit="1" customWidth="1"/>
    <col min="8721" max="8721" width="41.140625" style="278" bestFit="1" customWidth="1"/>
    <col min="8722" max="8730" width="11.7109375" style="278" customWidth="1"/>
    <col min="8731" max="8731" width="183.42578125" style="278" bestFit="1" customWidth="1"/>
    <col min="8732" max="8732" width="49.5703125" style="278" bestFit="1" customWidth="1"/>
    <col min="8733" max="8733" width="279.5703125" style="278" bestFit="1" customWidth="1"/>
    <col min="8734" max="8960" width="9" style="278"/>
    <col min="8961" max="8961" width="15.140625" style="278" customWidth="1"/>
    <col min="8962" max="8965" width="13.85546875" style="278" customWidth="1"/>
    <col min="8966" max="8967" width="8.85546875" style="278" bestFit="1" customWidth="1"/>
    <col min="8968" max="8968" width="15.140625" style="278" bestFit="1" customWidth="1"/>
    <col min="8969" max="8969" width="24.5703125" style="278" bestFit="1" customWidth="1"/>
    <col min="8970" max="8970" width="23.5703125" style="278" bestFit="1" customWidth="1"/>
    <col min="8971" max="8972" width="25.85546875" style="278" bestFit="1" customWidth="1"/>
    <col min="8973" max="8973" width="62.42578125" style="278" bestFit="1" customWidth="1"/>
    <col min="8974" max="8974" width="42" style="278" bestFit="1" customWidth="1"/>
    <col min="8975" max="8975" width="27.42578125" style="278" bestFit="1" customWidth="1"/>
    <col min="8976" max="8976" width="50.140625" style="278" bestFit="1" customWidth="1"/>
    <col min="8977" max="8977" width="41.140625" style="278" bestFit="1" customWidth="1"/>
    <col min="8978" max="8986" width="11.7109375" style="278" customWidth="1"/>
    <col min="8987" max="8987" width="183.42578125" style="278" bestFit="1" customWidth="1"/>
    <col min="8988" max="8988" width="49.5703125" style="278" bestFit="1" customWidth="1"/>
    <col min="8989" max="8989" width="279.5703125" style="278" bestFit="1" customWidth="1"/>
    <col min="8990" max="9216" width="9" style="278"/>
    <col min="9217" max="9217" width="15.140625" style="278" customWidth="1"/>
    <col min="9218" max="9221" width="13.85546875" style="278" customWidth="1"/>
    <col min="9222" max="9223" width="8.85546875" style="278" bestFit="1" customWidth="1"/>
    <col min="9224" max="9224" width="15.140625" style="278" bestFit="1" customWidth="1"/>
    <col min="9225" max="9225" width="24.5703125" style="278" bestFit="1" customWidth="1"/>
    <col min="9226" max="9226" width="23.5703125" style="278" bestFit="1" customWidth="1"/>
    <col min="9227" max="9228" width="25.85546875" style="278" bestFit="1" customWidth="1"/>
    <col min="9229" max="9229" width="62.42578125" style="278" bestFit="1" customWidth="1"/>
    <col min="9230" max="9230" width="42" style="278" bestFit="1" customWidth="1"/>
    <col min="9231" max="9231" width="27.42578125" style="278" bestFit="1" customWidth="1"/>
    <col min="9232" max="9232" width="50.140625" style="278" bestFit="1" customWidth="1"/>
    <col min="9233" max="9233" width="41.140625" style="278" bestFit="1" customWidth="1"/>
    <col min="9234" max="9242" width="11.7109375" style="278" customWidth="1"/>
    <col min="9243" max="9243" width="183.42578125" style="278" bestFit="1" customWidth="1"/>
    <col min="9244" max="9244" width="49.5703125" style="278" bestFit="1" customWidth="1"/>
    <col min="9245" max="9245" width="279.5703125" style="278" bestFit="1" customWidth="1"/>
    <col min="9246" max="9472" width="9" style="278"/>
    <col min="9473" max="9473" width="15.140625" style="278" customWidth="1"/>
    <col min="9474" max="9477" width="13.85546875" style="278" customWidth="1"/>
    <col min="9478" max="9479" width="8.85546875" style="278" bestFit="1" customWidth="1"/>
    <col min="9480" max="9480" width="15.140625" style="278" bestFit="1" customWidth="1"/>
    <col min="9481" max="9481" width="24.5703125" style="278" bestFit="1" customWidth="1"/>
    <col min="9482" max="9482" width="23.5703125" style="278" bestFit="1" customWidth="1"/>
    <col min="9483" max="9484" width="25.85546875" style="278" bestFit="1" customWidth="1"/>
    <col min="9485" max="9485" width="62.42578125" style="278" bestFit="1" customWidth="1"/>
    <col min="9486" max="9486" width="42" style="278" bestFit="1" customWidth="1"/>
    <col min="9487" max="9487" width="27.42578125" style="278" bestFit="1" customWidth="1"/>
    <col min="9488" max="9488" width="50.140625" style="278" bestFit="1" customWidth="1"/>
    <col min="9489" max="9489" width="41.140625" style="278" bestFit="1" customWidth="1"/>
    <col min="9490" max="9498" width="11.7109375" style="278" customWidth="1"/>
    <col min="9499" max="9499" width="183.42578125" style="278" bestFit="1" customWidth="1"/>
    <col min="9500" max="9500" width="49.5703125" style="278" bestFit="1" customWidth="1"/>
    <col min="9501" max="9501" width="279.5703125" style="278" bestFit="1" customWidth="1"/>
    <col min="9502" max="9728" width="9" style="278"/>
    <col min="9729" max="9729" width="15.140625" style="278" customWidth="1"/>
    <col min="9730" max="9733" width="13.85546875" style="278" customWidth="1"/>
    <col min="9734" max="9735" width="8.85546875" style="278" bestFit="1" customWidth="1"/>
    <col min="9736" max="9736" width="15.140625" style="278" bestFit="1" customWidth="1"/>
    <col min="9737" max="9737" width="24.5703125" style="278" bestFit="1" customWidth="1"/>
    <col min="9738" max="9738" width="23.5703125" style="278" bestFit="1" customWidth="1"/>
    <col min="9739" max="9740" width="25.85546875" style="278" bestFit="1" customWidth="1"/>
    <col min="9741" max="9741" width="62.42578125" style="278" bestFit="1" customWidth="1"/>
    <col min="9742" max="9742" width="42" style="278" bestFit="1" customWidth="1"/>
    <col min="9743" max="9743" width="27.42578125" style="278" bestFit="1" customWidth="1"/>
    <col min="9744" max="9744" width="50.140625" style="278" bestFit="1" customWidth="1"/>
    <col min="9745" max="9745" width="41.140625" style="278" bestFit="1" customWidth="1"/>
    <col min="9746" max="9754" width="11.7109375" style="278" customWidth="1"/>
    <col min="9755" max="9755" width="183.42578125" style="278" bestFit="1" customWidth="1"/>
    <col min="9756" max="9756" width="49.5703125" style="278" bestFit="1" customWidth="1"/>
    <col min="9757" max="9757" width="279.5703125" style="278" bestFit="1" customWidth="1"/>
    <col min="9758" max="9984" width="9" style="278"/>
    <col min="9985" max="9985" width="15.140625" style="278" customWidth="1"/>
    <col min="9986" max="9989" width="13.85546875" style="278" customWidth="1"/>
    <col min="9990" max="9991" width="8.85546875" style="278" bestFit="1" customWidth="1"/>
    <col min="9992" max="9992" width="15.140625" style="278" bestFit="1" customWidth="1"/>
    <col min="9993" max="9993" width="24.5703125" style="278" bestFit="1" customWidth="1"/>
    <col min="9994" max="9994" width="23.5703125" style="278" bestFit="1" customWidth="1"/>
    <col min="9995" max="9996" width="25.85546875" style="278" bestFit="1" customWidth="1"/>
    <col min="9997" max="9997" width="62.42578125" style="278" bestFit="1" customWidth="1"/>
    <col min="9998" max="9998" width="42" style="278" bestFit="1" customWidth="1"/>
    <col min="9999" max="9999" width="27.42578125" style="278" bestFit="1" customWidth="1"/>
    <col min="10000" max="10000" width="50.140625" style="278" bestFit="1" customWidth="1"/>
    <col min="10001" max="10001" width="41.140625" style="278" bestFit="1" customWidth="1"/>
    <col min="10002" max="10010" width="11.7109375" style="278" customWidth="1"/>
    <col min="10011" max="10011" width="183.42578125" style="278" bestFit="1" customWidth="1"/>
    <col min="10012" max="10012" width="49.5703125" style="278" bestFit="1" customWidth="1"/>
    <col min="10013" max="10013" width="279.5703125" style="278" bestFit="1" customWidth="1"/>
    <col min="10014" max="10240" width="9" style="278"/>
    <col min="10241" max="10241" width="15.140625" style="278" customWidth="1"/>
    <col min="10242" max="10245" width="13.85546875" style="278" customWidth="1"/>
    <col min="10246" max="10247" width="8.85546875" style="278" bestFit="1" customWidth="1"/>
    <col min="10248" max="10248" width="15.140625" style="278" bestFit="1" customWidth="1"/>
    <col min="10249" max="10249" width="24.5703125" style="278" bestFit="1" customWidth="1"/>
    <col min="10250" max="10250" width="23.5703125" style="278" bestFit="1" customWidth="1"/>
    <col min="10251" max="10252" width="25.85546875" style="278" bestFit="1" customWidth="1"/>
    <col min="10253" max="10253" width="62.42578125" style="278" bestFit="1" customWidth="1"/>
    <col min="10254" max="10254" width="42" style="278" bestFit="1" customWidth="1"/>
    <col min="10255" max="10255" width="27.42578125" style="278" bestFit="1" customWidth="1"/>
    <col min="10256" max="10256" width="50.140625" style="278" bestFit="1" customWidth="1"/>
    <col min="10257" max="10257" width="41.140625" style="278" bestFit="1" customWidth="1"/>
    <col min="10258" max="10266" width="11.7109375" style="278" customWidth="1"/>
    <col min="10267" max="10267" width="183.42578125" style="278" bestFit="1" customWidth="1"/>
    <col min="10268" max="10268" width="49.5703125" style="278" bestFit="1" customWidth="1"/>
    <col min="10269" max="10269" width="279.5703125" style="278" bestFit="1" customWidth="1"/>
    <col min="10270" max="10496" width="9" style="278"/>
    <col min="10497" max="10497" width="15.140625" style="278" customWidth="1"/>
    <col min="10498" max="10501" width="13.85546875" style="278" customWidth="1"/>
    <col min="10502" max="10503" width="8.85546875" style="278" bestFit="1" customWidth="1"/>
    <col min="10504" max="10504" width="15.140625" style="278" bestFit="1" customWidth="1"/>
    <col min="10505" max="10505" width="24.5703125" style="278" bestFit="1" customWidth="1"/>
    <col min="10506" max="10506" width="23.5703125" style="278" bestFit="1" customWidth="1"/>
    <col min="10507" max="10508" width="25.85546875" style="278" bestFit="1" customWidth="1"/>
    <col min="10509" max="10509" width="62.42578125" style="278" bestFit="1" customWidth="1"/>
    <col min="10510" max="10510" width="42" style="278" bestFit="1" customWidth="1"/>
    <col min="10511" max="10511" width="27.42578125" style="278" bestFit="1" customWidth="1"/>
    <col min="10512" max="10512" width="50.140625" style="278" bestFit="1" customWidth="1"/>
    <col min="10513" max="10513" width="41.140625" style="278" bestFit="1" customWidth="1"/>
    <col min="10514" max="10522" width="11.7109375" style="278" customWidth="1"/>
    <col min="10523" max="10523" width="183.42578125" style="278" bestFit="1" customWidth="1"/>
    <col min="10524" max="10524" width="49.5703125" style="278" bestFit="1" customWidth="1"/>
    <col min="10525" max="10525" width="279.5703125" style="278" bestFit="1" customWidth="1"/>
    <col min="10526" max="10752" width="9" style="278"/>
    <col min="10753" max="10753" width="15.140625" style="278" customWidth="1"/>
    <col min="10754" max="10757" width="13.85546875" style="278" customWidth="1"/>
    <col min="10758" max="10759" width="8.85546875" style="278" bestFit="1" customWidth="1"/>
    <col min="10760" max="10760" width="15.140625" style="278" bestFit="1" customWidth="1"/>
    <col min="10761" max="10761" width="24.5703125" style="278" bestFit="1" customWidth="1"/>
    <col min="10762" max="10762" width="23.5703125" style="278" bestFit="1" customWidth="1"/>
    <col min="10763" max="10764" width="25.85546875" style="278" bestFit="1" customWidth="1"/>
    <col min="10765" max="10765" width="62.42578125" style="278" bestFit="1" customWidth="1"/>
    <col min="10766" max="10766" width="42" style="278" bestFit="1" customWidth="1"/>
    <col min="10767" max="10767" width="27.42578125" style="278" bestFit="1" customWidth="1"/>
    <col min="10768" max="10768" width="50.140625" style="278" bestFit="1" customWidth="1"/>
    <col min="10769" max="10769" width="41.140625" style="278" bestFit="1" customWidth="1"/>
    <col min="10770" max="10778" width="11.7109375" style="278" customWidth="1"/>
    <col min="10779" max="10779" width="183.42578125" style="278" bestFit="1" customWidth="1"/>
    <col min="10780" max="10780" width="49.5703125" style="278" bestFit="1" customWidth="1"/>
    <col min="10781" max="10781" width="279.5703125" style="278" bestFit="1" customWidth="1"/>
    <col min="10782" max="11008" width="9" style="278"/>
    <col min="11009" max="11009" width="15.140625" style="278" customWidth="1"/>
    <col min="11010" max="11013" width="13.85546875" style="278" customWidth="1"/>
    <col min="11014" max="11015" width="8.85546875" style="278" bestFit="1" customWidth="1"/>
    <col min="11016" max="11016" width="15.140625" style="278" bestFit="1" customWidth="1"/>
    <col min="11017" max="11017" width="24.5703125" style="278" bestFit="1" customWidth="1"/>
    <col min="11018" max="11018" width="23.5703125" style="278" bestFit="1" customWidth="1"/>
    <col min="11019" max="11020" width="25.85546875" style="278" bestFit="1" customWidth="1"/>
    <col min="11021" max="11021" width="62.42578125" style="278" bestFit="1" customWidth="1"/>
    <col min="11022" max="11022" width="42" style="278" bestFit="1" customWidth="1"/>
    <col min="11023" max="11023" width="27.42578125" style="278" bestFit="1" customWidth="1"/>
    <col min="11024" max="11024" width="50.140625" style="278" bestFit="1" customWidth="1"/>
    <col min="11025" max="11025" width="41.140625" style="278" bestFit="1" customWidth="1"/>
    <col min="11026" max="11034" width="11.7109375" style="278" customWidth="1"/>
    <col min="11035" max="11035" width="183.42578125" style="278" bestFit="1" customWidth="1"/>
    <col min="11036" max="11036" width="49.5703125" style="278" bestFit="1" customWidth="1"/>
    <col min="11037" max="11037" width="279.5703125" style="278" bestFit="1" customWidth="1"/>
    <col min="11038" max="11264" width="9" style="278"/>
    <col min="11265" max="11265" width="15.140625" style="278" customWidth="1"/>
    <col min="11266" max="11269" width="13.85546875" style="278" customWidth="1"/>
    <col min="11270" max="11271" width="8.85546875" style="278" bestFit="1" customWidth="1"/>
    <col min="11272" max="11272" width="15.140625" style="278" bestFit="1" customWidth="1"/>
    <col min="11273" max="11273" width="24.5703125" style="278" bestFit="1" customWidth="1"/>
    <col min="11274" max="11274" width="23.5703125" style="278" bestFit="1" customWidth="1"/>
    <col min="11275" max="11276" width="25.85546875" style="278" bestFit="1" customWidth="1"/>
    <col min="11277" max="11277" width="62.42578125" style="278" bestFit="1" customWidth="1"/>
    <col min="11278" max="11278" width="42" style="278" bestFit="1" customWidth="1"/>
    <col min="11279" max="11279" width="27.42578125" style="278" bestFit="1" customWidth="1"/>
    <col min="11280" max="11280" width="50.140625" style="278" bestFit="1" customWidth="1"/>
    <col min="11281" max="11281" width="41.140625" style="278" bestFit="1" customWidth="1"/>
    <col min="11282" max="11290" width="11.7109375" style="278" customWidth="1"/>
    <col min="11291" max="11291" width="183.42578125" style="278" bestFit="1" customWidth="1"/>
    <col min="11292" max="11292" width="49.5703125" style="278" bestFit="1" customWidth="1"/>
    <col min="11293" max="11293" width="279.5703125" style="278" bestFit="1" customWidth="1"/>
    <col min="11294" max="11520" width="9" style="278"/>
    <col min="11521" max="11521" width="15.140625" style="278" customWidth="1"/>
    <col min="11522" max="11525" width="13.85546875" style="278" customWidth="1"/>
    <col min="11526" max="11527" width="8.85546875" style="278" bestFit="1" customWidth="1"/>
    <col min="11528" max="11528" width="15.140625" style="278" bestFit="1" customWidth="1"/>
    <col min="11529" max="11529" width="24.5703125" style="278" bestFit="1" customWidth="1"/>
    <col min="11530" max="11530" width="23.5703125" style="278" bestFit="1" customWidth="1"/>
    <col min="11531" max="11532" width="25.85546875" style="278" bestFit="1" customWidth="1"/>
    <col min="11533" max="11533" width="62.42578125" style="278" bestFit="1" customWidth="1"/>
    <col min="11534" max="11534" width="42" style="278" bestFit="1" customWidth="1"/>
    <col min="11535" max="11535" width="27.42578125" style="278" bestFit="1" customWidth="1"/>
    <col min="11536" max="11536" width="50.140625" style="278" bestFit="1" customWidth="1"/>
    <col min="11537" max="11537" width="41.140625" style="278" bestFit="1" customWidth="1"/>
    <col min="11538" max="11546" width="11.7109375" style="278" customWidth="1"/>
    <col min="11547" max="11547" width="183.42578125" style="278" bestFit="1" customWidth="1"/>
    <col min="11548" max="11548" width="49.5703125" style="278" bestFit="1" customWidth="1"/>
    <col min="11549" max="11549" width="279.5703125" style="278" bestFit="1" customWidth="1"/>
    <col min="11550" max="11776" width="9" style="278"/>
    <col min="11777" max="11777" width="15.140625" style="278" customWidth="1"/>
    <col min="11778" max="11781" width="13.85546875" style="278" customWidth="1"/>
    <col min="11782" max="11783" width="8.85546875" style="278" bestFit="1" customWidth="1"/>
    <col min="11784" max="11784" width="15.140625" style="278" bestFit="1" customWidth="1"/>
    <col min="11785" max="11785" width="24.5703125" style="278" bestFit="1" customWidth="1"/>
    <col min="11786" max="11786" width="23.5703125" style="278" bestFit="1" customWidth="1"/>
    <col min="11787" max="11788" width="25.85546875" style="278" bestFit="1" customWidth="1"/>
    <col min="11789" max="11789" width="62.42578125" style="278" bestFit="1" customWidth="1"/>
    <col min="11790" max="11790" width="42" style="278" bestFit="1" customWidth="1"/>
    <col min="11791" max="11791" width="27.42578125" style="278" bestFit="1" customWidth="1"/>
    <col min="11792" max="11792" width="50.140625" style="278" bestFit="1" customWidth="1"/>
    <col min="11793" max="11793" width="41.140625" style="278" bestFit="1" customWidth="1"/>
    <col min="11794" max="11802" width="11.7109375" style="278" customWidth="1"/>
    <col min="11803" max="11803" width="183.42578125" style="278" bestFit="1" customWidth="1"/>
    <col min="11804" max="11804" width="49.5703125" style="278" bestFit="1" customWidth="1"/>
    <col min="11805" max="11805" width="279.5703125" style="278" bestFit="1" customWidth="1"/>
    <col min="11806" max="12032" width="9" style="278"/>
    <col min="12033" max="12033" width="15.140625" style="278" customWidth="1"/>
    <col min="12034" max="12037" width="13.85546875" style="278" customWidth="1"/>
    <col min="12038" max="12039" width="8.85546875" style="278" bestFit="1" customWidth="1"/>
    <col min="12040" max="12040" width="15.140625" style="278" bestFit="1" customWidth="1"/>
    <col min="12041" max="12041" width="24.5703125" style="278" bestFit="1" customWidth="1"/>
    <col min="12042" max="12042" width="23.5703125" style="278" bestFit="1" customWidth="1"/>
    <col min="12043" max="12044" width="25.85546875" style="278" bestFit="1" customWidth="1"/>
    <col min="12045" max="12045" width="62.42578125" style="278" bestFit="1" customWidth="1"/>
    <col min="12046" max="12046" width="42" style="278" bestFit="1" customWidth="1"/>
    <col min="12047" max="12047" width="27.42578125" style="278" bestFit="1" customWidth="1"/>
    <col min="12048" max="12048" width="50.140625" style="278" bestFit="1" customWidth="1"/>
    <col min="12049" max="12049" width="41.140625" style="278" bestFit="1" customWidth="1"/>
    <col min="12050" max="12058" width="11.7109375" style="278" customWidth="1"/>
    <col min="12059" max="12059" width="183.42578125" style="278" bestFit="1" customWidth="1"/>
    <col min="12060" max="12060" width="49.5703125" style="278" bestFit="1" customWidth="1"/>
    <col min="12061" max="12061" width="279.5703125" style="278" bestFit="1" customWidth="1"/>
    <col min="12062" max="12288" width="9" style="278"/>
    <col min="12289" max="12289" width="15.140625" style="278" customWidth="1"/>
    <col min="12290" max="12293" width="13.85546875" style="278" customWidth="1"/>
    <col min="12294" max="12295" width="8.85546875" style="278" bestFit="1" customWidth="1"/>
    <col min="12296" max="12296" width="15.140625" style="278" bestFit="1" customWidth="1"/>
    <col min="12297" max="12297" width="24.5703125" style="278" bestFit="1" customWidth="1"/>
    <col min="12298" max="12298" width="23.5703125" style="278" bestFit="1" customWidth="1"/>
    <col min="12299" max="12300" width="25.85546875" style="278" bestFit="1" customWidth="1"/>
    <col min="12301" max="12301" width="62.42578125" style="278" bestFit="1" customWidth="1"/>
    <col min="12302" max="12302" width="42" style="278" bestFit="1" customWidth="1"/>
    <col min="12303" max="12303" width="27.42578125" style="278" bestFit="1" customWidth="1"/>
    <col min="12304" max="12304" width="50.140625" style="278" bestFit="1" customWidth="1"/>
    <col min="12305" max="12305" width="41.140625" style="278" bestFit="1" customWidth="1"/>
    <col min="12306" max="12314" width="11.7109375" style="278" customWidth="1"/>
    <col min="12315" max="12315" width="183.42578125" style="278" bestFit="1" customWidth="1"/>
    <col min="12316" max="12316" width="49.5703125" style="278" bestFit="1" customWidth="1"/>
    <col min="12317" max="12317" width="279.5703125" style="278" bestFit="1" customWidth="1"/>
    <col min="12318" max="12544" width="9" style="278"/>
    <col min="12545" max="12545" width="15.140625" style="278" customWidth="1"/>
    <col min="12546" max="12549" width="13.85546875" style="278" customWidth="1"/>
    <col min="12550" max="12551" width="8.85546875" style="278" bestFit="1" customWidth="1"/>
    <col min="12552" max="12552" width="15.140625" style="278" bestFit="1" customWidth="1"/>
    <col min="12553" max="12553" width="24.5703125" style="278" bestFit="1" customWidth="1"/>
    <col min="12554" max="12554" width="23.5703125" style="278" bestFit="1" customWidth="1"/>
    <col min="12555" max="12556" width="25.85546875" style="278" bestFit="1" customWidth="1"/>
    <col min="12557" max="12557" width="62.42578125" style="278" bestFit="1" customWidth="1"/>
    <col min="12558" max="12558" width="42" style="278" bestFit="1" customWidth="1"/>
    <col min="12559" max="12559" width="27.42578125" style="278" bestFit="1" customWidth="1"/>
    <col min="12560" max="12560" width="50.140625" style="278" bestFit="1" customWidth="1"/>
    <col min="12561" max="12561" width="41.140625" style="278" bestFit="1" customWidth="1"/>
    <col min="12562" max="12570" width="11.7109375" style="278" customWidth="1"/>
    <col min="12571" max="12571" width="183.42578125" style="278" bestFit="1" customWidth="1"/>
    <col min="12572" max="12572" width="49.5703125" style="278" bestFit="1" customWidth="1"/>
    <col min="12573" max="12573" width="279.5703125" style="278" bestFit="1" customWidth="1"/>
    <col min="12574" max="12800" width="9" style="278"/>
    <col min="12801" max="12801" width="15.140625" style="278" customWidth="1"/>
    <col min="12802" max="12805" width="13.85546875" style="278" customWidth="1"/>
    <col min="12806" max="12807" width="8.85546875" style="278" bestFit="1" customWidth="1"/>
    <col min="12808" max="12808" width="15.140625" style="278" bestFit="1" customWidth="1"/>
    <col min="12809" max="12809" width="24.5703125" style="278" bestFit="1" customWidth="1"/>
    <col min="12810" max="12810" width="23.5703125" style="278" bestFit="1" customWidth="1"/>
    <col min="12811" max="12812" width="25.85546875" style="278" bestFit="1" customWidth="1"/>
    <col min="12813" max="12813" width="62.42578125" style="278" bestFit="1" customWidth="1"/>
    <col min="12814" max="12814" width="42" style="278" bestFit="1" customWidth="1"/>
    <col min="12815" max="12815" width="27.42578125" style="278" bestFit="1" customWidth="1"/>
    <col min="12816" max="12816" width="50.140625" style="278" bestFit="1" customWidth="1"/>
    <col min="12817" max="12817" width="41.140625" style="278" bestFit="1" customWidth="1"/>
    <col min="12818" max="12826" width="11.7109375" style="278" customWidth="1"/>
    <col min="12827" max="12827" width="183.42578125" style="278" bestFit="1" customWidth="1"/>
    <col min="12828" max="12828" width="49.5703125" style="278" bestFit="1" customWidth="1"/>
    <col min="12829" max="12829" width="279.5703125" style="278" bestFit="1" customWidth="1"/>
    <col min="12830" max="13056" width="9" style="278"/>
    <col min="13057" max="13057" width="15.140625" style="278" customWidth="1"/>
    <col min="13058" max="13061" width="13.85546875" style="278" customWidth="1"/>
    <col min="13062" max="13063" width="8.85546875" style="278" bestFit="1" customWidth="1"/>
    <col min="13064" max="13064" width="15.140625" style="278" bestFit="1" customWidth="1"/>
    <col min="13065" max="13065" width="24.5703125" style="278" bestFit="1" customWidth="1"/>
    <col min="13066" max="13066" width="23.5703125" style="278" bestFit="1" customWidth="1"/>
    <col min="13067" max="13068" width="25.85546875" style="278" bestFit="1" customWidth="1"/>
    <col min="13069" max="13069" width="62.42578125" style="278" bestFit="1" customWidth="1"/>
    <col min="13070" max="13070" width="42" style="278" bestFit="1" customWidth="1"/>
    <col min="13071" max="13071" width="27.42578125" style="278" bestFit="1" customWidth="1"/>
    <col min="13072" max="13072" width="50.140625" style="278" bestFit="1" customWidth="1"/>
    <col min="13073" max="13073" width="41.140625" style="278" bestFit="1" customWidth="1"/>
    <col min="13074" max="13082" width="11.7109375" style="278" customWidth="1"/>
    <col min="13083" max="13083" width="183.42578125" style="278" bestFit="1" customWidth="1"/>
    <col min="13084" max="13084" width="49.5703125" style="278" bestFit="1" customWidth="1"/>
    <col min="13085" max="13085" width="279.5703125" style="278" bestFit="1" customWidth="1"/>
    <col min="13086" max="13312" width="9" style="278"/>
    <col min="13313" max="13313" width="15.140625" style="278" customWidth="1"/>
    <col min="13314" max="13317" width="13.85546875" style="278" customWidth="1"/>
    <col min="13318" max="13319" width="8.85546875" style="278" bestFit="1" customWidth="1"/>
    <col min="13320" max="13320" width="15.140625" style="278" bestFit="1" customWidth="1"/>
    <col min="13321" max="13321" width="24.5703125" style="278" bestFit="1" customWidth="1"/>
    <col min="13322" max="13322" width="23.5703125" style="278" bestFit="1" customWidth="1"/>
    <col min="13323" max="13324" width="25.85546875" style="278" bestFit="1" customWidth="1"/>
    <col min="13325" max="13325" width="62.42578125" style="278" bestFit="1" customWidth="1"/>
    <col min="13326" max="13326" width="42" style="278" bestFit="1" customWidth="1"/>
    <col min="13327" max="13327" width="27.42578125" style="278" bestFit="1" customWidth="1"/>
    <col min="13328" max="13328" width="50.140625" style="278" bestFit="1" customWidth="1"/>
    <col min="13329" max="13329" width="41.140625" style="278" bestFit="1" customWidth="1"/>
    <col min="13330" max="13338" width="11.7109375" style="278" customWidth="1"/>
    <col min="13339" max="13339" width="183.42578125" style="278" bestFit="1" customWidth="1"/>
    <col min="13340" max="13340" width="49.5703125" style="278" bestFit="1" customWidth="1"/>
    <col min="13341" max="13341" width="279.5703125" style="278" bestFit="1" customWidth="1"/>
    <col min="13342" max="13568" width="9" style="278"/>
    <col min="13569" max="13569" width="15.140625" style="278" customWidth="1"/>
    <col min="13570" max="13573" width="13.85546875" style="278" customWidth="1"/>
    <col min="13574" max="13575" width="8.85546875" style="278" bestFit="1" customWidth="1"/>
    <col min="13576" max="13576" width="15.140625" style="278" bestFit="1" customWidth="1"/>
    <col min="13577" max="13577" width="24.5703125" style="278" bestFit="1" customWidth="1"/>
    <col min="13578" max="13578" width="23.5703125" style="278" bestFit="1" customWidth="1"/>
    <col min="13579" max="13580" width="25.85546875" style="278" bestFit="1" customWidth="1"/>
    <col min="13581" max="13581" width="62.42578125" style="278" bestFit="1" customWidth="1"/>
    <col min="13582" max="13582" width="42" style="278" bestFit="1" customWidth="1"/>
    <col min="13583" max="13583" width="27.42578125" style="278" bestFit="1" customWidth="1"/>
    <col min="13584" max="13584" width="50.140625" style="278" bestFit="1" customWidth="1"/>
    <col min="13585" max="13585" width="41.140625" style="278" bestFit="1" customWidth="1"/>
    <col min="13586" max="13594" width="11.7109375" style="278" customWidth="1"/>
    <col min="13595" max="13595" width="183.42578125" style="278" bestFit="1" customWidth="1"/>
    <col min="13596" max="13596" width="49.5703125" style="278" bestFit="1" customWidth="1"/>
    <col min="13597" max="13597" width="279.5703125" style="278" bestFit="1" customWidth="1"/>
    <col min="13598" max="13824" width="9" style="278"/>
    <col min="13825" max="13825" width="15.140625" style="278" customWidth="1"/>
    <col min="13826" max="13829" width="13.85546875" style="278" customWidth="1"/>
    <col min="13830" max="13831" width="8.85546875" style="278" bestFit="1" customWidth="1"/>
    <col min="13832" max="13832" width="15.140625" style="278" bestFit="1" customWidth="1"/>
    <col min="13833" max="13833" width="24.5703125" style="278" bestFit="1" customWidth="1"/>
    <col min="13834" max="13834" width="23.5703125" style="278" bestFit="1" customWidth="1"/>
    <col min="13835" max="13836" width="25.85546875" style="278" bestFit="1" customWidth="1"/>
    <col min="13837" max="13837" width="62.42578125" style="278" bestFit="1" customWidth="1"/>
    <col min="13838" max="13838" width="42" style="278" bestFit="1" customWidth="1"/>
    <col min="13839" max="13839" width="27.42578125" style="278" bestFit="1" customWidth="1"/>
    <col min="13840" max="13840" width="50.140625" style="278" bestFit="1" customWidth="1"/>
    <col min="13841" max="13841" width="41.140625" style="278" bestFit="1" customWidth="1"/>
    <col min="13842" max="13850" width="11.7109375" style="278" customWidth="1"/>
    <col min="13851" max="13851" width="183.42578125" style="278" bestFit="1" customWidth="1"/>
    <col min="13852" max="13852" width="49.5703125" style="278" bestFit="1" customWidth="1"/>
    <col min="13853" max="13853" width="279.5703125" style="278" bestFit="1" customWidth="1"/>
    <col min="13854" max="14080" width="9" style="278"/>
    <col min="14081" max="14081" width="15.140625" style="278" customWidth="1"/>
    <col min="14082" max="14085" width="13.85546875" style="278" customWidth="1"/>
    <col min="14086" max="14087" width="8.85546875" style="278" bestFit="1" customWidth="1"/>
    <col min="14088" max="14088" width="15.140625" style="278" bestFit="1" customWidth="1"/>
    <col min="14089" max="14089" width="24.5703125" style="278" bestFit="1" customWidth="1"/>
    <col min="14090" max="14090" width="23.5703125" style="278" bestFit="1" customWidth="1"/>
    <col min="14091" max="14092" width="25.85546875" style="278" bestFit="1" customWidth="1"/>
    <col min="14093" max="14093" width="62.42578125" style="278" bestFit="1" customWidth="1"/>
    <col min="14094" max="14094" width="42" style="278" bestFit="1" customWidth="1"/>
    <col min="14095" max="14095" width="27.42578125" style="278" bestFit="1" customWidth="1"/>
    <col min="14096" max="14096" width="50.140625" style="278" bestFit="1" customWidth="1"/>
    <col min="14097" max="14097" width="41.140625" style="278" bestFit="1" customWidth="1"/>
    <col min="14098" max="14106" width="11.7109375" style="278" customWidth="1"/>
    <col min="14107" max="14107" width="183.42578125" style="278" bestFit="1" customWidth="1"/>
    <col min="14108" max="14108" width="49.5703125" style="278" bestFit="1" customWidth="1"/>
    <col min="14109" max="14109" width="279.5703125" style="278" bestFit="1" customWidth="1"/>
    <col min="14110" max="14336" width="9" style="278"/>
    <col min="14337" max="14337" width="15.140625" style="278" customWidth="1"/>
    <col min="14338" max="14341" width="13.85546875" style="278" customWidth="1"/>
    <col min="14342" max="14343" width="8.85546875" style="278" bestFit="1" customWidth="1"/>
    <col min="14344" max="14344" width="15.140625" style="278" bestFit="1" customWidth="1"/>
    <col min="14345" max="14345" width="24.5703125" style="278" bestFit="1" customWidth="1"/>
    <col min="14346" max="14346" width="23.5703125" style="278" bestFit="1" customWidth="1"/>
    <col min="14347" max="14348" width="25.85546875" style="278" bestFit="1" customWidth="1"/>
    <col min="14349" max="14349" width="62.42578125" style="278" bestFit="1" customWidth="1"/>
    <col min="14350" max="14350" width="42" style="278" bestFit="1" customWidth="1"/>
    <col min="14351" max="14351" width="27.42578125" style="278" bestFit="1" customWidth="1"/>
    <col min="14352" max="14352" width="50.140625" style="278" bestFit="1" customWidth="1"/>
    <col min="14353" max="14353" width="41.140625" style="278" bestFit="1" customWidth="1"/>
    <col min="14354" max="14362" width="11.7109375" style="278" customWidth="1"/>
    <col min="14363" max="14363" width="183.42578125" style="278" bestFit="1" customWidth="1"/>
    <col min="14364" max="14364" width="49.5703125" style="278" bestFit="1" customWidth="1"/>
    <col min="14365" max="14365" width="279.5703125" style="278" bestFit="1" customWidth="1"/>
    <col min="14366" max="14592" width="9" style="278"/>
    <col min="14593" max="14593" width="15.140625" style="278" customWidth="1"/>
    <col min="14594" max="14597" width="13.85546875" style="278" customWidth="1"/>
    <col min="14598" max="14599" width="8.85546875" style="278" bestFit="1" customWidth="1"/>
    <col min="14600" max="14600" width="15.140625" style="278" bestFit="1" customWidth="1"/>
    <col min="14601" max="14601" width="24.5703125" style="278" bestFit="1" customWidth="1"/>
    <col min="14602" max="14602" width="23.5703125" style="278" bestFit="1" customWidth="1"/>
    <col min="14603" max="14604" width="25.85546875" style="278" bestFit="1" customWidth="1"/>
    <col min="14605" max="14605" width="62.42578125" style="278" bestFit="1" customWidth="1"/>
    <col min="14606" max="14606" width="42" style="278" bestFit="1" customWidth="1"/>
    <col min="14607" max="14607" width="27.42578125" style="278" bestFit="1" customWidth="1"/>
    <col min="14608" max="14608" width="50.140625" style="278" bestFit="1" customWidth="1"/>
    <col min="14609" max="14609" width="41.140625" style="278" bestFit="1" customWidth="1"/>
    <col min="14610" max="14618" width="11.7109375" style="278" customWidth="1"/>
    <col min="14619" max="14619" width="183.42578125" style="278" bestFit="1" customWidth="1"/>
    <col min="14620" max="14620" width="49.5703125" style="278" bestFit="1" customWidth="1"/>
    <col min="14621" max="14621" width="279.5703125" style="278" bestFit="1" customWidth="1"/>
    <col min="14622" max="14848" width="9" style="278"/>
    <col min="14849" max="14849" width="15.140625" style="278" customWidth="1"/>
    <col min="14850" max="14853" width="13.85546875" style="278" customWidth="1"/>
    <col min="14854" max="14855" width="8.85546875" style="278" bestFit="1" customWidth="1"/>
    <col min="14856" max="14856" width="15.140625" style="278" bestFit="1" customWidth="1"/>
    <col min="14857" max="14857" width="24.5703125" style="278" bestFit="1" customWidth="1"/>
    <col min="14858" max="14858" width="23.5703125" style="278" bestFit="1" customWidth="1"/>
    <col min="14859" max="14860" width="25.85546875" style="278" bestFit="1" customWidth="1"/>
    <col min="14861" max="14861" width="62.42578125" style="278" bestFit="1" customWidth="1"/>
    <col min="14862" max="14862" width="42" style="278" bestFit="1" customWidth="1"/>
    <col min="14863" max="14863" width="27.42578125" style="278" bestFit="1" customWidth="1"/>
    <col min="14864" max="14864" width="50.140625" style="278" bestFit="1" customWidth="1"/>
    <col min="14865" max="14865" width="41.140625" style="278" bestFit="1" customWidth="1"/>
    <col min="14866" max="14874" width="11.7109375" style="278" customWidth="1"/>
    <col min="14875" max="14875" width="183.42578125" style="278" bestFit="1" customWidth="1"/>
    <col min="14876" max="14876" width="49.5703125" style="278" bestFit="1" customWidth="1"/>
    <col min="14877" max="14877" width="279.5703125" style="278" bestFit="1" customWidth="1"/>
    <col min="14878" max="15104" width="9" style="278"/>
    <col min="15105" max="15105" width="15.140625" style="278" customWidth="1"/>
    <col min="15106" max="15109" width="13.85546875" style="278" customWidth="1"/>
    <col min="15110" max="15111" width="8.85546875" style="278" bestFit="1" customWidth="1"/>
    <col min="15112" max="15112" width="15.140625" style="278" bestFit="1" customWidth="1"/>
    <col min="15113" max="15113" width="24.5703125" style="278" bestFit="1" customWidth="1"/>
    <col min="15114" max="15114" width="23.5703125" style="278" bestFit="1" customWidth="1"/>
    <col min="15115" max="15116" width="25.85546875" style="278" bestFit="1" customWidth="1"/>
    <col min="15117" max="15117" width="62.42578125" style="278" bestFit="1" customWidth="1"/>
    <col min="15118" max="15118" width="42" style="278" bestFit="1" customWidth="1"/>
    <col min="15119" max="15119" width="27.42578125" style="278" bestFit="1" customWidth="1"/>
    <col min="15120" max="15120" width="50.140625" style="278" bestFit="1" customWidth="1"/>
    <col min="15121" max="15121" width="41.140625" style="278" bestFit="1" customWidth="1"/>
    <col min="15122" max="15130" width="11.7109375" style="278" customWidth="1"/>
    <col min="15131" max="15131" width="183.42578125" style="278" bestFit="1" customWidth="1"/>
    <col min="15132" max="15132" width="49.5703125" style="278" bestFit="1" customWidth="1"/>
    <col min="15133" max="15133" width="279.5703125" style="278" bestFit="1" customWidth="1"/>
    <col min="15134" max="15360" width="9" style="278"/>
    <col min="15361" max="15361" width="15.140625" style="278" customWidth="1"/>
    <col min="15362" max="15365" width="13.85546875" style="278" customWidth="1"/>
    <col min="15366" max="15367" width="8.85546875" style="278" bestFit="1" customWidth="1"/>
    <col min="15368" max="15368" width="15.140625" style="278" bestFit="1" customWidth="1"/>
    <col min="15369" max="15369" width="24.5703125" style="278" bestFit="1" customWidth="1"/>
    <col min="15370" max="15370" width="23.5703125" style="278" bestFit="1" customWidth="1"/>
    <col min="15371" max="15372" width="25.85546875" style="278" bestFit="1" customWidth="1"/>
    <col min="15373" max="15373" width="62.42578125" style="278" bestFit="1" customWidth="1"/>
    <col min="15374" max="15374" width="42" style="278" bestFit="1" customWidth="1"/>
    <col min="15375" max="15375" width="27.42578125" style="278" bestFit="1" customWidth="1"/>
    <col min="15376" max="15376" width="50.140625" style="278" bestFit="1" customWidth="1"/>
    <col min="15377" max="15377" width="41.140625" style="278" bestFit="1" customWidth="1"/>
    <col min="15378" max="15386" width="11.7109375" style="278" customWidth="1"/>
    <col min="15387" max="15387" width="183.42578125" style="278" bestFit="1" customWidth="1"/>
    <col min="15388" max="15388" width="49.5703125" style="278" bestFit="1" customWidth="1"/>
    <col min="15389" max="15389" width="279.5703125" style="278" bestFit="1" customWidth="1"/>
    <col min="15390" max="15616" width="9" style="278"/>
    <col min="15617" max="15617" width="15.140625" style="278" customWidth="1"/>
    <col min="15618" max="15621" width="13.85546875" style="278" customWidth="1"/>
    <col min="15622" max="15623" width="8.85546875" style="278" bestFit="1" customWidth="1"/>
    <col min="15624" max="15624" width="15.140625" style="278" bestFit="1" customWidth="1"/>
    <col min="15625" max="15625" width="24.5703125" style="278" bestFit="1" customWidth="1"/>
    <col min="15626" max="15626" width="23.5703125" style="278" bestFit="1" customWidth="1"/>
    <col min="15627" max="15628" width="25.85546875" style="278" bestFit="1" customWidth="1"/>
    <col min="15629" max="15629" width="62.42578125" style="278" bestFit="1" customWidth="1"/>
    <col min="15630" max="15630" width="42" style="278" bestFit="1" customWidth="1"/>
    <col min="15631" max="15631" width="27.42578125" style="278" bestFit="1" customWidth="1"/>
    <col min="15632" max="15632" width="50.140625" style="278" bestFit="1" customWidth="1"/>
    <col min="15633" max="15633" width="41.140625" style="278" bestFit="1" customWidth="1"/>
    <col min="15634" max="15642" width="11.7109375" style="278" customWidth="1"/>
    <col min="15643" max="15643" width="183.42578125" style="278" bestFit="1" customWidth="1"/>
    <col min="15644" max="15644" width="49.5703125" style="278" bestFit="1" customWidth="1"/>
    <col min="15645" max="15645" width="279.5703125" style="278" bestFit="1" customWidth="1"/>
    <col min="15646" max="15872" width="9" style="278"/>
    <col min="15873" max="15873" width="15.140625" style="278" customWidth="1"/>
    <col min="15874" max="15877" width="13.85546875" style="278" customWidth="1"/>
    <col min="15878" max="15879" width="8.85546875" style="278" bestFit="1" customWidth="1"/>
    <col min="15880" max="15880" width="15.140625" style="278" bestFit="1" customWidth="1"/>
    <col min="15881" max="15881" width="24.5703125" style="278" bestFit="1" customWidth="1"/>
    <col min="15882" max="15882" width="23.5703125" style="278" bestFit="1" customWidth="1"/>
    <col min="15883" max="15884" width="25.85546875" style="278" bestFit="1" customWidth="1"/>
    <col min="15885" max="15885" width="62.42578125" style="278" bestFit="1" customWidth="1"/>
    <col min="15886" max="15886" width="42" style="278" bestFit="1" customWidth="1"/>
    <col min="15887" max="15887" width="27.42578125" style="278" bestFit="1" customWidth="1"/>
    <col min="15888" max="15888" width="50.140625" style="278" bestFit="1" customWidth="1"/>
    <col min="15889" max="15889" width="41.140625" style="278" bestFit="1" customWidth="1"/>
    <col min="15890" max="15898" width="11.7109375" style="278" customWidth="1"/>
    <col min="15899" max="15899" width="183.42578125" style="278" bestFit="1" customWidth="1"/>
    <col min="15900" max="15900" width="49.5703125" style="278" bestFit="1" customWidth="1"/>
    <col min="15901" max="15901" width="279.5703125" style="278" bestFit="1" customWidth="1"/>
    <col min="15902" max="16128" width="9" style="278"/>
    <col min="16129" max="16129" width="15.140625" style="278" customWidth="1"/>
    <col min="16130" max="16133" width="13.85546875" style="278" customWidth="1"/>
    <col min="16134" max="16135" width="8.85546875" style="278" bestFit="1" customWidth="1"/>
    <col min="16136" max="16136" width="15.140625" style="278" bestFit="1" customWidth="1"/>
    <col min="16137" max="16137" width="24.5703125" style="278" bestFit="1" customWidth="1"/>
    <col min="16138" max="16138" width="23.5703125" style="278" bestFit="1" customWidth="1"/>
    <col min="16139" max="16140" width="25.85546875" style="278" bestFit="1" customWidth="1"/>
    <col min="16141" max="16141" width="62.42578125" style="278" bestFit="1" customWidth="1"/>
    <col min="16142" max="16142" width="42" style="278" bestFit="1" customWidth="1"/>
    <col min="16143" max="16143" width="27.42578125" style="278" bestFit="1" customWidth="1"/>
    <col min="16144" max="16144" width="50.140625" style="278" bestFit="1" customWidth="1"/>
    <col min="16145" max="16145" width="41.140625" style="278" bestFit="1" customWidth="1"/>
    <col min="16146" max="16154" width="11.7109375" style="278" customWidth="1"/>
    <col min="16155" max="16155" width="183.42578125" style="278" bestFit="1" customWidth="1"/>
    <col min="16156" max="16156" width="49.5703125" style="278" bestFit="1" customWidth="1"/>
    <col min="16157" max="16157" width="279.5703125" style="278" bestFit="1" customWidth="1"/>
    <col min="16158" max="16384" width="9" style="278"/>
  </cols>
  <sheetData>
    <row r="1" spans="1:30" ht="18" x14ac:dyDescent="0.2">
      <c r="A1" s="375" t="s">
        <v>1092</v>
      </c>
      <c r="C1" s="379"/>
      <c r="D1" s="390" t="s">
        <v>1097</v>
      </c>
      <c r="E1" s="390"/>
      <c r="F1" s="377"/>
      <c r="G1" s="279" t="s">
        <v>1100</v>
      </c>
      <c r="H1" s="389"/>
      <c r="I1" s="279" t="s">
        <v>1125</v>
      </c>
      <c r="J1" s="378"/>
      <c r="K1" s="289"/>
      <c r="L1" s="378"/>
      <c r="N1" s="276"/>
      <c r="O1" s="367"/>
      <c r="P1" s="276"/>
      <c r="Q1" s="279"/>
      <c r="R1" s="279"/>
      <c r="S1" s="279"/>
      <c r="T1" s="279"/>
      <c r="W1" s="278"/>
      <c r="X1" s="278"/>
      <c r="Y1" s="278"/>
      <c r="Z1" s="278"/>
    </row>
    <row r="3" spans="1:30" s="280" customFormat="1" ht="11.25" x14ac:dyDescent="0.15">
      <c r="B3" s="281" t="s">
        <v>470</v>
      </c>
      <c r="C3" s="281" t="s">
        <v>470</v>
      </c>
      <c r="D3" s="281" t="s">
        <v>162</v>
      </c>
      <c r="E3" s="281" t="s">
        <v>162</v>
      </c>
      <c r="F3" s="282"/>
      <c r="G3" s="282"/>
      <c r="R3" s="283"/>
      <c r="S3" s="368"/>
      <c r="T3" s="283"/>
      <c r="U3" s="284"/>
      <c r="V3" s="284"/>
      <c r="W3" s="284"/>
      <c r="X3" s="284"/>
      <c r="Y3" s="284"/>
      <c r="Z3" s="284"/>
    </row>
    <row r="4" spans="1:30" s="280" customFormat="1" ht="57.75" customHeight="1" x14ac:dyDescent="0.15">
      <c r="A4" s="393" t="s">
        <v>163</v>
      </c>
      <c r="B4" s="395" t="s">
        <v>0</v>
      </c>
      <c r="C4" s="395" t="s">
        <v>1</v>
      </c>
      <c r="D4" s="395" t="s">
        <v>0</v>
      </c>
      <c r="E4" s="395" t="s">
        <v>1</v>
      </c>
      <c r="F4" s="398" t="s">
        <v>164</v>
      </c>
      <c r="G4" s="398" t="s">
        <v>165</v>
      </c>
      <c r="H4" s="393" t="s">
        <v>168</v>
      </c>
      <c r="I4" s="393" t="s">
        <v>554</v>
      </c>
      <c r="J4" s="393" t="s">
        <v>555</v>
      </c>
      <c r="K4" s="400" t="s">
        <v>556</v>
      </c>
      <c r="L4" s="393" t="s">
        <v>557</v>
      </c>
      <c r="M4" s="393" t="s">
        <v>558</v>
      </c>
      <c r="N4" s="393" t="s">
        <v>559</v>
      </c>
      <c r="O4" s="393" t="s">
        <v>167</v>
      </c>
      <c r="P4" s="393" t="s">
        <v>560</v>
      </c>
      <c r="Q4" s="393" t="s">
        <v>561</v>
      </c>
      <c r="R4" s="395" t="s">
        <v>562</v>
      </c>
      <c r="S4" s="391" t="s">
        <v>563</v>
      </c>
      <c r="T4" s="403" t="s">
        <v>564</v>
      </c>
      <c r="U4" s="400" t="s">
        <v>565</v>
      </c>
      <c r="V4" s="393" t="s">
        <v>159</v>
      </c>
      <c r="W4" s="400" t="s">
        <v>566</v>
      </c>
      <c r="X4" s="400" t="s">
        <v>567</v>
      </c>
      <c r="Y4" s="393" t="s">
        <v>568</v>
      </c>
      <c r="Z4" s="400" t="s">
        <v>569</v>
      </c>
      <c r="AA4" s="393" t="s">
        <v>570</v>
      </c>
      <c r="AB4" s="393" t="s">
        <v>571</v>
      </c>
      <c r="AC4" s="405" t="s">
        <v>1093</v>
      </c>
    </row>
    <row r="5" spans="1:30" s="280" customFormat="1" ht="57.75" customHeight="1" x14ac:dyDescent="0.15">
      <c r="A5" s="394"/>
      <c r="B5" s="402" t="s">
        <v>0</v>
      </c>
      <c r="C5" s="402" t="s">
        <v>1</v>
      </c>
      <c r="D5" s="402" t="s">
        <v>0</v>
      </c>
      <c r="E5" s="402" t="s">
        <v>1</v>
      </c>
      <c r="F5" s="399"/>
      <c r="G5" s="399"/>
      <c r="H5" s="394"/>
      <c r="I5" s="397"/>
      <c r="J5" s="394"/>
      <c r="K5" s="401"/>
      <c r="L5" s="397"/>
      <c r="M5" s="394"/>
      <c r="N5" s="394"/>
      <c r="O5" s="394"/>
      <c r="P5" s="394"/>
      <c r="Q5" s="394"/>
      <c r="R5" s="396"/>
      <c r="S5" s="392"/>
      <c r="T5" s="404"/>
      <c r="U5" s="401"/>
      <c r="V5" s="394"/>
      <c r="W5" s="401"/>
      <c r="X5" s="401"/>
      <c r="Y5" s="394"/>
      <c r="Z5" s="401"/>
      <c r="AA5" s="394"/>
      <c r="AB5" s="394"/>
      <c r="AC5" s="406"/>
    </row>
    <row r="6" spans="1:30" s="280" customFormat="1" ht="11.25" x14ac:dyDescent="0.15">
      <c r="A6" s="285" t="s">
        <v>2</v>
      </c>
      <c r="B6" s="380">
        <v>2629620</v>
      </c>
      <c r="C6" s="380">
        <v>6607867</v>
      </c>
      <c r="D6" s="380">
        <v>1718907.9</v>
      </c>
      <c r="E6" s="380">
        <v>6046054.0999999996</v>
      </c>
      <c r="F6" s="287">
        <v>39083</v>
      </c>
      <c r="G6" s="287">
        <v>41730</v>
      </c>
      <c r="H6" s="285" t="s">
        <v>159</v>
      </c>
      <c r="I6" s="285" t="s">
        <v>170</v>
      </c>
      <c r="J6" s="285" t="s">
        <v>170</v>
      </c>
      <c r="K6" s="285" t="s">
        <v>173</v>
      </c>
      <c r="L6" s="285" t="s">
        <v>173</v>
      </c>
      <c r="M6" s="285" t="s">
        <v>171</v>
      </c>
      <c r="N6" s="285" t="s">
        <v>572</v>
      </c>
      <c r="O6" s="285" t="s">
        <v>172</v>
      </c>
      <c r="P6" s="285" t="s">
        <v>573</v>
      </c>
      <c r="Q6" s="285" t="s">
        <v>574</v>
      </c>
      <c r="R6" s="286">
        <v>25</v>
      </c>
      <c r="S6" s="369">
        <v>3.2</v>
      </c>
      <c r="T6" s="286">
        <v>20</v>
      </c>
      <c r="U6" s="288" t="s">
        <v>575</v>
      </c>
      <c r="V6" s="288">
        <v>1</v>
      </c>
      <c r="W6" s="288">
        <v>10</v>
      </c>
      <c r="X6" s="288" t="s">
        <v>174</v>
      </c>
      <c r="Y6" s="288">
        <v>510</v>
      </c>
      <c r="Z6" s="288" t="s">
        <v>197</v>
      </c>
      <c r="AA6" s="337" t="s">
        <v>999</v>
      </c>
      <c r="AB6" s="285" t="s">
        <v>169</v>
      </c>
      <c r="AC6" s="285"/>
      <c r="AD6" s="285"/>
    </row>
    <row r="7" spans="1:30" s="280" customFormat="1" ht="11.25" x14ac:dyDescent="0.15">
      <c r="A7" s="337" t="s">
        <v>3</v>
      </c>
      <c r="B7" s="384">
        <v>2660555</v>
      </c>
      <c r="C7" s="384">
        <v>6511080</v>
      </c>
      <c r="D7" s="384">
        <v>1750060.1</v>
      </c>
      <c r="E7" s="384">
        <v>5949364</v>
      </c>
      <c r="F7" s="287">
        <v>39083</v>
      </c>
      <c r="G7" s="282">
        <v>42095</v>
      </c>
      <c r="H7" s="280" t="s">
        <v>159</v>
      </c>
      <c r="I7" s="285" t="s">
        <v>577</v>
      </c>
      <c r="J7" s="285" t="s">
        <v>175</v>
      </c>
      <c r="K7" s="285" t="s">
        <v>178</v>
      </c>
      <c r="L7" s="285" t="s">
        <v>577</v>
      </c>
      <c r="M7" s="285" t="s">
        <v>176</v>
      </c>
      <c r="N7" s="285" t="s">
        <v>578</v>
      </c>
      <c r="O7" s="285" t="s">
        <v>177</v>
      </c>
      <c r="P7" s="285" t="s">
        <v>573</v>
      </c>
      <c r="Q7" s="285" t="s">
        <v>579</v>
      </c>
      <c r="R7" s="286">
        <v>10</v>
      </c>
      <c r="S7" s="369">
        <v>2.5</v>
      </c>
      <c r="T7" s="286">
        <v>10</v>
      </c>
      <c r="U7" s="288" t="s">
        <v>575</v>
      </c>
      <c r="V7" s="288">
        <v>1</v>
      </c>
      <c r="W7" s="288">
        <v>1260</v>
      </c>
      <c r="X7" s="288" t="s">
        <v>174</v>
      </c>
      <c r="Y7" s="288">
        <v>10</v>
      </c>
      <c r="Z7" s="288" t="s">
        <v>179</v>
      </c>
      <c r="AA7" s="337" t="s">
        <v>1115</v>
      </c>
      <c r="AB7" s="285" t="s">
        <v>580</v>
      </c>
      <c r="AC7" s="285"/>
      <c r="AD7" s="285"/>
    </row>
    <row r="8" spans="1:30" s="280" customFormat="1" ht="11.25" x14ac:dyDescent="0.15">
      <c r="A8" s="338" t="s">
        <v>989</v>
      </c>
      <c r="B8" s="382">
        <v>2660627.6</v>
      </c>
      <c r="C8" s="382">
        <v>6511074.5</v>
      </c>
      <c r="D8" s="382">
        <v>1750132.7</v>
      </c>
      <c r="E8" s="382">
        <v>5949358.7000000002</v>
      </c>
      <c r="F8" s="282">
        <v>42095</v>
      </c>
      <c r="G8" s="282" t="s">
        <v>169</v>
      </c>
      <c r="H8" s="285" t="s">
        <v>576</v>
      </c>
      <c r="I8" s="285" t="s">
        <v>577</v>
      </c>
      <c r="J8" s="285" t="s">
        <v>175</v>
      </c>
      <c r="K8" s="285" t="s">
        <v>178</v>
      </c>
      <c r="AA8" s="338" t="s">
        <v>1000</v>
      </c>
      <c r="AB8" s="285"/>
      <c r="AC8" s="285"/>
      <c r="AD8" s="285"/>
    </row>
    <row r="9" spans="1:30" s="280" customFormat="1" ht="11.25" x14ac:dyDescent="0.15">
      <c r="A9" s="386" t="s">
        <v>1101</v>
      </c>
      <c r="B9" s="387"/>
      <c r="C9" s="387"/>
      <c r="D9" s="387"/>
      <c r="E9" s="387"/>
      <c r="F9" s="388"/>
      <c r="G9" s="282"/>
      <c r="H9" s="285"/>
      <c r="I9" s="285"/>
      <c r="J9" s="285"/>
      <c r="K9" s="285"/>
      <c r="AA9" s="386" t="s">
        <v>1102</v>
      </c>
      <c r="AB9" s="285"/>
      <c r="AC9" s="285"/>
      <c r="AD9" s="285"/>
    </row>
    <row r="10" spans="1:30" s="280" customFormat="1" ht="11.25" x14ac:dyDescent="0.15">
      <c r="A10" s="280" t="s">
        <v>4</v>
      </c>
      <c r="B10" s="380">
        <v>2663560.6</v>
      </c>
      <c r="C10" s="380">
        <v>6496813.5999999996</v>
      </c>
      <c r="D10" s="380">
        <v>1753095.4</v>
      </c>
      <c r="E10" s="380">
        <v>5935106</v>
      </c>
      <c r="F10" s="287">
        <v>39114</v>
      </c>
      <c r="G10" s="287" t="s">
        <v>169</v>
      </c>
      <c r="H10" s="285" t="s">
        <v>160</v>
      </c>
      <c r="I10" s="285" t="s">
        <v>581</v>
      </c>
      <c r="J10" s="285" t="s">
        <v>175</v>
      </c>
      <c r="K10" s="285" t="s">
        <v>178</v>
      </c>
      <c r="L10" s="285" t="s">
        <v>582</v>
      </c>
      <c r="M10" s="285" t="s">
        <v>180</v>
      </c>
      <c r="N10" s="285" t="s">
        <v>583</v>
      </c>
      <c r="O10" s="285" t="s">
        <v>181</v>
      </c>
      <c r="P10" s="285" t="s">
        <v>573</v>
      </c>
      <c r="Q10" s="285" t="s">
        <v>584</v>
      </c>
      <c r="R10" s="286">
        <v>50</v>
      </c>
      <c r="S10" s="369">
        <v>2.1</v>
      </c>
      <c r="T10" s="286">
        <v>6</v>
      </c>
      <c r="U10" s="288" t="s">
        <v>179</v>
      </c>
      <c r="V10" s="288">
        <v>1</v>
      </c>
      <c r="W10" s="288">
        <v>190</v>
      </c>
      <c r="X10" s="288" t="s">
        <v>174</v>
      </c>
      <c r="Y10" s="288">
        <v>1</v>
      </c>
      <c r="Z10" s="288" t="s">
        <v>182</v>
      </c>
      <c r="AA10" s="280" t="s">
        <v>585</v>
      </c>
      <c r="AB10" s="285" t="s">
        <v>169</v>
      </c>
      <c r="AC10" s="285"/>
      <c r="AD10" s="285"/>
    </row>
    <row r="11" spans="1:30" s="280" customFormat="1" ht="11.25" x14ac:dyDescent="0.15">
      <c r="A11" s="285" t="s">
        <v>5</v>
      </c>
      <c r="B11" s="380">
        <v>2665949.2000000002</v>
      </c>
      <c r="C11" s="380">
        <v>6490648.9000000004</v>
      </c>
      <c r="D11" s="380">
        <v>1755496.6</v>
      </c>
      <c r="E11" s="380">
        <v>5928946.9000000004</v>
      </c>
      <c r="F11" s="287">
        <v>39083</v>
      </c>
      <c r="G11" s="287">
        <v>39995</v>
      </c>
      <c r="H11" s="285" t="s">
        <v>159</v>
      </c>
      <c r="I11" s="285" t="s">
        <v>581</v>
      </c>
      <c r="J11" s="285" t="s">
        <v>175</v>
      </c>
      <c r="K11" s="285" t="s">
        <v>178</v>
      </c>
      <c r="L11" s="285" t="s">
        <v>582</v>
      </c>
      <c r="M11" s="285" t="s">
        <v>183</v>
      </c>
      <c r="N11" s="285" t="s">
        <v>586</v>
      </c>
      <c r="O11" s="285" t="s">
        <v>184</v>
      </c>
      <c r="P11" s="285" t="s">
        <v>587</v>
      </c>
      <c r="Q11" s="285" t="s">
        <v>586</v>
      </c>
      <c r="R11" s="286">
        <v>25</v>
      </c>
      <c r="S11" s="369">
        <v>3</v>
      </c>
      <c r="T11" s="286">
        <v>25</v>
      </c>
      <c r="U11" s="288" t="s">
        <v>575</v>
      </c>
      <c r="V11" s="288">
        <v>1</v>
      </c>
      <c r="W11" s="288">
        <v>55</v>
      </c>
      <c r="X11" s="288" t="s">
        <v>185</v>
      </c>
      <c r="Y11" s="288">
        <v>45</v>
      </c>
      <c r="Z11" s="288" t="s">
        <v>179</v>
      </c>
      <c r="AA11" s="337" t="s">
        <v>1001</v>
      </c>
      <c r="AB11" s="285" t="s">
        <v>169</v>
      </c>
      <c r="AC11" s="285"/>
      <c r="AD11" s="285"/>
    </row>
    <row r="12" spans="1:30" s="280" customFormat="1" ht="11.25" x14ac:dyDescent="0.15">
      <c r="A12" s="280" t="s">
        <v>6</v>
      </c>
      <c r="B12" s="380">
        <v>2666507.2000000002</v>
      </c>
      <c r="C12" s="380">
        <v>6485635.2000000002</v>
      </c>
      <c r="D12" s="380">
        <v>1756064.8</v>
      </c>
      <c r="E12" s="380">
        <v>5923934.7999999998</v>
      </c>
      <c r="F12" s="287">
        <v>39083</v>
      </c>
      <c r="G12" s="287" t="s">
        <v>169</v>
      </c>
      <c r="H12" s="285" t="s">
        <v>159</v>
      </c>
      <c r="I12" s="285" t="s">
        <v>581</v>
      </c>
      <c r="J12" s="285" t="s">
        <v>175</v>
      </c>
      <c r="K12" s="285" t="s">
        <v>178</v>
      </c>
      <c r="L12" s="285" t="s">
        <v>582</v>
      </c>
      <c r="M12" s="285" t="s">
        <v>186</v>
      </c>
      <c r="N12" s="285" t="s">
        <v>588</v>
      </c>
      <c r="O12" s="285" t="s">
        <v>187</v>
      </c>
      <c r="P12" s="285" t="s">
        <v>573</v>
      </c>
      <c r="Q12" s="285" t="s">
        <v>589</v>
      </c>
      <c r="R12" s="286">
        <v>60</v>
      </c>
      <c r="S12" s="369">
        <v>3</v>
      </c>
      <c r="T12" s="286">
        <v>10</v>
      </c>
      <c r="U12" s="288" t="s">
        <v>179</v>
      </c>
      <c r="V12" s="288">
        <v>1</v>
      </c>
      <c r="W12" s="288">
        <v>60</v>
      </c>
      <c r="X12" s="288" t="s">
        <v>185</v>
      </c>
      <c r="Y12" s="288">
        <v>600</v>
      </c>
      <c r="Z12" s="288" t="s">
        <v>179</v>
      </c>
      <c r="AA12" s="280" t="s">
        <v>590</v>
      </c>
      <c r="AB12" s="285" t="s">
        <v>169</v>
      </c>
      <c r="AC12" s="285"/>
      <c r="AD12" s="285"/>
    </row>
    <row r="13" spans="1:30" s="280" customFormat="1" ht="11.25" x14ac:dyDescent="0.15">
      <c r="A13" s="280" t="s">
        <v>7</v>
      </c>
      <c r="B13" s="380">
        <v>2666098.2999999998</v>
      </c>
      <c r="C13" s="380">
        <v>6482838.9000000004</v>
      </c>
      <c r="D13" s="380">
        <v>1755661.6</v>
      </c>
      <c r="E13" s="380">
        <v>5921137.9000000004</v>
      </c>
      <c r="F13" s="287">
        <v>39083</v>
      </c>
      <c r="G13" s="287" t="s">
        <v>169</v>
      </c>
      <c r="H13" s="285" t="s">
        <v>159</v>
      </c>
      <c r="I13" s="285" t="s">
        <v>178</v>
      </c>
      <c r="J13" s="285" t="s">
        <v>188</v>
      </c>
      <c r="K13" s="285" t="s">
        <v>178</v>
      </c>
      <c r="L13" s="285" t="s">
        <v>178</v>
      </c>
      <c r="M13" s="285" t="s">
        <v>189</v>
      </c>
      <c r="N13" s="285" t="s">
        <v>591</v>
      </c>
      <c r="O13" s="285" t="s">
        <v>190</v>
      </c>
      <c r="P13" s="285" t="s">
        <v>573</v>
      </c>
      <c r="Q13" s="285" t="s">
        <v>592</v>
      </c>
      <c r="R13" s="286">
        <v>10</v>
      </c>
      <c r="S13" s="369">
        <v>3</v>
      </c>
      <c r="T13" s="286">
        <v>10</v>
      </c>
      <c r="U13" s="288" t="s">
        <v>179</v>
      </c>
      <c r="V13" s="288">
        <v>1</v>
      </c>
      <c r="W13" s="288">
        <v>80</v>
      </c>
      <c r="X13" s="288" t="s">
        <v>191</v>
      </c>
      <c r="Y13" s="288">
        <v>290</v>
      </c>
      <c r="Z13" s="288" t="s">
        <v>174</v>
      </c>
      <c r="AA13" s="280" t="s">
        <v>593</v>
      </c>
      <c r="AB13" s="285" t="s">
        <v>169</v>
      </c>
      <c r="AC13" s="285"/>
      <c r="AD13" s="285"/>
    </row>
    <row r="14" spans="1:30" s="285" customFormat="1" ht="11.25" x14ac:dyDescent="0.15">
      <c r="A14" s="337" t="s">
        <v>8</v>
      </c>
      <c r="B14" s="384">
        <v>2667244.2999999998</v>
      </c>
      <c r="C14" s="384">
        <v>6480974.7999999998</v>
      </c>
      <c r="D14" s="384">
        <v>1756811.3</v>
      </c>
      <c r="E14" s="384">
        <v>5919276.2999999998</v>
      </c>
      <c r="F14" s="287">
        <v>39083</v>
      </c>
      <c r="G14" s="287">
        <v>42278</v>
      </c>
      <c r="H14" s="285" t="s">
        <v>159</v>
      </c>
      <c r="I14" s="285" t="s">
        <v>178</v>
      </c>
      <c r="J14" s="285" t="s">
        <v>188</v>
      </c>
      <c r="K14" s="285" t="s">
        <v>178</v>
      </c>
      <c r="L14" s="285" t="s">
        <v>178</v>
      </c>
      <c r="M14" s="285" t="s">
        <v>192</v>
      </c>
      <c r="N14" s="285" t="s">
        <v>594</v>
      </c>
      <c r="O14" s="285" t="s">
        <v>193</v>
      </c>
      <c r="P14" s="285" t="s">
        <v>573</v>
      </c>
      <c r="Q14" s="285" t="s">
        <v>595</v>
      </c>
      <c r="R14" s="286">
        <v>20</v>
      </c>
      <c r="S14" s="369">
        <v>3</v>
      </c>
      <c r="T14" s="286">
        <v>20</v>
      </c>
      <c r="U14" s="288" t="s">
        <v>179</v>
      </c>
      <c r="V14" s="288">
        <v>1</v>
      </c>
      <c r="W14" s="288">
        <v>20</v>
      </c>
      <c r="X14" s="288" t="s">
        <v>182</v>
      </c>
      <c r="Y14" s="288">
        <v>100</v>
      </c>
      <c r="Z14" s="288" t="s">
        <v>185</v>
      </c>
      <c r="AA14" s="337" t="s">
        <v>1114</v>
      </c>
      <c r="AB14" s="285" t="s">
        <v>169</v>
      </c>
    </row>
    <row r="15" spans="1:30" s="285" customFormat="1" ht="11.25" x14ac:dyDescent="0.15">
      <c r="A15" s="338" t="s">
        <v>990</v>
      </c>
      <c r="B15" s="385"/>
      <c r="C15" s="385"/>
      <c r="D15" s="385"/>
      <c r="E15" s="385"/>
      <c r="F15" s="287">
        <v>42278</v>
      </c>
      <c r="G15" s="287" t="s">
        <v>1098</v>
      </c>
      <c r="H15" s="285" t="s">
        <v>159</v>
      </c>
      <c r="I15" s="285" t="s">
        <v>178</v>
      </c>
      <c r="J15" s="285" t="s">
        <v>188</v>
      </c>
      <c r="K15" s="285" t="s">
        <v>178</v>
      </c>
      <c r="L15" s="285" t="s">
        <v>178</v>
      </c>
      <c r="X15" s="288"/>
      <c r="Y15" s="288"/>
      <c r="Z15" s="288"/>
      <c r="AA15" s="338" t="s">
        <v>1002</v>
      </c>
    </row>
    <row r="16" spans="1:30" s="285" customFormat="1" ht="11.25" x14ac:dyDescent="0.15">
      <c r="A16" s="338" t="s">
        <v>991</v>
      </c>
      <c r="B16" s="380">
        <v>2667281.2000000002</v>
      </c>
      <c r="C16" s="380">
        <v>6480971.2999999998</v>
      </c>
      <c r="D16" s="380">
        <v>1756848.1</v>
      </c>
      <c r="E16" s="380">
        <v>5919272.9000000004</v>
      </c>
      <c r="F16" s="287">
        <v>42430</v>
      </c>
      <c r="G16" s="287" t="s">
        <v>169</v>
      </c>
      <c r="H16" s="285" t="s">
        <v>159</v>
      </c>
      <c r="I16" s="285" t="s">
        <v>178</v>
      </c>
      <c r="J16" s="285" t="s">
        <v>188</v>
      </c>
      <c r="K16" s="285" t="s">
        <v>178</v>
      </c>
      <c r="L16" s="285" t="s">
        <v>178</v>
      </c>
      <c r="AA16" s="338" t="s">
        <v>1003</v>
      </c>
    </row>
    <row r="17" spans="1:30" s="285" customFormat="1" ht="11.25" x14ac:dyDescent="0.15">
      <c r="A17" s="386" t="s">
        <v>1103</v>
      </c>
      <c r="B17" s="387"/>
      <c r="C17" s="387"/>
      <c r="D17" s="387"/>
      <c r="E17" s="387"/>
      <c r="F17" s="388"/>
      <c r="G17" s="287"/>
      <c r="AA17" s="386" t="s">
        <v>1104</v>
      </c>
    </row>
    <row r="18" spans="1:30" s="280" customFormat="1" ht="11.25" x14ac:dyDescent="0.15">
      <c r="A18" s="280" t="s">
        <v>9</v>
      </c>
      <c r="B18" s="380">
        <v>2669398</v>
      </c>
      <c r="C18" s="380">
        <v>6478800</v>
      </c>
      <c r="D18" s="380">
        <v>1758969.2</v>
      </c>
      <c r="E18" s="380">
        <v>5917106</v>
      </c>
      <c r="F18" s="287">
        <v>39083</v>
      </c>
      <c r="G18" s="287" t="s">
        <v>169</v>
      </c>
      <c r="H18" s="285" t="s">
        <v>159</v>
      </c>
      <c r="I18" s="285" t="s">
        <v>178</v>
      </c>
      <c r="J18" s="285" t="s">
        <v>188</v>
      </c>
      <c r="K18" s="285" t="s">
        <v>178</v>
      </c>
      <c r="L18" s="285" t="s">
        <v>178</v>
      </c>
      <c r="M18" s="285" t="s">
        <v>194</v>
      </c>
      <c r="N18" s="285" t="s">
        <v>596</v>
      </c>
      <c r="O18" s="285" t="s">
        <v>195</v>
      </c>
      <c r="P18" s="285" t="s">
        <v>573</v>
      </c>
      <c r="Q18" s="285" t="s">
        <v>597</v>
      </c>
      <c r="R18" s="286">
        <v>10</v>
      </c>
      <c r="S18" s="369">
        <v>3</v>
      </c>
      <c r="T18" s="286">
        <v>2</v>
      </c>
      <c r="U18" s="288" t="s">
        <v>179</v>
      </c>
      <c r="V18" s="288">
        <v>1</v>
      </c>
      <c r="W18" s="288">
        <v>40</v>
      </c>
      <c r="X18" s="288" t="s">
        <v>197</v>
      </c>
      <c r="Y18" s="288">
        <v>160</v>
      </c>
      <c r="Z18" s="288" t="s">
        <v>197</v>
      </c>
      <c r="AA18" s="280" t="s">
        <v>598</v>
      </c>
      <c r="AB18" s="285" t="s">
        <v>169</v>
      </c>
      <c r="AC18" s="285"/>
      <c r="AD18" s="285"/>
    </row>
    <row r="19" spans="1:30" s="280" customFormat="1" ht="11.25" x14ac:dyDescent="0.15">
      <c r="A19" s="280" t="s">
        <v>10</v>
      </c>
      <c r="B19" s="380">
        <v>2672180</v>
      </c>
      <c r="C19" s="380">
        <v>6475859</v>
      </c>
      <c r="D19" s="380">
        <v>1761756.9</v>
      </c>
      <c r="E19" s="380">
        <v>5914170.7999999998</v>
      </c>
      <c r="F19" s="287">
        <v>39083</v>
      </c>
      <c r="G19" s="287" t="s">
        <v>169</v>
      </c>
      <c r="H19" s="285" t="s">
        <v>159</v>
      </c>
      <c r="I19" s="285" t="s">
        <v>178</v>
      </c>
      <c r="J19" s="285" t="s">
        <v>188</v>
      </c>
      <c r="K19" s="285" t="s">
        <v>178</v>
      </c>
      <c r="L19" s="285" t="s">
        <v>178</v>
      </c>
      <c r="M19" s="285" t="s">
        <v>599</v>
      </c>
      <c r="N19" s="285" t="s">
        <v>600</v>
      </c>
      <c r="O19" s="285" t="s">
        <v>196</v>
      </c>
      <c r="P19" s="285" t="s">
        <v>573</v>
      </c>
      <c r="Q19" s="285" t="s">
        <v>601</v>
      </c>
      <c r="R19" s="286">
        <v>45</v>
      </c>
      <c r="S19" s="369">
        <v>4</v>
      </c>
      <c r="T19" s="286">
        <v>15</v>
      </c>
      <c r="U19" s="288" t="s">
        <v>179</v>
      </c>
      <c r="V19" s="288">
        <v>1</v>
      </c>
      <c r="W19" s="288">
        <v>130</v>
      </c>
      <c r="X19" s="288" t="s">
        <v>197</v>
      </c>
      <c r="Y19" s="288">
        <v>220</v>
      </c>
      <c r="Z19" s="288" t="s">
        <v>191</v>
      </c>
      <c r="AA19" s="280" t="s">
        <v>602</v>
      </c>
      <c r="AB19" s="285" t="s">
        <v>603</v>
      </c>
      <c r="AC19" s="285"/>
      <c r="AD19" s="285"/>
    </row>
    <row r="20" spans="1:30" s="280" customFormat="1" ht="11.25" x14ac:dyDescent="0.15">
      <c r="A20" s="280" t="s">
        <v>11</v>
      </c>
      <c r="B20" s="380">
        <v>2672180</v>
      </c>
      <c r="C20" s="380">
        <v>6475859</v>
      </c>
      <c r="D20" s="380">
        <v>1761756.9</v>
      </c>
      <c r="E20" s="380">
        <v>5914170.7999999998</v>
      </c>
      <c r="F20" s="287">
        <v>39083</v>
      </c>
      <c r="G20" s="287" t="s">
        <v>169</v>
      </c>
      <c r="H20" s="285" t="s">
        <v>159</v>
      </c>
      <c r="I20" s="285" t="s">
        <v>178</v>
      </c>
      <c r="J20" s="285" t="s">
        <v>188</v>
      </c>
      <c r="K20" s="285" t="s">
        <v>178</v>
      </c>
      <c r="L20" s="285" t="s">
        <v>178</v>
      </c>
      <c r="M20" s="285" t="s">
        <v>604</v>
      </c>
      <c r="N20" s="285" t="s">
        <v>600</v>
      </c>
      <c r="O20" s="285" t="s">
        <v>196</v>
      </c>
      <c r="P20" s="285" t="s">
        <v>573</v>
      </c>
      <c r="Q20" s="285" t="s">
        <v>601</v>
      </c>
      <c r="R20" s="286">
        <v>45</v>
      </c>
      <c r="S20" s="369">
        <v>4</v>
      </c>
      <c r="T20" s="286">
        <v>15</v>
      </c>
      <c r="U20" s="288" t="s">
        <v>179</v>
      </c>
      <c r="V20" s="288">
        <v>1</v>
      </c>
      <c r="W20" s="288">
        <v>130</v>
      </c>
      <c r="X20" s="288" t="s">
        <v>197</v>
      </c>
      <c r="Y20" s="288">
        <v>220</v>
      </c>
      <c r="Z20" s="288" t="s">
        <v>191</v>
      </c>
      <c r="AA20" s="280" t="s">
        <v>602</v>
      </c>
      <c r="AB20" s="285" t="s">
        <v>605</v>
      </c>
      <c r="AC20" s="285"/>
      <c r="AD20" s="285"/>
    </row>
    <row r="21" spans="1:30" s="280" customFormat="1" ht="11.25" x14ac:dyDescent="0.15">
      <c r="A21" s="280" t="s">
        <v>12</v>
      </c>
      <c r="B21" s="380">
        <v>2672180</v>
      </c>
      <c r="C21" s="380">
        <v>6475859</v>
      </c>
      <c r="D21" s="380">
        <v>1761756.9</v>
      </c>
      <c r="E21" s="380">
        <v>5914170.7999999998</v>
      </c>
      <c r="F21" s="287">
        <v>39083</v>
      </c>
      <c r="G21" s="287" t="s">
        <v>169</v>
      </c>
      <c r="H21" s="285" t="s">
        <v>159</v>
      </c>
      <c r="I21" s="285" t="s">
        <v>178</v>
      </c>
      <c r="J21" s="285" t="s">
        <v>188</v>
      </c>
      <c r="K21" s="285" t="s">
        <v>178</v>
      </c>
      <c r="L21" s="285" t="s">
        <v>178</v>
      </c>
      <c r="M21" s="285" t="s">
        <v>606</v>
      </c>
      <c r="N21" s="285" t="s">
        <v>600</v>
      </c>
      <c r="O21" s="285" t="s">
        <v>196</v>
      </c>
      <c r="P21" s="285" t="s">
        <v>573</v>
      </c>
      <c r="Q21" s="285" t="s">
        <v>601</v>
      </c>
      <c r="R21" s="286">
        <v>45</v>
      </c>
      <c r="S21" s="369">
        <v>4</v>
      </c>
      <c r="T21" s="286">
        <v>15</v>
      </c>
      <c r="U21" s="288" t="s">
        <v>179</v>
      </c>
      <c r="V21" s="288">
        <v>1</v>
      </c>
      <c r="W21" s="288">
        <v>100</v>
      </c>
      <c r="X21" s="288" t="s">
        <v>197</v>
      </c>
      <c r="Y21" s="288">
        <v>210</v>
      </c>
      <c r="Z21" s="288" t="s">
        <v>191</v>
      </c>
      <c r="AA21" s="280" t="s">
        <v>602</v>
      </c>
      <c r="AB21" s="285" t="s">
        <v>607</v>
      </c>
      <c r="AC21" s="285"/>
      <c r="AD21" s="285"/>
    </row>
    <row r="22" spans="1:30" s="280" customFormat="1" ht="11.25" x14ac:dyDescent="0.15">
      <c r="A22" s="337" t="s">
        <v>13</v>
      </c>
      <c r="B22" s="383">
        <v>2677870</v>
      </c>
      <c r="C22" s="383">
        <v>6467723.5</v>
      </c>
      <c r="D22" s="384">
        <v>1767462.8</v>
      </c>
      <c r="E22" s="384">
        <v>5906046.9000000004</v>
      </c>
      <c r="F22" s="282">
        <v>39083</v>
      </c>
      <c r="G22" s="282">
        <v>42217</v>
      </c>
      <c r="H22" s="285" t="s">
        <v>159</v>
      </c>
      <c r="I22" s="285" t="s">
        <v>201</v>
      </c>
      <c r="J22" s="285" t="s">
        <v>608</v>
      </c>
      <c r="K22" s="285" t="s">
        <v>178</v>
      </c>
      <c r="L22" s="285" t="s">
        <v>201</v>
      </c>
      <c r="M22" s="285" t="s">
        <v>198</v>
      </c>
      <c r="N22" s="285" t="s">
        <v>609</v>
      </c>
      <c r="O22" s="285" t="s">
        <v>199</v>
      </c>
      <c r="P22" s="285" t="s">
        <v>573</v>
      </c>
      <c r="Q22" s="285" t="s">
        <v>610</v>
      </c>
      <c r="R22" s="286">
        <v>10</v>
      </c>
      <c r="S22" s="369">
        <v>3</v>
      </c>
      <c r="T22" s="286">
        <v>10</v>
      </c>
      <c r="U22" s="288" t="s">
        <v>179</v>
      </c>
      <c r="V22" s="288">
        <v>1</v>
      </c>
      <c r="W22" s="288">
        <v>70</v>
      </c>
      <c r="X22" s="288" t="s">
        <v>174</v>
      </c>
      <c r="Y22" s="288">
        <v>170</v>
      </c>
      <c r="Z22" s="288" t="s">
        <v>185</v>
      </c>
      <c r="AA22" s="337" t="s">
        <v>995</v>
      </c>
      <c r="AB22" s="285" t="s">
        <v>169</v>
      </c>
      <c r="AC22" s="285"/>
      <c r="AD22" s="285"/>
    </row>
    <row r="23" spans="1:30" s="280" customFormat="1" ht="11.25" x14ac:dyDescent="0.15">
      <c r="A23" s="338" t="s">
        <v>992</v>
      </c>
      <c r="B23" s="380">
        <v>2677915.6</v>
      </c>
      <c r="C23" s="380">
        <v>6467542.7999999998</v>
      </c>
      <c r="D23" s="380">
        <v>1767508.7</v>
      </c>
      <c r="E23" s="380">
        <v>5905866.2999999998</v>
      </c>
      <c r="F23" s="282">
        <v>42217</v>
      </c>
      <c r="G23" s="287" t="s">
        <v>169</v>
      </c>
      <c r="H23" s="285" t="s">
        <v>159</v>
      </c>
      <c r="AA23" s="338" t="s">
        <v>1006</v>
      </c>
      <c r="AB23" s="285"/>
      <c r="AC23" s="285"/>
      <c r="AD23" s="285"/>
    </row>
    <row r="24" spans="1:30" s="280" customFormat="1" ht="11.25" x14ac:dyDescent="0.15">
      <c r="A24" s="280" t="s">
        <v>14</v>
      </c>
      <c r="B24" s="380">
        <v>2678115.5</v>
      </c>
      <c r="C24" s="380">
        <v>6465478.9000000004</v>
      </c>
      <c r="D24" s="380">
        <v>1767712.7</v>
      </c>
      <c r="E24" s="380">
        <v>5903802.7999999998</v>
      </c>
      <c r="F24" s="287">
        <v>39083</v>
      </c>
      <c r="G24" s="287" t="s">
        <v>169</v>
      </c>
      <c r="H24" s="285" t="s">
        <v>159</v>
      </c>
      <c r="I24" s="285" t="s">
        <v>201</v>
      </c>
      <c r="J24" s="285" t="s">
        <v>608</v>
      </c>
      <c r="K24" s="285" t="s">
        <v>178</v>
      </c>
      <c r="L24" s="285" t="s">
        <v>201</v>
      </c>
      <c r="M24" s="285" t="s">
        <v>200</v>
      </c>
      <c r="N24" s="285" t="s">
        <v>611</v>
      </c>
      <c r="O24" s="285" t="s">
        <v>201</v>
      </c>
      <c r="P24" s="285" t="s">
        <v>612</v>
      </c>
      <c r="Q24" s="285" t="s">
        <v>611</v>
      </c>
      <c r="R24" s="286">
        <v>10</v>
      </c>
      <c r="S24" s="369">
        <v>2</v>
      </c>
      <c r="T24" s="286">
        <v>10</v>
      </c>
      <c r="U24" s="288" t="s">
        <v>179</v>
      </c>
      <c r="V24" s="288">
        <v>20</v>
      </c>
      <c r="W24" s="288">
        <v>125</v>
      </c>
      <c r="X24" s="288" t="s">
        <v>179</v>
      </c>
      <c r="Y24" s="288">
        <v>65</v>
      </c>
      <c r="Z24" s="288" t="s">
        <v>185</v>
      </c>
      <c r="AA24" s="280" t="s">
        <v>613</v>
      </c>
      <c r="AB24" s="285" t="s">
        <v>169</v>
      </c>
      <c r="AC24" s="285"/>
      <c r="AD24" s="285"/>
    </row>
    <row r="25" spans="1:30" s="280" customFormat="1" ht="11.25" x14ac:dyDescent="0.15">
      <c r="A25" s="337" t="s">
        <v>15</v>
      </c>
      <c r="B25" s="384">
        <v>2655037.7999999998</v>
      </c>
      <c r="C25" s="384">
        <v>6483515.0499999998</v>
      </c>
      <c r="D25" s="384">
        <v>1744601</v>
      </c>
      <c r="E25" s="384">
        <v>5921791.7000000002</v>
      </c>
      <c r="F25" s="287">
        <v>39083</v>
      </c>
      <c r="G25" s="282">
        <v>39600</v>
      </c>
      <c r="H25" s="285" t="s">
        <v>159</v>
      </c>
      <c r="I25" s="285" t="s">
        <v>614</v>
      </c>
      <c r="J25" s="285" t="s">
        <v>202</v>
      </c>
      <c r="K25" s="285" t="s">
        <v>178</v>
      </c>
      <c r="L25" s="285" t="s">
        <v>614</v>
      </c>
      <c r="M25" s="285" t="s">
        <v>615</v>
      </c>
      <c r="N25" s="285" t="s">
        <v>616</v>
      </c>
      <c r="O25" s="285" t="s">
        <v>203</v>
      </c>
      <c r="P25" s="285" t="s">
        <v>573</v>
      </c>
      <c r="Q25" s="285" t="s">
        <v>617</v>
      </c>
      <c r="R25" s="286">
        <v>10</v>
      </c>
      <c r="S25" s="369">
        <v>2</v>
      </c>
      <c r="T25" s="286">
        <v>10</v>
      </c>
      <c r="U25" s="288" t="s">
        <v>179</v>
      </c>
      <c r="V25" s="288">
        <v>16</v>
      </c>
      <c r="W25" s="288">
        <v>120</v>
      </c>
      <c r="X25" s="288" t="s">
        <v>197</v>
      </c>
      <c r="Y25" s="288">
        <v>190</v>
      </c>
      <c r="Z25" s="288" t="s">
        <v>197</v>
      </c>
      <c r="AA25" s="337" t="s">
        <v>1004</v>
      </c>
      <c r="AB25" s="285" t="s">
        <v>169</v>
      </c>
      <c r="AC25" s="285"/>
      <c r="AD25" s="285"/>
    </row>
    <row r="26" spans="1:30" s="280" customFormat="1" ht="11.25" x14ac:dyDescent="0.15">
      <c r="A26" s="338" t="s">
        <v>993</v>
      </c>
      <c r="B26" s="380">
        <v>2655138.9</v>
      </c>
      <c r="C26" s="380">
        <v>6483357.2000000002</v>
      </c>
      <c r="D26" s="380">
        <v>1744702.4</v>
      </c>
      <c r="E26" s="380">
        <v>5921634.0999999996</v>
      </c>
      <c r="F26" s="282">
        <v>39600</v>
      </c>
      <c r="G26" s="287" t="s">
        <v>169</v>
      </c>
      <c r="H26" s="285" t="s">
        <v>159</v>
      </c>
      <c r="AA26" s="338" t="s">
        <v>1005</v>
      </c>
      <c r="AB26" s="285"/>
      <c r="AC26" s="285"/>
      <c r="AD26" s="285"/>
    </row>
    <row r="27" spans="1:30" s="280" customFormat="1" ht="11.25" x14ac:dyDescent="0.15">
      <c r="A27" s="337" t="s">
        <v>16</v>
      </c>
      <c r="B27" s="381">
        <v>2662113</v>
      </c>
      <c r="C27" s="384">
        <v>6479451.0899999999</v>
      </c>
      <c r="D27" s="384">
        <v>1751683.5</v>
      </c>
      <c r="E27" s="384">
        <v>5917742.4000000004</v>
      </c>
      <c r="F27" s="287">
        <v>39083</v>
      </c>
      <c r="G27" s="282">
        <v>40057</v>
      </c>
      <c r="H27" s="285" t="s">
        <v>161</v>
      </c>
      <c r="I27" s="285" t="s">
        <v>178</v>
      </c>
      <c r="J27" s="285" t="s">
        <v>188</v>
      </c>
      <c r="K27" s="285" t="s">
        <v>178</v>
      </c>
      <c r="L27" s="285" t="s">
        <v>178</v>
      </c>
      <c r="M27" s="285" t="s">
        <v>204</v>
      </c>
      <c r="N27" s="285" t="s">
        <v>618</v>
      </c>
      <c r="O27" s="285" t="s">
        <v>205</v>
      </c>
      <c r="P27" s="285" t="s">
        <v>573</v>
      </c>
      <c r="Q27" s="285" t="s">
        <v>204</v>
      </c>
      <c r="R27" s="286">
        <v>15</v>
      </c>
      <c r="S27" s="369">
        <v>3</v>
      </c>
      <c r="T27" s="286">
        <v>3</v>
      </c>
      <c r="U27" s="288" t="s">
        <v>179</v>
      </c>
      <c r="V27" s="288">
        <v>16</v>
      </c>
      <c r="W27" s="288">
        <v>170</v>
      </c>
      <c r="X27" s="288" t="s">
        <v>179</v>
      </c>
      <c r="Y27" s="288">
        <v>300</v>
      </c>
      <c r="Z27" s="288" t="s">
        <v>185</v>
      </c>
      <c r="AA27" s="337" t="s">
        <v>1010</v>
      </c>
      <c r="AB27" s="285" t="s">
        <v>169</v>
      </c>
      <c r="AC27" s="285"/>
      <c r="AD27" s="285"/>
    </row>
    <row r="28" spans="1:30" s="280" customFormat="1" ht="11.25" x14ac:dyDescent="0.15">
      <c r="A28" s="338" t="s">
        <v>994</v>
      </c>
      <c r="B28" s="385"/>
      <c r="C28" s="385"/>
      <c r="D28" s="385"/>
      <c r="E28" s="385"/>
      <c r="F28" s="282">
        <v>40057</v>
      </c>
      <c r="G28" s="287">
        <v>42826</v>
      </c>
      <c r="H28" s="285" t="s">
        <v>161</v>
      </c>
      <c r="I28" s="285"/>
      <c r="J28" s="285"/>
      <c r="K28" s="285"/>
      <c r="L28" s="285"/>
      <c r="M28" s="285"/>
      <c r="N28" s="285"/>
      <c r="O28" s="285"/>
      <c r="P28" s="285"/>
      <c r="Q28" s="285"/>
      <c r="R28" s="286"/>
      <c r="S28" s="369"/>
      <c r="T28" s="286"/>
      <c r="U28" s="288"/>
      <c r="V28" s="288"/>
      <c r="W28" s="288"/>
      <c r="X28" s="288"/>
      <c r="Y28" s="288"/>
      <c r="Z28" s="288"/>
      <c r="AA28" s="338" t="s">
        <v>1008</v>
      </c>
      <c r="AB28" s="285"/>
      <c r="AC28" s="285"/>
      <c r="AD28" s="285"/>
    </row>
    <row r="29" spans="1:30" s="280" customFormat="1" ht="11.25" x14ac:dyDescent="0.15">
      <c r="A29" s="338" t="s">
        <v>1007</v>
      </c>
      <c r="B29" s="380">
        <v>2662096.5</v>
      </c>
      <c r="C29" s="380">
        <v>6479474.2000000002</v>
      </c>
      <c r="D29" s="380">
        <v>1751667</v>
      </c>
      <c r="E29" s="380">
        <v>5917765.5</v>
      </c>
      <c r="F29" s="287">
        <v>42826</v>
      </c>
      <c r="G29" s="284"/>
      <c r="H29" s="285" t="s">
        <v>161</v>
      </c>
      <c r="AA29" s="338" t="s">
        <v>1009</v>
      </c>
      <c r="AB29" s="285"/>
      <c r="AC29" s="285"/>
      <c r="AD29" s="285"/>
    </row>
    <row r="30" spans="1:30" s="280" customFormat="1" ht="11.25" x14ac:dyDescent="0.15">
      <c r="A30" s="337" t="s">
        <v>17</v>
      </c>
      <c r="B30" s="384">
        <v>2666148.31</v>
      </c>
      <c r="C30" s="384">
        <v>6480098.4400000004</v>
      </c>
      <c r="D30" s="384">
        <v>1755717.2</v>
      </c>
      <c r="E30" s="384">
        <v>5918397.7999999998</v>
      </c>
      <c r="F30" s="287">
        <v>39083</v>
      </c>
      <c r="G30" s="282">
        <v>42064</v>
      </c>
      <c r="H30" s="285" t="s">
        <v>159</v>
      </c>
      <c r="I30" s="285" t="s">
        <v>178</v>
      </c>
      <c r="J30" s="285" t="s">
        <v>188</v>
      </c>
      <c r="K30" s="285" t="s">
        <v>178</v>
      </c>
      <c r="L30" s="285" t="s">
        <v>178</v>
      </c>
      <c r="M30" s="285" t="s">
        <v>206</v>
      </c>
      <c r="N30" s="285" t="s">
        <v>619</v>
      </c>
      <c r="O30" s="285" t="s">
        <v>207</v>
      </c>
      <c r="P30" s="285" t="s">
        <v>573</v>
      </c>
      <c r="Q30" s="285" t="s">
        <v>620</v>
      </c>
      <c r="R30" s="286">
        <v>5</v>
      </c>
      <c r="S30" s="369">
        <v>3</v>
      </c>
      <c r="T30" s="286">
        <v>2</v>
      </c>
      <c r="U30" s="288" t="s">
        <v>179</v>
      </c>
      <c r="V30" s="288">
        <v>16</v>
      </c>
      <c r="W30" s="288">
        <v>50</v>
      </c>
      <c r="X30" s="288" t="s">
        <v>208</v>
      </c>
      <c r="Y30" s="288">
        <v>115</v>
      </c>
      <c r="Z30" s="288" t="s">
        <v>174</v>
      </c>
      <c r="AA30" s="337" t="s">
        <v>997</v>
      </c>
      <c r="AB30" s="285" t="s">
        <v>169</v>
      </c>
      <c r="AC30" s="285"/>
      <c r="AD30" s="285"/>
    </row>
    <row r="31" spans="1:30" s="280" customFormat="1" ht="11.25" x14ac:dyDescent="0.15">
      <c r="A31" s="338" t="s">
        <v>996</v>
      </c>
      <c r="B31" s="380">
        <v>2666148.31</v>
      </c>
      <c r="C31" s="380">
        <v>6480098.4400000004</v>
      </c>
      <c r="D31" s="380">
        <v>1755717.2</v>
      </c>
      <c r="E31" s="380">
        <v>5918397.7999999998</v>
      </c>
      <c r="F31" s="282">
        <v>42064</v>
      </c>
      <c r="G31" s="287" t="s">
        <v>169</v>
      </c>
      <c r="H31" s="285" t="s">
        <v>159</v>
      </c>
      <c r="AA31" s="338" t="s">
        <v>1011</v>
      </c>
      <c r="AB31" s="285"/>
      <c r="AC31" s="285"/>
      <c r="AD31" s="285"/>
    </row>
    <row r="32" spans="1:30" s="280" customFormat="1" ht="11.25" x14ac:dyDescent="0.15">
      <c r="A32" s="280" t="s">
        <v>18</v>
      </c>
      <c r="B32" s="380">
        <v>2666666.4</v>
      </c>
      <c r="C32" s="380">
        <v>6474657</v>
      </c>
      <c r="D32" s="380">
        <v>1756246.1</v>
      </c>
      <c r="E32" s="380">
        <v>5912957.9000000004</v>
      </c>
      <c r="F32" s="287">
        <v>39083</v>
      </c>
      <c r="G32" s="287" t="s">
        <v>169</v>
      </c>
      <c r="H32" s="285" t="s">
        <v>159</v>
      </c>
      <c r="I32" s="285" t="s">
        <v>178</v>
      </c>
      <c r="J32" s="285" t="s">
        <v>188</v>
      </c>
      <c r="K32" s="285" t="s">
        <v>178</v>
      </c>
      <c r="L32" s="285" t="s">
        <v>178</v>
      </c>
      <c r="M32" s="285" t="s">
        <v>209</v>
      </c>
      <c r="N32" s="285" t="s">
        <v>621</v>
      </c>
      <c r="O32" s="285" t="s">
        <v>210</v>
      </c>
      <c r="P32" s="285" t="s">
        <v>573</v>
      </c>
      <c r="Q32" s="285" t="s">
        <v>622</v>
      </c>
      <c r="R32" s="286">
        <v>5</v>
      </c>
      <c r="S32" s="369">
        <v>3</v>
      </c>
      <c r="T32" s="286">
        <v>2</v>
      </c>
      <c r="U32" s="288" t="s">
        <v>179</v>
      </c>
      <c r="V32" s="288">
        <v>20</v>
      </c>
      <c r="W32" s="288">
        <v>60</v>
      </c>
      <c r="X32" s="288" t="s">
        <v>191</v>
      </c>
      <c r="Y32" s="288">
        <v>225</v>
      </c>
      <c r="Z32" s="288" t="s">
        <v>191</v>
      </c>
      <c r="AA32" s="280" t="s">
        <v>623</v>
      </c>
      <c r="AB32" s="285" t="s">
        <v>169</v>
      </c>
      <c r="AC32" s="285"/>
      <c r="AD32" s="285"/>
    </row>
    <row r="33" spans="1:30" s="280" customFormat="1" ht="11.25" x14ac:dyDescent="0.15">
      <c r="A33" s="280" t="s">
        <v>19</v>
      </c>
      <c r="B33" s="380">
        <v>2669984</v>
      </c>
      <c r="C33" s="380">
        <v>6471353.7000000002</v>
      </c>
      <c r="D33" s="380">
        <v>1759570</v>
      </c>
      <c r="E33" s="380">
        <v>5909661.4000000004</v>
      </c>
      <c r="F33" s="287">
        <v>39083</v>
      </c>
      <c r="G33" s="287" t="s">
        <v>169</v>
      </c>
      <c r="H33" s="285" t="s">
        <v>159</v>
      </c>
      <c r="I33" s="285" t="s">
        <v>201</v>
      </c>
      <c r="J33" s="285" t="s">
        <v>608</v>
      </c>
      <c r="K33" s="285" t="s">
        <v>178</v>
      </c>
      <c r="L33" s="285" t="s">
        <v>201</v>
      </c>
      <c r="M33" s="285" t="s">
        <v>211</v>
      </c>
      <c r="N33" s="285" t="s">
        <v>624</v>
      </c>
      <c r="O33" s="285" t="s">
        <v>212</v>
      </c>
      <c r="P33" s="285" t="s">
        <v>573</v>
      </c>
      <c r="Q33" s="285" t="s">
        <v>625</v>
      </c>
      <c r="R33" s="286">
        <v>5</v>
      </c>
      <c r="S33" s="369">
        <v>3</v>
      </c>
      <c r="T33" s="286">
        <v>10</v>
      </c>
      <c r="U33" s="288" t="s">
        <v>179</v>
      </c>
      <c r="V33" s="288">
        <v>20</v>
      </c>
      <c r="W33" s="288">
        <v>45</v>
      </c>
      <c r="X33" s="288" t="s">
        <v>185</v>
      </c>
      <c r="Y33" s="288">
        <v>280</v>
      </c>
      <c r="Z33" s="288" t="s">
        <v>185</v>
      </c>
      <c r="AA33" s="280" t="s">
        <v>626</v>
      </c>
      <c r="AB33" s="285" t="s">
        <v>169</v>
      </c>
      <c r="AC33" s="285"/>
      <c r="AD33" s="285"/>
    </row>
    <row r="34" spans="1:30" s="280" customFormat="1" ht="11.25" x14ac:dyDescent="0.15">
      <c r="A34" s="337" t="s">
        <v>20</v>
      </c>
      <c r="B34" s="381">
        <v>2670600</v>
      </c>
      <c r="C34" s="384">
        <v>6469774.0999999996</v>
      </c>
      <c r="D34" s="384">
        <v>1760189</v>
      </c>
      <c r="E34" s="384">
        <v>5908083.0999999996</v>
      </c>
      <c r="F34" s="287">
        <v>39083</v>
      </c>
      <c r="G34" s="282">
        <v>39173</v>
      </c>
      <c r="H34" s="285" t="s">
        <v>159</v>
      </c>
      <c r="I34" s="285" t="s">
        <v>201</v>
      </c>
      <c r="J34" s="285" t="s">
        <v>608</v>
      </c>
      <c r="K34" s="285" t="s">
        <v>178</v>
      </c>
      <c r="L34" s="285" t="s">
        <v>201</v>
      </c>
      <c r="M34" s="285" t="s">
        <v>213</v>
      </c>
      <c r="N34" s="285" t="s">
        <v>627</v>
      </c>
      <c r="O34" s="285" t="s">
        <v>214</v>
      </c>
      <c r="P34" s="285" t="s">
        <v>573</v>
      </c>
      <c r="Q34" s="285" t="s">
        <v>628</v>
      </c>
      <c r="R34" s="286">
        <v>20</v>
      </c>
      <c r="S34" s="369">
        <v>3</v>
      </c>
      <c r="T34" s="286">
        <v>20</v>
      </c>
      <c r="U34" s="288" t="s">
        <v>575</v>
      </c>
      <c r="V34" s="288">
        <v>20</v>
      </c>
      <c r="W34" s="288">
        <v>100</v>
      </c>
      <c r="X34" s="288" t="s">
        <v>174</v>
      </c>
      <c r="Y34" s="288">
        <v>490</v>
      </c>
      <c r="Z34" s="288" t="s">
        <v>185</v>
      </c>
      <c r="AA34" s="337" t="s">
        <v>1113</v>
      </c>
      <c r="AB34" s="285" t="s">
        <v>169</v>
      </c>
      <c r="AC34" s="285"/>
      <c r="AD34" s="285"/>
    </row>
    <row r="35" spans="1:30" s="280" customFormat="1" ht="11.25" x14ac:dyDescent="0.15">
      <c r="A35" s="338" t="s">
        <v>998</v>
      </c>
      <c r="B35" s="380">
        <v>2670554.0449999999</v>
      </c>
      <c r="C35" s="380">
        <v>6469960.835</v>
      </c>
      <c r="D35" s="380">
        <v>1760142.73</v>
      </c>
      <c r="E35" s="380">
        <v>5908269.7400000002</v>
      </c>
      <c r="F35" s="282">
        <v>39173</v>
      </c>
      <c r="G35" s="287" t="s">
        <v>169</v>
      </c>
      <c r="H35" s="285" t="s">
        <v>159</v>
      </c>
      <c r="AA35" s="338" t="s">
        <v>1012</v>
      </c>
      <c r="AB35" s="285"/>
      <c r="AC35" s="285"/>
      <c r="AD35" s="285"/>
    </row>
    <row r="36" spans="1:30" s="280" customFormat="1" ht="11.25" x14ac:dyDescent="0.15">
      <c r="A36" s="386" t="s">
        <v>1105</v>
      </c>
      <c r="B36" s="387"/>
      <c r="C36" s="387"/>
      <c r="D36" s="387"/>
      <c r="E36" s="387"/>
      <c r="F36" s="388"/>
      <c r="G36" s="287"/>
      <c r="H36" s="285"/>
      <c r="AA36" s="386" t="s">
        <v>1106</v>
      </c>
      <c r="AB36" s="285"/>
      <c r="AC36" s="285"/>
      <c r="AD36" s="285"/>
    </row>
    <row r="37" spans="1:30" s="280" customFormat="1" ht="11.25" x14ac:dyDescent="0.15">
      <c r="A37" s="285" t="s">
        <v>59</v>
      </c>
      <c r="B37" s="380">
        <v>2628530</v>
      </c>
      <c r="C37" s="380">
        <v>6610570</v>
      </c>
      <c r="D37" s="380">
        <v>1717811.5759999999</v>
      </c>
      <c r="E37" s="380">
        <v>6048753.4199999999</v>
      </c>
      <c r="F37" s="287">
        <v>39965</v>
      </c>
      <c r="G37" s="287">
        <v>40360</v>
      </c>
      <c r="H37" s="285" t="s">
        <v>161</v>
      </c>
      <c r="I37" s="285" t="s">
        <v>170</v>
      </c>
      <c r="J37" s="285" t="s">
        <v>170</v>
      </c>
      <c r="K37" s="285" t="s">
        <v>173</v>
      </c>
      <c r="L37" s="285" t="s">
        <v>173</v>
      </c>
      <c r="M37" s="285" t="s">
        <v>215</v>
      </c>
      <c r="N37" s="285" t="s">
        <v>629</v>
      </c>
      <c r="O37" s="285" t="s">
        <v>216</v>
      </c>
      <c r="P37" s="285" t="s">
        <v>573</v>
      </c>
      <c r="Q37" s="285" t="s">
        <v>215</v>
      </c>
      <c r="R37" s="286">
        <v>10</v>
      </c>
      <c r="S37" s="369">
        <v>3</v>
      </c>
      <c r="T37" s="286">
        <v>10</v>
      </c>
      <c r="U37" s="288" t="s">
        <v>179</v>
      </c>
      <c r="V37" s="288">
        <v>1</v>
      </c>
      <c r="W37" s="288">
        <v>1050</v>
      </c>
      <c r="X37" s="288" t="s">
        <v>185</v>
      </c>
      <c r="Y37" s="288">
        <v>905</v>
      </c>
      <c r="Z37" s="288" t="s">
        <v>191</v>
      </c>
      <c r="AA37" s="376" t="s">
        <v>1099</v>
      </c>
      <c r="AB37" s="285" t="s">
        <v>169</v>
      </c>
      <c r="AC37" s="285"/>
      <c r="AD37" s="285"/>
    </row>
    <row r="38" spans="1:30" s="280" customFormat="1" ht="11.25" x14ac:dyDescent="0.15">
      <c r="A38" s="337" t="s">
        <v>60</v>
      </c>
      <c r="B38" s="381">
        <v>2662473</v>
      </c>
      <c r="C38" s="384">
        <v>6492209</v>
      </c>
      <c r="D38" s="384">
        <v>1752017.5</v>
      </c>
      <c r="E38" s="384">
        <v>5930499.7000000002</v>
      </c>
      <c r="F38" s="287">
        <v>39904</v>
      </c>
      <c r="G38" s="282">
        <v>40148</v>
      </c>
      <c r="H38" s="285" t="s">
        <v>159</v>
      </c>
      <c r="I38" s="285" t="s">
        <v>581</v>
      </c>
      <c r="J38" s="285" t="s">
        <v>175</v>
      </c>
      <c r="K38" s="285" t="s">
        <v>178</v>
      </c>
      <c r="L38" s="285" t="s">
        <v>582</v>
      </c>
      <c r="M38" s="285" t="s">
        <v>217</v>
      </c>
      <c r="N38" s="285" t="s">
        <v>630</v>
      </c>
      <c r="O38" s="285" t="s">
        <v>218</v>
      </c>
      <c r="P38" s="285" t="s">
        <v>573</v>
      </c>
      <c r="Q38" s="285" t="s">
        <v>631</v>
      </c>
      <c r="R38" s="286">
        <v>10</v>
      </c>
      <c r="S38" s="369">
        <v>3</v>
      </c>
      <c r="T38" s="286">
        <v>10</v>
      </c>
      <c r="U38" s="288" t="s">
        <v>179</v>
      </c>
      <c r="V38" s="288">
        <v>18</v>
      </c>
      <c r="W38" s="288">
        <v>110</v>
      </c>
      <c r="X38" s="288" t="s">
        <v>219</v>
      </c>
      <c r="Y38" s="288">
        <v>100</v>
      </c>
      <c r="Z38" s="288" t="s">
        <v>191</v>
      </c>
      <c r="AA38" s="337" t="s">
        <v>1112</v>
      </c>
      <c r="AB38" s="285" t="s">
        <v>169</v>
      </c>
      <c r="AC38" s="285"/>
      <c r="AD38" s="285"/>
    </row>
    <row r="39" spans="1:30" s="280" customFormat="1" ht="11.25" x14ac:dyDescent="0.15">
      <c r="A39" s="338" t="s">
        <v>1013</v>
      </c>
      <c r="B39" s="380">
        <v>2662529.7999999998</v>
      </c>
      <c r="C39" s="380">
        <v>6492248.7999999998</v>
      </c>
      <c r="D39" s="380">
        <v>1752074.3</v>
      </c>
      <c r="E39" s="380">
        <v>5930539.5999999996</v>
      </c>
      <c r="F39" s="282">
        <v>40148</v>
      </c>
      <c r="G39" s="287" t="s">
        <v>169</v>
      </c>
      <c r="H39" s="285" t="s">
        <v>159</v>
      </c>
      <c r="AA39" s="338" t="s">
        <v>1014</v>
      </c>
      <c r="AB39" s="285"/>
      <c r="AC39" s="285"/>
      <c r="AD39" s="285"/>
    </row>
    <row r="40" spans="1:30" s="280" customFormat="1" ht="11.25" x14ac:dyDescent="0.15">
      <c r="A40" s="386" t="s">
        <v>1107</v>
      </c>
      <c r="B40" s="387"/>
      <c r="C40" s="387"/>
      <c r="D40" s="387"/>
      <c r="E40" s="387"/>
      <c r="F40" s="388"/>
      <c r="G40" s="287"/>
      <c r="H40" s="285"/>
      <c r="AA40" s="386" t="s">
        <v>1108</v>
      </c>
      <c r="AB40" s="285"/>
      <c r="AC40" s="285"/>
      <c r="AD40" s="285"/>
    </row>
    <row r="41" spans="1:30" s="280" customFormat="1" ht="11.25" x14ac:dyDescent="0.15">
      <c r="A41" s="280" t="s">
        <v>61</v>
      </c>
      <c r="B41" s="380">
        <v>2660205</v>
      </c>
      <c r="C41" s="380">
        <v>6489783.0999999996</v>
      </c>
      <c r="D41" s="380">
        <v>1749754.8</v>
      </c>
      <c r="E41" s="380">
        <v>5928069.4000000004</v>
      </c>
      <c r="F41" s="287">
        <v>39904</v>
      </c>
      <c r="G41" s="287" t="s">
        <v>169</v>
      </c>
      <c r="H41" s="285" t="s">
        <v>159</v>
      </c>
      <c r="I41" s="285" t="s">
        <v>581</v>
      </c>
      <c r="J41" s="285" t="s">
        <v>175</v>
      </c>
      <c r="K41" s="285" t="s">
        <v>178</v>
      </c>
      <c r="L41" s="285" t="s">
        <v>582</v>
      </c>
      <c r="M41" s="285" t="s">
        <v>220</v>
      </c>
      <c r="N41" s="285" t="s">
        <v>632</v>
      </c>
      <c r="O41" s="285" t="s">
        <v>221</v>
      </c>
      <c r="P41" s="285" t="s">
        <v>573</v>
      </c>
      <c r="Q41" s="285" t="s">
        <v>633</v>
      </c>
      <c r="R41" s="286">
        <v>20</v>
      </c>
      <c r="S41" s="369">
        <v>2.5</v>
      </c>
      <c r="T41" s="286">
        <v>10</v>
      </c>
      <c r="U41" s="288" t="s">
        <v>575</v>
      </c>
      <c r="V41" s="288">
        <v>18</v>
      </c>
      <c r="W41" s="288">
        <v>80</v>
      </c>
      <c r="X41" s="288" t="s">
        <v>179</v>
      </c>
      <c r="Y41" s="288">
        <v>50</v>
      </c>
      <c r="Z41" s="288" t="s">
        <v>174</v>
      </c>
      <c r="AA41" s="280" t="s">
        <v>634</v>
      </c>
      <c r="AB41" s="285" t="s">
        <v>169</v>
      </c>
      <c r="AC41" s="285"/>
      <c r="AD41" s="285"/>
    </row>
    <row r="42" spans="1:30" s="280" customFormat="1" ht="11.25" x14ac:dyDescent="0.15">
      <c r="A42" s="280" t="s">
        <v>62</v>
      </c>
      <c r="B42" s="380">
        <v>2663844</v>
      </c>
      <c r="C42" s="380">
        <v>6491481.5</v>
      </c>
      <c r="D42" s="380">
        <v>1753389.9</v>
      </c>
      <c r="E42" s="380">
        <v>5929775.0999999996</v>
      </c>
      <c r="F42" s="287">
        <v>39904</v>
      </c>
      <c r="G42" s="287" t="s">
        <v>169</v>
      </c>
      <c r="H42" s="285" t="s">
        <v>160</v>
      </c>
      <c r="I42" s="285" t="s">
        <v>581</v>
      </c>
      <c r="J42" s="285" t="s">
        <v>175</v>
      </c>
      <c r="K42" s="285" t="s">
        <v>178</v>
      </c>
      <c r="L42" s="285" t="s">
        <v>582</v>
      </c>
      <c r="M42" s="285" t="s">
        <v>222</v>
      </c>
      <c r="N42" s="285" t="s">
        <v>635</v>
      </c>
      <c r="O42" s="285" t="s">
        <v>223</v>
      </c>
      <c r="P42" s="285" t="s">
        <v>573</v>
      </c>
      <c r="Q42" s="285" t="s">
        <v>636</v>
      </c>
      <c r="R42" s="286">
        <v>5</v>
      </c>
      <c r="S42" s="369">
        <v>3</v>
      </c>
      <c r="T42" s="286">
        <v>10</v>
      </c>
      <c r="U42" s="288" t="s">
        <v>575</v>
      </c>
      <c r="V42" s="288">
        <v>18</v>
      </c>
      <c r="W42" s="288">
        <v>1630</v>
      </c>
      <c r="X42" s="288" t="s">
        <v>219</v>
      </c>
      <c r="Y42" s="288">
        <v>20</v>
      </c>
      <c r="Z42" s="288" t="s">
        <v>185</v>
      </c>
      <c r="AA42" s="280" t="s">
        <v>169</v>
      </c>
      <c r="AB42" s="285" t="s">
        <v>169</v>
      </c>
      <c r="AC42" s="285"/>
      <c r="AD42" s="285"/>
    </row>
    <row r="43" spans="1:30" s="280" customFormat="1" ht="11.25" x14ac:dyDescent="0.15">
      <c r="A43" s="280" t="s">
        <v>63</v>
      </c>
      <c r="B43" s="380">
        <v>2668527</v>
      </c>
      <c r="C43" s="380">
        <v>6488832</v>
      </c>
      <c r="D43" s="380">
        <v>1758077.9</v>
      </c>
      <c r="E43" s="380">
        <v>5927135.5</v>
      </c>
      <c r="F43" s="287">
        <v>39904</v>
      </c>
      <c r="G43" s="287" t="s">
        <v>169</v>
      </c>
      <c r="H43" s="285" t="s">
        <v>160</v>
      </c>
      <c r="I43" s="285" t="s">
        <v>581</v>
      </c>
      <c r="J43" s="285" t="s">
        <v>175</v>
      </c>
      <c r="K43" s="285" t="s">
        <v>178</v>
      </c>
      <c r="L43" s="285" t="s">
        <v>582</v>
      </c>
      <c r="M43" s="285" t="s">
        <v>224</v>
      </c>
      <c r="N43" s="285" t="s">
        <v>637</v>
      </c>
      <c r="O43" s="285" t="s">
        <v>225</v>
      </c>
      <c r="P43" s="285" t="s">
        <v>587</v>
      </c>
      <c r="Q43" s="285" t="s">
        <v>638</v>
      </c>
      <c r="R43" s="286">
        <v>10</v>
      </c>
      <c r="S43" s="369">
        <v>3</v>
      </c>
      <c r="T43" s="286">
        <v>20</v>
      </c>
      <c r="U43" s="288" t="s">
        <v>575</v>
      </c>
      <c r="V43" s="288">
        <v>1</v>
      </c>
      <c r="W43" s="288">
        <v>1430</v>
      </c>
      <c r="X43" s="288" t="s">
        <v>197</v>
      </c>
      <c r="Y43" s="288">
        <v>5</v>
      </c>
      <c r="Z43" s="288" t="s">
        <v>174</v>
      </c>
      <c r="AA43" s="280" t="s">
        <v>639</v>
      </c>
      <c r="AB43" s="285" t="s">
        <v>169</v>
      </c>
      <c r="AC43" s="285"/>
      <c r="AD43" s="285"/>
    </row>
    <row r="44" spans="1:30" s="280" customFormat="1" ht="11.25" x14ac:dyDescent="0.15">
      <c r="A44" s="280" t="s">
        <v>64</v>
      </c>
      <c r="B44" s="380">
        <v>2666520</v>
      </c>
      <c r="C44" s="380">
        <v>6489771</v>
      </c>
      <c r="D44" s="380">
        <v>1756069.1</v>
      </c>
      <c r="E44" s="380">
        <v>5928070.2000000002</v>
      </c>
      <c r="F44" s="287">
        <v>39904</v>
      </c>
      <c r="G44" s="287" t="s">
        <v>169</v>
      </c>
      <c r="H44" s="285" t="s">
        <v>159</v>
      </c>
      <c r="I44" s="285" t="s">
        <v>581</v>
      </c>
      <c r="J44" s="285" t="s">
        <v>175</v>
      </c>
      <c r="K44" s="285" t="s">
        <v>178</v>
      </c>
      <c r="L44" s="285" t="s">
        <v>582</v>
      </c>
      <c r="M44" s="285" t="s">
        <v>640</v>
      </c>
      <c r="N44" s="285" t="s">
        <v>641</v>
      </c>
      <c r="O44" s="285" t="s">
        <v>225</v>
      </c>
      <c r="P44" s="285" t="s">
        <v>573</v>
      </c>
      <c r="Q44" s="285" t="s">
        <v>642</v>
      </c>
      <c r="R44" s="286">
        <v>10</v>
      </c>
      <c r="S44" s="369">
        <v>3</v>
      </c>
      <c r="T44" s="286">
        <v>5</v>
      </c>
      <c r="U44" s="288" t="s">
        <v>179</v>
      </c>
      <c r="V44" s="288">
        <v>1</v>
      </c>
      <c r="W44" s="288">
        <v>80</v>
      </c>
      <c r="X44" s="288" t="s">
        <v>174</v>
      </c>
      <c r="Y44" s="288">
        <v>35</v>
      </c>
      <c r="Z44" s="288" t="s">
        <v>179</v>
      </c>
      <c r="AA44" s="280" t="s">
        <v>643</v>
      </c>
      <c r="AB44" s="285" t="s">
        <v>603</v>
      </c>
      <c r="AC44" s="285"/>
      <c r="AD44" s="285"/>
    </row>
    <row r="45" spans="1:30" s="280" customFormat="1" ht="11.25" x14ac:dyDescent="0.15">
      <c r="A45" s="280" t="s">
        <v>65</v>
      </c>
      <c r="B45" s="380">
        <v>2666520</v>
      </c>
      <c r="C45" s="380">
        <v>6489771</v>
      </c>
      <c r="D45" s="380">
        <v>1756069.1</v>
      </c>
      <c r="E45" s="380">
        <v>5928070.2000000002</v>
      </c>
      <c r="F45" s="287">
        <v>39904</v>
      </c>
      <c r="G45" s="287" t="s">
        <v>169</v>
      </c>
      <c r="H45" s="285" t="s">
        <v>159</v>
      </c>
      <c r="I45" s="285" t="s">
        <v>581</v>
      </c>
      <c r="J45" s="285" t="s">
        <v>175</v>
      </c>
      <c r="K45" s="285" t="s">
        <v>178</v>
      </c>
      <c r="L45" s="285" t="s">
        <v>582</v>
      </c>
      <c r="M45" s="285" t="s">
        <v>640</v>
      </c>
      <c r="N45" s="285" t="s">
        <v>641</v>
      </c>
      <c r="O45" s="285" t="s">
        <v>225</v>
      </c>
      <c r="P45" s="285" t="s">
        <v>573</v>
      </c>
      <c r="Q45" s="285" t="s">
        <v>642</v>
      </c>
      <c r="R45" s="286">
        <v>50</v>
      </c>
      <c r="S45" s="369">
        <v>3</v>
      </c>
      <c r="T45" s="286">
        <v>5</v>
      </c>
      <c r="U45" s="288" t="s">
        <v>179</v>
      </c>
      <c r="V45" s="288">
        <v>1</v>
      </c>
      <c r="W45" s="288">
        <v>80</v>
      </c>
      <c r="X45" s="288" t="s">
        <v>174</v>
      </c>
      <c r="Y45" s="288">
        <v>35</v>
      </c>
      <c r="Z45" s="288" t="s">
        <v>179</v>
      </c>
      <c r="AA45" s="280" t="s">
        <v>643</v>
      </c>
      <c r="AB45" s="285" t="s">
        <v>605</v>
      </c>
      <c r="AC45" s="285"/>
      <c r="AD45" s="285"/>
    </row>
    <row r="46" spans="1:30" s="280" customFormat="1" ht="11.25" x14ac:dyDescent="0.15">
      <c r="A46" s="280" t="s">
        <v>66</v>
      </c>
      <c r="B46" s="380">
        <v>2666520</v>
      </c>
      <c r="C46" s="380">
        <v>6489771</v>
      </c>
      <c r="D46" s="380">
        <v>1756069.1</v>
      </c>
      <c r="E46" s="380">
        <v>5928070.2000000002</v>
      </c>
      <c r="F46" s="287">
        <v>39904</v>
      </c>
      <c r="G46" s="287" t="s">
        <v>169</v>
      </c>
      <c r="H46" s="285" t="s">
        <v>159</v>
      </c>
      <c r="I46" s="285" t="s">
        <v>581</v>
      </c>
      <c r="J46" s="285" t="s">
        <v>175</v>
      </c>
      <c r="K46" s="285" t="s">
        <v>178</v>
      </c>
      <c r="L46" s="285" t="s">
        <v>582</v>
      </c>
      <c r="M46" s="285" t="s">
        <v>640</v>
      </c>
      <c r="N46" s="285" t="s">
        <v>641</v>
      </c>
      <c r="O46" s="285" t="s">
        <v>225</v>
      </c>
      <c r="P46" s="285" t="s">
        <v>573</v>
      </c>
      <c r="Q46" s="285" t="s">
        <v>642</v>
      </c>
      <c r="R46" s="286">
        <v>50</v>
      </c>
      <c r="S46" s="369">
        <v>3</v>
      </c>
      <c r="T46" s="286">
        <v>5</v>
      </c>
      <c r="U46" s="288" t="s">
        <v>179</v>
      </c>
      <c r="V46" s="288">
        <v>1</v>
      </c>
      <c r="W46" s="288">
        <v>80</v>
      </c>
      <c r="X46" s="288" t="s">
        <v>174</v>
      </c>
      <c r="Y46" s="288">
        <v>35</v>
      </c>
      <c r="Z46" s="288" t="s">
        <v>179</v>
      </c>
      <c r="AA46" s="280" t="s">
        <v>643</v>
      </c>
      <c r="AB46" s="285" t="s">
        <v>607</v>
      </c>
      <c r="AC46" s="285"/>
      <c r="AD46" s="285"/>
    </row>
    <row r="47" spans="1:30" s="280" customFormat="1" ht="11.25" x14ac:dyDescent="0.15">
      <c r="A47" s="280" t="s">
        <v>67</v>
      </c>
      <c r="B47" s="380">
        <v>2668876</v>
      </c>
      <c r="C47" s="380">
        <v>6488287</v>
      </c>
      <c r="D47" s="380">
        <v>1758428</v>
      </c>
      <c r="E47" s="380">
        <v>5926591.2000000002</v>
      </c>
      <c r="F47" s="287">
        <v>39904</v>
      </c>
      <c r="G47" s="287" t="s">
        <v>169</v>
      </c>
      <c r="H47" s="285" t="s">
        <v>160</v>
      </c>
      <c r="I47" s="285" t="s">
        <v>581</v>
      </c>
      <c r="J47" s="285" t="s">
        <v>175</v>
      </c>
      <c r="K47" s="285" t="s">
        <v>178</v>
      </c>
      <c r="L47" s="285" t="s">
        <v>582</v>
      </c>
      <c r="M47" s="285" t="s">
        <v>226</v>
      </c>
      <c r="N47" s="285" t="s">
        <v>644</v>
      </c>
      <c r="O47" s="285" t="s">
        <v>225</v>
      </c>
      <c r="P47" s="285" t="s">
        <v>573</v>
      </c>
      <c r="Q47" s="285" t="s">
        <v>638</v>
      </c>
      <c r="R47" s="286">
        <v>5</v>
      </c>
      <c r="S47" s="369">
        <v>3</v>
      </c>
      <c r="T47" s="286">
        <v>1</v>
      </c>
      <c r="U47" s="288" t="s">
        <v>575</v>
      </c>
      <c r="V47" s="288">
        <v>1</v>
      </c>
      <c r="W47" s="288">
        <v>1435</v>
      </c>
      <c r="X47" s="288" t="s">
        <v>197</v>
      </c>
      <c r="Y47" s="288">
        <v>10</v>
      </c>
      <c r="Z47" s="288" t="s">
        <v>197</v>
      </c>
      <c r="AA47" s="280" t="s">
        <v>639</v>
      </c>
      <c r="AB47" s="285" t="s">
        <v>169</v>
      </c>
      <c r="AC47" s="285"/>
      <c r="AD47" s="285"/>
    </row>
    <row r="48" spans="1:30" s="280" customFormat="1" ht="11.25" x14ac:dyDescent="0.15">
      <c r="A48" s="280" t="s">
        <v>68</v>
      </c>
      <c r="B48" s="380">
        <v>2664145</v>
      </c>
      <c r="C48" s="380">
        <v>6489081</v>
      </c>
      <c r="D48" s="380">
        <v>1753695.8</v>
      </c>
      <c r="E48" s="380">
        <v>5927375.4000000004</v>
      </c>
      <c r="F48" s="287">
        <v>39904</v>
      </c>
      <c r="G48" s="287" t="s">
        <v>169</v>
      </c>
      <c r="H48" s="285" t="s">
        <v>161</v>
      </c>
      <c r="I48" s="285" t="s">
        <v>581</v>
      </c>
      <c r="J48" s="285" t="s">
        <v>175</v>
      </c>
      <c r="K48" s="285" t="s">
        <v>178</v>
      </c>
      <c r="L48" s="285" t="s">
        <v>582</v>
      </c>
      <c r="M48" s="285" t="s">
        <v>227</v>
      </c>
      <c r="N48" s="285" t="s">
        <v>645</v>
      </c>
      <c r="O48" s="285" t="s">
        <v>228</v>
      </c>
      <c r="P48" s="285" t="s">
        <v>573</v>
      </c>
      <c r="Q48" s="285" t="s">
        <v>646</v>
      </c>
      <c r="R48" s="286">
        <v>10</v>
      </c>
      <c r="S48" s="369">
        <v>3</v>
      </c>
      <c r="T48" s="286">
        <v>5</v>
      </c>
      <c r="U48" s="288" t="s">
        <v>575</v>
      </c>
      <c r="V48" s="288">
        <v>1</v>
      </c>
      <c r="W48" s="288">
        <v>2530</v>
      </c>
      <c r="X48" s="288" t="s">
        <v>185</v>
      </c>
      <c r="Y48" s="288">
        <v>70</v>
      </c>
      <c r="Z48" s="288" t="s">
        <v>174</v>
      </c>
      <c r="AA48" s="280" t="s">
        <v>169</v>
      </c>
      <c r="AB48" s="285" t="s">
        <v>169</v>
      </c>
      <c r="AC48" s="285"/>
      <c r="AD48" s="285"/>
    </row>
    <row r="49" spans="1:30" s="280" customFormat="1" ht="11.25" x14ac:dyDescent="0.15">
      <c r="A49" s="285" t="s">
        <v>69</v>
      </c>
      <c r="B49" s="380">
        <v>2657695</v>
      </c>
      <c r="C49" s="380">
        <v>6481567</v>
      </c>
      <c r="D49" s="380">
        <v>1747261.8</v>
      </c>
      <c r="E49" s="380">
        <v>5919849.2000000002</v>
      </c>
      <c r="F49" s="287">
        <v>39904</v>
      </c>
      <c r="G49" s="287">
        <v>41974</v>
      </c>
      <c r="H49" s="285" t="s">
        <v>159</v>
      </c>
      <c r="I49" s="285" t="s">
        <v>614</v>
      </c>
      <c r="J49" s="285" t="s">
        <v>202</v>
      </c>
      <c r="K49" s="285" t="s">
        <v>178</v>
      </c>
      <c r="L49" s="285" t="s">
        <v>614</v>
      </c>
      <c r="M49" s="285" t="s">
        <v>229</v>
      </c>
      <c r="N49" s="285" t="s">
        <v>647</v>
      </c>
      <c r="O49" s="285" t="s">
        <v>230</v>
      </c>
      <c r="P49" s="285" t="s">
        <v>573</v>
      </c>
      <c r="Q49" s="285" t="s">
        <v>648</v>
      </c>
      <c r="R49" s="286">
        <v>40</v>
      </c>
      <c r="S49" s="369">
        <v>3</v>
      </c>
      <c r="T49" s="286">
        <v>30</v>
      </c>
      <c r="U49" s="288" t="s">
        <v>179</v>
      </c>
      <c r="V49" s="288">
        <v>16</v>
      </c>
      <c r="W49" s="288">
        <v>165</v>
      </c>
      <c r="X49" s="288" t="s">
        <v>174</v>
      </c>
      <c r="Y49" s="288">
        <v>15</v>
      </c>
      <c r="Z49" s="288" t="s">
        <v>174</v>
      </c>
      <c r="AA49" s="337" t="s">
        <v>1067</v>
      </c>
      <c r="AB49" s="285" t="s">
        <v>169</v>
      </c>
      <c r="AC49" s="285"/>
      <c r="AD49" s="285"/>
    </row>
    <row r="50" spans="1:30" s="280" customFormat="1" ht="11.25" x14ac:dyDescent="0.15">
      <c r="A50" s="337" t="s">
        <v>70</v>
      </c>
      <c r="B50" s="384">
        <v>2657690.7999999998</v>
      </c>
      <c r="C50" s="384">
        <v>6488128.4000000004</v>
      </c>
      <c r="D50" s="384">
        <v>1747244.3</v>
      </c>
      <c r="E50" s="384">
        <v>5926409.7999999998</v>
      </c>
      <c r="F50" s="287">
        <v>39995</v>
      </c>
      <c r="G50" s="284"/>
      <c r="H50" s="285" t="s">
        <v>576</v>
      </c>
      <c r="I50" s="285" t="s">
        <v>614</v>
      </c>
      <c r="J50" s="285" t="s">
        <v>202</v>
      </c>
      <c r="K50" s="285" t="s">
        <v>178</v>
      </c>
      <c r="L50" s="285" t="s">
        <v>614</v>
      </c>
      <c r="M50" s="285" t="s">
        <v>231</v>
      </c>
      <c r="N50" s="285" t="s">
        <v>649</v>
      </c>
      <c r="O50" s="285" t="s">
        <v>232</v>
      </c>
      <c r="P50" s="285" t="s">
        <v>573</v>
      </c>
      <c r="Q50" s="285" t="s">
        <v>650</v>
      </c>
      <c r="R50" s="286">
        <v>50</v>
      </c>
      <c r="S50" s="369">
        <v>3</v>
      </c>
      <c r="T50" s="286">
        <v>20</v>
      </c>
      <c r="U50" s="288" t="s">
        <v>575</v>
      </c>
      <c r="V50" s="288">
        <v>18</v>
      </c>
      <c r="W50" s="288">
        <v>340</v>
      </c>
      <c r="X50" s="288" t="s">
        <v>219</v>
      </c>
      <c r="Y50" s="288">
        <v>10</v>
      </c>
      <c r="Z50" s="288" t="s">
        <v>174</v>
      </c>
      <c r="AA50" s="337" t="s">
        <v>1111</v>
      </c>
      <c r="AB50" s="285" t="s">
        <v>651</v>
      </c>
      <c r="AC50" s="285"/>
      <c r="AD50" s="285"/>
    </row>
    <row r="51" spans="1:30" s="280" customFormat="1" ht="11.25" x14ac:dyDescent="0.15">
      <c r="A51" s="338" t="s">
        <v>1018</v>
      </c>
      <c r="B51" s="385"/>
      <c r="C51" s="385"/>
      <c r="D51" s="385"/>
      <c r="E51" s="385"/>
      <c r="F51" s="287">
        <v>42005</v>
      </c>
      <c r="G51" s="282">
        <v>43040</v>
      </c>
      <c r="H51" s="285" t="s">
        <v>576</v>
      </c>
      <c r="I51" s="285" t="s">
        <v>614</v>
      </c>
      <c r="J51" s="285" t="s">
        <v>202</v>
      </c>
      <c r="K51" s="285"/>
      <c r="L51" s="285"/>
      <c r="M51" s="285"/>
      <c r="N51" s="285"/>
      <c r="O51" s="285"/>
      <c r="P51" s="285"/>
      <c r="Q51" s="285"/>
      <c r="R51" s="286"/>
      <c r="S51" s="369"/>
      <c r="T51" s="286"/>
      <c r="U51" s="288"/>
      <c r="V51" s="288"/>
      <c r="W51" s="288"/>
      <c r="X51" s="288"/>
      <c r="Y51" s="288"/>
      <c r="Z51" s="288"/>
      <c r="AA51" s="338" t="s">
        <v>1016</v>
      </c>
      <c r="AB51" s="285"/>
      <c r="AC51" s="285"/>
      <c r="AD51" s="285"/>
    </row>
    <row r="52" spans="1:30" s="280" customFormat="1" ht="11.25" x14ac:dyDescent="0.15">
      <c r="A52" s="338" t="s">
        <v>1019</v>
      </c>
      <c r="B52" s="380">
        <v>2657617.2000000002</v>
      </c>
      <c r="C52" s="380">
        <v>6488024.9000000004</v>
      </c>
      <c r="D52" s="380">
        <v>1747170.9</v>
      </c>
      <c r="E52" s="380">
        <v>5926306.0999999996</v>
      </c>
      <c r="F52" s="282">
        <v>43040</v>
      </c>
      <c r="G52" s="287" t="s">
        <v>169</v>
      </c>
      <c r="H52" s="285" t="s">
        <v>576</v>
      </c>
      <c r="I52" s="285" t="s">
        <v>614</v>
      </c>
      <c r="J52" s="285" t="s">
        <v>202</v>
      </c>
      <c r="AA52" s="338" t="s">
        <v>1017</v>
      </c>
      <c r="AB52" s="285"/>
      <c r="AC52" s="285"/>
      <c r="AD52" s="285"/>
    </row>
    <row r="53" spans="1:30" s="280" customFormat="1" ht="11.25" x14ac:dyDescent="0.15">
      <c r="A53" s="386" t="s">
        <v>1109</v>
      </c>
      <c r="B53" s="387"/>
      <c r="C53" s="387"/>
      <c r="D53" s="387"/>
      <c r="E53" s="387"/>
      <c r="F53" s="388"/>
      <c r="G53" s="287"/>
      <c r="H53" s="285"/>
      <c r="I53" s="285"/>
      <c r="J53" s="285"/>
      <c r="AA53" s="386" t="s">
        <v>1110</v>
      </c>
      <c r="AB53" s="285"/>
      <c r="AC53" s="285"/>
      <c r="AD53" s="285"/>
    </row>
    <row r="54" spans="1:30" s="280" customFormat="1" ht="11.25" x14ac:dyDescent="0.15">
      <c r="A54" s="337" t="s">
        <v>71</v>
      </c>
      <c r="B54" s="381">
        <v>2652704</v>
      </c>
      <c r="C54" s="381">
        <v>6488432</v>
      </c>
      <c r="D54" s="384">
        <v>1742257.6</v>
      </c>
      <c r="E54" s="384">
        <v>5926703.2000000002</v>
      </c>
      <c r="F54" s="287">
        <v>39904</v>
      </c>
      <c r="G54" s="287">
        <v>42552</v>
      </c>
      <c r="H54" s="285" t="s">
        <v>159</v>
      </c>
      <c r="I54" s="285" t="s">
        <v>614</v>
      </c>
      <c r="J54" s="285" t="s">
        <v>202</v>
      </c>
      <c r="K54" s="285" t="s">
        <v>178</v>
      </c>
      <c r="L54" s="285" t="s">
        <v>614</v>
      </c>
      <c r="M54" s="285" t="s">
        <v>652</v>
      </c>
      <c r="N54" s="285" t="s">
        <v>653</v>
      </c>
      <c r="O54" s="285" t="s">
        <v>233</v>
      </c>
      <c r="P54" s="285" t="s">
        <v>573</v>
      </c>
      <c r="Q54" s="285" t="s">
        <v>654</v>
      </c>
      <c r="R54" s="286">
        <v>5</v>
      </c>
      <c r="S54" s="369">
        <v>3</v>
      </c>
      <c r="T54" s="286">
        <v>8</v>
      </c>
      <c r="U54" s="288" t="s">
        <v>575</v>
      </c>
      <c r="V54" s="288">
        <v>16</v>
      </c>
      <c r="W54" s="288">
        <v>15</v>
      </c>
      <c r="X54" s="288" t="s">
        <v>197</v>
      </c>
      <c r="Y54" s="288">
        <v>150</v>
      </c>
      <c r="Z54" s="288" t="s">
        <v>197</v>
      </c>
      <c r="AA54" s="337" t="s">
        <v>1117</v>
      </c>
      <c r="AB54" s="285" t="s">
        <v>169</v>
      </c>
      <c r="AC54" s="285"/>
      <c r="AD54" s="285"/>
    </row>
    <row r="55" spans="1:30" s="280" customFormat="1" ht="11.25" x14ac:dyDescent="0.15">
      <c r="A55" s="338" t="s">
        <v>1020</v>
      </c>
      <c r="B55" s="385"/>
      <c r="C55" s="385"/>
      <c r="D55" s="385"/>
      <c r="E55" s="385"/>
      <c r="F55" s="287">
        <v>42552</v>
      </c>
      <c r="G55" s="282">
        <v>43405</v>
      </c>
      <c r="H55" s="285" t="s">
        <v>159</v>
      </c>
      <c r="I55" s="285"/>
      <c r="J55" s="285"/>
      <c r="K55" s="285"/>
      <c r="L55" s="285"/>
      <c r="M55" s="285"/>
      <c r="N55" s="285"/>
      <c r="O55" s="285"/>
      <c r="P55" s="285"/>
      <c r="Q55" s="285"/>
      <c r="R55" s="286"/>
      <c r="S55" s="369"/>
      <c r="T55" s="286"/>
      <c r="U55" s="288"/>
      <c r="V55" s="288"/>
      <c r="W55" s="288"/>
      <c r="X55" s="288"/>
      <c r="Y55" s="288"/>
      <c r="Z55" s="288"/>
      <c r="AA55" s="338" t="s">
        <v>1023</v>
      </c>
      <c r="AB55" s="285"/>
      <c r="AC55" s="285"/>
      <c r="AD55" s="285"/>
    </row>
    <row r="56" spans="1:30" s="280" customFormat="1" ht="11.25" x14ac:dyDescent="0.15">
      <c r="A56" s="338" t="s">
        <v>1021</v>
      </c>
      <c r="B56" s="380">
        <v>2652734.202</v>
      </c>
      <c r="C56" s="380">
        <v>6488440.7980000004</v>
      </c>
      <c r="D56" s="380">
        <v>1742287.8</v>
      </c>
      <c r="E56" s="380">
        <v>5926712.0099999998</v>
      </c>
      <c r="F56" s="282">
        <v>43405</v>
      </c>
      <c r="G56" s="287" t="s">
        <v>169</v>
      </c>
      <c r="H56" s="285" t="s">
        <v>159</v>
      </c>
      <c r="AA56" s="338" t="s">
        <v>1022</v>
      </c>
      <c r="AB56" s="285"/>
      <c r="AC56" s="285"/>
      <c r="AD56" s="285"/>
    </row>
    <row r="57" spans="1:30" s="280" customFormat="1" ht="11.25" x14ac:dyDescent="0.15">
      <c r="A57" s="386" t="s">
        <v>1116</v>
      </c>
      <c r="B57" s="387"/>
      <c r="C57" s="387"/>
      <c r="D57" s="387"/>
      <c r="E57" s="387"/>
      <c r="F57" s="388"/>
      <c r="G57" s="287"/>
      <c r="H57" s="285"/>
      <c r="AA57" s="386" t="s">
        <v>1123</v>
      </c>
      <c r="AB57" s="285"/>
      <c r="AC57" s="285"/>
      <c r="AD57" s="285"/>
    </row>
    <row r="58" spans="1:30" s="280" customFormat="1" ht="11.25" x14ac:dyDescent="0.15">
      <c r="A58" s="337" t="s">
        <v>72</v>
      </c>
      <c r="B58" s="381">
        <v>2655457</v>
      </c>
      <c r="C58" s="381">
        <v>6483024</v>
      </c>
      <c r="D58" s="384">
        <v>1745021.2</v>
      </c>
      <c r="E58" s="384">
        <v>5921301.5</v>
      </c>
      <c r="F58" s="287">
        <v>39904</v>
      </c>
      <c r="G58" s="282">
        <v>40695</v>
      </c>
      <c r="H58" s="285" t="s">
        <v>159</v>
      </c>
      <c r="I58" s="285" t="s">
        <v>614</v>
      </c>
      <c r="J58" s="285" t="s">
        <v>202</v>
      </c>
      <c r="K58" s="285" t="s">
        <v>178</v>
      </c>
      <c r="L58" s="285" t="s">
        <v>614</v>
      </c>
      <c r="M58" s="285" t="s">
        <v>234</v>
      </c>
      <c r="N58" s="285" t="s">
        <v>655</v>
      </c>
      <c r="O58" s="285" t="s">
        <v>203</v>
      </c>
      <c r="P58" s="285" t="s">
        <v>573</v>
      </c>
      <c r="Q58" s="285" t="s">
        <v>656</v>
      </c>
      <c r="R58" s="286">
        <v>5</v>
      </c>
      <c r="S58" s="369">
        <v>3</v>
      </c>
      <c r="T58" s="286">
        <v>3</v>
      </c>
      <c r="U58" s="288" t="s">
        <v>575</v>
      </c>
      <c r="V58" s="288">
        <v>16</v>
      </c>
      <c r="W58" s="288">
        <v>75</v>
      </c>
      <c r="X58" s="288" t="s">
        <v>197</v>
      </c>
      <c r="Y58" s="288">
        <v>160</v>
      </c>
      <c r="Z58" s="288" t="s">
        <v>197</v>
      </c>
      <c r="AA58" s="337" t="s">
        <v>1120</v>
      </c>
      <c r="AB58" s="285" t="s">
        <v>169</v>
      </c>
      <c r="AC58" s="285"/>
      <c r="AD58" s="285"/>
    </row>
    <row r="59" spans="1:30" s="280" customFormat="1" ht="11.25" x14ac:dyDescent="0.15">
      <c r="A59" s="338" t="s">
        <v>1024</v>
      </c>
      <c r="B59" s="380">
        <v>2655415.2999999998</v>
      </c>
      <c r="C59" s="380">
        <v>6483015.5999999996</v>
      </c>
      <c r="D59" s="380">
        <v>1744979.5</v>
      </c>
      <c r="E59" s="380">
        <v>5921293.0999999996</v>
      </c>
      <c r="F59" s="282">
        <v>40695</v>
      </c>
      <c r="G59" s="287" t="s">
        <v>169</v>
      </c>
      <c r="H59" s="285" t="s">
        <v>159</v>
      </c>
      <c r="AA59" s="338" t="s">
        <v>1025</v>
      </c>
      <c r="AB59" s="285"/>
      <c r="AC59" s="285"/>
      <c r="AD59" s="285"/>
    </row>
    <row r="60" spans="1:30" s="280" customFormat="1" ht="11.25" x14ac:dyDescent="0.15">
      <c r="A60" s="386" t="s">
        <v>1118</v>
      </c>
      <c r="B60" s="387"/>
      <c r="C60" s="387"/>
      <c r="D60" s="387"/>
      <c r="E60" s="387"/>
      <c r="F60" s="388"/>
      <c r="G60" s="287"/>
      <c r="H60" s="285"/>
      <c r="AA60" s="386" t="s">
        <v>1119</v>
      </c>
      <c r="AB60" s="285"/>
      <c r="AC60" s="285"/>
      <c r="AD60" s="285"/>
    </row>
    <row r="61" spans="1:30" s="280" customFormat="1" ht="11.25" x14ac:dyDescent="0.15">
      <c r="A61" s="280" t="s">
        <v>73</v>
      </c>
      <c r="B61" s="380">
        <v>2655614</v>
      </c>
      <c r="C61" s="380">
        <v>6478512</v>
      </c>
      <c r="D61" s="380">
        <v>1745187.2</v>
      </c>
      <c r="E61" s="380">
        <v>5916790.5</v>
      </c>
      <c r="F61" s="287">
        <v>39904</v>
      </c>
      <c r="G61" s="287" t="s">
        <v>169</v>
      </c>
      <c r="H61" s="285" t="s">
        <v>160</v>
      </c>
      <c r="I61" s="285" t="s">
        <v>614</v>
      </c>
      <c r="J61" s="285" t="s">
        <v>202</v>
      </c>
      <c r="K61" s="285" t="s">
        <v>178</v>
      </c>
      <c r="L61" s="285" t="s">
        <v>614</v>
      </c>
      <c r="M61" s="285" t="s">
        <v>235</v>
      </c>
      <c r="N61" s="285" t="s">
        <v>657</v>
      </c>
      <c r="O61" s="285" t="s">
        <v>236</v>
      </c>
      <c r="P61" s="285" t="s">
        <v>658</v>
      </c>
      <c r="Q61" s="285" t="s">
        <v>659</v>
      </c>
      <c r="R61" s="286">
        <v>35</v>
      </c>
      <c r="S61" s="369">
        <v>3</v>
      </c>
      <c r="T61" s="286">
        <v>3</v>
      </c>
      <c r="U61" s="288" t="s">
        <v>575</v>
      </c>
      <c r="V61" s="288">
        <v>16</v>
      </c>
      <c r="W61" s="288">
        <v>3540</v>
      </c>
      <c r="X61" s="288" t="s">
        <v>191</v>
      </c>
      <c r="Y61" s="288">
        <v>20</v>
      </c>
      <c r="Z61" s="288" t="s">
        <v>174</v>
      </c>
      <c r="AA61" s="280" t="s">
        <v>169</v>
      </c>
      <c r="AB61" s="285" t="s">
        <v>169</v>
      </c>
      <c r="AC61" s="285"/>
      <c r="AD61" s="285"/>
    </row>
    <row r="62" spans="1:30" s="280" customFormat="1" ht="11.25" x14ac:dyDescent="0.15">
      <c r="A62" s="337" t="s">
        <v>74</v>
      </c>
      <c r="B62" s="381">
        <v>2657266</v>
      </c>
      <c r="C62" s="381">
        <v>6480529</v>
      </c>
      <c r="D62" s="381">
        <v>1746834.9</v>
      </c>
      <c r="E62" s="381">
        <v>5918810.5</v>
      </c>
      <c r="F62" s="287">
        <v>39904</v>
      </c>
      <c r="G62" s="282">
        <v>42644</v>
      </c>
      <c r="H62" s="285" t="s">
        <v>160</v>
      </c>
      <c r="I62" s="285" t="s">
        <v>614</v>
      </c>
      <c r="J62" s="285" t="s">
        <v>202</v>
      </c>
      <c r="K62" s="285" t="s">
        <v>178</v>
      </c>
      <c r="L62" s="285" t="s">
        <v>614</v>
      </c>
      <c r="M62" s="285" t="s">
        <v>237</v>
      </c>
      <c r="N62" s="285" t="s">
        <v>660</v>
      </c>
      <c r="O62" s="285" t="s">
        <v>238</v>
      </c>
      <c r="P62" s="285" t="s">
        <v>573</v>
      </c>
      <c r="Q62" s="285" t="s">
        <v>661</v>
      </c>
      <c r="R62" s="286">
        <v>10</v>
      </c>
      <c r="S62" s="369">
        <v>3</v>
      </c>
      <c r="T62" s="286">
        <v>5</v>
      </c>
      <c r="U62" s="288" t="s">
        <v>575</v>
      </c>
      <c r="V62" s="288">
        <v>16</v>
      </c>
      <c r="W62" s="288">
        <v>950</v>
      </c>
      <c r="X62" s="288" t="s">
        <v>191</v>
      </c>
      <c r="Y62" s="288">
        <v>20</v>
      </c>
      <c r="Z62" s="288" t="s">
        <v>219</v>
      </c>
      <c r="AA62" s="337" t="s">
        <v>1124</v>
      </c>
      <c r="AB62" s="285" t="s">
        <v>169</v>
      </c>
      <c r="AC62" s="285"/>
      <c r="AD62" s="285"/>
    </row>
    <row r="63" spans="1:30" s="280" customFormat="1" ht="11.25" x14ac:dyDescent="0.15">
      <c r="A63" s="338" t="s">
        <v>1026</v>
      </c>
      <c r="B63" s="385"/>
      <c r="C63" s="385"/>
      <c r="D63" s="385"/>
      <c r="E63" s="385"/>
      <c r="F63" s="287">
        <v>42644</v>
      </c>
      <c r="G63" s="282">
        <v>43009</v>
      </c>
      <c r="H63" s="285" t="s">
        <v>160</v>
      </c>
      <c r="I63" s="285"/>
      <c r="J63" s="285"/>
      <c r="K63" s="285"/>
      <c r="L63" s="285"/>
      <c r="M63" s="285"/>
      <c r="N63" s="285"/>
      <c r="O63" s="285"/>
      <c r="P63" s="285"/>
      <c r="Q63" s="285"/>
      <c r="R63" s="286"/>
      <c r="S63" s="369"/>
      <c r="T63" s="286"/>
      <c r="U63" s="288"/>
      <c r="V63" s="288"/>
      <c r="W63" s="288"/>
      <c r="X63" s="288"/>
      <c r="Y63" s="288"/>
      <c r="Z63" s="288"/>
      <c r="AA63" s="338" t="s">
        <v>1027</v>
      </c>
      <c r="AB63" s="285"/>
      <c r="AC63" s="285"/>
      <c r="AD63" s="285"/>
    </row>
    <row r="64" spans="1:30" s="280" customFormat="1" ht="11.25" x14ac:dyDescent="0.15">
      <c r="A64" s="338" t="s">
        <v>1028</v>
      </c>
      <c r="B64" s="380">
        <v>2657264.1</v>
      </c>
      <c r="C64" s="380">
        <v>6480548.0999999996</v>
      </c>
      <c r="D64" s="380">
        <v>1746833</v>
      </c>
      <c r="E64" s="380">
        <v>5918829.5999999996</v>
      </c>
      <c r="F64" s="282">
        <v>43009</v>
      </c>
      <c r="G64" s="287" t="s">
        <v>169</v>
      </c>
      <c r="H64" s="285" t="s">
        <v>160</v>
      </c>
      <c r="AA64" s="338" t="s">
        <v>1029</v>
      </c>
      <c r="AB64" s="285"/>
      <c r="AC64" s="285"/>
      <c r="AD64" s="285"/>
    </row>
    <row r="65" spans="1:30" s="280" customFormat="1" ht="11.25" x14ac:dyDescent="0.15">
      <c r="A65" s="386" t="s">
        <v>1121</v>
      </c>
      <c r="B65" s="387"/>
      <c r="C65" s="387"/>
      <c r="D65" s="387"/>
      <c r="E65" s="387"/>
      <c r="F65" s="388"/>
      <c r="G65" s="287"/>
      <c r="H65" s="285"/>
      <c r="AA65" s="386" t="s">
        <v>1122</v>
      </c>
      <c r="AB65" s="285"/>
      <c r="AC65" s="285"/>
      <c r="AD65" s="285"/>
    </row>
    <row r="66" spans="1:30" s="280" customFormat="1" ht="11.25" x14ac:dyDescent="0.15">
      <c r="A66" s="337" t="s">
        <v>75</v>
      </c>
      <c r="B66" s="381">
        <v>2655573</v>
      </c>
      <c r="C66" s="381">
        <v>6480252</v>
      </c>
      <c r="D66" s="381">
        <v>1745142.7</v>
      </c>
      <c r="E66" s="381">
        <v>5918530.2000000002</v>
      </c>
      <c r="F66" s="287">
        <v>39904</v>
      </c>
      <c r="G66" s="282">
        <v>42125</v>
      </c>
      <c r="H66" s="285" t="s">
        <v>160</v>
      </c>
      <c r="I66" s="285" t="s">
        <v>614</v>
      </c>
      <c r="J66" s="285" t="s">
        <v>202</v>
      </c>
      <c r="K66" s="285" t="s">
        <v>178</v>
      </c>
      <c r="L66" s="285" t="s">
        <v>614</v>
      </c>
      <c r="M66" s="285" t="s">
        <v>239</v>
      </c>
      <c r="N66" s="285" t="s">
        <v>662</v>
      </c>
      <c r="O66" s="285" t="s">
        <v>236</v>
      </c>
      <c r="P66" s="285" t="s">
        <v>663</v>
      </c>
      <c r="Q66" s="285" t="s">
        <v>662</v>
      </c>
      <c r="R66" s="286">
        <v>0</v>
      </c>
      <c r="S66" s="369">
        <v>3</v>
      </c>
      <c r="T66" s="286">
        <v>7</v>
      </c>
      <c r="U66" s="288" t="s">
        <v>179</v>
      </c>
      <c r="V66" s="288">
        <v>16</v>
      </c>
      <c r="W66" s="288">
        <v>2040</v>
      </c>
      <c r="X66" s="288" t="s">
        <v>191</v>
      </c>
      <c r="Y66" s="288">
        <v>20</v>
      </c>
      <c r="Z66" s="288" t="s">
        <v>185</v>
      </c>
      <c r="AA66" s="337" t="s">
        <v>1037</v>
      </c>
      <c r="AB66" s="285" t="s">
        <v>603</v>
      </c>
      <c r="AC66" s="285"/>
      <c r="AD66" s="285"/>
    </row>
    <row r="67" spans="1:30" s="280" customFormat="1" ht="11.25" x14ac:dyDescent="0.15">
      <c r="A67" s="338" t="s">
        <v>1030</v>
      </c>
      <c r="B67" s="380">
        <v>2655564.9</v>
      </c>
      <c r="C67" s="380">
        <v>6480236.5999999996</v>
      </c>
      <c r="D67" s="380">
        <v>1745134.7</v>
      </c>
      <c r="E67" s="380">
        <v>5918514.7999999998</v>
      </c>
      <c r="F67" s="282">
        <v>42125</v>
      </c>
      <c r="G67" s="287" t="s">
        <v>169</v>
      </c>
      <c r="H67" s="285" t="s">
        <v>160</v>
      </c>
      <c r="AA67" s="338" t="s">
        <v>1033</v>
      </c>
      <c r="AB67" s="285" t="s">
        <v>603</v>
      </c>
      <c r="AC67" s="285"/>
      <c r="AD67" s="285"/>
    </row>
    <row r="68" spans="1:30" s="280" customFormat="1" ht="11.25" x14ac:dyDescent="0.15">
      <c r="A68" s="337" t="s">
        <v>76</v>
      </c>
      <c r="B68" s="381">
        <v>2655573</v>
      </c>
      <c r="C68" s="381">
        <v>6480252</v>
      </c>
      <c r="D68" s="381">
        <v>1745142.7</v>
      </c>
      <c r="E68" s="381">
        <v>5918530.2000000002</v>
      </c>
      <c r="F68" s="287">
        <v>39904</v>
      </c>
      <c r="G68" s="282">
        <v>42125</v>
      </c>
      <c r="H68" s="285" t="s">
        <v>160</v>
      </c>
      <c r="I68" s="285" t="s">
        <v>614</v>
      </c>
      <c r="J68" s="285" t="s">
        <v>202</v>
      </c>
      <c r="K68" s="285" t="s">
        <v>178</v>
      </c>
      <c r="L68" s="285" t="s">
        <v>614</v>
      </c>
      <c r="M68" s="285" t="s">
        <v>239</v>
      </c>
      <c r="N68" s="285" t="s">
        <v>662</v>
      </c>
      <c r="O68" s="285" t="s">
        <v>236</v>
      </c>
      <c r="P68" s="285" t="s">
        <v>663</v>
      </c>
      <c r="Q68" s="285" t="s">
        <v>662</v>
      </c>
      <c r="R68" s="286">
        <v>0</v>
      </c>
      <c r="S68" s="369">
        <v>3</v>
      </c>
      <c r="T68" s="286">
        <v>7</v>
      </c>
      <c r="U68" s="288" t="s">
        <v>179</v>
      </c>
      <c r="V68" s="288">
        <v>16</v>
      </c>
      <c r="W68" s="288">
        <v>2040</v>
      </c>
      <c r="X68" s="288" t="s">
        <v>191</v>
      </c>
      <c r="Y68" s="288">
        <v>20</v>
      </c>
      <c r="Z68" s="288" t="s">
        <v>185</v>
      </c>
      <c r="AA68" s="337" t="s">
        <v>1038</v>
      </c>
      <c r="AB68" s="285" t="s">
        <v>605</v>
      </c>
      <c r="AC68" s="285"/>
      <c r="AD68" s="285"/>
    </row>
    <row r="69" spans="1:30" s="280" customFormat="1" ht="11.25" x14ac:dyDescent="0.15">
      <c r="A69" s="338" t="s">
        <v>1031</v>
      </c>
      <c r="B69" s="380">
        <v>2655564.9</v>
      </c>
      <c r="C69" s="380">
        <v>6480236.5999999996</v>
      </c>
      <c r="D69" s="380">
        <v>1745134.7</v>
      </c>
      <c r="E69" s="380">
        <v>5918514.7999999998</v>
      </c>
      <c r="F69" s="282">
        <v>42125</v>
      </c>
      <c r="G69" s="287" t="s">
        <v>169</v>
      </c>
      <c r="H69" s="285" t="s">
        <v>160</v>
      </c>
      <c r="AA69" s="338" t="s">
        <v>1034</v>
      </c>
      <c r="AB69" s="285" t="s">
        <v>605</v>
      </c>
      <c r="AC69" s="285"/>
      <c r="AD69" s="285"/>
    </row>
    <row r="70" spans="1:30" s="280" customFormat="1" ht="11.25" x14ac:dyDescent="0.15">
      <c r="A70" s="337" t="s">
        <v>77</v>
      </c>
      <c r="B70" s="381">
        <v>2655573</v>
      </c>
      <c r="C70" s="381">
        <v>6480252</v>
      </c>
      <c r="D70" s="381">
        <v>1745142.7</v>
      </c>
      <c r="E70" s="381">
        <v>5918530.2000000002</v>
      </c>
      <c r="F70" s="287">
        <v>39904</v>
      </c>
      <c r="G70" s="282">
        <v>42125</v>
      </c>
      <c r="H70" s="285" t="s">
        <v>160</v>
      </c>
      <c r="I70" s="285" t="s">
        <v>614</v>
      </c>
      <c r="J70" s="285" t="s">
        <v>202</v>
      </c>
      <c r="K70" s="285" t="s">
        <v>178</v>
      </c>
      <c r="L70" s="285" t="s">
        <v>614</v>
      </c>
      <c r="M70" s="285" t="s">
        <v>239</v>
      </c>
      <c r="N70" s="285" t="s">
        <v>662</v>
      </c>
      <c r="O70" s="285" t="s">
        <v>236</v>
      </c>
      <c r="P70" s="285" t="s">
        <v>663</v>
      </c>
      <c r="Q70" s="285" t="s">
        <v>662</v>
      </c>
      <c r="R70" s="286">
        <v>0</v>
      </c>
      <c r="S70" s="369">
        <v>3</v>
      </c>
      <c r="T70" s="286">
        <v>7</v>
      </c>
      <c r="U70" s="288" t="s">
        <v>179</v>
      </c>
      <c r="V70" s="288">
        <v>16</v>
      </c>
      <c r="W70" s="288">
        <v>2040</v>
      </c>
      <c r="X70" s="288" t="s">
        <v>191</v>
      </c>
      <c r="Y70" s="288">
        <v>20</v>
      </c>
      <c r="Z70" s="288" t="s">
        <v>185</v>
      </c>
      <c r="AA70" s="337" t="s">
        <v>1039</v>
      </c>
      <c r="AB70" s="285" t="s">
        <v>607</v>
      </c>
      <c r="AC70" s="285"/>
      <c r="AD70" s="285"/>
    </row>
    <row r="71" spans="1:30" s="280" customFormat="1" ht="11.25" x14ac:dyDescent="0.15">
      <c r="A71" s="338" t="s">
        <v>1032</v>
      </c>
      <c r="B71" s="380">
        <v>2655564.9</v>
      </c>
      <c r="C71" s="380">
        <v>6480236.5999999996</v>
      </c>
      <c r="D71" s="380">
        <v>1745134.7</v>
      </c>
      <c r="E71" s="380">
        <v>5918514.7999999998</v>
      </c>
      <c r="F71" s="282">
        <v>42125</v>
      </c>
      <c r="G71" s="287" t="s">
        <v>169</v>
      </c>
      <c r="H71" s="285" t="s">
        <v>160</v>
      </c>
      <c r="AA71" s="338" t="s">
        <v>1035</v>
      </c>
      <c r="AB71" s="285" t="s">
        <v>607</v>
      </c>
      <c r="AC71" s="285"/>
      <c r="AD71" s="285"/>
    </row>
    <row r="72" spans="1:30" s="280" customFormat="1" ht="11.25" x14ac:dyDescent="0.15">
      <c r="A72" s="280" t="s">
        <v>78</v>
      </c>
      <c r="B72" s="380">
        <v>2657567</v>
      </c>
      <c r="C72" s="380">
        <v>6474197</v>
      </c>
      <c r="D72" s="380">
        <v>1747148.5</v>
      </c>
      <c r="E72" s="380">
        <v>5912479.9000000004</v>
      </c>
      <c r="F72" s="287">
        <v>39904</v>
      </c>
      <c r="G72" s="287" t="s">
        <v>169</v>
      </c>
      <c r="H72" s="285" t="s">
        <v>161</v>
      </c>
      <c r="I72" s="285" t="s">
        <v>614</v>
      </c>
      <c r="J72" s="285" t="s">
        <v>202</v>
      </c>
      <c r="K72" s="285" t="s">
        <v>178</v>
      </c>
      <c r="L72" s="285" t="s">
        <v>614</v>
      </c>
      <c r="M72" s="285" t="s">
        <v>240</v>
      </c>
      <c r="N72" s="285" t="s">
        <v>664</v>
      </c>
      <c r="O72" s="285" t="s">
        <v>241</v>
      </c>
      <c r="P72" s="285" t="s">
        <v>573</v>
      </c>
      <c r="Q72" s="285" t="s">
        <v>665</v>
      </c>
      <c r="R72" s="286">
        <v>10</v>
      </c>
      <c r="S72" s="369">
        <v>3</v>
      </c>
      <c r="T72" s="286">
        <v>20</v>
      </c>
      <c r="U72" s="288" t="s">
        <v>179</v>
      </c>
      <c r="V72" s="288">
        <v>16</v>
      </c>
      <c r="W72" s="288">
        <v>6060</v>
      </c>
      <c r="X72" s="288" t="s">
        <v>191</v>
      </c>
      <c r="Y72" s="288">
        <v>300</v>
      </c>
      <c r="Z72" s="288" t="s">
        <v>174</v>
      </c>
      <c r="AA72" s="280" t="s">
        <v>666</v>
      </c>
      <c r="AB72" s="285" t="s">
        <v>603</v>
      </c>
      <c r="AC72" s="285"/>
      <c r="AD72" s="285"/>
    </row>
    <row r="73" spans="1:30" s="280" customFormat="1" ht="11.25" x14ac:dyDescent="0.15">
      <c r="A73" s="280" t="s">
        <v>79</v>
      </c>
      <c r="B73" s="380">
        <v>2657567</v>
      </c>
      <c r="C73" s="380">
        <v>6474197</v>
      </c>
      <c r="D73" s="380">
        <v>1747148.5</v>
      </c>
      <c r="E73" s="380">
        <v>5912479.9000000004</v>
      </c>
      <c r="F73" s="287">
        <v>39904</v>
      </c>
      <c r="G73" s="287" t="s">
        <v>169</v>
      </c>
      <c r="H73" s="285" t="s">
        <v>161</v>
      </c>
      <c r="I73" s="285" t="s">
        <v>614</v>
      </c>
      <c r="J73" s="285" t="s">
        <v>202</v>
      </c>
      <c r="K73" s="285" t="s">
        <v>178</v>
      </c>
      <c r="L73" s="285" t="s">
        <v>614</v>
      </c>
      <c r="M73" s="285" t="s">
        <v>240</v>
      </c>
      <c r="N73" s="285" t="s">
        <v>664</v>
      </c>
      <c r="O73" s="285" t="s">
        <v>241</v>
      </c>
      <c r="P73" s="285" t="s">
        <v>573</v>
      </c>
      <c r="Q73" s="285" t="s">
        <v>665</v>
      </c>
      <c r="R73" s="286">
        <v>10</v>
      </c>
      <c r="S73" s="369">
        <v>3</v>
      </c>
      <c r="T73" s="286">
        <v>20</v>
      </c>
      <c r="U73" s="288" t="s">
        <v>179</v>
      </c>
      <c r="V73" s="288">
        <v>16</v>
      </c>
      <c r="W73" s="288">
        <v>6060</v>
      </c>
      <c r="X73" s="288" t="s">
        <v>191</v>
      </c>
      <c r="Y73" s="288">
        <v>300</v>
      </c>
      <c r="Z73" s="288" t="s">
        <v>174</v>
      </c>
      <c r="AA73" s="280" t="s">
        <v>666</v>
      </c>
      <c r="AB73" s="285" t="s">
        <v>605</v>
      </c>
      <c r="AC73" s="285"/>
      <c r="AD73" s="285"/>
    </row>
    <row r="74" spans="1:30" s="280" customFormat="1" ht="11.25" x14ac:dyDescent="0.15">
      <c r="A74" s="280" t="s">
        <v>80</v>
      </c>
      <c r="B74" s="380">
        <v>2657567</v>
      </c>
      <c r="C74" s="380">
        <v>6474197</v>
      </c>
      <c r="D74" s="380">
        <v>1747148.5</v>
      </c>
      <c r="E74" s="380">
        <v>5912479.9000000004</v>
      </c>
      <c r="F74" s="287">
        <v>39904</v>
      </c>
      <c r="G74" s="287" t="s">
        <v>169</v>
      </c>
      <c r="H74" s="285" t="s">
        <v>161</v>
      </c>
      <c r="I74" s="285" t="s">
        <v>614</v>
      </c>
      <c r="J74" s="285" t="s">
        <v>202</v>
      </c>
      <c r="K74" s="285" t="s">
        <v>178</v>
      </c>
      <c r="L74" s="285" t="s">
        <v>614</v>
      </c>
      <c r="M74" s="285" t="s">
        <v>240</v>
      </c>
      <c r="N74" s="285" t="s">
        <v>664</v>
      </c>
      <c r="O74" s="285" t="s">
        <v>241</v>
      </c>
      <c r="P74" s="285" t="s">
        <v>573</v>
      </c>
      <c r="Q74" s="285" t="s">
        <v>665</v>
      </c>
      <c r="R74" s="286">
        <v>10</v>
      </c>
      <c r="S74" s="369">
        <v>3</v>
      </c>
      <c r="T74" s="286">
        <v>20</v>
      </c>
      <c r="U74" s="288" t="s">
        <v>179</v>
      </c>
      <c r="V74" s="288">
        <v>16</v>
      </c>
      <c r="W74" s="288">
        <v>6060</v>
      </c>
      <c r="X74" s="288" t="s">
        <v>191</v>
      </c>
      <c r="Y74" s="288">
        <v>300</v>
      </c>
      <c r="Z74" s="288" t="s">
        <v>174</v>
      </c>
      <c r="AA74" s="280" t="s">
        <v>666</v>
      </c>
      <c r="AB74" s="285" t="s">
        <v>607</v>
      </c>
      <c r="AC74" s="285"/>
      <c r="AD74" s="285"/>
    </row>
    <row r="75" spans="1:30" s="280" customFormat="1" ht="11.25" x14ac:dyDescent="0.15">
      <c r="A75" s="280" t="s">
        <v>81</v>
      </c>
      <c r="B75" s="380">
        <v>2663317</v>
      </c>
      <c r="C75" s="380">
        <v>6478302</v>
      </c>
      <c r="D75" s="380">
        <v>1752889.7</v>
      </c>
      <c r="E75" s="380">
        <v>5916595.7999999998</v>
      </c>
      <c r="F75" s="287">
        <v>39904</v>
      </c>
      <c r="G75" s="287" t="s">
        <v>169</v>
      </c>
      <c r="H75" s="285" t="s">
        <v>160</v>
      </c>
      <c r="I75" s="285" t="s">
        <v>178</v>
      </c>
      <c r="J75" s="285" t="s">
        <v>188</v>
      </c>
      <c r="K75" s="285" t="s">
        <v>178</v>
      </c>
      <c r="L75" s="285" t="s">
        <v>178</v>
      </c>
      <c r="M75" s="285" t="s">
        <v>242</v>
      </c>
      <c r="N75" s="285" t="s">
        <v>667</v>
      </c>
      <c r="O75" s="285" t="s">
        <v>243</v>
      </c>
      <c r="P75" s="285" t="s">
        <v>587</v>
      </c>
      <c r="Q75" s="285" t="s">
        <v>668</v>
      </c>
      <c r="R75" s="286">
        <v>5</v>
      </c>
      <c r="S75" s="369">
        <v>3</v>
      </c>
      <c r="T75" s="286">
        <v>20</v>
      </c>
      <c r="U75" s="288" t="s">
        <v>575</v>
      </c>
      <c r="V75" s="288">
        <v>16</v>
      </c>
      <c r="W75" s="288">
        <v>1500</v>
      </c>
      <c r="X75" s="288" t="s">
        <v>179</v>
      </c>
      <c r="Y75" s="288">
        <v>10</v>
      </c>
      <c r="Z75" s="288" t="s">
        <v>191</v>
      </c>
      <c r="AA75" s="280" t="s">
        <v>169</v>
      </c>
      <c r="AB75" s="285" t="s">
        <v>169</v>
      </c>
      <c r="AC75" s="285"/>
      <c r="AD75" s="285"/>
    </row>
    <row r="76" spans="1:30" s="280" customFormat="1" ht="11.25" x14ac:dyDescent="0.15">
      <c r="A76" s="280" t="s">
        <v>82</v>
      </c>
      <c r="B76" s="380">
        <v>2670363.7999999998</v>
      </c>
      <c r="C76" s="380">
        <v>6477469.5</v>
      </c>
      <c r="D76" s="380">
        <v>1759937.6</v>
      </c>
      <c r="E76" s="380">
        <v>5915777.5</v>
      </c>
      <c r="F76" s="287">
        <v>39904</v>
      </c>
      <c r="G76" s="287" t="s">
        <v>169</v>
      </c>
      <c r="H76" s="285" t="s">
        <v>160</v>
      </c>
      <c r="I76" s="285" t="s">
        <v>178</v>
      </c>
      <c r="J76" s="285" t="s">
        <v>188</v>
      </c>
      <c r="K76" s="285" t="s">
        <v>178</v>
      </c>
      <c r="L76" s="285" t="s">
        <v>178</v>
      </c>
      <c r="M76" s="285" t="s">
        <v>244</v>
      </c>
      <c r="N76" s="285" t="s">
        <v>669</v>
      </c>
      <c r="O76" s="285" t="s">
        <v>245</v>
      </c>
      <c r="P76" s="285" t="s">
        <v>587</v>
      </c>
      <c r="Q76" s="285" t="s">
        <v>670</v>
      </c>
      <c r="R76" s="286">
        <v>10</v>
      </c>
      <c r="S76" s="369">
        <v>3</v>
      </c>
      <c r="T76" s="286">
        <v>20</v>
      </c>
      <c r="U76" s="288" t="s">
        <v>575</v>
      </c>
      <c r="V76" s="288">
        <v>1</v>
      </c>
      <c r="W76" s="288">
        <v>265</v>
      </c>
      <c r="X76" s="288" t="s">
        <v>191</v>
      </c>
      <c r="Y76" s="288">
        <v>20</v>
      </c>
      <c r="Z76" s="288" t="s">
        <v>219</v>
      </c>
      <c r="AA76" s="280" t="s">
        <v>169</v>
      </c>
      <c r="AB76" s="285" t="s">
        <v>169</v>
      </c>
      <c r="AC76" s="285"/>
      <c r="AD76" s="285"/>
    </row>
    <row r="77" spans="1:30" s="280" customFormat="1" ht="11.25" x14ac:dyDescent="0.15">
      <c r="A77" s="280" t="s">
        <v>83</v>
      </c>
      <c r="B77" s="380">
        <v>2674732</v>
      </c>
      <c r="C77" s="380">
        <v>6476629</v>
      </c>
      <c r="D77" s="380">
        <v>1764307.3</v>
      </c>
      <c r="E77" s="380">
        <v>5914945.9000000004</v>
      </c>
      <c r="F77" s="287">
        <v>39904</v>
      </c>
      <c r="G77" s="287" t="s">
        <v>169</v>
      </c>
      <c r="H77" s="285" t="s">
        <v>160</v>
      </c>
      <c r="I77" s="285" t="s">
        <v>178</v>
      </c>
      <c r="J77" s="285" t="s">
        <v>188</v>
      </c>
      <c r="K77" s="285" t="s">
        <v>178</v>
      </c>
      <c r="L77" s="285" t="s">
        <v>178</v>
      </c>
      <c r="M77" s="285" t="s">
        <v>246</v>
      </c>
      <c r="N77" s="285" t="s">
        <v>671</v>
      </c>
      <c r="O77" s="285" t="s">
        <v>672</v>
      </c>
      <c r="P77" s="285" t="s">
        <v>573</v>
      </c>
      <c r="Q77" s="285" t="s">
        <v>673</v>
      </c>
      <c r="R77" s="286">
        <v>10</v>
      </c>
      <c r="S77" s="369">
        <v>2.5</v>
      </c>
      <c r="T77" s="286">
        <v>10</v>
      </c>
      <c r="U77" s="288" t="s">
        <v>575</v>
      </c>
      <c r="V77" s="288">
        <v>1</v>
      </c>
      <c r="W77" s="288">
        <v>2370</v>
      </c>
      <c r="X77" s="288" t="s">
        <v>197</v>
      </c>
      <c r="Y77" s="288">
        <v>10</v>
      </c>
      <c r="Z77" s="288" t="s">
        <v>182</v>
      </c>
      <c r="AA77" s="280" t="s">
        <v>169</v>
      </c>
      <c r="AB77" s="285" t="s">
        <v>169</v>
      </c>
      <c r="AC77" s="285"/>
      <c r="AD77" s="285"/>
    </row>
    <row r="78" spans="1:30" s="280" customFormat="1" ht="11.25" x14ac:dyDescent="0.15">
      <c r="A78" s="280" t="s">
        <v>84</v>
      </c>
      <c r="B78" s="380">
        <v>2659865</v>
      </c>
      <c r="C78" s="380">
        <v>6475658</v>
      </c>
      <c r="D78" s="380">
        <v>1749443.3</v>
      </c>
      <c r="E78" s="380">
        <v>5913945.2999999998</v>
      </c>
      <c r="F78" s="287">
        <v>39904</v>
      </c>
      <c r="G78" s="287" t="s">
        <v>169</v>
      </c>
      <c r="H78" s="285" t="s">
        <v>160</v>
      </c>
      <c r="I78" s="285" t="s">
        <v>614</v>
      </c>
      <c r="J78" s="285" t="s">
        <v>202</v>
      </c>
      <c r="K78" s="285" t="s">
        <v>178</v>
      </c>
      <c r="L78" s="285" t="s">
        <v>614</v>
      </c>
      <c r="M78" s="285" t="s">
        <v>247</v>
      </c>
      <c r="N78" s="285" t="s">
        <v>674</v>
      </c>
      <c r="O78" s="285" t="s">
        <v>248</v>
      </c>
      <c r="P78" s="285" t="s">
        <v>573</v>
      </c>
      <c r="Q78" s="285" t="s">
        <v>675</v>
      </c>
      <c r="R78" s="286">
        <v>20</v>
      </c>
      <c r="S78" s="369">
        <v>3</v>
      </c>
      <c r="T78" s="286">
        <v>3</v>
      </c>
      <c r="U78" s="288" t="s">
        <v>575</v>
      </c>
      <c r="V78" s="288">
        <v>20</v>
      </c>
      <c r="W78" s="288">
        <v>3170</v>
      </c>
      <c r="X78" s="288" t="s">
        <v>191</v>
      </c>
      <c r="Y78" s="288">
        <v>10</v>
      </c>
      <c r="Z78" s="288" t="s">
        <v>185</v>
      </c>
      <c r="AA78" s="280" t="s">
        <v>169</v>
      </c>
      <c r="AB78" s="285" t="s">
        <v>169</v>
      </c>
      <c r="AC78" s="285"/>
      <c r="AD78" s="285"/>
    </row>
    <row r="79" spans="1:30" s="280" customFormat="1" ht="11.25" x14ac:dyDescent="0.15">
      <c r="A79" s="280" t="s">
        <v>85</v>
      </c>
      <c r="B79" s="380">
        <v>2666122</v>
      </c>
      <c r="C79" s="380">
        <v>6479510</v>
      </c>
      <c r="D79" s="380">
        <v>1755692</v>
      </c>
      <c r="E79" s="380">
        <v>5917809.4000000004</v>
      </c>
      <c r="F79" s="287">
        <v>39904</v>
      </c>
      <c r="G79" s="287" t="s">
        <v>169</v>
      </c>
      <c r="H79" s="285" t="s">
        <v>160</v>
      </c>
      <c r="I79" s="285" t="s">
        <v>178</v>
      </c>
      <c r="J79" s="285" t="s">
        <v>188</v>
      </c>
      <c r="K79" s="285" t="s">
        <v>178</v>
      </c>
      <c r="L79" s="285" t="s">
        <v>178</v>
      </c>
      <c r="M79" s="285" t="s">
        <v>249</v>
      </c>
      <c r="N79" s="285" t="s">
        <v>676</v>
      </c>
      <c r="O79" s="285" t="s">
        <v>250</v>
      </c>
      <c r="P79" s="285" t="s">
        <v>677</v>
      </c>
      <c r="Q79" s="285" t="s">
        <v>676</v>
      </c>
      <c r="R79" s="286">
        <v>10</v>
      </c>
      <c r="S79" s="369">
        <v>3</v>
      </c>
      <c r="T79" s="286">
        <v>5</v>
      </c>
      <c r="U79" s="288" t="s">
        <v>179</v>
      </c>
      <c r="V79" s="288">
        <v>16</v>
      </c>
      <c r="W79" s="288">
        <v>490</v>
      </c>
      <c r="X79" s="288" t="s">
        <v>179</v>
      </c>
      <c r="Y79" s="288">
        <v>15</v>
      </c>
      <c r="Z79" s="288" t="s">
        <v>219</v>
      </c>
      <c r="AA79" s="280" t="s">
        <v>678</v>
      </c>
      <c r="AB79" s="285" t="s">
        <v>169</v>
      </c>
      <c r="AC79" s="285"/>
      <c r="AD79" s="285"/>
    </row>
    <row r="80" spans="1:30" s="280" customFormat="1" ht="11.25" x14ac:dyDescent="0.15">
      <c r="A80" s="280" t="s">
        <v>86</v>
      </c>
      <c r="B80" s="380">
        <v>2672251.5</v>
      </c>
      <c r="C80" s="380">
        <v>6468208.2000000002</v>
      </c>
      <c r="D80" s="380">
        <v>1761843.5379999999</v>
      </c>
      <c r="E80" s="380">
        <v>5906520.534</v>
      </c>
      <c r="F80" s="287">
        <v>39995</v>
      </c>
      <c r="G80" s="287" t="s">
        <v>169</v>
      </c>
      <c r="H80" s="285" t="s">
        <v>159</v>
      </c>
      <c r="I80" s="285" t="s">
        <v>201</v>
      </c>
      <c r="J80" s="285" t="s">
        <v>608</v>
      </c>
      <c r="K80" s="285" t="s">
        <v>178</v>
      </c>
      <c r="L80" s="285" t="s">
        <v>201</v>
      </c>
      <c r="M80" s="285" t="s">
        <v>251</v>
      </c>
      <c r="N80" s="285" t="s">
        <v>679</v>
      </c>
      <c r="O80" s="285" t="s">
        <v>252</v>
      </c>
      <c r="P80" s="285" t="s">
        <v>573</v>
      </c>
      <c r="Q80" s="285" t="s">
        <v>680</v>
      </c>
      <c r="R80" s="286">
        <v>5</v>
      </c>
      <c r="S80" s="369">
        <v>3</v>
      </c>
      <c r="T80" s="286">
        <v>10</v>
      </c>
      <c r="U80" s="288" t="s">
        <v>179</v>
      </c>
      <c r="V80" s="288">
        <v>20</v>
      </c>
      <c r="W80" s="288">
        <v>50</v>
      </c>
      <c r="X80" s="288" t="s">
        <v>197</v>
      </c>
      <c r="Y80" s="288">
        <v>105</v>
      </c>
      <c r="Z80" s="288" t="s">
        <v>219</v>
      </c>
      <c r="AA80" s="280" t="s">
        <v>681</v>
      </c>
      <c r="AB80" s="285" t="s">
        <v>169</v>
      </c>
      <c r="AC80" s="285"/>
      <c r="AD80" s="285"/>
    </row>
    <row r="81" spans="1:30" s="280" customFormat="1" ht="11.25" x14ac:dyDescent="0.15">
      <c r="A81" s="285" t="s">
        <v>87</v>
      </c>
      <c r="B81" s="380">
        <v>2669700.9</v>
      </c>
      <c r="C81" s="380">
        <v>6468243.0999999996</v>
      </c>
      <c r="D81" s="380">
        <v>1759293.0009999999</v>
      </c>
      <c r="E81" s="380">
        <v>5906550.4309999999</v>
      </c>
      <c r="F81" s="287">
        <v>39995</v>
      </c>
      <c r="G81" s="287">
        <v>42217</v>
      </c>
      <c r="H81" s="285" t="s">
        <v>159</v>
      </c>
      <c r="I81" s="285" t="s">
        <v>201</v>
      </c>
      <c r="J81" s="285" t="s">
        <v>608</v>
      </c>
      <c r="K81" s="285" t="s">
        <v>178</v>
      </c>
      <c r="L81" s="285" t="s">
        <v>201</v>
      </c>
      <c r="M81" s="285" t="s">
        <v>682</v>
      </c>
      <c r="N81" s="285" t="s">
        <v>683</v>
      </c>
      <c r="O81" s="285" t="s">
        <v>214</v>
      </c>
      <c r="P81" s="285" t="s">
        <v>684</v>
      </c>
      <c r="Q81" s="285" t="s">
        <v>683</v>
      </c>
      <c r="R81" s="286">
        <v>10</v>
      </c>
      <c r="S81" s="369">
        <v>3</v>
      </c>
      <c r="T81" s="286">
        <v>15</v>
      </c>
      <c r="U81" s="288" t="s">
        <v>575</v>
      </c>
      <c r="V81" s="288" t="s">
        <v>253</v>
      </c>
      <c r="W81" s="288">
        <v>15</v>
      </c>
      <c r="X81" s="288" t="s">
        <v>174</v>
      </c>
      <c r="Y81" s="288">
        <v>10</v>
      </c>
      <c r="Z81" s="288" t="s">
        <v>182</v>
      </c>
      <c r="AA81" s="337" t="s">
        <v>1036</v>
      </c>
      <c r="AB81" s="285" t="s">
        <v>169</v>
      </c>
      <c r="AC81" s="285"/>
      <c r="AD81" s="285"/>
    </row>
    <row r="82" spans="1:30" s="280" customFormat="1" ht="11.25" x14ac:dyDescent="0.15">
      <c r="A82" s="280" t="s">
        <v>88</v>
      </c>
      <c r="B82" s="380">
        <v>2676946</v>
      </c>
      <c r="C82" s="380">
        <v>6469773.5</v>
      </c>
      <c r="D82" s="380">
        <v>1766534.8</v>
      </c>
      <c r="E82" s="380">
        <v>5908095</v>
      </c>
      <c r="F82" s="287">
        <v>39904</v>
      </c>
      <c r="G82" s="287" t="s">
        <v>169</v>
      </c>
      <c r="H82" s="285" t="s">
        <v>160</v>
      </c>
      <c r="I82" s="285" t="s">
        <v>201</v>
      </c>
      <c r="J82" s="285" t="s">
        <v>608</v>
      </c>
      <c r="K82" s="285" t="s">
        <v>178</v>
      </c>
      <c r="L82" s="285" t="s">
        <v>201</v>
      </c>
      <c r="M82" s="285" t="s">
        <v>254</v>
      </c>
      <c r="N82" s="285" t="s">
        <v>685</v>
      </c>
      <c r="O82" s="285" t="s">
        <v>255</v>
      </c>
      <c r="P82" s="285" t="s">
        <v>686</v>
      </c>
      <c r="Q82" s="285" t="s">
        <v>685</v>
      </c>
      <c r="R82" s="286">
        <v>5</v>
      </c>
      <c r="S82" s="369">
        <v>3</v>
      </c>
      <c r="T82" s="286">
        <v>3</v>
      </c>
      <c r="U82" s="288" t="s">
        <v>575</v>
      </c>
      <c r="V82" s="288">
        <v>1</v>
      </c>
      <c r="W82" s="288">
        <v>605</v>
      </c>
      <c r="X82" s="288" t="s">
        <v>197</v>
      </c>
      <c r="Y82" s="288">
        <v>30</v>
      </c>
      <c r="Z82" s="288" t="s">
        <v>179</v>
      </c>
      <c r="AA82" s="280" t="s">
        <v>169</v>
      </c>
      <c r="AB82" s="285" t="s">
        <v>169</v>
      </c>
      <c r="AC82" s="285"/>
      <c r="AD82" s="285"/>
    </row>
    <row r="83" spans="1:30" s="280" customFormat="1" ht="11.25" x14ac:dyDescent="0.15">
      <c r="A83" s="280" t="s">
        <v>89</v>
      </c>
      <c r="B83" s="380">
        <v>2685128</v>
      </c>
      <c r="C83" s="380">
        <v>6457727</v>
      </c>
      <c r="D83" s="380">
        <v>1774740.3</v>
      </c>
      <c r="E83" s="380">
        <v>5896064.5</v>
      </c>
      <c r="F83" s="287">
        <v>39904</v>
      </c>
      <c r="G83" s="287" t="s">
        <v>169</v>
      </c>
      <c r="H83" s="285" t="s">
        <v>160</v>
      </c>
      <c r="I83" s="285" t="s">
        <v>201</v>
      </c>
      <c r="J83" s="285" t="s">
        <v>608</v>
      </c>
      <c r="K83" s="285" t="s">
        <v>178</v>
      </c>
      <c r="L83" s="285" t="s">
        <v>201</v>
      </c>
      <c r="M83" s="285" t="s">
        <v>256</v>
      </c>
      <c r="N83" s="285" t="s">
        <v>687</v>
      </c>
      <c r="O83" s="285" t="s">
        <v>257</v>
      </c>
      <c r="P83" s="285" t="s">
        <v>573</v>
      </c>
      <c r="Q83" s="285" t="s">
        <v>688</v>
      </c>
      <c r="R83" s="286">
        <v>20</v>
      </c>
      <c r="S83" s="369">
        <v>2.5</v>
      </c>
      <c r="T83" s="286">
        <v>12</v>
      </c>
      <c r="U83" s="288" t="s">
        <v>575</v>
      </c>
      <c r="V83" s="288">
        <v>1</v>
      </c>
      <c r="W83" s="288">
        <v>3440</v>
      </c>
      <c r="X83" s="288" t="s">
        <v>174</v>
      </c>
      <c r="Y83" s="288">
        <v>10</v>
      </c>
      <c r="Z83" s="288" t="s">
        <v>174</v>
      </c>
      <c r="AA83" s="280" t="s">
        <v>169</v>
      </c>
      <c r="AB83" s="285" t="s">
        <v>169</v>
      </c>
      <c r="AC83" s="285"/>
      <c r="AD83" s="285"/>
    </row>
    <row r="84" spans="1:30" s="280" customFormat="1" ht="11.25" x14ac:dyDescent="0.15">
      <c r="A84" s="337" t="s">
        <v>90</v>
      </c>
      <c r="B84" s="384">
        <v>2674097.5</v>
      </c>
      <c r="C84" s="384">
        <v>6470602</v>
      </c>
      <c r="D84" s="384">
        <v>1763684.8</v>
      </c>
      <c r="E84" s="384">
        <v>5908917.9000000004</v>
      </c>
      <c r="F84" s="287">
        <v>39904</v>
      </c>
      <c r="G84" s="282">
        <v>42248</v>
      </c>
      <c r="H84" s="285" t="s">
        <v>160</v>
      </c>
      <c r="I84" s="285" t="s">
        <v>178</v>
      </c>
      <c r="J84" s="285" t="s">
        <v>188</v>
      </c>
      <c r="K84" s="285" t="s">
        <v>178</v>
      </c>
      <c r="L84" s="285" t="s">
        <v>178</v>
      </c>
      <c r="M84" s="285" t="s">
        <v>258</v>
      </c>
      <c r="N84" s="285" t="s">
        <v>689</v>
      </c>
      <c r="O84" s="285" t="s">
        <v>259</v>
      </c>
      <c r="P84" s="285" t="s">
        <v>573</v>
      </c>
      <c r="Q84" s="285" t="s">
        <v>690</v>
      </c>
      <c r="R84" s="286">
        <v>5</v>
      </c>
      <c r="S84" s="369">
        <v>3</v>
      </c>
      <c r="T84" s="286">
        <v>5</v>
      </c>
      <c r="U84" s="288" t="s">
        <v>575</v>
      </c>
      <c r="V84" s="288">
        <v>1</v>
      </c>
      <c r="W84" s="288">
        <v>1660</v>
      </c>
      <c r="X84" s="288" t="s">
        <v>185</v>
      </c>
      <c r="Y84" s="288">
        <v>25</v>
      </c>
      <c r="Z84" s="288" t="s">
        <v>182</v>
      </c>
      <c r="AA84" s="337" t="s">
        <v>1041</v>
      </c>
      <c r="AB84" s="285" t="s">
        <v>169</v>
      </c>
      <c r="AC84" s="285"/>
      <c r="AD84" s="285"/>
    </row>
    <row r="85" spans="1:30" s="280" customFormat="1" ht="11.25" x14ac:dyDescent="0.15">
      <c r="A85" s="338" t="s">
        <v>1040</v>
      </c>
      <c r="B85" s="380">
        <v>2674097.5</v>
      </c>
      <c r="C85" s="380">
        <v>6470602</v>
      </c>
      <c r="D85" s="380">
        <v>1763684.8</v>
      </c>
      <c r="E85" s="380">
        <v>5908917.9000000004</v>
      </c>
      <c r="F85" s="282">
        <v>42248</v>
      </c>
      <c r="G85" s="287" t="s">
        <v>169</v>
      </c>
      <c r="H85" s="285" t="s">
        <v>160</v>
      </c>
      <c r="AA85" s="338" t="s">
        <v>1042</v>
      </c>
      <c r="AB85" s="285"/>
      <c r="AC85" s="285"/>
      <c r="AD85" s="285"/>
    </row>
    <row r="86" spans="1:30" s="280" customFormat="1" ht="11.25" x14ac:dyDescent="0.15">
      <c r="A86" s="280" t="s">
        <v>91</v>
      </c>
      <c r="B86" s="380">
        <v>2678835</v>
      </c>
      <c r="C86" s="380">
        <v>6475617</v>
      </c>
      <c r="D86" s="380">
        <v>1768412.1</v>
      </c>
      <c r="E86" s="380">
        <v>5913942.0999999996</v>
      </c>
      <c r="F86" s="287">
        <v>39904</v>
      </c>
      <c r="G86" s="287" t="s">
        <v>169</v>
      </c>
      <c r="H86" s="285" t="s">
        <v>160</v>
      </c>
      <c r="I86" s="285" t="s">
        <v>201</v>
      </c>
      <c r="J86" s="285" t="s">
        <v>608</v>
      </c>
      <c r="K86" s="285" t="s">
        <v>178</v>
      </c>
      <c r="L86" s="285" t="s">
        <v>201</v>
      </c>
      <c r="M86" s="285" t="s">
        <v>260</v>
      </c>
      <c r="N86" s="285" t="s">
        <v>691</v>
      </c>
      <c r="O86" s="285" t="s">
        <v>261</v>
      </c>
      <c r="P86" s="285" t="s">
        <v>573</v>
      </c>
      <c r="Q86" s="285" t="s">
        <v>692</v>
      </c>
      <c r="R86" s="286">
        <v>5</v>
      </c>
      <c r="S86" s="369">
        <v>3</v>
      </c>
      <c r="T86" s="286">
        <v>10</v>
      </c>
      <c r="U86" s="288" t="s">
        <v>179</v>
      </c>
      <c r="V86" s="288">
        <v>1</v>
      </c>
      <c r="W86" s="288">
        <v>4300</v>
      </c>
      <c r="X86" s="288" t="s">
        <v>197</v>
      </c>
      <c r="Y86" s="288">
        <v>20</v>
      </c>
      <c r="Z86" s="288" t="s">
        <v>182</v>
      </c>
      <c r="AA86" s="280" t="s">
        <v>693</v>
      </c>
      <c r="AB86" s="285" t="s">
        <v>169</v>
      </c>
      <c r="AC86" s="285"/>
      <c r="AD86" s="285"/>
    </row>
    <row r="87" spans="1:30" s="280" customFormat="1" ht="11.25" x14ac:dyDescent="0.15">
      <c r="A87" s="280" t="s">
        <v>92</v>
      </c>
      <c r="B87" s="380">
        <v>2681790</v>
      </c>
      <c r="C87" s="380">
        <v>6474028</v>
      </c>
      <c r="D87" s="380">
        <v>1771370.3</v>
      </c>
      <c r="E87" s="380">
        <v>5912359.0999999996</v>
      </c>
      <c r="F87" s="287">
        <v>39904</v>
      </c>
      <c r="G87" s="287" t="s">
        <v>169</v>
      </c>
      <c r="H87" s="285" t="s">
        <v>161</v>
      </c>
      <c r="I87" s="285" t="s">
        <v>201</v>
      </c>
      <c r="J87" s="285" t="s">
        <v>608</v>
      </c>
      <c r="K87" s="285" t="s">
        <v>178</v>
      </c>
      <c r="L87" s="285" t="s">
        <v>201</v>
      </c>
      <c r="M87" s="285" t="s">
        <v>262</v>
      </c>
      <c r="N87" s="285" t="s">
        <v>694</v>
      </c>
      <c r="O87" s="285" t="s">
        <v>263</v>
      </c>
      <c r="P87" s="285" t="s">
        <v>695</v>
      </c>
      <c r="Q87" s="285" t="s">
        <v>694</v>
      </c>
      <c r="R87" s="286">
        <v>0</v>
      </c>
      <c r="S87" s="369">
        <v>3</v>
      </c>
      <c r="T87" s="286">
        <v>5</v>
      </c>
      <c r="U87" s="288" t="s">
        <v>179</v>
      </c>
      <c r="V87" s="288">
        <v>1</v>
      </c>
      <c r="W87" s="288">
        <v>6880</v>
      </c>
      <c r="X87" s="288" t="s">
        <v>174</v>
      </c>
      <c r="Y87" s="288">
        <v>220</v>
      </c>
      <c r="Z87" s="288" t="s">
        <v>208</v>
      </c>
      <c r="AA87" s="280" t="s">
        <v>696</v>
      </c>
      <c r="AB87" s="285" t="s">
        <v>169</v>
      </c>
      <c r="AC87" s="285"/>
      <c r="AD87" s="285"/>
    </row>
    <row r="88" spans="1:30" s="280" customFormat="1" ht="11.25" x14ac:dyDescent="0.15">
      <c r="A88" s="285" t="s">
        <v>499</v>
      </c>
      <c r="B88" s="380">
        <v>2657417</v>
      </c>
      <c r="C88" s="380">
        <v>6481613</v>
      </c>
      <c r="D88" s="380">
        <v>1746983.7</v>
      </c>
      <c r="E88" s="380">
        <v>5919894.7000000002</v>
      </c>
      <c r="F88" s="287">
        <v>42005</v>
      </c>
      <c r="G88" s="287" t="s">
        <v>169</v>
      </c>
      <c r="H88" s="285" t="s">
        <v>159</v>
      </c>
      <c r="I88" s="285" t="s">
        <v>614</v>
      </c>
      <c r="J88" s="285" t="s">
        <v>202</v>
      </c>
      <c r="K88" s="285" t="s">
        <v>178</v>
      </c>
      <c r="L88" s="285" t="s">
        <v>614</v>
      </c>
      <c r="M88" s="285" t="s">
        <v>500</v>
      </c>
      <c r="N88" s="285" t="s">
        <v>697</v>
      </c>
      <c r="O88" s="285" t="s">
        <v>230</v>
      </c>
      <c r="P88" s="285" t="s">
        <v>573</v>
      </c>
      <c r="Q88" s="285" t="s">
        <v>648</v>
      </c>
      <c r="R88" s="286">
        <v>10</v>
      </c>
      <c r="S88" s="369">
        <v>3</v>
      </c>
      <c r="T88" s="286">
        <v>10</v>
      </c>
      <c r="U88" s="288" t="s">
        <v>179</v>
      </c>
      <c r="V88" s="288">
        <v>16</v>
      </c>
      <c r="W88" s="288">
        <v>90</v>
      </c>
      <c r="X88" s="288" t="s">
        <v>197</v>
      </c>
      <c r="Y88" s="288">
        <v>245</v>
      </c>
      <c r="Z88" s="288" t="s">
        <v>174</v>
      </c>
      <c r="AA88" s="328" t="s">
        <v>1066</v>
      </c>
      <c r="AB88" s="285" t="s">
        <v>169</v>
      </c>
      <c r="AC88" s="374" t="s">
        <v>1094</v>
      </c>
      <c r="AD88" s="285"/>
    </row>
    <row r="89" spans="1:30" s="280" customFormat="1" ht="11.25" x14ac:dyDescent="0.15">
      <c r="A89" s="285" t="s">
        <v>93</v>
      </c>
      <c r="B89" s="380">
        <v>2665934.4819999998</v>
      </c>
      <c r="C89" s="380">
        <v>6490674.5480000004</v>
      </c>
      <c r="D89" s="380">
        <v>1755481.8</v>
      </c>
      <c r="E89" s="380">
        <v>5928972.5</v>
      </c>
      <c r="F89" s="287">
        <v>39995</v>
      </c>
      <c r="G89" s="287" t="s">
        <v>169</v>
      </c>
      <c r="H89" s="285" t="s">
        <v>159</v>
      </c>
      <c r="I89" s="285" t="s">
        <v>581</v>
      </c>
      <c r="J89" s="285" t="s">
        <v>175</v>
      </c>
      <c r="K89" s="285" t="s">
        <v>178</v>
      </c>
      <c r="L89" s="285" t="s">
        <v>582</v>
      </c>
      <c r="M89" s="285" t="s">
        <v>264</v>
      </c>
      <c r="N89" s="285" t="s">
        <v>586</v>
      </c>
      <c r="O89" s="285" t="s">
        <v>184</v>
      </c>
      <c r="P89" s="285" t="s">
        <v>587</v>
      </c>
      <c r="Q89" s="285" t="s">
        <v>586</v>
      </c>
      <c r="R89" s="286">
        <v>25</v>
      </c>
      <c r="S89" s="369">
        <v>3</v>
      </c>
      <c r="T89" s="286">
        <v>25</v>
      </c>
      <c r="U89" s="288" t="s">
        <v>575</v>
      </c>
      <c r="V89" s="288">
        <v>1</v>
      </c>
      <c r="W89" s="288">
        <v>65</v>
      </c>
      <c r="X89" s="288" t="s">
        <v>185</v>
      </c>
      <c r="Y89" s="288">
        <v>5</v>
      </c>
      <c r="Z89" s="288" t="s">
        <v>179</v>
      </c>
      <c r="AA89" s="328" t="s">
        <v>1064</v>
      </c>
      <c r="AB89" s="285" t="s">
        <v>169</v>
      </c>
      <c r="AC89" s="285"/>
      <c r="AD89" s="285"/>
    </row>
    <row r="90" spans="1:30" s="280" customFormat="1" ht="11.25" x14ac:dyDescent="0.15">
      <c r="A90" s="285" t="s">
        <v>94</v>
      </c>
      <c r="B90" s="380">
        <v>2630896.4</v>
      </c>
      <c r="C90" s="380">
        <v>6611323</v>
      </c>
      <c r="D90" s="380">
        <v>1720174.9</v>
      </c>
      <c r="E90" s="380">
        <v>6049512.5999999996</v>
      </c>
      <c r="F90" s="287">
        <v>40360</v>
      </c>
      <c r="G90" s="287" t="s">
        <v>169</v>
      </c>
      <c r="H90" s="285" t="s">
        <v>161</v>
      </c>
      <c r="I90" s="285" t="s">
        <v>170</v>
      </c>
      <c r="J90" s="285" t="s">
        <v>170</v>
      </c>
      <c r="K90" s="285" t="s">
        <v>173</v>
      </c>
      <c r="L90" s="285" t="s">
        <v>173</v>
      </c>
      <c r="M90" s="285" t="s">
        <v>265</v>
      </c>
      <c r="N90" s="285" t="s">
        <v>698</v>
      </c>
      <c r="O90" s="285" t="s">
        <v>266</v>
      </c>
      <c r="P90" s="285" t="s">
        <v>573</v>
      </c>
      <c r="Q90" s="285" t="s">
        <v>265</v>
      </c>
      <c r="R90" s="286">
        <v>5</v>
      </c>
      <c r="S90" s="369">
        <v>3</v>
      </c>
      <c r="T90" s="286">
        <v>10</v>
      </c>
      <c r="U90" s="288" t="s">
        <v>179</v>
      </c>
      <c r="V90" s="288">
        <v>1</v>
      </c>
      <c r="W90" s="288">
        <v>1480</v>
      </c>
      <c r="X90" s="288" t="s">
        <v>174</v>
      </c>
      <c r="Y90" s="288">
        <v>95</v>
      </c>
      <c r="Z90" s="288" t="s">
        <v>174</v>
      </c>
      <c r="AA90" s="376" t="s">
        <v>1015</v>
      </c>
      <c r="AB90" s="285" t="s">
        <v>169</v>
      </c>
      <c r="AC90" s="285"/>
      <c r="AD90" s="285"/>
    </row>
    <row r="91" spans="1:30" s="280" customFormat="1" ht="11.25" x14ac:dyDescent="0.15">
      <c r="A91" s="285" t="s">
        <v>485</v>
      </c>
      <c r="B91" s="380">
        <v>2629398</v>
      </c>
      <c r="C91" s="380">
        <v>6607570</v>
      </c>
      <c r="D91" s="380">
        <v>1718686.8</v>
      </c>
      <c r="E91" s="380">
        <v>6045756.5999999996</v>
      </c>
      <c r="F91" s="287">
        <v>41760</v>
      </c>
      <c r="G91" s="287" t="s">
        <v>169</v>
      </c>
      <c r="H91" s="285" t="s">
        <v>159</v>
      </c>
      <c r="I91" s="285" t="s">
        <v>170</v>
      </c>
      <c r="J91" s="285" t="s">
        <v>170</v>
      </c>
      <c r="K91" s="285" t="s">
        <v>173</v>
      </c>
      <c r="L91" s="285" t="s">
        <v>173</v>
      </c>
      <c r="M91" s="285" t="s">
        <v>490</v>
      </c>
      <c r="N91" s="285" t="s">
        <v>699</v>
      </c>
      <c r="O91" s="285" t="s">
        <v>491</v>
      </c>
      <c r="P91" s="285" t="s">
        <v>573</v>
      </c>
      <c r="Q91" s="285" t="s">
        <v>700</v>
      </c>
      <c r="R91" s="286">
        <v>25</v>
      </c>
      <c r="S91" s="369">
        <v>3</v>
      </c>
      <c r="T91" s="286">
        <v>20</v>
      </c>
      <c r="U91" s="288" t="s">
        <v>575</v>
      </c>
      <c r="V91" s="288">
        <v>1</v>
      </c>
      <c r="W91" s="288">
        <v>10</v>
      </c>
      <c r="X91" s="288" t="s">
        <v>219</v>
      </c>
      <c r="Y91" s="288">
        <v>10</v>
      </c>
      <c r="Z91" s="288" t="s">
        <v>191</v>
      </c>
      <c r="AA91" s="328" t="s">
        <v>1043</v>
      </c>
      <c r="AB91" s="285" t="s">
        <v>169</v>
      </c>
      <c r="AC91" s="285"/>
      <c r="AD91" s="285"/>
    </row>
    <row r="92" spans="1:30" s="280" customFormat="1" ht="11.25" x14ac:dyDescent="0.15">
      <c r="A92" s="285" t="s">
        <v>501</v>
      </c>
      <c r="B92" s="380">
        <v>2669765.6</v>
      </c>
      <c r="C92" s="380">
        <v>6468320.7000000002</v>
      </c>
      <c r="D92" s="380">
        <v>1759357.5</v>
      </c>
      <c r="E92" s="380">
        <v>5906628.2000000002</v>
      </c>
      <c r="F92" s="287">
        <v>42248</v>
      </c>
      <c r="G92" s="287" t="s">
        <v>169</v>
      </c>
      <c r="H92" s="285" t="s">
        <v>159</v>
      </c>
      <c r="I92" s="285" t="s">
        <v>201</v>
      </c>
      <c r="J92" s="285" t="s">
        <v>608</v>
      </c>
      <c r="K92" s="285" t="s">
        <v>178</v>
      </c>
      <c r="L92" s="285" t="s">
        <v>201</v>
      </c>
      <c r="M92" s="285" t="s">
        <v>502</v>
      </c>
      <c r="N92" s="285" t="s">
        <v>701</v>
      </c>
      <c r="O92" s="285" t="s">
        <v>214</v>
      </c>
      <c r="P92" s="285" t="s">
        <v>684</v>
      </c>
      <c r="Q92" s="285" t="s">
        <v>683</v>
      </c>
      <c r="R92" s="286">
        <v>40</v>
      </c>
      <c r="S92" s="369">
        <v>3</v>
      </c>
      <c r="T92" s="286">
        <v>10</v>
      </c>
      <c r="U92" s="288" t="s">
        <v>179</v>
      </c>
      <c r="V92" s="288" t="s">
        <v>253</v>
      </c>
      <c r="W92" s="288">
        <v>80</v>
      </c>
      <c r="X92" s="288" t="s">
        <v>174</v>
      </c>
      <c r="Y92" s="288">
        <v>120</v>
      </c>
      <c r="Z92" s="288" t="s">
        <v>197</v>
      </c>
      <c r="AA92" s="328" t="s">
        <v>1044</v>
      </c>
      <c r="AB92" s="285" t="s">
        <v>169</v>
      </c>
      <c r="AC92" s="285"/>
      <c r="AD92" s="285"/>
    </row>
    <row r="93" spans="1:30" s="280" customFormat="1" ht="11.25" x14ac:dyDescent="0.15">
      <c r="A93" s="280" t="s">
        <v>32</v>
      </c>
      <c r="B93" s="380">
        <v>2714657</v>
      </c>
      <c r="C93" s="380">
        <v>6375348</v>
      </c>
      <c r="D93" s="380">
        <v>1804416.3</v>
      </c>
      <c r="E93" s="380">
        <v>5813724.5</v>
      </c>
      <c r="F93" s="287">
        <v>39083</v>
      </c>
      <c r="G93" s="287" t="s">
        <v>169</v>
      </c>
      <c r="H93" s="285" t="s">
        <v>159</v>
      </c>
      <c r="I93" s="285" t="s">
        <v>267</v>
      </c>
      <c r="J93" s="285" t="s">
        <v>267</v>
      </c>
      <c r="K93" s="285" t="s">
        <v>270</v>
      </c>
      <c r="L93" s="285" t="s">
        <v>270</v>
      </c>
      <c r="M93" s="285" t="s">
        <v>268</v>
      </c>
      <c r="N93" s="285" t="s">
        <v>702</v>
      </c>
      <c r="O93" s="285" t="s">
        <v>269</v>
      </c>
      <c r="P93" s="285" t="s">
        <v>703</v>
      </c>
      <c r="Q93" s="285" t="s">
        <v>702</v>
      </c>
      <c r="R93" s="286">
        <v>5</v>
      </c>
      <c r="S93" s="369">
        <v>3.8</v>
      </c>
      <c r="T93" s="286">
        <v>3.8</v>
      </c>
      <c r="U93" s="288" t="s">
        <v>179</v>
      </c>
      <c r="V93" s="288">
        <v>1</v>
      </c>
      <c r="W93" s="288">
        <v>15</v>
      </c>
      <c r="X93" s="288" t="s">
        <v>179</v>
      </c>
      <c r="Y93" s="288">
        <v>80</v>
      </c>
      <c r="Z93" s="288" t="s">
        <v>174</v>
      </c>
      <c r="AA93" s="280" t="s">
        <v>704</v>
      </c>
      <c r="AB93" s="285" t="s">
        <v>169</v>
      </c>
      <c r="AC93" s="285"/>
      <c r="AD93" s="285"/>
    </row>
    <row r="94" spans="1:30" s="280" customFormat="1" ht="11.25" x14ac:dyDescent="0.15">
      <c r="A94" s="280" t="s">
        <v>33</v>
      </c>
      <c r="B94" s="380">
        <v>2708009</v>
      </c>
      <c r="C94" s="380">
        <v>6378372</v>
      </c>
      <c r="D94" s="380">
        <v>1797762</v>
      </c>
      <c r="E94" s="380">
        <v>5816739</v>
      </c>
      <c r="F94" s="287">
        <v>39083</v>
      </c>
      <c r="G94" s="287" t="s">
        <v>169</v>
      </c>
      <c r="H94" s="285" t="s">
        <v>576</v>
      </c>
      <c r="I94" s="285" t="s">
        <v>267</v>
      </c>
      <c r="J94" s="285" t="s">
        <v>267</v>
      </c>
      <c r="K94" s="285" t="s">
        <v>270</v>
      </c>
      <c r="L94" s="285" t="s">
        <v>270</v>
      </c>
      <c r="M94" s="285" t="s">
        <v>271</v>
      </c>
      <c r="N94" s="285" t="s">
        <v>705</v>
      </c>
      <c r="O94" s="285" t="s">
        <v>272</v>
      </c>
      <c r="P94" s="285" t="s">
        <v>573</v>
      </c>
      <c r="Q94" s="285" t="s">
        <v>706</v>
      </c>
      <c r="R94" s="286">
        <v>30</v>
      </c>
      <c r="S94" s="369">
        <v>2.6</v>
      </c>
      <c r="T94" s="286">
        <v>21.8</v>
      </c>
      <c r="U94" s="288" t="s">
        <v>575</v>
      </c>
      <c r="V94" s="288">
        <v>1</v>
      </c>
      <c r="W94" s="288">
        <v>80</v>
      </c>
      <c r="X94" s="288" t="s">
        <v>197</v>
      </c>
      <c r="Y94" s="288">
        <v>10</v>
      </c>
      <c r="Z94" s="288" t="s">
        <v>191</v>
      </c>
      <c r="AA94" s="280" t="s">
        <v>707</v>
      </c>
      <c r="AB94" s="285" t="s">
        <v>580</v>
      </c>
      <c r="AC94" s="285"/>
      <c r="AD94" s="285"/>
    </row>
    <row r="95" spans="1:30" s="280" customFormat="1" ht="11.25" x14ac:dyDescent="0.15">
      <c r="A95" s="280" t="s">
        <v>34</v>
      </c>
      <c r="B95" s="380">
        <v>2710997</v>
      </c>
      <c r="C95" s="380">
        <v>6374644</v>
      </c>
      <c r="D95" s="380">
        <v>1800756.4</v>
      </c>
      <c r="E95" s="380">
        <v>5813014.7000000002</v>
      </c>
      <c r="F95" s="287">
        <v>39083</v>
      </c>
      <c r="G95" s="287" t="s">
        <v>169</v>
      </c>
      <c r="H95" s="285" t="s">
        <v>159</v>
      </c>
      <c r="I95" s="285" t="s">
        <v>267</v>
      </c>
      <c r="J95" s="285" t="s">
        <v>267</v>
      </c>
      <c r="K95" s="285" t="s">
        <v>270</v>
      </c>
      <c r="L95" s="285" t="s">
        <v>270</v>
      </c>
      <c r="M95" s="285" t="s">
        <v>273</v>
      </c>
      <c r="N95" s="285" t="s">
        <v>708</v>
      </c>
      <c r="O95" s="285" t="s">
        <v>274</v>
      </c>
      <c r="P95" s="285" t="s">
        <v>709</v>
      </c>
      <c r="Q95" s="285" t="s">
        <v>710</v>
      </c>
      <c r="R95" s="286">
        <v>50</v>
      </c>
      <c r="S95" s="369">
        <v>2.9</v>
      </c>
      <c r="T95" s="286">
        <v>23</v>
      </c>
      <c r="U95" s="288" t="s">
        <v>575</v>
      </c>
      <c r="V95" s="288">
        <v>1</v>
      </c>
      <c r="W95" s="288">
        <v>10</v>
      </c>
      <c r="X95" s="288" t="s">
        <v>179</v>
      </c>
      <c r="Y95" s="288">
        <v>15</v>
      </c>
      <c r="Z95" s="288" t="s">
        <v>174</v>
      </c>
      <c r="AA95" s="280" t="s">
        <v>711</v>
      </c>
      <c r="AB95" s="285" t="s">
        <v>169</v>
      </c>
      <c r="AC95" s="285"/>
      <c r="AD95" s="285"/>
    </row>
    <row r="96" spans="1:30" s="280" customFormat="1" ht="11.25" x14ac:dyDescent="0.15">
      <c r="A96" s="337" t="s">
        <v>35</v>
      </c>
      <c r="B96" s="381">
        <v>2727212</v>
      </c>
      <c r="C96" s="381">
        <v>6364959</v>
      </c>
      <c r="D96" s="384">
        <v>1816990.9</v>
      </c>
      <c r="E96" s="384">
        <v>5803351.2000000002</v>
      </c>
      <c r="F96" s="287">
        <v>39083</v>
      </c>
      <c r="G96" s="282">
        <v>42826</v>
      </c>
      <c r="H96" s="285" t="s">
        <v>576</v>
      </c>
      <c r="I96" s="285" t="s">
        <v>267</v>
      </c>
      <c r="J96" s="285" t="s">
        <v>275</v>
      </c>
      <c r="K96" s="285" t="s">
        <v>270</v>
      </c>
      <c r="L96" s="285" t="s">
        <v>270</v>
      </c>
      <c r="M96" s="285" t="s">
        <v>276</v>
      </c>
      <c r="N96" s="285" t="s">
        <v>712</v>
      </c>
      <c r="O96" s="285" t="s">
        <v>275</v>
      </c>
      <c r="P96" s="285" t="s">
        <v>573</v>
      </c>
      <c r="Q96" s="285" t="s">
        <v>713</v>
      </c>
      <c r="R96" s="286">
        <v>85</v>
      </c>
      <c r="S96" s="369">
        <v>3</v>
      </c>
      <c r="T96" s="286">
        <v>10</v>
      </c>
      <c r="U96" s="288" t="s">
        <v>575</v>
      </c>
      <c r="V96" s="288">
        <v>1</v>
      </c>
      <c r="W96" s="288">
        <v>2190</v>
      </c>
      <c r="X96" s="288" t="s">
        <v>191</v>
      </c>
      <c r="Y96" s="288">
        <v>20</v>
      </c>
      <c r="Z96" s="288" t="s">
        <v>174</v>
      </c>
      <c r="AA96" s="337" t="s">
        <v>714</v>
      </c>
      <c r="AB96" s="285" t="s">
        <v>715</v>
      </c>
      <c r="AC96" s="285"/>
      <c r="AD96" s="285"/>
    </row>
    <row r="97" spans="1:30" s="280" customFormat="1" ht="11.25" x14ac:dyDescent="0.15">
      <c r="A97" s="338" t="s">
        <v>1045</v>
      </c>
      <c r="B97" s="380">
        <v>2727210</v>
      </c>
      <c r="C97" s="380">
        <v>6364945.5</v>
      </c>
      <c r="D97" s="380">
        <v>1816988.9</v>
      </c>
      <c r="E97" s="380">
        <v>5803337.7000000002</v>
      </c>
      <c r="F97" s="282">
        <v>42826</v>
      </c>
      <c r="G97" s="287" t="s">
        <v>169</v>
      </c>
      <c r="H97" s="285" t="s">
        <v>576</v>
      </c>
      <c r="AA97" s="338" t="s">
        <v>1046</v>
      </c>
      <c r="AB97" s="285" t="s">
        <v>715</v>
      </c>
      <c r="AC97" s="285"/>
      <c r="AD97" s="285"/>
    </row>
    <row r="98" spans="1:30" s="280" customFormat="1" ht="11.25" x14ac:dyDescent="0.15">
      <c r="A98" s="280" t="s">
        <v>36</v>
      </c>
      <c r="B98" s="380">
        <v>2777082</v>
      </c>
      <c r="C98" s="380">
        <v>6275859</v>
      </c>
      <c r="D98" s="380">
        <v>1866997.4</v>
      </c>
      <c r="E98" s="380">
        <v>5714267.7999999998</v>
      </c>
      <c r="F98" s="287">
        <v>39083</v>
      </c>
      <c r="G98" s="287" t="s">
        <v>169</v>
      </c>
      <c r="H98" s="285" t="s">
        <v>576</v>
      </c>
      <c r="I98" s="285" t="s">
        <v>277</v>
      </c>
      <c r="J98" s="285" t="s">
        <v>277</v>
      </c>
      <c r="K98" s="285" t="s">
        <v>270</v>
      </c>
      <c r="L98" s="285" t="s">
        <v>270</v>
      </c>
      <c r="M98" s="285" t="s">
        <v>278</v>
      </c>
      <c r="N98" s="285" t="s">
        <v>716</v>
      </c>
      <c r="O98" s="285" t="s">
        <v>277</v>
      </c>
      <c r="P98" s="285" t="s">
        <v>573</v>
      </c>
      <c r="Q98" s="285" t="s">
        <v>717</v>
      </c>
      <c r="R98" s="286">
        <v>30</v>
      </c>
      <c r="S98" s="369">
        <v>3.5</v>
      </c>
      <c r="T98" s="286">
        <v>24</v>
      </c>
      <c r="U98" s="288" t="s">
        <v>575</v>
      </c>
      <c r="V98" s="288">
        <v>1</v>
      </c>
      <c r="W98" s="288">
        <v>3225</v>
      </c>
      <c r="X98" s="288" t="s">
        <v>174</v>
      </c>
      <c r="Y98" s="288">
        <v>20</v>
      </c>
      <c r="Z98" s="288" t="s">
        <v>174</v>
      </c>
      <c r="AA98" s="280" t="s">
        <v>718</v>
      </c>
      <c r="AB98" s="285" t="s">
        <v>715</v>
      </c>
      <c r="AC98" s="285"/>
      <c r="AD98" s="285"/>
    </row>
    <row r="99" spans="1:30" s="280" customFormat="1" ht="11.25" x14ac:dyDescent="0.15">
      <c r="A99" s="280" t="s">
        <v>37</v>
      </c>
      <c r="B99" s="380">
        <v>2793725</v>
      </c>
      <c r="C99" s="380">
        <v>6335570</v>
      </c>
      <c r="D99" s="380">
        <v>1883582.1</v>
      </c>
      <c r="E99" s="380">
        <v>5774040.5999999996</v>
      </c>
      <c r="F99" s="287">
        <v>39083</v>
      </c>
      <c r="G99" s="287" t="s">
        <v>169</v>
      </c>
      <c r="H99" s="285" t="s">
        <v>159</v>
      </c>
      <c r="I99" s="285" t="s">
        <v>279</v>
      </c>
      <c r="J99" s="285" t="s">
        <v>279</v>
      </c>
      <c r="K99" s="285" t="s">
        <v>280</v>
      </c>
      <c r="L99" s="285" t="s">
        <v>280</v>
      </c>
      <c r="M99" s="285" t="s">
        <v>38</v>
      </c>
      <c r="N99" s="285" t="s">
        <v>719</v>
      </c>
      <c r="O99" s="285" t="s">
        <v>279</v>
      </c>
      <c r="P99" s="285" t="s">
        <v>720</v>
      </c>
      <c r="Q99" s="285" t="s">
        <v>719</v>
      </c>
      <c r="R99" s="286">
        <v>5</v>
      </c>
      <c r="S99" s="369">
        <v>3</v>
      </c>
      <c r="T99" s="286">
        <v>10</v>
      </c>
      <c r="U99" s="288" t="s">
        <v>575</v>
      </c>
      <c r="V99" s="288">
        <v>5</v>
      </c>
      <c r="W99" s="288">
        <v>15</v>
      </c>
      <c r="X99" s="288" t="s">
        <v>174</v>
      </c>
      <c r="Y99" s="288">
        <v>15</v>
      </c>
      <c r="Z99" s="288" t="s">
        <v>179</v>
      </c>
      <c r="AA99" s="280" t="s">
        <v>721</v>
      </c>
      <c r="AB99" s="285" t="s">
        <v>169</v>
      </c>
      <c r="AC99" s="285"/>
      <c r="AD99" s="285"/>
    </row>
    <row r="100" spans="1:30" s="280" customFormat="1" ht="11.25" x14ac:dyDescent="0.15">
      <c r="A100" s="280" t="s">
        <v>39</v>
      </c>
      <c r="B100" s="380">
        <v>2788263.9</v>
      </c>
      <c r="C100" s="380">
        <v>6383905.1399999997</v>
      </c>
      <c r="D100" s="380">
        <v>1878044.2</v>
      </c>
      <c r="E100" s="380">
        <v>5822402.0999999996</v>
      </c>
      <c r="F100" s="287">
        <v>39083</v>
      </c>
      <c r="G100" s="287" t="s">
        <v>169</v>
      </c>
      <c r="H100" s="285" t="s">
        <v>159</v>
      </c>
      <c r="I100" s="285" t="s">
        <v>281</v>
      </c>
      <c r="J100" s="285" t="s">
        <v>281</v>
      </c>
      <c r="K100" s="285" t="s">
        <v>280</v>
      </c>
      <c r="L100" s="285" t="s">
        <v>280</v>
      </c>
      <c r="M100" s="285" t="s">
        <v>282</v>
      </c>
      <c r="N100" s="285" t="s">
        <v>722</v>
      </c>
      <c r="O100" s="285" t="s">
        <v>283</v>
      </c>
      <c r="P100" s="285" t="s">
        <v>723</v>
      </c>
      <c r="Q100" s="285" t="s">
        <v>724</v>
      </c>
      <c r="R100" s="286">
        <v>45</v>
      </c>
      <c r="S100" s="369">
        <v>2.9</v>
      </c>
      <c r="T100" s="286">
        <v>10</v>
      </c>
      <c r="U100" s="288" t="s">
        <v>575</v>
      </c>
      <c r="V100" s="288" t="s">
        <v>287</v>
      </c>
      <c r="W100" s="288">
        <v>15</v>
      </c>
      <c r="X100" s="288" t="s">
        <v>197</v>
      </c>
      <c r="Y100" s="288">
        <v>10</v>
      </c>
      <c r="Z100" s="288" t="s">
        <v>208</v>
      </c>
      <c r="AA100" s="280" t="s">
        <v>725</v>
      </c>
      <c r="AB100" s="285" t="s">
        <v>169</v>
      </c>
      <c r="AC100" s="285"/>
      <c r="AD100" s="285"/>
    </row>
    <row r="101" spans="1:30" s="280" customFormat="1" ht="11.25" x14ac:dyDescent="0.15">
      <c r="A101" s="280" t="s">
        <v>40</v>
      </c>
      <c r="B101" s="380">
        <v>2793186.1</v>
      </c>
      <c r="C101" s="380">
        <v>6388054.5999999996</v>
      </c>
      <c r="D101" s="380">
        <v>1882962.9</v>
      </c>
      <c r="E101" s="380">
        <v>5826562.5999999996</v>
      </c>
      <c r="F101" s="287">
        <v>39083</v>
      </c>
      <c r="G101" s="287" t="s">
        <v>169</v>
      </c>
      <c r="H101" s="285" t="s">
        <v>159</v>
      </c>
      <c r="I101" s="285" t="s">
        <v>281</v>
      </c>
      <c r="J101" s="285" t="s">
        <v>281</v>
      </c>
      <c r="K101" s="285" t="s">
        <v>280</v>
      </c>
      <c r="L101" s="285" t="s">
        <v>280</v>
      </c>
      <c r="M101" s="285" t="s">
        <v>284</v>
      </c>
      <c r="N101" s="285" t="s">
        <v>726</v>
      </c>
      <c r="O101" s="285" t="s">
        <v>285</v>
      </c>
      <c r="P101" s="285" t="s">
        <v>573</v>
      </c>
      <c r="Q101" s="285" t="s">
        <v>727</v>
      </c>
      <c r="R101" s="286">
        <v>20</v>
      </c>
      <c r="S101" s="369">
        <v>2.9</v>
      </c>
      <c r="T101" s="286">
        <v>20</v>
      </c>
      <c r="U101" s="288" t="s">
        <v>575</v>
      </c>
      <c r="V101" s="288">
        <v>2</v>
      </c>
      <c r="W101" s="288">
        <v>10</v>
      </c>
      <c r="X101" s="288" t="s">
        <v>197</v>
      </c>
      <c r="Y101" s="288">
        <v>0</v>
      </c>
      <c r="Z101" s="288" t="s">
        <v>219</v>
      </c>
      <c r="AA101" s="280" t="s">
        <v>728</v>
      </c>
      <c r="AB101" s="285" t="s">
        <v>169</v>
      </c>
      <c r="AC101" s="285"/>
      <c r="AD101" s="285"/>
    </row>
    <row r="102" spans="1:30" s="280" customFormat="1" ht="11.25" x14ac:dyDescent="0.15">
      <c r="A102" s="280" t="s">
        <v>41</v>
      </c>
      <c r="B102" s="380">
        <v>2789488.4</v>
      </c>
      <c r="C102" s="380">
        <v>6386917.5</v>
      </c>
      <c r="D102" s="380">
        <v>1879264.6</v>
      </c>
      <c r="E102" s="380">
        <v>5825418.5999999996</v>
      </c>
      <c r="F102" s="287">
        <v>39083</v>
      </c>
      <c r="G102" s="287" t="s">
        <v>169</v>
      </c>
      <c r="H102" s="285" t="s">
        <v>159</v>
      </c>
      <c r="I102" s="285" t="s">
        <v>281</v>
      </c>
      <c r="J102" s="285" t="s">
        <v>281</v>
      </c>
      <c r="K102" s="285" t="s">
        <v>280</v>
      </c>
      <c r="L102" s="285" t="s">
        <v>280</v>
      </c>
      <c r="M102" s="285" t="s">
        <v>286</v>
      </c>
      <c r="N102" s="285" t="s">
        <v>729</v>
      </c>
      <c r="O102" s="285" t="s">
        <v>281</v>
      </c>
      <c r="P102" s="285" t="s">
        <v>573</v>
      </c>
      <c r="Q102" s="285" t="s">
        <v>730</v>
      </c>
      <c r="R102" s="286">
        <v>60</v>
      </c>
      <c r="S102" s="369">
        <v>2.7</v>
      </c>
      <c r="T102" s="286">
        <v>10</v>
      </c>
      <c r="U102" s="288" t="s">
        <v>575</v>
      </c>
      <c r="V102" s="288">
        <v>2</v>
      </c>
      <c r="W102" s="288">
        <v>50</v>
      </c>
      <c r="X102" s="288" t="s">
        <v>191</v>
      </c>
      <c r="Y102" s="288">
        <v>20</v>
      </c>
      <c r="Z102" s="288" t="s">
        <v>174</v>
      </c>
      <c r="AA102" s="280" t="s">
        <v>731</v>
      </c>
      <c r="AB102" s="285" t="s">
        <v>169</v>
      </c>
      <c r="AC102" s="285"/>
      <c r="AD102" s="285"/>
    </row>
    <row r="103" spans="1:30" s="280" customFormat="1" ht="11.25" x14ac:dyDescent="0.15">
      <c r="A103" s="280" t="s">
        <v>95</v>
      </c>
      <c r="B103" s="380">
        <v>2705978.5</v>
      </c>
      <c r="C103" s="380">
        <v>6382998.2999999998</v>
      </c>
      <c r="D103" s="380">
        <v>1795723.9</v>
      </c>
      <c r="E103" s="380">
        <v>5821363.2000000002</v>
      </c>
      <c r="F103" s="287">
        <v>40269</v>
      </c>
      <c r="G103" s="287" t="s">
        <v>169</v>
      </c>
      <c r="H103" s="285" t="s">
        <v>576</v>
      </c>
      <c r="I103" s="285" t="s">
        <v>267</v>
      </c>
      <c r="J103" s="285" t="s">
        <v>267</v>
      </c>
      <c r="K103" s="285" t="s">
        <v>270</v>
      </c>
      <c r="L103" s="285" t="s">
        <v>270</v>
      </c>
      <c r="M103" s="285" t="s">
        <v>288</v>
      </c>
      <c r="N103" s="285" t="s">
        <v>732</v>
      </c>
      <c r="O103" s="285" t="s">
        <v>289</v>
      </c>
      <c r="P103" s="285" t="s">
        <v>573</v>
      </c>
      <c r="Q103" s="285" t="s">
        <v>733</v>
      </c>
      <c r="R103" s="286">
        <v>80</v>
      </c>
      <c r="S103" s="369">
        <v>2.8</v>
      </c>
      <c r="T103" s="286">
        <v>20</v>
      </c>
      <c r="U103" s="288" t="s">
        <v>179</v>
      </c>
      <c r="V103" s="288">
        <v>1</v>
      </c>
      <c r="W103" s="288">
        <v>90</v>
      </c>
      <c r="X103" s="288" t="s">
        <v>174</v>
      </c>
      <c r="Y103" s="288">
        <v>10</v>
      </c>
      <c r="Z103" s="288" t="s">
        <v>185</v>
      </c>
      <c r="AA103" s="280" t="s">
        <v>734</v>
      </c>
      <c r="AB103" s="285" t="s">
        <v>735</v>
      </c>
      <c r="AC103" s="285"/>
      <c r="AD103" s="285"/>
    </row>
    <row r="104" spans="1:30" s="280" customFormat="1" ht="11.25" x14ac:dyDescent="0.15">
      <c r="A104" s="280" t="s">
        <v>96</v>
      </c>
      <c r="B104" s="380">
        <v>2709299.7</v>
      </c>
      <c r="C104" s="380">
        <v>6376176.0099999998</v>
      </c>
      <c r="D104" s="380">
        <v>1799056.3940000001</v>
      </c>
      <c r="E104" s="380">
        <v>5814544.4970000004</v>
      </c>
      <c r="F104" s="287">
        <v>40269</v>
      </c>
      <c r="G104" s="287" t="s">
        <v>169</v>
      </c>
      <c r="H104" s="285" t="s">
        <v>159</v>
      </c>
      <c r="I104" s="285" t="s">
        <v>267</v>
      </c>
      <c r="J104" s="285" t="s">
        <v>267</v>
      </c>
      <c r="K104" s="285" t="s">
        <v>270</v>
      </c>
      <c r="L104" s="285" t="s">
        <v>270</v>
      </c>
      <c r="M104" s="285" t="s">
        <v>290</v>
      </c>
      <c r="N104" s="285" t="s">
        <v>736</v>
      </c>
      <c r="O104" s="285" t="s">
        <v>291</v>
      </c>
      <c r="P104" s="285" t="s">
        <v>573</v>
      </c>
      <c r="Q104" s="285" t="s">
        <v>737</v>
      </c>
      <c r="R104" s="286">
        <v>110</v>
      </c>
      <c r="S104" s="369">
        <v>2.8</v>
      </c>
      <c r="T104" s="286">
        <v>10</v>
      </c>
      <c r="U104" s="288" t="s">
        <v>575</v>
      </c>
      <c r="V104" s="288">
        <v>1</v>
      </c>
      <c r="W104" s="288">
        <v>15</v>
      </c>
      <c r="X104" s="288" t="s">
        <v>174</v>
      </c>
      <c r="Y104" s="288">
        <v>15</v>
      </c>
      <c r="Z104" s="288" t="s">
        <v>182</v>
      </c>
      <c r="AA104" s="280" t="s">
        <v>169</v>
      </c>
      <c r="AB104" s="285" t="s">
        <v>169</v>
      </c>
      <c r="AC104" s="285"/>
      <c r="AD104" s="285"/>
    </row>
    <row r="105" spans="1:30" s="280" customFormat="1" ht="11.25" x14ac:dyDescent="0.15">
      <c r="A105" s="280" t="s">
        <v>97</v>
      </c>
      <c r="B105" s="380">
        <v>2709542.5</v>
      </c>
      <c r="C105" s="380">
        <v>6378963.5</v>
      </c>
      <c r="D105" s="380">
        <v>1799295</v>
      </c>
      <c r="E105" s="380">
        <v>5817333</v>
      </c>
      <c r="F105" s="287">
        <v>40269</v>
      </c>
      <c r="G105" s="287" t="s">
        <v>169</v>
      </c>
      <c r="H105" s="285" t="s">
        <v>160</v>
      </c>
      <c r="I105" s="285" t="s">
        <v>267</v>
      </c>
      <c r="J105" s="285" t="s">
        <v>267</v>
      </c>
      <c r="K105" s="285" t="s">
        <v>270</v>
      </c>
      <c r="L105" s="285" t="s">
        <v>270</v>
      </c>
      <c r="M105" s="285" t="s">
        <v>292</v>
      </c>
      <c r="N105" s="285" t="s">
        <v>738</v>
      </c>
      <c r="O105" s="285" t="s">
        <v>293</v>
      </c>
      <c r="P105" s="285" t="s">
        <v>573</v>
      </c>
      <c r="Q105" s="285" t="s">
        <v>739</v>
      </c>
      <c r="R105" s="286">
        <v>15</v>
      </c>
      <c r="S105" s="369">
        <v>2.2000000000000002</v>
      </c>
      <c r="T105" s="286">
        <v>10</v>
      </c>
      <c r="U105" s="288" t="s">
        <v>575</v>
      </c>
      <c r="V105" s="288">
        <v>1</v>
      </c>
      <c r="W105" s="288">
        <v>1660</v>
      </c>
      <c r="X105" s="288" t="s">
        <v>197</v>
      </c>
      <c r="Y105" s="288">
        <v>1</v>
      </c>
      <c r="Z105" s="288" t="s">
        <v>174</v>
      </c>
      <c r="AA105" s="280" t="s">
        <v>169</v>
      </c>
      <c r="AB105" s="285" t="s">
        <v>169</v>
      </c>
      <c r="AC105" s="285"/>
      <c r="AD105" s="285"/>
    </row>
    <row r="106" spans="1:30" s="280" customFormat="1" ht="11.25" x14ac:dyDescent="0.15">
      <c r="A106" s="280" t="s">
        <v>98</v>
      </c>
      <c r="B106" s="380">
        <v>2712230.5</v>
      </c>
      <c r="C106" s="380">
        <v>6378543.7000000002</v>
      </c>
      <c r="D106" s="380">
        <v>1801984.3</v>
      </c>
      <c r="E106" s="380">
        <v>5816917.2999999998</v>
      </c>
      <c r="F106" s="287">
        <v>40269</v>
      </c>
      <c r="G106" s="287" t="s">
        <v>169</v>
      </c>
      <c r="H106" s="285" t="s">
        <v>160</v>
      </c>
      <c r="I106" s="285" t="s">
        <v>267</v>
      </c>
      <c r="J106" s="285" t="s">
        <v>267</v>
      </c>
      <c r="K106" s="285" t="s">
        <v>270</v>
      </c>
      <c r="L106" s="285" t="s">
        <v>270</v>
      </c>
      <c r="M106" s="285" t="s">
        <v>294</v>
      </c>
      <c r="N106" s="285" t="s">
        <v>740</v>
      </c>
      <c r="O106" s="285" t="s">
        <v>295</v>
      </c>
      <c r="P106" s="285" t="s">
        <v>573</v>
      </c>
      <c r="Q106" s="285" t="s">
        <v>741</v>
      </c>
      <c r="R106" s="286">
        <v>30</v>
      </c>
      <c r="S106" s="369">
        <v>2.7</v>
      </c>
      <c r="T106" s="286">
        <v>10</v>
      </c>
      <c r="U106" s="288" t="s">
        <v>575</v>
      </c>
      <c r="V106" s="288">
        <v>1</v>
      </c>
      <c r="W106" s="288">
        <v>3460</v>
      </c>
      <c r="X106" s="288" t="s">
        <v>182</v>
      </c>
      <c r="Y106" s="288">
        <v>10</v>
      </c>
      <c r="Z106" s="288" t="s">
        <v>185</v>
      </c>
      <c r="AA106" s="280" t="s">
        <v>742</v>
      </c>
      <c r="AB106" s="285" t="s">
        <v>169</v>
      </c>
      <c r="AC106" s="285"/>
      <c r="AD106" s="285"/>
    </row>
    <row r="107" spans="1:30" s="280" customFormat="1" ht="11.25" x14ac:dyDescent="0.15">
      <c r="A107" s="280" t="s">
        <v>99</v>
      </c>
      <c r="B107" s="380">
        <v>2711466.3</v>
      </c>
      <c r="C107" s="380">
        <v>6376236.2999999998</v>
      </c>
      <c r="D107" s="380">
        <v>1801223.4</v>
      </c>
      <c r="E107" s="380">
        <v>5814608.0999999996</v>
      </c>
      <c r="F107" s="287">
        <v>40269</v>
      </c>
      <c r="G107" s="287" t="s">
        <v>169</v>
      </c>
      <c r="H107" s="285" t="s">
        <v>160</v>
      </c>
      <c r="I107" s="285" t="s">
        <v>267</v>
      </c>
      <c r="J107" s="285" t="s">
        <v>267</v>
      </c>
      <c r="K107" s="285" t="s">
        <v>270</v>
      </c>
      <c r="L107" s="285" t="s">
        <v>270</v>
      </c>
      <c r="M107" s="285" t="s">
        <v>296</v>
      </c>
      <c r="N107" s="285" t="s">
        <v>743</v>
      </c>
      <c r="O107" s="285" t="s">
        <v>297</v>
      </c>
      <c r="P107" s="285" t="s">
        <v>573</v>
      </c>
      <c r="Q107" s="285" t="s">
        <v>744</v>
      </c>
      <c r="R107" s="286">
        <v>85</v>
      </c>
      <c r="S107" s="369">
        <v>2.6</v>
      </c>
      <c r="T107" s="286">
        <v>10</v>
      </c>
      <c r="U107" s="288" t="s">
        <v>575</v>
      </c>
      <c r="V107" s="288">
        <v>1</v>
      </c>
      <c r="W107" s="288">
        <v>1180</v>
      </c>
      <c r="X107" s="288" t="s">
        <v>182</v>
      </c>
      <c r="Y107" s="288">
        <v>5</v>
      </c>
      <c r="Z107" s="288" t="s">
        <v>208</v>
      </c>
      <c r="AA107" s="280" t="s">
        <v>169</v>
      </c>
      <c r="AB107" s="285" t="s">
        <v>169</v>
      </c>
      <c r="AC107" s="285"/>
      <c r="AD107" s="285"/>
    </row>
    <row r="108" spans="1:30" s="280" customFormat="1" ht="11.25" x14ac:dyDescent="0.15">
      <c r="A108" s="280" t="s">
        <v>100</v>
      </c>
      <c r="B108" s="380">
        <v>2708938.3</v>
      </c>
      <c r="C108" s="380">
        <v>6380769.2999999998</v>
      </c>
      <c r="D108" s="380">
        <v>1798687.834</v>
      </c>
      <c r="E108" s="380">
        <v>5819138.2960000001</v>
      </c>
      <c r="F108" s="287">
        <v>40269</v>
      </c>
      <c r="G108" s="287" t="s">
        <v>169</v>
      </c>
      <c r="H108" s="285" t="s">
        <v>161</v>
      </c>
      <c r="I108" s="285" t="s">
        <v>267</v>
      </c>
      <c r="J108" s="285" t="s">
        <v>267</v>
      </c>
      <c r="K108" s="285" t="s">
        <v>270</v>
      </c>
      <c r="L108" s="285" t="s">
        <v>270</v>
      </c>
      <c r="M108" s="285" t="s">
        <v>298</v>
      </c>
      <c r="N108" s="285" t="s">
        <v>745</v>
      </c>
      <c r="O108" s="285" t="s">
        <v>299</v>
      </c>
      <c r="P108" s="285" t="s">
        <v>573</v>
      </c>
      <c r="Q108" s="285" t="s">
        <v>298</v>
      </c>
      <c r="R108" s="286">
        <v>10</v>
      </c>
      <c r="S108" s="369">
        <v>5</v>
      </c>
      <c r="T108" s="286">
        <v>8</v>
      </c>
      <c r="U108" s="288" t="s">
        <v>179</v>
      </c>
      <c r="V108" s="288">
        <v>1</v>
      </c>
      <c r="W108" s="288">
        <v>2105</v>
      </c>
      <c r="X108" s="288" t="s">
        <v>174</v>
      </c>
      <c r="Y108" s="288">
        <v>100</v>
      </c>
      <c r="Z108" s="288" t="s">
        <v>185</v>
      </c>
      <c r="AA108" s="280" t="s">
        <v>746</v>
      </c>
      <c r="AB108" s="285" t="s">
        <v>169</v>
      </c>
      <c r="AC108" s="285"/>
      <c r="AD108" s="285"/>
    </row>
    <row r="109" spans="1:30" s="280" customFormat="1" ht="11.25" x14ac:dyDescent="0.15">
      <c r="A109" s="285" t="s">
        <v>101</v>
      </c>
      <c r="B109" s="380">
        <v>2794763</v>
      </c>
      <c r="C109" s="380">
        <v>6385946.4000000004</v>
      </c>
      <c r="D109" s="380">
        <v>1884544.4</v>
      </c>
      <c r="E109" s="380">
        <v>5824455.5999999996</v>
      </c>
      <c r="F109" s="287">
        <v>40269</v>
      </c>
      <c r="G109" s="287" t="s">
        <v>169</v>
      </c>
      <c r="H109" s="285" t="s">
        <v>159</v>
      </c>
      <c r="I109" s="285" t="s">
        <v>281</v>
      </c>
      <c r="J109" s="285" t="s">
        <v>281</v>
      </c>
      <c r="K109" s="285" t="s">
        <v>280</v>
      </c>
      <c r="L109" s="285" t="s">
        <v>280</v>
      </c>
      <c r="M109" s="285" t="s">
        <v>300</v>
      </c>
      <c r="N109" s="285" t="s">
        <v>747</v>
      </c>
      <c r="O109" s="285" t="s">
        <v>301</v>
      </c>
      <c r="P109" s="285" t="s">
        <v>573</v>
      </c>
      <c r="Q109" s="285" t="s">
        <v>748</v>
      </c>
      <c r="R109" s="286">
        <v>55</v>
      </c>
      <c r="S109" s="369">
        <v>2.5</v>
      </c>
      <c r="T109" s="286">
        <v>50</v>
      </c>
      <c r="U109" s="288" t="s">
        <v>575</v>
      </c>
      <c r="V109" s="288">
        <v>2</v>
      </c>
      <c r="W109" s="288">
        <v>30</v>
      </c>
      <c r="X109" s="288" t="s">
        <v>179</v>
      </c>
      <c r="Y109" s="288">
        <v>20</v>
      </c>
      <c r="Z109" s="288" t="s">
        <v>174</v>
      </c>
      <c r="AA109" s="337" t="s">
        <v>1072</v>
      </c>
      <c r="AB109" s="285" t="s">
        <v>169</v>
      </c>
      <c r="AC109" s="285"/>
      <c r="AD109" s="285"/>
    </row>
    <row r="110" spans="1:30" s="280" customFormat="1" ht="11.25" x14ac:dyDescent="0.15">
      <c r="A110" s="280" t="s">
        <v>102</v>
      </c>
      <c r="B110" s="380">
        <v>2786715.05</v>
      </c>
      <c r="C110" s="380">
        <v>6385423.3399999999</v>
      </c>
      <c r="D110" s="380">
        <v>1876491.8</v>
      </c>
      <c r="E110" s="380">
        <v>5823918.7999999998</v>
      </c>
      <c r="F110" s="287">
        <v>40269</v>
      </c>
      <c r="G110" s="287" t="s">
        <v>169</v>
      </c>
      <c r="H110" s="285" t="s">
        <v>160</v>
      </c>
      <c r="I110" s="285" t="s">
        <v>281</v>
      </c>
      <c r="J110" s="285" t="s">
        <v>281</v>
      </c>
      <c r="K110" s="285" t="s">
        <v>280</v>
      </c>
      <c r="L110" s="285" t="s">
        <v>280</v>
      </c>
      <c r="M110" s="285" t="s">
        <v>302</v>
      </c>
      <c r="N110" s="285" t="s">
        <v>749</v>
      </c>
      <c r="O110" s="285" t="s">
        <v>303</v>
      </c>
      <c r="P110" s="285" t="s">
        <v>573</v>
      </c>
      <c r="Q110" s="285" t="s">
        <v>750</v>
      </c>
      <c r="R110" s="286">
        <v>20</v>
      </c>
      <c r="S110" s="369">
        <v>2.7</v>
      </c>
      <c r="T110" s="286">
        <v>5</v>
      </c>
      <c r="U110" s="288" t="s">
        <v>575</v>
      </c>
      <c r="V110" s="288">
        <v>2</v>
      </c>
      <c r="W110" s="288">
        <v>1040</v>
      </c>
      <c r="X110" s="288" t="s">
        <v>197</v>
      </c>
      <c r="Y110" s="288">
        <v>5</v>
      </c>
      <c r="Z110" s="288" t="s">
        <v>197</v>
      </c>
      <c r="AA110" s="280" t="s">
        <v>169</v>
      </c>
      <c r="AB110" s="285" t="s">
        <v>169</v>
      </c>
      <c r="AC110" s="285"/>
      <c r="AD110" s="285"/>
    </row>
    <row r="111" spans="1:30" s="280" customFormat="1" ht="11.25" x14ac:dyDescent="0.15">
      <c r="A111" s="280" t="s">
        <v>103</v>
      </c>
      <c r="B111" s="380">
        <v>2787244.25</v>
      </c>
      <c r="C111" s="380">
        <v>6382892.9199999999</v>
      </c>
      <c r="D111" s="380">
        <v>1877025.5</v>
      </c>
      <c r="E111" s="380">
        <v>5821387.5</v>
      </c>
      <c r="F111" s="287">
        <v>40269</v>
      </c>
      <c r="G111" s="287" t="s">
        <v>169</v>
      </c>
      <c r="H111" s="285" t="s">
        <v>160</v>
      </c>
      <c r="I111" s="285" t="s">
        <v>281</v>
      </c>
      <c r="J111" s="285" t="s">
        <v>281</v>
      </c>
      <c r="K111" s="285" t="s">
        <v>280</v>
      </c>
      <c r="L111" s="285" t="s">
        <v>280</v>
      </c>
      <c r="M111" s="285" t="s">
        <v>304</v>
      </c>
      <c r="N111" s="285" t="s">
        <v>751</v>
      </c>
      <c r="O111" s="285" t="s">
        <v>305</v>
      </c>
      <c r="P111" s="285" t="s">
        <v>573</v>
      </c>
      <c r="Q111" s="285" t="s">
        <v>752</v>
      </c>
      <c r="R111" s="286">
        <v>15</v>
      </c>
      <c r="S111" s="369">
        <v>2.8</v>
      </c>
      <c r="T111" s="286">
        <v>10</v>
      </c>
      <c r="U111" s="288" t="s">
        <v>575</v>
      </c>
      <c r="V111" s="288">
        <v>2</v>
      </c>
      <c r="W111" s="288">
        <v>990</v>
      </c>
      <c r="X111" s="288" t="s">
        <v>219</v>
      </c>
      <c r="Y111" s="288">
        <v>20</v>
      </c>
      <c r="Z111" s="288" t="s">
        <v>197</v>
      </c>
      <c r="AA111" s="280" t="s">
        <v>753</v>
      </c>
      <c r="AB111" s="285" t="s">
        <v>169</v>
      </c>
      <c r="AC111" s="285"/>
      <c r="AD111" s="285"/>
    </row>
    <row r="112" spans="1:30" s="280" customFormat="1" ht="11.25" x14ac:dyDescent="0.15">
      <c r="A112" s="280" t="s">
        <v>104</v>
      </c>
      <c r="B112" s="380">
        <v>2786026.53</v>
      </c>
      <c r="C112" s="380">
        <v>6380709.1500000004</v>
      </c>
      <c r="D112" s="380">
        <v>1875810.6</v>
      </c>
      <c r="E112" s="380">
        <v>5819200.2999999998</v>
      </c>
      <c r="F112" s="287">
        <v>40269</v>
      </c>
      <c r="G112" s="287" t="s">
        <v>169</v>
      </c>
      <c r="H112" s="285" t="s">
        <v>161</v>
      </c>
      <c r="I112" s="285" t="s">
        <v>281</v>
      </c>
      <c r="J112" s="285" t="s">
        <v>281</v>
      </c>
      <c r="K112" s="285" t="s">
        <v>280</v>
      </c>
      <c r="L112" s="285" t="s">
        <v>280</v>
      </c>
      <c r="M112" s="285" t="s">
        <v>306</v>
      </c>
      <c r="N112" s="285" t="s">
        <v>754</v>
      </c>
      <c r="O112" s="285" t="s">
        <v>307</v>
      </c>
      <c r="P112" s="285" t="s">
        <v>573</v>
      </c>
      <c r="Q112" s="285" t="s">
        <v>306</v>
      </c>
      <c r="R112" s="286">
        <v>5</v>
      </c>
      <c r="S112" s="369">
        <v>3</v>
      </c>
      <c r="T112" s="286">
        <v>10</v>
      </c>
      <c r="U112" s="288" t="s">
        <v>179</v>
      </c>
      <c r="V112" s="288">
        <v>29</v>
      </c>
      <c r="W112" s="288">
        <v>360</v>
      </c>
      <c r="X112" s="288" t="s">
        <v>182</v>
      </c>
      <c r="Y112" s="288">
        <v>290</v>
      </c>
      <c r="Z112" s="288" t="s">
        <v>219</v>
      </c>
      <c r="AA112" s="280" t="s">
        <v>755</v>
      </c>
      <c r="AB112" s="285" t="s">
        <v>169</v>
      </c>
      <c r="AC112" s="285"/>
      <c r="AD112" s="285"/>
    </row>
    <row r="113" spans="1:30" s="280" customFormat="1" ht="11.25" x14ac:dyDescent="0.15">
      <c r="A113" s="280" t="s">
        <v>105</v>
      </c>
      <c r="B113" s="380">
        <v>2714698.7</v>
      </c>
      <c r="C113" s="380">
        <v>6352469.0999999996</v>
      </c>
      <c r="D113" s="380">
        <v>1804490.3</v>
      </c>
      <c r="E113" s="380">
        <v>5790838.7000000002</v>
      </c>
      <c r="F113" s="287">
        <v>40299</v>
      </c>
      <c r="G113" s="287" t="s">
        <v>169</v>
      </c>
      <c r="H113" s="285" t="s">
        <v>159</v>
      </c>
      <c r="I113" s="285" t="s">
        <v>308</v>
      </c>
      <c r="J113" s="285" t="s">
        <v>308</v>
      </c>
      <c r="K113" s="285" t="s">
        <v>270</v>
      </c>
      <c r="L113" s="285" t="s">
        <v>270</v>
      </c>
      <c r="M113" s="285" t="s">
        <v>309</v>
      </c>
      <c r="N113" s="285" t="s">
        <v>756</v>
      </c>
      <c r="O113" s="285" t="s">
        <v>308</v>
      </c>
      <c r="P113" s="285" t="s">
        <v>573</v>
      </c>
      <c r="Q113" s="285" t="s">
        <v>757</v>
      </c>
      <c r="R113" s="286">
        <v>5</v>
      </c>
      <c r="S113" s="369">
        <v>3</v>
      </c>
      <c r="T113" s="286">
        <v>10</v>
      </c>
      <c r="U113" s="288" t="s">
        <v>575</v>
      </c>
      <c r="V113" s="288">
        <v>3</v>
      </c>
      <c r="W113" s="288">
        <v>10</v>
      </c>
      <c r="X113" s="288" t="s">
        <v>191</v>
      </c>
      <c r="Y113" s="288">
        <v>75</v>
      </c>
      <c r="Z113" s="288" t="s">
        <v>208</v>
      </c>
      <c r="AA113" s="280" t="s">
        <v>169</v>
      </c>
      <c r="AB113" s="285" t="s">
        <v>169</v>
      </c>
      <c r="AC113" s="285"/>
      <c r="AD113" s="285"/>
    </row>
    <row r="114" spans="1:30" s="280" customFormat="1" ht="11.25" x14ac:dyDescent="0.15">
      <c r="A114" s="280" t="s">
        <v>106</v>
      </c>
      <c r="B114" s="380">
        <v>2794856.01</v>
      </c>
      <c r="C114" s="380">
        <v>6334356.0999999996</v>
      </c>
      <c r="D114" s="380">
        <v>1884715.6</v>
      </c>
      <c r="E114" s="380">
        <v>5772827.2999999998</v>
      </c>
      <c r="F114" s="287">
        <v>40269</v>
      </c>
      <c r="G114" s="287" t="s">
        <v>169</v>
      </c>
      <c r="H114" s="285" t="s">
        <v>161</v>
      </c>
      <c r="I114" s="285" t="s">
        <v>279</v>
      </c>
      <c r="J114" s="285" t="s">
        <v>279</v>
      </c>
      <c r="K114" s="285" t="s">
        <v>280</v>
      </c>
      <c r="L114" s="285" t="s">
        <v>280</v>
      </c>
      <c r="M114" s="285" t="s">
        <v>310</v>
      </c>
      <c r="N114" s="285" t="s">
        <v>758</v>
      </c>
      <c r="O114" s="285" t="s">
        <v>311</v>
      </c>
      <c r="P114" s="285" t="s">
        <v>573</v>
      </c>
      <c r="Q114" s="285" t="s">
        <v>310</v>
      </c>
      <c r="R114" s="286">
        <v>10</v>
      </c>
      <c r="S114" s="369">
        <v>2.5</v>
      </c>
      <c r="T114" s="286">
        <v>10</v>
      </c>
      <c r="U114" s="288" t="s">
        <v>179</v>
      </c>
      <c r="V114" s="288">
        <v>5</v>
      </c>
      <c r="W114" s="288">
        <v>885</v>
      </c>
      <c r="X114" s="288" t="s">
        <v>174</v>
      </c>
      <c r="Y114" s="288">
        <v>175</v>
      </c>
      <c r="Z114" s="288" t="s">
        <v>174</v>
      </c>
      <c r="AA114" s="280" t="s">
        <v>759</v>
      </c>
      <c r="AB114" s="285" t="s">
        <v>169</v>
      </c>
      <c r="AC114" s="285"/>
      <c r="AD114" s="285"/>
    </row>
    <row r="115" spans="1:30" s="280" customFormat="1" ht="11.25" x14ac:dyDescent="0.15">
      <c r="A115" s="285" t="s">
        <v>987</v>
      </c>
      <c r="B115" s="380">
        <v>2795107</v>
      </c>
      <c r="C115" s="380">
        <v>6385751</v>
      </c>
      <c r="D115" s="380">
        <v>1884889</v>
      </c>
      <c r="E115" s="380">
        <v>5824261</v>
      </c>
      <c r="F115" s="287">
        <v>43678</v>
      </c>
      <c r="G115" s="287"/>
      <c r="H115" s="285" t="s">
        <v>159</v>
      </c>
      <c r="I115" s="285" t="s">
        <v>281</v>
      </c>
      <c r="J115" s="285" t="s">
        <v>281</v>
      </c>
      <c r="K115" s="285" t="s">
        <v>280</v>
      </c>
      <c r="L115" s="285" t="s">
        <v>280</v>
      </c>
      <c r="M115" s="285" t="s">
        <v>1068</v>
      </c>
      <c r="N115" s="285" t="s">
        <v>1069</v>
      </c>
      <c r="O115" s="285" t="s">
        <v>301</v>
      </c>
      <c r="P115" s="285" t="s">
        <v>573</v>
      </c>
      <c r="Q115" s="285" t="s">
        <v>1070</v>
      </c>
      <c r="R115" s="286">
        <v>2</v>
      </c>
      <c r="S115" s="369">
        <v>3</v>
      </c>
      <c r="T115" s="286">
        <v>15</v>
      </c>
      <c r="U115" s="288" t="s">
        <v>179</v>
      </c>
      <c r="V115" s="288">
        <v>2</v>
      </c>
      <c r="W115" s="288">
        <v>32</v>
      </c>
      <c r="X115" s="288" t="s">
        <v>197</v>
      </c>
      <c r="Y115" s="288">
        <v>440</v>
      </c>
      <c r="Z115" s="288" t="s">
        <v>219</v>
      </c>
      <c r="AA115" s="328" t="s">
        <v>1071</v>
      </c>
      <c r="AB115" s="285"/>
      <c r="AC115" s="285"/>
      <c r="AD115" s="285"/>
    </row>
    <row r="116" spans="1:30" s="280" customFormat="1" ht="11.25" x14ac:dyDescent="0.15">
      <c r="A116" s="337" t="s">
        <v>42</v>
      </c>
      <c r="B116" s="384">
        <v>2948812.5</v>
      </c>
      <c r="C116" s="384">
        <v>6268591.7000000002</v>
      </c>
      <c r="D116" s="384">
        <v>2038945.6</v>
      </c>
      <c r="E116" s="384">
        <v>5707152.2000000002</v>
      </c>
      <c r="F116" s="287">
        <v>39083</v>
      </c>
      <c r="G116" s="282">
        <v>43344</v>
      </c>
      <c r="H116" s="285" t="s">
        <v>159</v>
      </c>
      <c r="I116" s="285" t="s">
        <v>312</v>
      </c>
      <c r="J116" s="285" t="s">
        <v>312</v>
      </c>
      <c r="K116" s="285" t="s">
        <v>312</v>
      </c>
      <c r="L116" s="285" t="s">
        <v>312</v>
      </c>
      <c r="M116" s="285" t="s">
        <v>313</v>
      </c>
      <c r="N116" s="285" t="s">
        <v>760</v>
      </c>
      <c r="O116" s="285" t="s">
        <v>314</v>
      </c>
      <c r="P116" s="285" t="s">
        <v>761</v>
      </c>
      <c r="Q116" s="285" t="s">
        <v>762</v>
      </c>
      <c r="R116" s="286">
        <v>20</v>
      </c>
      <c r="S116" s="369">
        <v>3</v>
      </c>
      <c r="T116" s="286">
        <v>15</v>
      </c>
      <c r="U116" s="288" t="s">
        <v>179</v>
      </c>
      <c r="V116" s="288">
        <v>35</v>
      </c>
      <c r="W116" s="288">
        <v>10</v>
      </c>
      <c r="X116" s="288" t="s">
        <v>197</v>
      </c>
      <c r="Y116" s="288">
        <v>180</v>
      </c>
      <c r="Z116" s="288" t="s">
        <v>191</v>
      </c>
      <c r="AA116" s="337" t="s">
        <v>763</v>
      </c>
      <c r="AB116" s="285" t="s">
        <v>169</v>
      </c>
      <c r="AC116" s="285"/>
      <c r="AD116" s="285"/>
    </row>
    <row r="117" spans="1:30" s="280" customFormat="1" ht="11.25" x14ac:dyDescent="0.15">
      <c r="A117" s="338" t="s">
        <v>1048</v>
      </c>
      <c r="B117" s="380">
        <v>2948843.827</v>
      </c>
      <c r="C117" s="380">
        <v>6268583.8030000003</v>
      </c>
      <c r="D117" s="380">
        <v>2038976.9469999999</v>
      </c>
      <c r="E117" s="380">
        <v>5707144.3250000002</v>
      </c>
      <c r="F117" s="282">
        <v>43344</v>
      </c>
      <c r="G117" s="287" t="s">
        <v>169</v>
      </c>
      <c r="H117" s="285" t="s">
        <v>159</v>
      </c>
      <c r="AA117" s="338" t="s">
        <v>1047</v>
      </c>
      <c r="AB117" s="285"/>
      <c r="AC117" s="285"/>
      <c r="AD117" s="285"/>
    </row>
    <row r="118" spans="1:30" s="280" customFormat="1" ht="11.25" x14ac:dyDescent="0.15">
      <c r="A118" s="280" t="s">
        <v>43</v>
      </c>
      <c r="B118" s="380">
        <v>2841836</v>
      </c>
      <c r="C118" s="380">
        <v>6177906</v>
      </c>
      <c r="D118" s="380">
        <v>1931872</v>
      </c>
      <c r="E118" s="380">
        <v>5616277.7000000002</v>
      </c>
      <c r="F118" s="287">
        <v>39083</v>
      </c>
      <c r="G118" s="287" t="s">
        <v>169</v>
      </c>
      <c r="H118" s="285" t="s">
        <v>159</v>
      </c>
      <c r="I118" s="285" t="s">
        <v>315</v>
      </c>
      <c r="J118" s="285" t="s">
        <v>315</v>
      </c>
      <c r="K118" s="285" t="s">
        <v>318</v>
      </c>
      <c r="L118" s="285" t="s">
        <v>318</v>
      </c>
      <c r="M118" s="285" t="s">
        <v>316</v>
      </c>
      <c r="N118" s="285" t="s">
        <v>764</v>
      </c>
      <c r="O118" s="285" t="s">
        <v>317</v>
      </c>
      <c r="P118" s="285" t="s">
        <v>573</v>
      </c>
      <c r="Q118" s="285" t="s">
        <v>765</v>
      </c>
      <c r="R118" s="286">
        <v>40</v>
      </c>
      <c r="S118" s="369">
        <v>3</v>
      </c>
      <c r="T118" s="286">
        <v>30</v>
      </c>
      <c r="U118" s="288" t="s">
        <v>575</v>
      </c>
      <c r="V118" s="288">
        <v>50</v>
      </c>
      <c r="W118" s="288">
        <v>50</v>
      </c>
      <c r="X118" s="288" t="s">
        <v>174</v>
      </c>
      <c r="Y118" s="288">
        <v>25</v>
      </c>
      <c r="Z118" s="288" t="s">
        <v>182</v>
      </c>
      <c r="AA118" s="280" t="s">
        <v>766</v>
      </c>
      <c r="AB118" s="285" t="s">
        <v>169</v>
      </c>
      <c r="AC118" s="285"/>
      <c r="AD118" s="285"/>
    </row>
    <row r="119" spans="1:30" s="280" customFormat="1" ht="11.25" x14ac:dyDescent="0.15">
      <c r="A119" s="280" t="s">
        <v>44</v>
      </c>
      <c r="B119" s="380">
        <v>2845340.7</v>
      </c>
      <c r="C119" s="380">
        <v>6182615</v>
      </c>
      <c r="D119" s="380">
        <v>1935378.5</v>
      </c>
      <c r="E119" s="380">
        <v>5620992.7000000002</v>
      </c>
      <c r="F119" s="287">
        <v>39083</v>
      </c>
      <c r="G119" s="287" t="s">
        <v>169</v>
      </c>
      <c r="H119" s="285" t="s">
        <v>159</v>
      </c>
      <c r="I119" s="285" t="s">
        <v>315</v>
      </c>
      <c r="J119" s="285" t="s">
        <v>315</v>
      </c>
      <c r="K119" s="285" t="s">
        <v>318</v>
      </c>
      <c r="L119" s="285" t="s">
        <v>318</v>
      </c>
      <c r="M119" s="285" t="s">
        <v>319</v>
      </c>
      <c r="N119" s="285" t="s">
        <v>767</v>
      </c>
      <c r="O119" s="285" t="s">
        <v>320</v>
      </c>
      <c r="P119" s="285" t="s">
        <v>573</v>
      </c>
      <c r="Q119" s="285" t="s">
        <v>768</v>
      </c>
      <c r="R119" s="286">
        <v>5</v>
      </c>
      <c r="S119" s="369">
        <v>3</v>
      </c>
      <c r="T119" s="286">
        <v>3</v>
      </c>
      <c r="U119" s="288" t="s">
        <v>575</v>
      </c>
      <c r="V119" s="288">
        <v>2</v>
      </c>
      <c r="W119" s="288">
        <v>10</v>
      </c>
      <c r="X119" s="288" t="s">
        <v>179</v>
      </c>
      <c r="Y119" s="288">
        <v>85</v>
      </c>
      <c r="Z119" s="288" t="s">
        <v>185</v>
      </c>
      <c r="AA119" s="280" t="s">
        <v>169</v>
      </c>
      <c r="AB119" s="285" t="s">
        <v>169</v>
      </c>
      <c r="AC119" s="285"/>
      <c r="AD119" s="285"/>
    </row>
    <row r="120" spans="1:30" s="280" customFormat="1" ht="11.25" x14ac:dyDescent="0.15">
      <c r="A120" s="280" t="s">
        <v>45</v>
      </c>
      <c r="B120" s="380">
        <v>2837497.5</v>
      </c>
      <c r="C120" s="380">
        <v>6169006.4000000004</v>
      </c>
      <c r="D120" s="380">
        <v>1927532.3</v>
      </c>
      <c r="E120" s="380">
        <v>5607368.2000000002</v>
      </c>
      <c r="F120" s="287">
        <v>39083</v>
      </c>
      <c r="G120" s="287" t="s">
        <v>169</v>
      </c>
      <c r="H120" s="285" t="s">
        <v>159</v>
      </c>
      <c r="I120" s="285" t="s">
        <v>321</v>
      </c>
      <c r="J120" s="285" t="s">
        <v>321</v>
      </c>
      <c r="K120" s="285" t="s">
        <v>318</v>
      </c>
      <c r="L120" s="285" t="s">
        <v>318</v>
      </c>
      <c r="M120" s="285" t="s">
        <v>322</v>
      </c>
      <c r="N120" s="285" t="s">
        <v>769</v>
      </c>
      <c r="O120" s="285" t="s">
        <v>323</v>
      </c>
      <c r="P120" s="285" t="s">
        <v>573</v>
      </c>
      <c r="Q120" s="285" t="s">
        <v>770</v>
      </c>
      <c r="R120" s="286">
        <v>170</v>
      </c>
      <c r="S120" s="369">
        <v>3</v>
      </c>
      <c r="T120" s="286">
        <v>40</v>
      </c>
      <c r="U120" s="288" t="s">
        <v>575</v>
      </c>
      <c r="V120" s="288" t="s">
        <v>324</v>
      </c>
      <c r="W120" s="288">
        <v>20</v>
      </c>
      <c r="X120" s="288" t="s">
        <v>185</v>
      </c>
      <c r="Y120" s="288">
        <v>10</v>
      </c>
      <c r="Z120" s="288" t="s">
        <v>191</v>
      </c>
      <c r="AA120" s="280" t="s">
        <v>771</v>
      </c>
      <c r="AB120" s="285" t="s">
        <v>169</v>
      </c>
      <c r="AC120" s="285"/>
      <c r="AD120" s="285"/>
    </row>
    <row r="121" spans="1:30" s="280" customFormat="1" ht="11.25" x14ac:dyDescent="0.15">
      <c r="A121" s="280" t="s">
        <v>107</v>
      </c>
      <c r="B121" s="380">
        <v>2841228.6</v>
      </c>
      <c r="C121" s="380">
        <v>6167067.5999999996</v>
      </c>
      <c r="D121" s="380">
        <v>1931267.4</v>
      </c>
      <c r="E121" s="380">
        <v>5605428.7999999998</v>
      </c>
      <c r="F121" s="287">
        <v>40269</v>
      </c>
      <c r="G121" s="287" t="s">
        <v>169</v>
      </c>
      <c r="H121" s="285" t="s">
        <v>161</v>
      </c>
      <c r="I121" s="285" t="s">
        <v>321</v>
      </c>
      <c r="J121" s="285" t="s">
        <v>321</v>
      </c>
      <c r="K121" s="285" t="s">
        <v>318</v>
      </c>
      <c r="L121" s="285" t="s">
        <v>318</v>
      </c>
      <c r="M121" s="285" t="s">
        <v>325</v>
      </c>
      <c r="N121" s="285" t="s">
        <v>772</v>
      </c>
      <c r="O121" s="285" t="s">
        <v>326</v>
      </c>
      <c r="P121" s="285" t="s">
        <v>573</v>
      </c>
      <c r="Q121" s="285" t="s">
        <v>325</v>
      </c>
      <c r="R121" s="286">
        <v>5</v>
      </c>
      <c r="S121" s="369">
        <v>2.7</v>
      </c>
      <c r="T121" s="286">
        <v>10</v>
      </c>
      <c r="U121" s="288" t="s">
        <v>179</v>
      </c>
      <c r="V121" s="288">
        <v>2</v>
      </c>
      <c r="W121" s="288">
        <v>230</v>
      </c>
      <c r="X121" s="288" t="s">
        <v>219</v>
      </c>
      <c r="Y121" s="288">
        <v>100</v>
      </c>
      <c r="Z121" s="288" t="s">
        <v>197</v>
      </c>
      <c r="AA121" s="280" t="s">
        <v>773</v>
      </c>
      <c r="AB121" s="285" t="s">
        <v>169</v>
      </c>
      <c r="AC121" s="285"/>
      <c r="AD121" s="285"/>
    </row>
    <row r="122" spans="1:30" s="280" customFormat="1" ht="11.25" x14ac:dyDescent="0.15">
      <c r="A122" s="280" t="s">
        <v>108</v>
      </c>
      <c r="B122" s="380">
        <v>2844224.4</v>
      </c>
      <c r="C122" s="380">
        <v>6180240.4000000004</v>
      </c>
      <c r="D122" s="380">
        <v>1934261.9</v>
      </c>
      <c r="E122" s="380">
        <v>5618615.2999999998</v>
      </c>
      <c r="F122" s="287">
        <v>40269</v>
      </c>
      <c r="G122" s="287" t="s">
        <v>169</v>
      </c>
      <c r="H122" s="285" t="s">
        <v>161</v>
      </c>
      <c r="I122" s="285" t="s">
        <v>315</v>
      </c>
      <c r="J122" s="285" t="s">
        <v>315</v>
      </c>
      <c r="K122" s="285" t="s">
        <v>318</v>
      </c>
      <c r="L122" s="285" t="s">
        <v>318</v>
      </c>
      <c r="M122" s="285" t="s">
        <v>327</v>
      </c>
      <c r="N122" s="285" t="s">
        <v>774</v>
      </c>
      <c r="O122" s="285" t="s">
        <v>328</v>
      </c>
      <c r="P122" s="285" t="s">
        <v>573</v>
      </c>
      <c r="Q122" s="285" t="s">
        <v>327</v>
      </c>
      <c r="R122" s="286">
        <v>5</v>
      </c>
      <c r="S122" s="369">
        <v>3</v>
      </c>
      <c r="T122" s="286">
        <v>11</v>
      </c>
      <c r="U122" s="288" t="s">
        <v>179</v>
      </c>
      <c r="V122" s="288">
        <v>50</v>
      </c>
      <c r="W122" s="288">
        <v>850</v>
      </c>
      <c r="X122" s="288" t="s">
        <v>174</v>
      </c>
      <c r="Y122" s="288">
        <v>610</v>
      </c>
      <c r="Z122" s="288" t="s">
        <v>219</v>
      </c>
      <c r="AA122" s="280" t="s">
        <v>775</v>
      </c>
      <c r="AB122" s="285" t="s">
        <v>169</v>
      </c>
      <c r="AC122" s="285"/>
      <c r="AD122" s="285"/>
    </row>
    <row r="123" spans="1:30" s="280" customFormat="1" ht="11.25" x14ac:dyDescent="0.15">
      <c r="A123" s="285" t="s">
        <v>46</v>
      </c>
      <c r="B123" s="380">
        <v>2605630.7999999998</v>
      </c>
      <c r="C123" s="380">
        <v>6238689.7999999998</v>
      </c>
      <c r="D123" s="380">
        <v>1695543.4</v>
      </c>
      <c r="E123" s="380">
        <v>5676937.7999999998</v>
      </c>
      <c r="F123" s="287">
        <v>39083</v>
      </c>
      <c r="G123" s="287">
        <v>41944</v>
      </c>
      <c r="H123" s="285" t="s">
        <v>159</v>
      </c>
      <c r="I123" s="285" t="s">
        <v>329</v>
      </c>
      <c r="J123" s="285" t="s">
        <v>329</v>
      </c>
      <c r="K123" s="285" t="s">
        <v>332</v>
      </c>
      <c r="L123" s="285" t="s">
        <v>329</v>
      </c>
      <c r="M123" s="285" t="s">
        <v>330</v>
      </c>
      <c r="N123" s="285" t="s">
        <v>776</v>
      </c>
      <c r="O123" s="285" t="s">
        <v>331</v>
      </c>
      <c r="P123" s="285" t="s">
        <v>777</v>
      </c>
      <c r="Q123" s="285" t="s">
        <v>776</v>
      </c>
      <c r="R123" s="286">
        <v>40</v>
      </c>
      <c r="S123" s="369">
        <v>3</v>
      </c>
      <c r="T123" s="286">
        <v>15</v>
      </c>
      <c r="U123" s="288" t="s">
        <v>179</v>
      </c>
      <c r="V123" s="288">
        <v>3</v>
      </c>
      <c r="W123" s="288">
        <v>10</v>
      </c>
      <c r="X123" s="288" t="s">
        <v>179</v>
      </c>
      <c r="Y123" s="288">
        <v>100</v>
      </c>
      <c r="Z123" s="288" t="s">
        <v>191</v>
      </c>
      <c r="AA123" s="337" t="s">
        <v>1050</v>
      </c>
      <c r="AB123" s="285" t="s">
        <v>169</v>
      </c>
      <c r="AC123" s="285"/>
      <c r="AD123" s="285"/>
    </row>
    <row r="124" spans="1:30" s="280" customFormat="1" ht="11.25" x14ac:dyDescent="0.15">
      <c r="A124" s="285" t="s">
        <v>47</v>
      </c>
      <c r="B124" s="380">
        <v>2683714</v>
      </c>
      <c r="C124" s="380">
        <v>6139847</v>
      </c>
      <c r="D124" s="380">
        <v>1773680.9750000001</v>
      </c>
      <c r="E124" s="380">
        <v>5578141.9110000003</v>
      </c>
      <c r="F124" s="287">
        <v>39083</v>
      </c>
      <c r="G124" s="287">
        <v>40118</v>
      </c>
      <c r="H124" s="285" t="s">
        <v>159</v>
      </c>
      <c r="I124" s="285" t="s">
        <v>778</v>
      </c>
      <c r="J124" s="285" t="s">
        <v>778</v>
      </c>
      <c r="K124" s="285" t="s">
        <v>779</v>
      </c>
      <c r="L124" s="285" t="s">
        <v>779</v>
      </c>
      <c r="M124" s="285" t="s">
        <v>333</v>
      </c>
      <c r="N124" s="285" t="s">
        <v>780</v>
      </c>
      <c r="O124" s="285" t="s">
        <v>778</v>
      </c>
      <c r="P124" s="285" t="s">
        <v>573</v>
      </c>
      <c r="Q124" s="285" t="s">
        <v>781</v>
      </c>
      <c r="R124" s="286">
        <v>20</v>
      </c>
      <c r="S124" s="369">
        <v>3</v>
      </c>
      <c r="T124" s="286">
        <v>10</v>
      </c>
      <c r="U124" s="288" t="s">
        <v>179</v>
      </c>
      <c r="V124" s="288">
        <v>3</v>
      </c>
      <c r="W124" s="288">
        <v>10</v>
      </c>
      <c r="X124" s="288" t="s">
        <v>208</v>
      </c>
      <c r="Y124" s="288">
        <v>70</v>
      </c>
      <c r="Z124" s="288" t="s">
        <v>191</v>
      </c>
      <c r="AA124" s="337" t="s">
        <v>1051</v>
      </c>
      <c r="AB124" s="285" t="s">
        <v>169</v>
      </c>
      <c r="AC124" s="285"/>
      <c r="AD124" s="285"/>
    </row>
    <row r="125" spans="1:30" s="280" customFormat="1" ht="11.25" x14ac:dyDescent="0.15">
      <c r="A125" s="285" t="s">
        <v>48</v>
      </c>
      <c r="B125" s="380">
        <v>2731351.77</v>
      </c>
      <c r="C125" s="380">
        <v>6091837.3099999996</v>
      </c>
      <c r="D125" s="380">
        <v>1821339.9</v>
      </c>
      <c r="E125" s="380">
        <v>5530132.9000000004</v>
      </c>
      <c r="F125" s="287">
        <v>39083</v>
      </c>
      <c r="G125" s="287" t="s">
        <v>169</v>
      </c>
      <c r="H125" s="285" t="s">
        <v>159</v>
      </c>
      <c r="I125" s="285" t="s">
        <v>334</v>
      </c>
      <c r="J125" s="285" t="s">
        <v>334</v>
      </c>
      <c r="K125" s="285" t="s">
        <v>779</v>
      </c>
      <c r="L125" s="285" t="s">
        <v>779</v>
      </c>
      <c r="M125" s="285" t="s">
        <v>335</v>
      </c>
      <c r="N125" s="285" t="s">
        <v>782</v>
      </c>
      <c r="O125" s="285" t="s">
        <v>336</v>
      </c>
      <c r="P125" s="285" t="s">
        <v>783</v>
      </c>
      <c r="Q125" s="285" t="s">
        <v>784</v>
      </c>
      <c r="R125" s="286">
        <v>70</v>
      </c>
      <c r="S125" s="369">
        <v>3</v>
      </c>
      <c r="T125" s="286">
        <v>10</v>
      </c>
      <c r="U125" s="288" t="s">
        <v>575</v>
      </c>
      <c r="V125" s="288">
        <v>3</v>
      </c>
      <c r="W125" s="288">
        <v>15</v>
      </c>
      <c r="X125" s="288" t="s">
        <v>185</v>
      </c>
      <c r="Y125" s="288">
        <v>10</v>
      </c>
      <c r="Z125" s="288" t="s">
        <v>179</v>
      </c>
      <c r="AA125" s="280" t="s">
        <v>785</v>
      </c>
      <c r="AB125" s="285" t="s">
        <v>169</v>
      </c>
      <c r="AC125" s="285"/>
      <c r="AD125" s="285"/>
    </row>
    <row r="126" spans="1:30" s="280" customFormat="1" ht="11.25" x14ac:dyDescent="0.15">
      <c r="A126" s="285" t="s">
        <v>109</v>
      </c>
      <c r="B126" s="380">
        <v>2728876.5</v>
      </c>
      <c r="C126" s="380">
        <v>6089598.5</v>
      </c>
      <c r="D126" s="380">
        <v>1818864.1</v>
      </c>
      <c r="E126" s="380">
        <v>5527893.2000000002</v>
      </c>
      <c r="F126" s="287">
        <v>40269</v>
      </c>
      <c r="G126" s="287" t="s">
        <v>169</v>
      </c>
      <c r="H126" s="285" t="s">
        <v>159</v>
      </c>
      <c r="I126" s="285" t="s">
        <v>334</v>
      </c>
      <c r="J126" s="285" t="s">
        <v>334</v>
      </c>
      <c r="K126" s="285" t="s">
        <v>779</v>
      </c>
      <c r="L126" s="285" t="s">
        <v>779</v>
      </c>
      <c r="M126" s="285" t="s">
        <v>337</v>
      </c>
      <c r="N126" s="285" t="s">
        <v>786</v>
      </c>
      <c r="O126" s="285" t="s">
        <v>338</v>
      </c>
      <c r="P126" s="285" t="s">
        <v>573</v>
      </c>
      <c r="Q126" s="285" t="s">
        <v>787</v>
      </c>
      <c r="R126" s="286">
        <v>40</v>
      </c>
      <c r="S126" s="369">
        <v>2.5</v>
      </c>
      <c r="T126" s="286">
        <v>25</v>
      </c>
      <c r="U126" s="288" t="s">
        <v>179</v>
      </c>
      <c r="V126" s="288">
        <v>56</v>
      </c>
      <c r="W126" s="288">
        <v>10</v>
      </c>
      <c r="X126" s="288" t="s">
        <v>182</v>
      </c>
      <c r="Y126" s="288">
        <v>40</v>
      </c>
      <c r="Z126" s="288" t="s">
        <v>185</v>
      </c>
      <c r="AA126" s="280" t="s">
        <v>169</v>
      </c>
      <c r="AB126" s="285" t="s">
        <v>169</v>
      </c>
      <c r="AC126" s="285"/>
      <c r="AD126" s="285"/>
    </row>
    <row r="127" spans="1:30" s="280" customFormat="1" ht="11.25" x14ac:dyDescent="0.15">
      <c r="A127" s="285" t="s">
        <v>110</v>
      </c>
      <c r="B127" s="380">
        <v>2733237.6</v>
      </c>
      <c r="C127" s="380">
        <v>6091974.5999999996</v>
      </c>
      <c r="D127" s="380">
        <v>1823226.2</v>
      </c>
      <c r="E127" s="380">
        <v>5530270.4000000004</v>
      </c>
      <c r="F127" s="287">
        <v>40269</v>
      </c>
      <c r="G127" s="287" t="s">
        <v>169</v>
      </c>
      <c r="H127" s="285" t="s">
        <v>159</v>
      </c>
      <c r="I127" s="285" t="s">
        <v>334</v>
      </c>
      <c r="J127" s="285" t="s">
        <v>334</v>
      </c>
      <c r="K127" s="285" t="s">
        <v>779</v>
      </c>
      <c r="L127" s="285" t="s">
        <v>779</v>
      </c>
      <c r="M127" s="285" t="s">
        <v>339</v>
      </c>
      <c r="N127" s="285" t="s">
        <v>788</v>
      </c>
      <c r="O127" s="285" t="s">
        <v>340</v>
      </c>
      <c r="P127" s="285" t="s">
        <v>573</v>
      </c>
      <c r="Q127" s="285" t="s">
        <v>789</v>
      </c>
      <c r="R127" s="286">
        <v>65</v>
      </c>
      <c r="S127" s="369">
        <v>2.5</v>
      </c>
      <c r="T127" s="286">
        <v>20</v>
      </c>
      <c r="U127" s="288" t="s">
        <v>575</v>
      </c>
      <c r="V127" s="288">
        <v>3</v>
      </c>
      <c r="W127" s="288">
        <v>15</v>
      </c>
      <c r="X127" s="288" t="s">
        <v>197</v>
      </c>
      <c r="Y127" s="288">
        <v>10</v>
      </c>
      <c r="Z127" s="288" t="s">
        <v>191</v>
      </c>
      <c r="AA127" s="280" t="s">
        <v>169</v>
      </c>
      <c r="AB127" s="285" t="s">
        <v>169</v>
      </c>
      <c r="AC127" s="285"/>
      <c r="AD127" s="285"/>
    </row>
    <row r="128" spans="1:30" s="280" customFormat="1" ht="11.25" x14ac:dyDescent="0.15">
      <c r="A128" s="285" t="s">
        <v>111</v>
      </c>
      <c r="B128" s="380">
        <v>2731567.2</v>
      </c>
      <c r="C128" s="380">
        <v>6090594.5</v>
      </c>
      <c r="D128" s="380">
        <v>1821555.5</v>
      </c>
      <c r="E128" s="380">
        <v>5528889.7999999998</v>
      </c>
      <c r="F128" s="287">
        <v>40269</v>
      </c>
      <c r="G128" s="287" t="s">
        <v>169</v>
      </c>
      <c r="H128" s="285" t="s">
        <v>160</v>
      </c>
      <c r="I128" s="285" t="s">
        <v>334</v>
      </c>
      <c r="J128" s="285" t="s">
        <v>334</v>
      </c>
      <c r="K128" s="285" t="s">
        <v>779</v>
      </c>
      <c r="L128" s="285" t="s">
        <v>779</v>
      </c>
      <c r="M128" s="285" t="s">
        <v>341</v>
      </c>
      <c r="N128" s="285" t="s">
        <v>790</v>
      </c>
      <c r="O128" s="285" t="s">
        <v>342</v>
      </c>
      <c r="P128" s="285" t="s">
        <v>573</v>
      </c>
      <c r="Q128" s="285" t="s">
        <v>791</v>
      </c>
      <c r="R128" s="286">
        <v>15</v>
      </c>
      <c r="S128" s="369">
        <v>2.5</v>
      </c>
      <c r="T128" s="286">
        <v>3</v>
      </c>
      <c r="U128" s="288" t="s">
        <v>575</v>
      </c>
      <c r="V128" s="288">
        <v>3</v>
      </c>
      <c r="W128" s="288">
        <v>930</v>
      </c>
      <c r="X128" s="288" t="s">
        <v>219</v>
      </c>
      <c r="Y128" s="288">
        <v>1</v>
      </c>
      <c r="Z128" s="288" t="s">
        <v>219</v>
      </c>
      <c r="AA128" s="280" t="s">
        <v>792</v>
      </c>
      <c r="AB128" s="285" t="s">
        <v>169</v>
      </c>
      <c r="AC128" s="285"/>
      <c r="AD128" s="285"/>
    </row>
    <row r="129" spans="1:30" s="280" customFormat="1" ht="11.25" x14ac:dyDescent="0.15">
      <c r="A129" s="285" t="s">
        <v>112</v>
      </c>
      <c r="B129" s="380">
        <v>2732124.7</v>
      </c>
      <c r="C129" s="380">
        <v>6093088.9000000004</v>
      </c>
      <c r="D129" s="380">
        <v>1822112.9</v>
      </c>
      <c r="E129" s="380">
        <v>5531385</v>
      </c>
      <c r="F129" s="287">
        <v>40269</v>
      </c>
      <c r="G129" s="287" t="s">
        <v>169</v>
      </c>
      <c r="H129" s="285" t="s">
        <v>161</v>
      </c>
      <c r="I129" s="285" t="s">
        <v>334</v>
      </c>
      <c r="J129" s="285" t="s">
        <v>334</v>
      </c>
      <c r="K129" s="285" t="s">
        <v>779</v>
      </c>
      <c r="L129" s="285" t="s">
        <v>779</v>
      </c>
      <c r="M129" s="285" t="s">
        <v>343</v>
      </c>
      <c r="N129" s="285" t="s">
        <v>793</v>
      </c>
      <c r="O129" s="285" t="s">
        <v>344</v>
      </c>
      <c r="P129" s="285" t="s">
        <v>573</v>
      </c>
      <c r="Q129" s="285" t="s">
        <v>343</v>
      </c>
      <c r="R129" s="286">
        <v>5</v>
      </c>
      <c r="S129" s="369">
        <v>2.5</v>
      </c>
      <c r="T129" s="286">
        <v>5</v>
      </c>
      <c r="U129" s="288" t="s">
        <v>179</v>
      </c>
      <c r="V129" s="288">
        <v>3</v>
      </c>
      <c r="W129" s="288">
        <v>1270</v>
      </c>
      <c r="X129" s="288" t="s">
        <v>197</v>
      </c>
      <c r="Y129" s="288">
        <v>115</v>
      </c>
      <c r="Z129" s="288" t="s">
        <v>179</v>
      </c>
      <c r="AA129" s="280" t="s">
        <v>794</v>
      </c>
      <c r="AB129" s="285" t="s">
        <v>169</v>
      </c>
      <c r="AC129" s="285"/>
      <c r="AD129" s="285"/>
    </row>
    <row r="130" spans="1:30" s="280" customFormat="1" ht="11.25" x14ac:dyDescent="0.15">
      <c r="A130" s="280" t="s">
        <v>113</v>
      </c>
      <c r="B130" s="380">
        <v>2601999.1</v>
      </c>
      <c r="C130" s="380">
        <v>6236211.2999999998</v>
      </c>
      <c r="D130" s="380">
        <v>1691914.4</v>
      </c>
      <c r="E130" s="380">
        <v>5674457</v>
      </c>
      <c r="F130" s="287">
        <v>40269</v>
      </c>
      <c r="G130" s="287" t="s">
        <v>169</v>
      </c>
      <c r="H130" s="285" t="s">
        <v>161</v>
      </c>
      <c r="I130" s="285" t="s">
        <v>329</v>
      </c>
      <c r="J130" s="285" t="s">
        <v>329</v>
      </c>
      <c r="K130" s="285" t="s">
        <v>332</v>
      </c>
      <c r="L130" s="285" t="s">
        <v>332</v>
      </c>
      <c r="M130" s="285" t="s">
        <v>345</v>
      </c>
      <c r="N130" s="285" t="s">
        <v>795</v>
      </c>
      <c r="O130" s="285" t="s">
        <v>796</v>
      </c>
      <c r="P130" s="285" t="s">
        <v>573</v>
      </c>
      <c r="Q130" s="285" t="s">
        <v>797</v>
      </c>
      <c r="R130" s="286">
        <v>5</v>
      </c>
      <c r="S130" s="369">
        <v>2.5</v>
      </c>
      <c r="T130" s="286">
        <v>20</v>
      </c>
      <c r="U130" s="288" t="s">
        <v>179</v>
      </c>
      <c r="V130" s="288">
        <v>45</v>
      </c>
      <c r="W130" s="288">
        <v>1335</v>
      </c>
      <c r="X130" s="288" t="s">
        <v>179</v>
      </c>
      <c r="Y130" s="288">
        <v>250</v>
      </c>
      <c r="Z130" s="288" t="s">
        <v>219</v>
      </c>
      <c r="AA130" s="280" t="s">
        <v>798</v>
      </c>
      <c r="AB130" s="285" t="s">
        <v>169</v>
      </c>
      <c r="AC130" s="285"/>
      <c r="AD130" s="285"/>
    </row>
    <row r="131" spans="1:30" s="280" customFormat="1" ht="11.25" x14ac:dyDescent="0.15">
      <c r="A131" s="285" t="s">
        <v>114</v>
      </c>
      <c r="B131" s="380">
        <v>2683791.4</v>
      </c>
      <c r="C131" s="380">
        <v>6139918.9000000004</v>
      </c>
      <c r="D131" s="380">
        <v>1773758.3</v>
      </c>
      <c r="E131" s="380">
        <v>5578213.7999999998</v>
      </c>
      <c r="F131" s="287">
        <v>40118</v>
      </c>
      <c r="G131" s="287" t="s">
        <v>169</v>
      </c>
      <c r="H131" s="285" t="s">
        <v>159</v>
      </c>
      <c r="I131" s="285" t="s">
        <v>778</v>
      </c>
      <c r="J131" s="285" t="s">
        <v>778</v>
      </c>
      <c r="K131" s="285" t="s">
        <v>779</v>
      </c>
      <c r="L131" s="285" t="s">
        <v>779</v>
      </c>
      <c r="M131" s="285" t="s">
        <v>333</v>
      </c>
      <c r="N131" s="285" t="s">
        <v>799</v>
      </c>
      <c r="O131" s="285" t="s">
        <v>778</v>
      </c>
      <c r="P131" s="285" t="s">
        <v>573</v>
      </c>
      <c r="Q131" s="285" t="s">
        <v>781</v>
      </c>
      <c r="R131" s="286">
        <v>5</v>
      </c>
      <c r="S131" s="369">
        <v>3</v>
      </c>
      <c r="T131" s="286">
        <v>20</v>
      </c>
      <c r="U131" s="288" t="s">
        <v>575</v>
      </c>
      <c r="V131" s="288">
        <v>3</v>
      </c>
      <c r="W131" s="288">
        <v>10</v>
      </c>
      <c r="X131" s="288" t="s">
        <v>219</v>
      </c>
      <c r="Y131" s="288">
        <v>40</v>
      </c>
      <c r="Z131" s="288" t="s">
        <v>197</v>
      </c>
      <c r="AA131" s="328" t="s">
        <v>1052</v>
      </c>
      <c r="AB131" s="285" t="s">
        <v>169</v>
      </c>
      <c r="AC131" s="285"/>
      <c r="AD131" s="285"/>
    </row>
    <row r="132" spans="1:30" s="280" customFormat="1" ht="11.25" x14ac:dyDescent="0.15">
      <c r="A132" s="285" t="s">
        <v>486</v>
      </c>
      <c r="B132" s="380">
        <v>2605340</v>
      </c>
      <c r="C132" s="380">
        <v>6238471.5999999996</v>
      </c>
      <c r="D132" s="380">
        <v>1695252.8729999999</v>
      </c>
      <c r="E132" s="380">
        <v>5676719.4419999998</v>
      </c>
      <c r="F132" s="287">
        <v>41852</v>
      </c>
      <c r="G132" s="287" t="s">
        <v>169</v>
      </c>
      <c r="H132" s="285" t="s">
        <v>159</v>
      </c>
      <c r="I132" s="285" t="s">
        <v>329</v>
      </c>
      <c r="J132" s="285" t="s">
        <v>329</v>
      </c>
      <c r="K132" s="285" t="s">
        <v>332</v>
      </c>
      <c r="L132" s="285" t="s">
        <v>329</v>
      </c>
      <c r="M132" s="285" t="s">
        <v>330</v>
      </c>
      <c r="N132" s="285" t="s">
        <v>800</v>
      </c>
      <c r="O132" s="285" t="s">
        <v>492</v>
      </c>
      <c r="P132" s="285" t="s">
        <v>777</v>
      </c>
      <c r="Q132" s="285" t="s">
        <v>776</v>
      </c>
      <c r="R132" s="286">
        <v>120</v>
      </c>
      <c r="S132" s="369">
        <v>2</v>
      </c>
      <c r="T132" s="286">
        <v>10</v>
      </c>
      <c r="U132" s="288" t="s">
        <v>179</v>
      </c>
      <c r="V132" s="288">
        <v>3</v>
      </c>
      <c r="W132" s="288">
        <v>45</v>
      </c>
      <c r="X132" s="288" t="s">
        <v>179</v>
      </c>
      <c r="Y132" s="288">
        <v>390</v>
      </c>
      <c r="Z132" s="288" t="s">
        <v>219</v>
      </c>
      <c r="AA132" s="328" t="s">
        <v>1049</v>
      </c>
      <c r="AB132" s="285" t="s">
        <v>169</v>
      </c>
      <c r="AC132" s="285"/>
      <c r="AD132" s="285"/>
    </row>
    <row r="133" spans="1:30" s="280" customFormat="1" ht="11.25" x14ac:dyDescent="0.15">
      <c r="A133" s="285" t="s">
        <v>49</v>
      </c>
      <c r="B133" s="380">
        <v>2675619</v>
      </c>
      <c r="C133" s="380">
        <v>6003444</v>
      </c>
      <c r="D133" s="380">
        <v>1765598.1</v>
      </c>
      <c r="E133" s="380">
        <v>5441729.2999999998</v>
      </c>
      <c r="F133" s="287">
        <v>39083</v>
      </c>
      <c r="G133" s="287">
        <v>42401</v>
      </c>
      <c r="H133" s="285" t="s">
        <v>159</v>
      </c>
      <c r="I133" s="285" t="s">
        <v>346</v>
      </c>
      <c r="J133" s="285" t="s">
        <v>346</v>
      </c>
      <c r="K133" s="285" t="s">
        <v>349</v>
      </c>
      <c r="L133" s="285" t="s">
        <v>349</v>
      </c>
      <c r="M133" s="285" t="s">
        <v>347</v>
      </c>
      <c r="N133" s="285" t="s">
        <v>801</v>
      </c>
      <c r="O133" s="285" t="s">
        <v>348</v>
      </c>
      <c r="P133" s="285" t="s">
        <v>573</v>
      </c>
      <c r="Q133" s="285" t="s">
        <v>802</v>
      </c>
      <c r="R133" s="286">
        <v>180</v>
      </c>
      <c r="S133" s="369">
        <v>3.2</v>
      </c>
      <c r="T133" s="286">
        <v>8.8000000000000007</v>
      </c>
      <c r="U133" s="288" t="s">
        <v>575</v>
      </c>
      <c r="V133" s="288">
        <v>2</v>
      </c>
      <c r="W133" s="288">
        <v>15</v>
      </c>
      <c r="X133" s="288" t="s">
        <v>219</v>
      </c>
      <c r="Y133" s="288">
        <v>485</v>
      </c>
      <c r="Z133" s="288" t="s">
        <v>197</v>
      </c>
      <c r="AA133" s="337" t="s">
        <v>1053</v>
      </c>
      <c r="AB133" s="285" t="s">
        <v>169</v>
      </c>
      <c r="AC133" s="285"/>
      <c r="AD133" s="285"/>
    </row>
    <row r="134" spans="1:30" s="280" customFormat="1" ht="11.25" x14ac:dyDescent="0.15">
      <c r="A134" s="285" t="s">
        <v>50</v>
      </c>
      <c r="B134" s="380">
        <v>2667227</v>
      </c>
      <c r="C134" s="380">
        <v>5996900</v>
      </c>
      <c r="D134" s="380">
        <v>1757205.6</v>
      </c>
      <c r="E134" s="380">
        <v>5435186.5</v>
      </c>
      <c r="F134" s="287">
        <v>39203</v>
      </c>
      <c r="G134" s="287" t="s">
        <v>169</v>
      </c>
      <c r="H134" s="285" t="s">
        <v>159</v>
      </c>
      <c r="I134" s="285" t="s">
        <v>346</v>
      </c>
      <c r="J134" s="285" t="s">
        <v>346</v>
      </c>
      <c r="K134" s="285" t="s">
        <v>349</v>
      </c>
      <c r="L134" s="285" t="s">
        <v>349</v>
      </c>
      <c r="M134" s="285" t="s">
        <v>350</v>
      </c>
      <c r="N134" s="285" t="s">
        <v>803</v>
      </c>
      <c r="O134" s="285" t="s">
        <v>351</v>
      </c>
      <c r="P134" s="285" t="s">
        <v>573</v>
      </c>
      <c r="Q134" s="285" t="s">
        <v>804</v>
      </c>
      <c r="R134" s="286">
        <v>10</v>
      </c>
      <c r="S134" s="369">
        <v>3.3</v>
      </c>
      <c r="T134" s="286">
        <v>8</v>
      </c>
      <c r="U134" s="288" t="s">
        <v>179</v>
      </c>
      <c r="V134" s="288">
        <v>2</v>
      </c>
      <c r="W134" s="288">
        <v>40</v>
      </c>
      <c r="X134" s="288" t="s">
        <v>179</v>
      </c>
      <c r="Y134" s="288">
        <v>150</v>
      </c>
      <c r="Z134" s="288" t="s">
        <v>197</v>
      </c>
      <c r="AA134" s="280" t="s">
        <v>805</v>
      </c>
      <c r="AB134" s="285" t="s">
        <v>169</v>
      </c>
      <c r="AC134" s="285"/>
      <c r="AD134" s="285"/>
    </row>
    <row r="135" spans="1:30" s="280" customFormat="1" ht="11.25" x14ac:dyDescent="0.15">
      <c r="A135" s="285" t="s">
        <v>51</v>
      </c>
      <c r="B135" s="380">
        <v>2678624</v>
      </c>
      <c r="C135" s="380">
        <v>6029713</v>
      </c>
      <c r="D135" s="380">
        <v>1768605.486</v>
      </c>
      <c r="E135" s="380">
        <v>5467998.108</v>
      </c>
      <c r="F135" s="287">
        <v>39083</v>
      </c>
      <c r="G135" s="287">
        <v>39814</v>
      </c>
      <c r="H135" s="285" t="s">
        <v>159</v>
      </c>
      <c r="I135" s="285" t="s">
        <v>806</v>
      </c>
      <c r="J135" s="285" t="s">
        <v>807</v>
      </c>
      <c r="K135" s="285" t="s">
        <v>349</v>
      </c>
      <c r="L135" s="285" t="s">
        <v>349</v>
      </c>
      <c r="M135" s="285" t="s">
        <v>352</v>
      </c>
      <c r="N135" s="285" t="s">
        <v>808</v>
      </c>
      <c r="O135" s="285" t="s">
        <v>353</v>
      </c>
      <c r="P135" s="285" t="s">
        <v>573</v>
      </c>
      <c r="Q135" s="285" t="s">
        <v>809</v>
      </c>
      <c r="R135" s="286">
        <v>5</v>
      </c>
      <c r="S135" s="369">
        <v>3.3</v>
      </c>
      <c r="T135" s="286">
        <v>1</v>
      </c>
      <c r="U135" s="288" t="s">
        <v>179</v>
      </c>
      <c r="V135" s="288">
        <v>1</v>
      </c>
      <c r="W135" s="288">
        <v>10</v>
      </c>
      <c r="X135" s="288" t="s">
        <v>208</v>
      </c>
      <c r="Y135" s="288">
        <v>610</v>
      </c>
      <c r="Z135" s="288" t="s">
        <v>197</v>
      </c>
      <c r="AA135" s="337" t="s">
        <v>1055</v>
      </c>
      <c r="AB135" s="285" t="s">
        <v>169</v>
      </c>
      <c r="AC135" s="285"/>
      <c r="AD135" s="285"/>
    </row>
    <row r="136" spans="1:30" s="280" customFormat="1" ht="11.25" x14ac:dyDescent="0.15">
      <c r="A136" s="280" t="s">
        <v>52</v>
      </c>
      <c r="B136" s="380">
        <v>2664950</v>
      </c>
      <c r="C136" s="380">
        <v>6005956</v>
      </c>
      <c r="D136" s="380">
        <v>1754929.8</v>
      </c>
      <c r="E136" s="380">
        <v>5444242.2999999998</v>
      </c>
      <c r="F136" s="287">
        <v>39142</v>
      </c>
      <c r="G136" s="287" t="s">
        <v>169</v>
      </c>
      <c r="H136" s="285" t="s">
        <v>159</v>
      </c>
      <c r="I136" s="285" t="s">
        <v>354</v>
      </c>
      <c r="J136" s="285" t="s">
        <v>354</v>
      </c>
      <c r="K136" s="285" t="s">
        <v>349</v>
      </c>
      <c r="L136" s="285" t="s">
        <v>349</v>
      </c>
      <c r="M136" s="285" t="s">
        <v>355</v>
      </c>
      <c r="N136" s="285" t="s">
        <v>810</v>
      </c>
      <c r="O136" s="285" t="s">
        <v>354</v>
      </c>
      <c r="P136" s="285" t="s">
        <v>811</v>
      </c>
      <c r="Q136" s="285" t="s">
        <v>812</v>
      </c>
      <c r="R136" s="286">
        <v>45</v>
      </c>
      <c r="S136" s="369">
        <v>3.2</v>
      </c>
      <c r="T136" s="286">
        <v>15</v>
      </c>
      <c r="U136" s="288" t="s">
        <v>575</v>
      </c>
      <c r="V136" s="288">
        <v>1</v>
      </c>
      <c r="W136" s="288">
        <v>75</v>
      </c>
      <c r="X136" s="288" t="s">
        <v>174</v>
      </c>
      <c r="Y136" s="288">
        <v>45</v>
      </c>
      <c r="Z136" s="288" t="s">
        <v>179</v>
      </c>
      <c r="AA136" s="280" t="s">
        <v>813</v>
      </c>
      <c r="AB136" s="285" t="s">
        <v>169</v>
      </c>
      <c r="AC136" s="285"/>
      <c r="AD136" s="285"/>
    </row>
    <row r="137" spans="1:30" s="280" customFormat="1" ht="11.25" x14ac:dyDescent="0.15">
      <c r="A137" s="280" t="s">
        <v>53</v>
      </c>
      <c r="B137" s="380">
        <v>2658523</v>
      </c>
      <c r="C137" s="380">
        <v>5990324</v>
      </c>
      <c r="D137" s="380">
        <v>1748501.3</v>
      </c>
      <c r="E137" s="380">
        <v>5428611.7999999998</v>
      </c>
      <c r="F137" s="287">
        <v>39142</v>
      </c>
      <c r="G137" s="287" t="s">
        <v>169</v>
      </c>
      <c r="H137" s="285" t="s">
        <v>159</v>
      </c>
      <c r="I137" s="285" t="s">
        <v>349</v>
      </c>
      <c r="J137" s="285" t="s">
        <v>349</v>
      </c>
      <c r="K137" s="285" t="s">
        <v>349</v>
      </c>
      <c r="L137" s="285" t="s">
        <v>349</v>
      </c>
      <c r="M137" s="285" t="s">
        <v>356</v>
      </c>
      <c r="N137" s="285" t="s">
        <v>814</v>
      </c>
      <c r="O137" s="285" t="s">
        <v>357</v>
      </c>
      <c r="P137" s="285" t="s">
        <v>573</v>
      </c>
      <c r="Q137" s="285" t="s">
        <v>815</v>
      </c>
      <c r="R137" s="286">
        <v>15</v>
      </c>
      <c r="S137" s="369">
        <v>1</v>
      </c>
      <c r="T137" s="286">
        <v>5</v>
      </c>
      <c r="U137" s="288" t="s">
        <v>179</v>
      </c>
      <c r="V137" s="288">
        <v>1</v>
      </c>
      <c r="W137" s="288">
        <v>20</v>
      </c>
      <c r="X137" s="288" t="s">
        <v>185</v>
      </c>
      <c r="Y137" s="288">
        <v>175</v>
      </c>
      <c r="Z137" s="288" t="s">
        <v>185</v>
      </c>
      <c r="AA137" s="280" t="s">
        <v>816</v>
      </c>
      <c r="AB137" s="285" t="s">
        <v>169</v>
      </c>
      <c r="AC137" s="285"/>
      <c r="AD137" s="285"/>
    </row>
    <row r="138" spans="1:30" s="280" customFormat="1" ht="11.25" x14ac:dyDescent="0.15">
      <c r="A138" s="280" t="s">
        <v>54</v>
      </c>
      <c r="B138" s="380">
        <v>2658939</v>
      </c>
      <c r="C138" s="380">
        <v>5988040</v>
      </c>
      <c r="D138" s="380">
        <v>1748916.9</v>
      </c>
      <c r="E138" s="380">
        <v>5426327.9000000004</v>
      </c>
      <c r="F138" s="287">
        <v>39083</v>
      </c>
      <c r="G138" s="287" t="s">
        <v>169</v>
      </c>
      <c r="H138" s="285" t="s">
        <v>159</v>
      </c>
      <c r="I138" s="285" t="s">
        <v>349</v>
      </c>
      <c r="J138" s="285" t="s">
        <v>349</v>
      </c>
      <c r="K138" s="285" t="s">
        <v>349</v>
      </c>
      <c r="L138" s="285" t="s">
        <v>349</v>
      </c>
      <c r="M138" s="285" t="s">
        <v>358</v>
      </c>
      <c r="N138" s="285" t="s">
        <v>817</v>
      </c>
      <c r="O138" s="285" t="s">
        <v>359</v>
      </c>
      <c r="P138" s="285" t="s">
        <v>573</v>
      </c>
      <c r="Q138" s="285" t="s">
        <v>818</v>
      </c>
      <c r="R138" s="286">
        <v>20</v>
      </c>
      <c r="S138" s="369">
        <v>3.1</v>
      </c>
      <c r="T138" s="286">
        <v>4.2</v>
      </c>
      <c r="U138" s="288" t="s">
        <v>575</v>
      </c>
      <c r="V138" s="288">
        <v>1</v>
      </c>
      <c r="W138" s="288">
        <v>10</v>
      </c>
      <c r="X138" s="288" t="s">
        <v>185</v>
      </c>
      <c r="Y138" s="288">
        <v>105</v>
      </c>
      <c r="Z138" s="288" t="s">
        <v>208</v>
      </c>
      <c r="AA138" s="280" t="s">
        <v>819</v>
      </c>
      <c r="AB138" s="285" t="s">
        <v>169</v>
      </c>
      <c r="AC138" s="285"/>
      <c r="AD138" s="285"/>
    </row>
    <row r="139" spans="1:30" s="280" customFormat="1" ht="11.25" x14ac:dyDescent="0.15">
      <c r="A139" s="280" t="s">
        <v>55</v>
      </c>
      <c r="B139" s="380">
        <v>2533238</v>
      </c>
      <c r="C139" s="380">
        <v>5993244</v>
      </c>
      <c r="D139" s="380">
        <v>1623243.4</v>
      </c>
      <c r="E139" s="380">
        <v>5431540.2999999998</v>
      </c>
      <c r="F139" s="287">
        <v>39083</v>
      </c>
      <c r="G139" s="287" t="s">
        <v>169</v>
      </c>
      <c r="H139" s="285" t="s">
        <v>159</v>
      </c>
      <c r="I139" s="285" t="s">
        <v>360</v>
      </c>
      <c r="J139" s="285" t="s">
        <v>360</v>
      </c>
      <c r="K139" s="285" t="s">
        <v>360</v>
      </c>
      <c r="L139" s="285" t="s">
        <v>360</v>
      </c>
      <c r="M139" s="285" t="s">
        <v>361</v>
      </c>
      <c r="N139" s="285" t="s">
        <v>820</v>
      </c>
      <c r="O139" s="285" t="s">
        <v>360</v>
      </c>
      <c r="P139" s="285" t="s">
        <v>821</v>
      </c>
      <c r="Q139" s="285" t="s">
        <v>822</v>
      </c>
      <c r="R139" s="286">
        <v>10</v>
      </c>
      <c r="S139" s="369">
        <v>3</v>
      </c>
      <c r="T139" s="286">
        <v>3</v>
      </c>
      <c r="U139" s="288" t="s">
        <v>575</v>
      </c>
      <c r="V139" s="288">
        <v>6</v>
      </c>
      <c r="W139" s="288">
        <v>15</v>
      </c>
      <c r="X139" s="288" t="s">
        <v>191</v>
      </c>
      <c r="Y139" s="288">
        <v>30</v>
      </c>
      <c r="Z139" s="288" t="s">
        <v>185</v>
      </c>
      <c r="AA139" s="280" t="s">
        <v>823</v>
      </c>
      <c r="AB139" s="285" t="s">
        <v>169</v>
      </c>
      <c r="AC139" s="285"/>
      <c r="AD139" s="285"/>
    </row>
    <row r="140" spans="1:30" s="280" customFormat="1" ht="11.25" x14ac:dyDescent="0.15">
      <c r="A140" s="280" t="s">
        <v>56</v>
      </c>
      <c r="B140" s="380">
        <v>2528631</v>
      </c>
      <c r="C140" s="380">
        <v>5988954</v>
      </c>
      <c r="D140" s="380">
        <v>1618637.7</v>
      </c>
      <c r="E140" s="380">
        <v>5427251.9000000004</v>
      </c>
      <c r="F140" s="287">
        <v>39234</v>
      </c>
      <c r="G140" s="287" t="s">
        <v>169</v>
      </c>
      <c r="H140" s="285" t="s">
        <v>159</v>
      </c>
      <c r="I140" s="285" t="s">
        <v>360</v>
      </c>
      <c r="J140" s="285" t="s">
        <v>360</v>
      </c>
      <c r="K140" s="285" t="s">
        <v>360</v>
      </c>
      <c r="L140" s="285" t="s">
        <v>360</v>
      </c>
      <c r="M140" s="285" t="s">
        <v>362</v>
      </c>
      <c r="N140" s="285" t="s">
        <v>824</v>
      </c>
      <c r="O140" s="285" t="s">
        <v>363</v>
      </c>
      <c r="P140" s="285" t="s">
        <v>825</v>
      </c>
      <c r="Q140" s="285" t="s">
        <v>826</v>
      </c>
      <c r="R140" s="286">
        <v>15</v>
      </c>
      <c r="S140" s="369">
        <v>2.4</v>
      </c>
      <c r="T140" s="286">
        <v>5</v>
      </c>
      <c r="U140" s="288" t="s">
        <v>179</v>
      </c>
      <c r="V140" s="288">
        <v>6</v>
      </c>
      <c r="W140" s="288">
        <v>15</v>
      </c>
      <c r="X140" s="288" t="s">
        <v>219</v>
      </c>
      <c r="Y140" s="288">
        <v>135</v>
      </c>
      <c r="Z140" s="288" t="s">
        <v>197</v>
      </c>
      <c r="AA140" s="280" t="s">
        <v>169</v>
      </c>
      <c r="AB140" s="285" t="s">
        <v>169</v>
      </c>
      <c r="AC140" s="285"/>
      <c r="AD140" s="285"/>
    </row>
    <row r="141" spans="1:30" s="280" customFormat="1" ht="11.25" x14ac:dyDescent="0.15">
      <c r="A141" s="280" t="s">
        <v>57</v>
      </c>
      <c r="B141" s="380">
        <v>2526180</v>
      </c>
      <c r="C141" s="380">
        <v>5985832</v>
      </c>
      <c r="D141" s="380">
        <v>1616187.3</v>
      </c>
      <c r="E141" s="380">
        <v>5424131.0999999996</v>
      </c>
      <c r="F141" s="287">
        <v>39083</v>
      </c>
      <c r="G141" s="287" t="s">
        <v>169</v>
      </c>
      <c r="H141" s="285" t="s">
        <v>159</v>
      </c>
      <c r="I141" s="285" t="s">
        <v>366</v>
      </c>
      <c r="J141" s="285" t="s">
        <v>360</v>
      </c>
      <c r="K141" s="285" t="s">
        <v>366</v>
      </c>
      <c r="L141" s="285" t="s">
        <v>366</v>
      </c>
      <c r="M141" s="285" t="s">
        <v>364</v>
      </c>
      <c r="N141" s="285" t="s">
        <v>827</v>
      </c>
      <c r="O141" s="285" t="s">
        <v>365</v>
      </c>
      <c r="P141" s="285" t="s">
        <v>828</v>
      </c>
      <c r="Q141" s="285" t="s">
        <v>829</v>
      </c>
      <c r="R141" s="286">
        <v>1</v>
      </c>
      <c r="S141" s="369">
        <v>2.4</v>
      </c>
      <c r="T141" s="286">
        <v>5</v>
      </c>
      <c r="U141" s="288" t="s">
        <v>179</v>
      </c>
      <c r="V141" s="288">
        <v>6</v>
      </c>
      <c r="W141" s="288">
        <v>60</v>
      </c>
      <c r="X141" s="288" t="s">
        <v>179</v>
      </c>
      <c r="Y141" s="288">
        <v>435</v>
      </c>
      <c r="Z141" s="288" t="s">
        <v>208</v>
      </c>
      <c r="AA141" s="280" t="s">
        <v>830</v>
      </c>
      <c r="AB141" s="285" t="s">
        <v>169</v>
      </c>
      <c r="AC141" s="285"/>
      <c r="AD141" s="285"/>
    </row>
    <row r="142" spans="1:30" s="280" customFormat="1" ht="11.25" x14ac:dyDescent="0.15">
      <c r="A142" s="280" t="s">
        <v>58</v>
      </c>
      <c r="B142" s="380">
        <v>2588840</v>
      </c>
      <c r="C142" s="380">
        <v>5966033</v>
      </c>
      <c r="D142" s="380">
        <v>1678827.7</v>
      </c>
      <c r="E142" s="380">
        <v>5404332.7000000002</v>
      </c>
      <c r="F142" s="287">
        <v>39083</v>
      </c>
      <c r="G142" s="287" t="s">
        <v>169</v>
      </c>
      <c r="H142" s="285" t="s">
        <v>159</v>
      </c>
      <c r="I142" s="285" t="s">
        <v>367</v>
      </c>
      <c r="J142" s="285" t="s">
        <v>367</v>
      </c>
      <c r="K142" s="285" t="s">
        <v>228</v>
      </c>
      <c r="L142" s="285" t="s">
        <v>228</v>
      </c>
      <c r="M142" s="285" t="s">
        <v>831</v>
      </c>
      <c r="N142" s="285" t="s">
        <v>832</v>
      </c>
      <c r="O142" s="285" t="s">
        <v>367</v>
      </c>
      <c r="P142" s="285" t="s">
        <v>833</v>
      </c>
      <c r="Q142" s="285" t="s">
        <v>834</v>
      </c>
      <c r="R142" s="286">
        <v>5</v>
      </c>
      <c r="S142" s="369">
        <v>4.2</v>
      </c>
      <c r="T142" s="286">
        <v>10</v>
      </c>
      <c r="U142" s="288" t="s">
        <v>179</v>
      </c>
      <c r="V142" s="288">
        <v>6</v>
      </c>
      <c r="W142" s="288">
        <v>10</v>
      </c>
      <c r="X142" s="288" t="s">
        <v>179</v>
      </c>
      <c r="Y142" s="288">
        <v>340</v>
      </c>
      <c r="Z142" s="288" t="s">
        <v>197</v>
      </c>
      <c r="AA142" s="280" t="s">
        <v>835</v>
      </c>
      <c r="AB142" s="285" t="s">
        <v>169</v>
      </c>
      <c r="AC142" s="285"/>
      <c r="AD142" s="285"/>
    </row>
    <row r="143" spans="1:30" s="280" customFormat="1" ht="11.25" x14ac:dyDescent="0.15">
      <c r="A143" s="285" t="s">
        <v>115</v>
      </c>
      <c r="B143" s="380">
        <v>2661775</v>
      </c>
      <c r="C143" s="380">
        <v>5996790</v>
      </c>
      <c r="D143" s="380">
        <v>1751753.9</v>
      </c>
      <c r="E143" s="380">
        <v>5435077.0999999996</v>
      </c>
      <c r="F143" s="287">
        <v>39814</v>
      </c>
      <c r="G143" s="287">
        <v>40238</v>
      </c>
      <c r="H143" s="285" t="s">
        <v>159</v>
      </c>
      <c r="I143" s="285" t="s">
        <v>349</v>
      </c>
      <c r="J143" s="285" t="s">
        <v>349</v>
      </c>
      <c r="K143" s="285" t="s">
        <v>349</v>
      </c>
      <c r="L143" s="285" t="s">
        <v>349</v>
      </c>
      <c r="M143" s="285" t="s">
        <v>368</v>
      </c>
      <c r="N143" s="285" t="s">
        <v>836</v>
      </c>
      <c r="O143" s="285" t="s">
        <v>369</v>
      </c>
      <c r="P143" s="285" t="s">
        <v>573</v>
      </c>
      <c r="Q143" s="285" t="s">
        <v>837</v>
      </c>
      <c r="R143" s="286">
        <v>5</v>
      </c>
      <c r="S143" s="369">
        <v>4</v>
      </c>
      <c r="T143" s="286">
        <v>5</v>
      </c>
      <c r="U143" s="288" t="s">
        <v>179</v>
      </c>
      <c r="V143" s="288">
        <v>1</v>
      </c>
      <c r="W143" s="288">
        <v>100</v>
      </c>
      <c r="X143" s="288" t="s">
        <v>174</v>
      </c>
      <c r="Y143" s="288">
        <v>5</v>
      </c>
      <c r="Z143" s="288" t="s">
        <v>182</v>
      </c>
      <c r="AA143" s="337" t="s">
        <v>1057</v>
      </c>
      <c r="AB143" s="285" t="s">
        <v>169</v>
      </c>
      <c r="AC143" s="285"/>
      <c r="AD143" s="285"/>
    </row>
    <row r="144" spans="1:30" s="280" customFormat="1" ht="11.25" x14ac:dyDescent="0.15">
      <c r="A144" s="285" t="s">
        <v>116</v>
      </c>
      <c r="B144" s="380">
        <v>2669902</v>
      </c>
      <c r="C144" s="380">
        <v>5998674</v>
      </c>
      <c r="D144" s="380">
        <v>1759880.7</v>
      </c>
      <c r="E144" s="380">
        <v>5436960.0999999996</v>
      </c>
      <c r="F144" s="287">
        <v>39814</v>
      </c>
      <c r="G144" s="287">
        <v>40179</v>
      </c>
      <c r="H144" s="285" t="s">
        <v>159</v>
      </c>
      <c r="I144" s="285" t="s">
        <v>346</v>
      </c>
      <c r="J144" s="285" t="s">
        <v>346</v>
      </c>
      <c r="K144" s="285" t="s">
        <v>349</v>
      </c>
      <c r="L144" s="285" t="s">
        <v>349</v>
      </c>
      <c r="M144" s="285" t="s">
        <v>370</v>
      </c>
      <c r="N144" s="285" t="s">
        <v>838</v>
      </c>
      <c r="O144" s="285" t="s">
        <v>371</v>
      </c>
      <c r="P144" s="285" t="s">
        <v>839</v>
      </c>
      <c r="Q144" s="285" t="s">
        <v>840</v>
      </c>
      <c r="R144" s="286">
        <v>4.5</v>
      </c>
      <c r="S144" s="369">
        <v>4.4000000000000004</v>
      </c>
      <c r="T144" s="286">
        <v>2.5</v>
      </c>
      <c r="U144" s="288" t="s">
        <v>179</v>
      </c>
      <c r="V144" s="288">
        <v>2</v>
      </c>
      <c r="W144" s="288">
        <v>25</v>
      </c>
      <c r="X144" s="288" t="s">
        <v>219</v>
      </c>
      <c r="Y144" s="288">
        <v>60</v>
      </c>
      <c r="Z144" s="288" t="s">
        <v>197</v>
      </c>
      <c r="AA144" s="337" t="s">
        <v>1058</v>
      </c>
      <c r="AB144" s="285" t="s">
        <v>603</v>
      </c>
      <c r="AC144" s="285"/>
      <c r="AD144" s="285"/>
    </row>
    <row r="145" spans="1:30" s="280" customFormat="1" ht="11.25" x14ac:dyDescent="0.15">
      <c r="A145" s="285" t="s">
        <v>117</v>
      </c>
      <c r="B145" s="380">
        <v>2669902</v>
      </c>
      <c r="C145" s="380">
        <v>5998674</v>
      </c>
      <c r="D145" s="380">
        <v>1759880.7</v>
      </c>
      <c r="E145" s="380">
        <v>5436960.0999999996</v>
      </c>
      <c r="F145" s="287">
        <v>39814</v>
      </c>
      <c r="G145" s="287">
        <v>40179</v>
      </c>
      <c r="H145" s="285" t="s">
        <v>159</v>
      </c>
      <c r="I145" s="285" t="s">
        <v>346</v>
      </c>
      <c r="J145" s="285" t="s">
        <v>346</v>
      </c>
      <c r="K145" s="285" t="s">
        <v>349</v>
      </c>
      <c r="L145" s="285" t="s">
        <v>349</v>
      </c>
      <c r="M145" s="285" t="s">
        <v>370</v>
      </c>
      <c r="N145" s="285" t="s">
        <v>838</v>
      </c>
      <c r="O145" s="285" t="s">
        <v>371</v>
      </c>
      <c r="P145" s="285" t="s">
        <v>839</v>
      </c>
      <c r="Q145" s="285" t="s">
        <v>840</v>
      </c>
      <c r="R145" s="286">
        <v>4.5</v>
      </c>
      <c r="S145" s="369">
        <v>4.4000000000000004</v>
      </c>
      <c r="T145" s="286">
        <v>2.5</v>
      </c>
      <c r="U145" s="288" t="s">
        <v>179</v>
      </c>
      <c r="V145" s="288">
        <v>2</v>
      </c>
      <c r="W145" s="288">
        <v>25</v>
      </c>
      <c r="X145" s="288" t="s">
        <v>219</v>
      </c>
      <c r="Y145" s="288">
        <v>60</v>
      </c>
      <c r="Z145" s="288" t="s">
        <v>197</v>
      </c>
      <c r="AA145" s="337" t="s">
        <v>1058</v>
      </c>
      <c r="AB145" s="285" t="s">
        <v>605</v>
      </c>
      <c r="AC145" s="285"/>
      <c r="AD145" s="285"/>
    </row>
    <row r="146" spans="1:30" s="280" customFormat="1" ht="11.25" x14ac:dyDescent="0.15">
      <c r="A146" s="285" t="s">
        <v>118</v>
      </c>
      <c r="B146" s="380">
        <v>2669902</v>
      </c>
      <c r="C146" s="380">
        <v>5998674</v>
      </c>
      <c r="D146" s="380">
        <v>1759880.7</v>
      </c>
      <c r="E146" s="380">
        <v>5436960.0999999996</v>
      </c>
      <c r="F146" s="287">
        <v>39814</v>
      </c>
      <c r="G146" s="287">
        <v>40179</v>
      </c>
      <c r="H146" s="285" t="s">
        <v>159</v>
      </c>
      <c r="I146" s="285" t="s">
        <v>346</v>
      </c>
      <c r="J146" s="285" t="s">
        <v>346</v>
      </c>
      <c r="K146" s="285" t="s">
        <v>349</v>
      </c>
      <c r="L146" s="285" t="s">
        <v>349</v>
      </c>
      <c r="M146" s="285" t="s">
        <v>370</v>
      </c>
      <c r="N146" s="285" t="s">
        <v>838</v>
      </c>
      <c r="O146" s="285" t="s">
        <v>371</v>
      </c>
      <c r="P146" s="285" t="s">
        <v>839</v>
      </c>
      <c r="Q146" s="285" t="s">
        <v>840</v>
      </c>
      <c r="R146" s="286">
        <v>4.5</v>
      </c>
      <c r="S146" s="369">
        <v>4.4000000000000004</v>
      </c>
      <c r="T146" s="286">
        <v>2.5</v>
      </c>
      <c r="U146" s="288" t="s">
        <v>179</v>
      </c>
      <c r="V146" s="288">
        <v>2</v>
      </c>
      <c r="W146" s="288">
        <v>25</v>
      </c>
      <c r="X146" s="288" t="s">
        <v>219</v>
      </c>
      <c r="Y146" s="288">
        <v>60</v>
      </c>
      <c r="Z146" s="288" t="s">
        <v>197</v>
      </c>
      <c r="AA146" s="337" t="s">
        <v>1058</v>
      </c>
      <c r="AB146" s="285" t="s">
        <v>607</v>
      </c>
      <c r="AC146" s="285"/>
      <c r="AD146" s="285"/>
    </row>
    <row r="147" spans="1:30" s="280" customFormat="1" ht="11.25" x14ac:dyDescent="0.15">
      <c r="A147" s="285" t="s">
        <v>119</v>
      </c>
      <c r="B147" s="380">
        <v>2658477</v>
      </c>
      <c r="C147" s="380">
        <v>5988791</v>
      </c>
      <c r="D147" s="380">
        <v>1748455.1</v>
      </c>
      <c r="E147" s="380">
        <v>5427079</v>
      </c>
      <c r="F147" s="287">
        <v>39814</v>
      </c>
      <c r="G147" s="287">
        <v>41944</v>
      </c>
      <c r="H147" s="285" t="s">
        <v>159</v>
      </c>
      <c r="I147" s="285" t="s">
        <v>349</v>
      </c>
      <c r="J147" s="285" t="s">
        <v>349</v>
      </c>
      <c r="K147" s="285" t="s">
        <v>349</v>
      </c>
      <c r="L147" s="285" t="s">
        <v>349</v>
      </c>
      <c r="M147" s="285" t="s">
        <v>372</v>
      </c>
      <c r="N147" s="285" t="s">
        <v>841</v>
      </c>
      <c r="O147" s="285" t="s">
        <v>373</v>
      </c>
      <c r="P147" s="285" t="s">
        <v>587</v>
      </c>
      <c r="Q147" s="285" t="s">
        <v>842</v>
      </c>
      <c r="R147" s="286">
        <v>15</v>
      </c>
      <c r="S147" s="369">
        <v>5.3</v>
      </c>
      <c r="T147" s="286">
        <v>9</v>
      </c>
      <c r="U147" s="288" t="s">
        <v>575</v>
      </c>
      <c r="V147" s="288">
        <v>1</v>
      </c>
      <c r="W147" s="288">
        <v>15</v>
      </c>
      <c r="X147" s="288" t="s">
        <v>197</v>
      </c>
      <c r="Y147" s="288">
        <v>15</v>
      </c>
      <c r="Z147" s="288" t="s">
        <v>174</v>
      </c>
      <c r="AA147" s="337" t="s">
        <v>1060</v>
      </c>
      <c r="AB147" s="285" t="s">
        <v>603</v>
      </c>
      <c r="AC147" s="285"/>
      <c r="AD147" s="285"/>
    </row>
    <row r="148" spans="1:30" s="280" customFormat="1" ht="11.25" x14ac:dyDescent="0.15">
      <c r="A148" s="285" t="s">
        <v>120</v>
      </c>
      <c r="B148" s="380">
        <v>2658477</v>
      </c>
      <c r="C148" s="380">
        <v>5988791</v>
      </c>
      <c r="D148" s="380">
        <v>1748455.1</v>
      </c>
      <c r="E148" s="380">
        <v>5427079</v>
      </c>
      <c r="F148" s="287">
        <v>39814</v>
      </c>
      <c r="G148" s="287">
        <v>41944</v>
      </c>
      <c r="H148" s="285" t="s">
        <v>159</v>
      </c>
      <c r="I148" s="285" t="s">
        <v>349</v>
      </c>
      <c r="J148" s="285" t="s">
        <v>349</v>
      </c>
      <c r="K148" s="285" t="s">
        <v>349</v>
      </c>
      <c r="L148" s="285" t="s">
        <v>349</v>
      </c>
      <c r="M148" s="285" t="s">
        <v>372</v>
      </c>
      <c r="N148" s="285" t="s">
        <v>841</v>
      </c>
      <c r="O148" s="285" t="s">
        <v>373</v>
      </c>
      <c r="P148" s="285" t="s">
        <v>587</v>
      </c>
      <c r="Q148" s="285" t="s">
        <v>842</v>
      </c>
      <c r="R148" s="286">
        <v>15</v>
      </c>
      <c r="S148" s="369">
        <v>5.3</v>
      </c>
      <c r="T148" s="286">
        <v>9</v>
      </c>
      <c r="U148" s="288" t="s">
        <v>575</v>
      </c>
      <c r="V148" s="288">
        <v>1</v>
      </c>
      <c r="W148" s="288">
        <v>15</v>
      </c>
      <c r="X148" s="288" t="s">
        <v>197</v>
      </c>
      <c r="Y148" s="288">
        <v>15</v>
      </c>
      <c r="Z148" s="288" t="s">
        <v>174</v>
      </c>
      <c r="AA148" s="337" t="s">
        <v>1060</v>
      </c>
      <c r="AB148" s="285" t="s">
        <v>605</v>
      </c>
      <c r="AC148" s="285"/>
      <c r="AD148" s="285"/>
    </row>
    <row r="149" spans="1:30" s="280" customFormat="1" ht="11.25" x14ac:dyDescent="0.15">
      <c r="A149" s="285" t="s">
        <v>121</v>
      </c>
      <c r="B149" s="380">
        <v>2658477</v>
      </c>
      <c r="C149" s="380">
        <v>5988791</v>
      </c>
      <c r="D149" s="380">
        <v>1748455.1</v>
      </c>
      <c r="E149" s="380">
        <v>5427079</v>
      </c>
      <c r="F149" s="287">
        <v>39814</v>
      </c>
      <c r="G149" s="287">
        <v>41944</v>
      </c>
      <c r="H149" s="285" t="s">
        <v>159</v>
      </c>
      <c r="I149" s="285" t="s">
        <v>349</v>
      </c>
      <c r="J149" s="285" t="s">
        <v>349</v>
      </c>
      <c r="K149" s="285" t="s">
        <v>349</v>
      </c>
      <c r="L149" s="285" t="s">
        <v>349</v>
      </c>
      <c r="M149" s="285" t="s">
        <v>372</v>
      </c>
      <c r="N149" s="285" t="s">
        <v>841</v>
      </c>
      <c r="O149" s="285" t="s">
        <v>373</v>
      </c>
      <c r="P149" s="285" t="s">
        <v>587</v>
      </c>
      <c r="Q149" s="285" t="s">
        <v>842</v>
      </c>
      <c r="R149" s="286">
        <v>15</v>
      </c>
      <c r="S149" s="369">
        <v>5.3</v>
      </c>
      <c r="T149" s="286">
        <v>9</v>
      </c>
      <c r="U149" s="288" t="s">
        <v>575</v>
      </c>
      <c r="V149" s="288">
        <v>1</v>
      </c>
      <c r="W149" s="288">
        <v>15</v>
      </c>
      <c r="X149" s="288" t="s">
        <v>197</v>
      </c>
      <c r="Y149" s="288">
        <v>15</v>
      </c>
      <c r="Z149" s="288" t="s">
        <v>174</v>
      </c>
      <c r="AA149" s="337" t="s">
        <v>1060</v>
      </c>
      <c r="AB149" s="285" t="s">
        <v>607</v>
      </c>
      <c r="AC149" s="285"/>
      <c r="AD149" s="285"/>
    </row>
    <row r="150" spans="1:30" s="280" customFormat="1" ht="11.25" x14ac:dyDescent="0.15">
      <c r="A150" s="280" t="s">
        <v>122</v>
      </c>
      <c r="B150" s="380">
        <v>2663604</v>
      </c>
      <c r="C150" s="380">
        <v>6003852</v>
      </c>
      <c r="D150" s="380">
        <v>1753583.6</v>
      </c>
      <c r="E150" s="380">
        <v>5442138.5</v>
      </c>
      <c r="F150" s="287">
        <v>40179</v>
      </c>
      <c r="G150" s="287">
        <v>41334</v>
      </c>
      <c r="H150" s="285" t="s">
        <v>161</v>
      </c>
      <c r="I150" s="285" t="s">
        <v>843</v>
      </c>
      <c r="J150" s="285" t="s">
        <v>349</v>
      </c>
      <c r="K150" s="285" t="s">
        <v>349</v>
      </c>
      <c r="L150" s="285" t="s">
        <v>349</v>
      </c>
      <c r="M150" s="285" t="s">
        <v>374</v>
      </c>
      <c r="N150" s="285" t="s">
        <v>844</v>
      </c>
      <c r="O150" s="285" t="s">
        <v>375</v>
      </c>
      <c r="P150" s="285" t="s">
        <v>573</v>
      </c>
      <c r="Q150" s="285" t="s">
        <v>845</v>
      </c>
      <c r="R150" s="286">
        <v>30</v>
      </c>
      <c r="S150" s="369">
        <v>3.6</v>
      </c>
      <c r="T150" s="286">
        <v>3</v>
      </c>
      <c r="U150" s="288" t="s">
        <v>179</v>
      </c>
      <c r="V150" s="288">
        <v>1</v>
      </c>
      <c r="W150" s="288">
        <v>585</v>
      </c>
      <c r="X150" s="288" t="s">
        <v>185</v>
      </c>
      <c r="Y150" s="288">
        <v>80</v>
      </c>
      <c r="Z150" s="288" t="s">
        <v>174</v>
      </c>
      <c r="AA150" s="280" t="s">
        <v>846</v>
      </c>
      <c r="AB150" s="285" t="s">
        <v>603</v>
      </c>
      <c r="AC150" s="285"/>
      <c r="AD150" s="285"/>
    </row>
    <row r="151" spans="1:30" s="280" customFormat="1" ht="11.25" x14ac:dyDescent="0.15">
      <c r="A151" s="280" t="s">
        <v>123</v>
      </c>
      <c r="B151" s="380">
        <v>2663604</v>
      </c>
      <c r="C151" s="380">
        <v>6003852</v>
      </c>
      <c r="D151" s="380">
        <v>1753583.6</v>
      </c>
      <c r="E151" s="380">
        <v>5442138.5</v>
      </c>
      <c r="F151" s="287">
        <v>40179</v>
      </c>
      <c r="G151" s="287">
        <v>41275</v>
      </c>
      <c r="H151" s="285" t="s">
        <v>161</v>
      </c>
      <c r="I151" s="285" t="s">
        <v>843</v>
      </c>
      <c r="J151" s="285" t="s">
        <v>349</v>
      </c>
      <c r="K151" s="285" t="s">
        <v>349</v>
      </c>
      <c r="L151" s="285" t="s">
        <v>349</v>
      </c>
      <c r="M151" s="285" t="s">
        <v>374</v>
      </c>
      <c r="N151" s="285" t="s">
        <v>844</v>
      </c>
      <c r="O151" s="285" t="s">
        <v>375</v>
      </c>
      <c r="P151" s="285" t="s">
        <v>573</v>
      </c>
      <c r="Q151" s="285" t="s">
        <v>845</v>
      </c>
      <c r="R151" s="286">
        <v>20</v>
      </c>
      <c r="S151" s="369">
        <v>3.6</v>
      </c>
      <c r="T151" s="286">
        <v>3</v>
      </c>
      <c r="U151" s="288" t="s">
        <v>179</v>
      </c>
      <c r="V151" s="288">
        <v>1</v>
      </c>
      <c r="W151" s="288">
        <v>585</v>
      </c>
      <c r="X151" s="288" t="s">
        <v>185</v>
      </c>
      <c r="Y151" s="288">
        <v>60</v>
      </c>
      <c r="Z151" s="288" t="s">
        <v>174</v>
      </c>
      <c r="AA151" s="280" t="s">
        <v>846</v>
      </c>
      <c r="AB151" s="285" t="s">
        <v>605</v>
      </c>
      <c r="AC151" s="285"/>
      <c r="AD151" s="285"/>
    </row>
    <row r="152" spans="1:30" s="280" customFormat="1" ht="11.25" x14ac:dyDescent="0.15">
      <c r="A152" s="280" t="s">
        <v>124</v>
      </c>
      <c r="B152" s="380">
        <v>2663604</v>
      </c>
      <c r="C152" s="380">
        <v>6003852</v>
      </c>
      <c r="D152" s="380">
        <v>1753583.6</v>
      </c>
      <c r="E152" s="380">
        <v>5442138.5</v>
      </c>
      <c r="F152" s="287">
        <v>40179</v>
      </c>
      <c r="G152" s="287">
        <v>41275</v>
      </c>
      <c r="H152" s="285" t="s">
        <v>161</v>
      </c>
      <c r="I152" s="285" t="s">
        <v>843</v>
      </c>
      <c r="J152" s="285" t="s">
        <v>349</v>
      </c>
      <c r="K152" s="285" t="s">
        <v>349</v>
      </c>
      <c r="L152" s="285" t="s">
        <v>349</v>
      </c>
      <c r="M152" s="285" t="s">
        <v>374</v>
      </c>
      <c r="N152" s="285" t="s">
        <v>844</v>
      </c>
      <c r="O152" s="285" t="s">
        <v>375</v>
      </c>
      <c r="P152" s="285" t="s">
        <v>573</v>
      </c>
      <c r="Q152" s="285" t="s">
        <v>845</v>
      </c>
      <c r="R152" s="286">
        <v>20</v>
      </c>
      <c r="S152" s="369">
        <v>3.6</v>
      </c>
      <c r="T152" s="286">
        <v>3</v>
      </c>
      <c r="U152" s="288" t="s">
        <v>179</v>
      </c>
      <c r="V152" s="288">
        <v>1</v>
      </c>
      <c r="W152" s="288">
        <v>585</v>
      </c>
      <c r="X152" s="288" t="s">
        <v>185</v>
      </c>
      <c r="Y152" s="288">
        <v>60</v>
      </c>
      <c r="Z152" s="288" t="s">
        <v>174</v>
      </c>
      <c r="AA152" s="280" t="s">
        <v>846</v>
      </c>
      <c r="AB152" s="285" t="s">
        <v>607</v>
      </c>
      <c r="AC152" s="285"/>
      <c r="AD152" s="285"/>
    </row>
    <row r="153" spans="1:30" s="280" customFormat="1" ht="11.25" x14ac:dyDescent="0.15">
      <c r="A153" s="280" t="s">
        <v>125</v>
      </c>
      <c r="B153" s="380">
        <v>2655638.1</v>
      </c>
      <c r="C153" s="380">
        <v>5989914.9000000004</v>
      </c>
      <c r="D153" s="380">
        <v>1745616.6</v>
      </c>
      <c r="E153" s="380">
        <v>5428203.0999999996</v>
      </c>
      <c r="F153" s="287">
        <v>40238</v>
      </c>
      <c r="G153" s="287" t="s">
        <v>169</v>
      </c>
      <c r="H153" s="285" t="s">
        <v>160</v>
      </c>
      <c r="I153" s="285" t="s">
        <v>349</v>
      </c>
      <c r="J153" s="285" t="s">
        <v>349</v>
      </c>
      <c r="K153" s="285" t="s">
        <v>349</v>
      </c>
      <c r="L153" s="285" t="s">
        <v>349</v>
      </c>
      <c r="M153" s="285" t="s">
        <v>376</v>
      </c>
      <c r="N153" s="285" t="s">
        <v>847</v>
      </c>
      <c r="O153" s="285" t="s">
        <v>377</v>
      </c>
      <c r="P153" s="285" t="s">
        <v>573</v>
      </c>
      <c r="Q153" s="285" t="s">
        <v>848</v>
      </c>
      <c r="R153" s="286">
        <v>15</v>
      </c>
      <c r="S153" s="369">
        <v>3.5</v>
      </c>
      <c r="T153" s="286">
        <v>15</v>
      </c>
      <c r="U153" s="288" t="s">
        <v>575</v>
      </c>
      <c r="V153" s="288">
        <v>1</v>
      </c>
      <c r="W153" s="288">
        <v>2895</v>
      </c>
      <c r="X153" s="288" t="s">
        <v>174</v>
      </c>
      <c r="Y153" s="288">
        <v>15</v>
      </c>
      <c r="Z153" s="288" t="s">
        <v>179</v>
      </c>
      <c r="AA153" s="280" t="s">
        <v>169</v>
      </c>
      <c r="AB153" s="285" t="s">
        <v>169</v>
      </c>
      <c r="AC153" s="285"/>
      <c r="AD153" s="285"/>
    </row>
    <row r="154" spans="1:30" s="280" customFormat="1" ht="11.25" x14ac:dyDescent="0.15">
      <c r="A154" s="280" t="s">
        <v>126</v>
      </c>
      <c r="B154" s="380">
        <v>2658566.1</v>
      </c>
      <c r="C154" s="380">
        <v>5984219.0999999996</v>
      </c>
      <c r="D154" s="380">
        <v>1748543.5</v>
      </c>
      <c r="E154" s="380">
        <v>5422507.4000000004</v>
      </c>
      <c r="F154" s="287">
        <v>40238</v>
      </c>
      <c r="G154" s="287" t="s">
        <v>169</v>
      </c>
      <c r="H154" s="285" t="s">
        <v>161</v>
      </c>
      <c r="I154" s="285" t="s">
        <v>349</v>
      </c>
      <c r="J154" s="285" t="s">
        <v>349</v>
      </c>
      <c r="K154" s="285" t="s">
        <v>349</v>
      </c>
      <c r="L154" s="285" t="s">
        <v>349</v>
      </c>
      <c r="M154" s="285" t="s">
        <v>378</v>
      </c>
      <c r="N154" s="285" t="s">
        <v>849</v>
      </c>
      <c r="O154" s="285" t="s">
        <v>379</v>
      </c>
      <c r="P154" s="285" t="s">
        <v>573</v>
      </c>
      <c r="Q154" s="285" t="s">
        <v>378</v>
      </c>
      <c r="R154" s="286">
        <v>1</v>
      </c>
      <c r="S154" s="369">
        <v>4</v>
      </c>
      <c r="T154" s="286">
        <v>10</v>
      </c>
      <c r="U154" s="288" t="s">
        <v>179</v>
      </c>
      <c r="V154" s="288">
        <v>1</v>
      </c>
      <c r="W154" s="288">
        <v>2870</v>
      </c>
      <c r="X154" s="288" t="s">
        <v>179</v>
      </c>
      <c r="Y154" s="288">
        <v>150</v>
      </c>
      <c r="Z154" s="288" t="s">
        <v>174</v>
      </c>
      <c r="AA154" s="280" t="s">
        <v>850</v>
      </c>
      <c r="AB154" s="285" t="s">
        <v>169</v>
      </c>
      <c r="AC154" s="285"/>
      <c r="AD154" s="285"/>
    </row>
    <row r="155" spans="1:30" s="280" customFormat="1" ht="11.25" x14ac:dyDescent="0.15">
      <c r="A155" s="280" t="s">
        <v>127</v>
      </c>
      <c r="B155" s="380">
        <v>2658929.5</v>
      </c>
      <c r="C155" s="380">
        <v>5986905.7999999998</v>
      </c>
      <c r="D155" s="380">
        <v>1748907.3</v>
      </c>
      <c r="E155" s="380">
        <v>5425193.7999999998</v>
      </c>
      <c r="F155" s="287">
        <v>40238</v>
      </c>
      <c r="G155" s="287" t="s">
        <v>169</v>
      </c>
      <c r="H155" s="285" t="s">
        <v>160</v>
      </c>
      <c r="I155" s="285" t="s">
        <v>349</v>
      </c>
      <c r="J155" s="285" t="s">
        <v>349</v>
      </c>
      <c r="K155" s="285" t="s">
        <v>349</v>
      </c>
      <c r="L155" s="285" t="s">
        <v>349</v>
      </c>
      <c r="M155" s="285" t="s">
        <v>851</v>
      </c>
      <c r="N155" s="285" t="s">
        <v>852</v>
      </c>
      <c r="O155" s="285" t="s">
        <v>380</v>
      </c>
      <c r="P155" s="285" t="s">
        <v>853</v>
      </c>
      <c r="Q155" s="285" t="s">
        <v>854</v>
      </c>
      <c r="R155" s="286">
        <v>20</v>
      </c>
      <c r="S155" s="369">
        <v>4</v>
      </c>
      <c r="T155" s="286">
        <v>15</v>
      </c>
      <c r="U155" s="288" t="s">
        <v>575</v>
      </c>
      <c r="V155" s="288">
        <v>1</v>
      </c>
      <c r="W155" s="288">
        <v>990</v>
      </c>
      <c r="X155" s="288" t="s">
        <v>185</v>
      </c>
      <c r="Y155" s="288">
        <v>10</v>
      </c>
      <c r="Z155" s="288" t="s">
        <v>185</v>
      </c>
      <c r="AA155" s="280" t="s">
        <v>855</v>
      </c>
      <c r="AB155" s="285" t="s">
        <v>169</v>
      </c>
      <c r="AC155" s="285"/>
      <c r="AD155" s="285"/>
    </row>
    <row r="156" spans="1:30" s="280" customFormat="1" ht="11.25" x14ac:dyDescent="0.15">
      <c r="A156" s="280" t="s">
        <v>128</v>
      </c>
      <c r="B156" s="380">
        <v>2660124.2999999998</v>
      </c>
      <c r="C156" s="380">
        <v>5986751.5</v>
      </c>
      <c r="D156" s="380">
        <v>1750101.9</v>
      </c>
      <c r="E156" s="380">
        <v>5425039.4000000004</v>
      </c>
      <c r="F156" s="287">
        <v>40238</v>
      </c>
      <c r="G156" s="287" t="s">
        <v>169</v>
      </c>
      <c r="H156" s="285" t="s">
        <v>159</v>
      </c>
      <c r="I156" s="285" t="s">
        <v>349</v>
      </c>
      <c r="J156" s="285" t="s">
        <v>349</v>
      </c>
      <c r="K156" s="285" t="s">
        <v>349</v>
      </c>
      <c r="L156" s="285" t="s">
        <v>349</v>
      </c>
      <c r="M156" s="285" t="s">
        <v>381</v>
      </c>
      <c r="N156" s="285" t="s">
        <v>856</v>
      </c>
      <c r="O156" s="285" t="s">
        <v>382</v>
      </c>
      <c r="P156" s="285" t="s">
        <v>573</v>
      </c>
      <c r="Q156" s="285" t="s">
        <v>857</v>
      </c>
      <c r="R156" s="286">
        <v>1</v>
      </c>
      <c r="S156" s="369">
        <v>4</v>
      </c>
      <c r="T156" s="286">
        <v>15</v>
      </c>
      <c r="U156" s="288" t="s">
        <v>575</v>
      </c>
      <c r="V156" s="288">
        <v>1</v>
      </c>
      <c r="W156" s="288">
        <v>15</v>
      </c>
      <c r="X156" s="288" t="s">
        <v>179</v>
      </c>
      <c r="Y156" s="288">
        <v>15</v>
      </c>
      <c r="Z156" s="288" t="s">
        <v>185</v>
      </c>
      <c r="AA156" s="280" t="s">
        <v>858</v>
      </c>
      <c r="AB156" s="285" t="s">
        <v>169</v>
      </c>
      <c r="AC156" s="285"/>
      <c r="AD156" s="285"/>
    </row>
    <row r="157" spans="1:30" s="280" customFormat="1" ht="11.25" x14ac:dyDescent="0.15">
      <c r="A157" s="280" t="s">
        <v>129</v>
      </c>
      <c r="B157" s="380">
        <v>2662065.7999999998</v>
      </c>
      <c r="C157" s="380">
        <v>5986188.5999999996</v>
      </c>
      <c r="D157" s="380">
        <v>1752043.2</v>
      </c>
      <c r="E157" s="380">
        <v>5424476.2999999998</v>
      </c>
      <c r="F157" s="287">
        <v>40238</v>
      </c>
      <c r="G157" s="287" t="s">
        <v>169</v>
      </c>
      <c r="H157" s="285" t="s">
        <v>160</v>
      </c>
      <c r="I157" s="285" t="s">
        <v>349</v>
      </c>
      <c r="J157" s="285" t="s">
        <v>349</v>
      </c>
      <c r="K157" s="285" t="s">
        <v>349</v>
      </c>
      <c r="L157" s="285" t="s">
        <v>349</v>
      </c>
      <c r="M157" s="285" t="s">
        <v>383</v>
      </c>
      <c r="N157" s="285" t="s">
        <v>859</v>
      </c>
      <c r="O157" s="285" t="s">
        <v>384</v>
      </c>
      <c r="P157" s="285" t="s">
        <v>860</v>
      </c>
      <c r="Q157" s="285" t="s">
        <v>859</v>
      </c>
      <c r="R157" s="286">
        <v>20</v>
      </c>
      <c r="S157" s="369">
        <v>4</v>
      </c>
      <c r="T157" s="286">
        <v>15</v>
      </c>
      <c r="U157" s="288" t="s">
        <v>575</v>
      </c>
      <c r="V157" s="288">
        <v>1</v>
      </c>
      <c r="W157" s="288">
        <v>575</v>
      </c>
      <c r="X157" s="288" t="s">
        <v>174</v>
      </c>
      <c r="Y157" s="288">
        <v>35</v>
      </c>
      <c r="Z157" s="288" t="s">
        <v>191</v>
      </c>
      <c r="AA157" s="280" t="s">
        <v>169</v>
      </c>
      <c r="AB157" s="285" t="s">
        <v>169</v>
      </c>
      <c r="AC157" s="285"/>
      <c r="AD157" s="285"/>
    </row>
    <row r="158" spans="1:30" s="280" customFormat="1" ht="11.25" x14ac:dyDescent="0.15">
      <c r="A158" s="285" t="s">
        <v>130</v>
      </c>
      <c r="B158" s="380">
        <v>2669688.6</v>
      </c>
      <c r="C158" s="380">
        <v>5998544.9000000004</v>
      </c>
      <c r="D158" s="380">
        <v>1759667.3</v>
      </c>
      <c r="E158" s="380">
        <v>5436831</v>
      </c>
      <c r="F158" s="287">
        <v>40238</v>
      </c>
      <c r="G158" s="287" t="s">
        <v>169</v>
      </c>
      <c r="H158" s="285" t="s">
        <v>159</v>
      </c>
      <c r="I158" s="285" t="s">
        <v>346</v>
      </c>
      <c r="J158" s="285" t="s">
        <v>346</v>
      </c>
      <c r="K158" s="285" t="s">
        <v>349</v>
      </c>
      <c r="L158" s="285" t="s">
        <v>349</v>
      </c>
      <c r="M158" s="285" t="s">
        <v>385</v>
      </c>
      <c r="N158" s="285" t="s">
        <v>861</v>
      </c>
      <c r="O158" s="285" t="s">
        <v>371</v>
      </c>
      <c r="P158" s="285" t="s">
        <v>573</v>
      </c>
      <c r="Q158" s="285" t="s">
        <v>862</v>
      </c>
      <c r="R158" s="286">
        <v>20</v>
      </c>
      <c r="S158" s="369">
        <v>4</v>
      </c>
      <c r="T158" s="286">
        <v>16</v>
      </c>
      <c r="U158" s="288" t="s">
        <v>179</v>
      </c>
      <c r="V158" s="288">
        <v>2</v>
      </c>
      <c r="W158" s="288">
        <v>30</v>
      </c>
      <c r="X158" s="288" t="s">
        <v>219</v>
      </c>
      <c r="Y158" s="288">
        <v>180</v>
      </c>
      <c r="Z158" s="288" t="s">
        <v>191</v>
      </c>
      <c r="AA158" s="328" t="s">
        <v>1061</v>
      </c>
      <c r="AB158" s="285" t="s">
        <v>169</v>
      </c>
      <c r="AC158" s="285"/>
      <c r="AD158" s="285"/>
    </row>
    <row r="159" spans="1:30" s="280" customFormat="1" ht="11.25" x14ac:dyDescent="0.15">
      <c r="A159" s="280" t="s">
        <v>131</v>
      </c>
      <c r="B159" s="380">
        <v>2669955.2000000002</v>
      </c>
      <c r="C159" s="380">
        <v>5997771.7999999998</v>
      </c>
      <c r="D159" s="380">
        <v>1759933.8</v>
      </c>
      <c r="E159" s="380">
        <v>5436057.9000000004</v>
      </c>
      <c r="F159" s="287">
        <v>40238</v>
      </c>
      <c r="G159" s="287" t="s">
        <v>169</v>
      </c>
      <c r="H159" s="285" t="s">
        <v>160</v>
      </c>
      <c r="I159" s="285" t="s">
        <v>346</v>
      </c>
      <c r="J159" s="285" t="s">
        <v>346</v>
      </c>
      <c r="K159" s="285" t="s">
        <v>349</v>
      </c>
      <c r="L159" s="285" t="s">
        <v>349</v>
      </c>
      <c r="M159" s="285" t="s">
        <v>386</v>
      </c>
      <c r="N159" s="285" t="s">
        <v>863</v>
      </c>
      <c r="O159" s="285" t="s">
        <v>346</v>
      </c>
      <c r="P159" s="285" t="s">
        <v>573</v>
      </c>
      <c r="Q159" s="285" t="s">
        <v>864</v>
      </c>
      <c r="R159" s="286">
        <v>25</v>
      </c>
      <c r="S159" s="369">
        <v>4</v>
      </c>
      <c r="T159" s="286">
        <v>12</v>
      </c>
      <c r="U159" s="288" t="s">
        <v>575</v>
      </c>
      <c r="V159" s="288">
        <v>2</v>
      </c>
      <c r="W159" s="288">
        <v>830</v>
      </c>
      <c r="X159" s="288" t="s">
        <v>219</v>
      </c>
      <c r="Y159" s="288">
        <v>15</v>
      </c>
      <c r="Z159" s="288" t="s">
        <v>182</v>
      </c>
      <c r="AA159" s="280" t="s">
        <v>169</v>
      </c>
      <c r="AB159" s="285" t="s">
        <v>169</v>
      </c>
      <c r="AC159" s="285"/>
      <c r="AD159" s="285"/>
    </row>
    <row r="160" spans="1:30" s="280" customFormat="1" ht="11.25" x14ac:dyDescent="0.15">
      <c r="A160" s="280" t="s">
        <v>132</v>
      </c>
      <c r="B160" s="380">
        <v>2671055</v>
      </c>
      <c r="C160" s="380">
        <v>5997578</v>
      </c>
      <c r="D160" s="380">
        <v>1761033.5</v>
      </c>
      <c r="E160" s="380">
        <v>5435864</v>
      </c>
      <c r="F160" s="287">
        <v>40238</v>
      </c>
      <c r="G160" s="287" t="s">
        <v>169</v>
      </c>
      <c r="H160" s="285" t="s">
        <v>161</v>
      </c>
      <c r="I160" s="285" t="s">
        <v>346</v>
      </c>
      <c r="J160" s="285" t="s">
        <v>346</v>
      </c>
      <c r="K160" s="285" t="s">
        <v>349</v>
      </c>
      <c r="L160" s="285" t="s">
        <v>349</v>
      </c>
      <c r="M160" s="285" t="s">
        <v>387</v>
      </c>
      <c r="N160" s="285" t="s">
        <v>865</v>
      </c>
      <c r="O160" s="285" t="s">
        <v>388</v>
      </c>
      <c r="P160" s="285" t="s">
        <v>573</v>
      </c>
      <c r="Q160" s="285" t="s">
        <v>866</v>
      </c>
      <c r="R160" s="286">
        <v>15</v>
      </c>
      <c r="S160" s="369">
        <v>3.5</v>
      </c>
      <c r="T160" s="286">
        <v>10</v>
      </c>
      <c r="U160" s="288" t="s">
        <v>179</v>
      </c>
      <c r="V160" s="288">
        <v>2</v>
      </c>
      <c r="W160" s="288">
        <v>1595</v>
      </c>
      <c r="X160" s="288" t="s">
        <v>219</v>
      </c>
      <c r="Y160" s="288">
        <v>140</v>
      </c>
      <c r="Z160" s="288" t="s">
        <v>179</v>
      </c>
      <c r="AA160" s="280" t="s">
        <v>867</v>
      </c>
      <c r="AB160" s="285" t="s">
        <v>603</v>
      </c>
      <c r="AC160" s="285"/>
      <c r="AD160" s="285"/>
    </row>
    <row r="161" spans="1:30" s="280" customFormat="1" ht="11.25" x14ac:dyDescent="0.15">
      <c r="A161" s="280" t="s">
        <v>133</v>
      </c>
      <c r="B161" s="380">
        <v>2671055</v>
      </c>
      <c r="C161" s="380">
        <v>5997578</v>
      </c>
      <c r="D161" s="380">
        <v>1761033.5</v>
      </c>
      <c r="E161" s="380">
        <v>5435864</v>
      </c>
      <c r="F161" s="287">
        <v>40238</v>
      </c>
      <c r="G161" s="287">
        <v>41275</v>
      </c>
      <c r="H161" s="285" t="s">
        <v>161</v>
      </c>
      <c r="I161" s="285" t="s">
        <v>346</v>
      </c>
      <c r="J161" s="285" t="s">
        <v>346</v>
      </c>
      <c r="K161" s="285" t="s">
        <v>349</v>
      </c>
      <c r="L161" s="285" t="s">
        <v>349</v>
      </c>
      <c r="M161" s="285" t="s">
        <v>387</v>
      </c>
      <c r="N161" s="285" t="s">
        <v>865</v>
      </c>
      <c r="O161" s="285" t="s">
        <v>388</v>
      </c>
      <c r="P161" s="285" t="s">
        <v>573</v>
      </c>
      <c r="Q161" s="285" t="s">
        <v>866</v>
      </c>
      <c r="R161" s="286">
        <v>15</v>
      </c>
      <c r="S161" s="369">
        <v>3.5</v>
      </c>
      <c r="T161" s="286">
        <v>10</v>
      </c>
      <c r="U161" s="288" t="s">
        <v>179</v>
      </c>
      <c r="V161" s="288">
        <v>2</v>
      </c>
      <c r="W161" s="288">
        <v>1595</v>
      </c>
      <c r="X161" s="288" t="s">
        <v>219</v>
      </c>
      <c r="Y161" s="288">
        <v>140</v>
      </c>
      <c r="Z161" s="288" t="s">
        <v>179</v>
      </c>
      <c r="AA161" s="280" t="s">
        <v>602</v>
      </c>
      <c r="AB161" s="285" t="s">
        <v>605</v>
      </c>
      <c r="AC161" s="285"/>
      <c r="AD161" s="285"/>
    </row>
    <row r="162" spans="1:30" s="280" customFormat="1" ht="11.25" x14ac:dyDescent="0.15">
      <c r="A162" s="280" t="s">
        <v>134</v>
      </c>
      <c r="B162" s="380">
        <v>2671055</v>
      </c>
      <c r="C162" s="380">
        <v>5997578</v>
      </c>
      <c r="D162" s="380">
        <v>1761033.5</v>
      </c>
      <c r="E162" s="380">
        <v>5435864</v>
      </c>
      <c r="F162" s="287">
        <v>40238</v>
      </c>
      <c r="G162" s="287">
        <v>41275</v>
      </c>
      <c r="H162" s="285" t="s">
        <v>161</v>
      </c>
      <c r="I162" s="285" t="s">
        <v>346</v>
      </c>
      <c r="J162" s="285" t="s">
        <v>346</v>
      </c>
      <c r="K162" s="285" t="s">
        <v>349</v>
      </c>
      <c r="L162" s="285" t="s">
        <v>349</v>
      </c>
      <c r="M162" s="285" t="s">
        <v>387</v>
      </c>
      <c r="N162" s="285" t="s">
        <v>865</v>
      </c>
      <c r="O162" s="285" t="s">
        <v>388</v>
      </c>
      <c r="P162" s="285" t="s">
        <v>573</v>
      </c>
      <c r="Q162" s="285" t="s">
        <v>866</v>
      </c>
      <c r="R162" s="286">
        <v>15</v>
      </c>
      <c r="S162" s="369">
        <v>3.5</v>
      </c>
      <c r="T162" s="286">
        <v>10</v>
      </c>
      <c r="U162" s="288" t="s">
        <v>179</v>
      </c>
      <c r="V162" s="288">
        <v>2</v>
      </c>
      <c r="W162" s="288">
        <v>1595</v>
      </c>
      <c r="X162" s="288" t="s">
        <v>219</v>
      </c>
      <c r="Y162" s="288">
        <v>140</v>
      </c>
      <c r="Z162" s="288" t="s">
        <v>179</v>
      </c>
      <c r="AA162" s="280" t="s">
        <v>602</v>
      </c>
      <c r="AB162" s="285" t="s">
        <v>607</v>
      </c>
      <c r="AC162" s="285"/>
      <c r="AD162" s="285"/>
    </row>
    <row r="163" spans="1:30" s="280" customFormat="1" ht="11.25" x14ac:dyDescent="0.15">
      <c r="A163" s="280" t="s">
        <v>135</v>
      </c>
      <c r="B163" s="380">
        <v>2684769.5</v>
      </c>
      <c r="C163" s="380">
        <v>6008050.9000000004</v>
      </c>
      <c r="D163" s="380">
        <v>1774749</v>
      </c>
      <c r="E163" s="380">
        <v>5446335.0999999996</v>
      </c>
      <c r="F163" s="287">
        <v>40238</v>
      </c>
      <c r="G163" s="287" t="s">
        <v>169</v>
      </c>
      <c r="H163" s="285" t="s">
        <v>159</v>
      </c>
      <c r="I163" s="285" t="s">
        <v>471</v>
      </c>
      <c r="J163" s="285" t="s">
        <v>471</v>
      </c>
      <c r="K163" s="285" t="s">
        <v>349</v>
      </c>
      <c r="L163" s="285" t="s">
        <v>349</v>
      </c>
      <c r="M163" s="285" t="s">
        <v>390</v>
      </c>
      <c r="N163" s="285" t="s">
        <v>868</v>
      </c>
      <c r="O163" s="285" t="s">
        <v>391</v>
      </c>
      <c r="P163" s="285" t="s">
        <v>573</v>
      </c>
      <c r="Q163" s="285" t="s">
        <v>869</v>
      </c>
      <c r="R163" s="286">
        <v>30</v>
      </c>
      <c r="S163" s="369">
        <v>4</v>
      </c>
      <c r="T163" s="286">
        <v>20</v>
      </c>
      <c r="U163" s="288" t="s">
        <v>575</v>
      </c>
      <c r="V163" s="288">
        <v>2</v>
      </c>
      <c r="W163" s="288">
        <v>20</v>
      </c>
      <c r="X163" s="288" t="s">
        <v>179</v>
      </c>
      <c r="Y163" s="288">
        <v>5</v>
      </c>
      <c r="Z163" s="288" t="s">
        <v>174</v>
      </c>
      <c r="AA163" s="280" t="s">
        <v>169</v>
      </c>
      <c r="AB163" s="285" t="s">
        <v>169</v>
      </c>
      <c r="AC163" s="285"/>
      <c r="AD163" s="285"/>
    </row>
    <row r="164" spans="1:30" s="280" customFormat="1" ht="11.25" x14ac:dyDescent="0.15">
      <c r="A164" s="280" t="s">
        <v>136</v>
      </c>
      <c r="B164" s="380">
        <v>2683824</v>
      </c>
      <c r="C164" s="380">
        <v>6007399</v>
      </c>
      <c r="D164" s="380">
        <v>1773803.4</v>
      </c>
      <c r="E164" s="380">
        <v>5445683.2999999998</v>
      </c>
      <c r="F164" s="287">
        <v>40238</v>
      </c>
      <c r="G164" s="287">
        <v>41214</v>
      </c>
      <c r="H164" s="285" t="s">
        <v>161</v>
      </c>
      <c r="I164" s="285" t="s">
        <v>471</v>
      </c>
      <c r="J164" s="285" t="s">
        <v>471</v>
      </c>
      <c r="K164" s="285" t="s">
        <v>349</v>
      </c>
      <c r="L164" s="285" t="s">
        <v>349</v>
      </c>
      <c r="M164" s="285" t="s">
        <v>392</v>
      </c>
      <c r="N164" s="285" t="s">
        <v>870</v>
      </c>
      <c r="O164" s="285" t="s">
        <v>471</v>
      </c>
      <c r="P164" s="285" t="s">
        <v>573</v>
      </c>
      <c r="Q164" s="285" t="s">
        <v>871</v>
      </c>
      <c r="R164" s="286">
        <v>20</v>
      </c>
      <c r="S164" s="369">
        <v>4</v>
      </c>
      <c r="T164" s="286">
        <v>11</v>
      </c>
      <c r="U164" s="288" t="s">
        <v>179</v>
      </c>
      <c r="V164" s="288">
        <v>2</v>
      </c>
      <c r="W164" s="288">
        <v>630</v>
      </c>
      <c r="X164" s="288" t="s">
        <v>179</v>
      </c>
      <c r="Y164" s="288">
        <v>75</v>
      </c>
      <c r="Z164" s="288" t="s">
        <v>179</v>
      </c>
      <c r="AA164" s="280" t="s">
        <v>872</v>
      </c>
      <c r="AB164" s="285" t="s">
        <v>603</v>
      </c>
      <c r="AC164" s="285"/>
      <c r="AD164" s="285"/>
    </row>
    <row r="165" spans="1:30" s="280" customFormat="1" ht="11.25" x14ac:dyDescent="0.15">
      <c r="A165" s="280" t="s">
        <v>137</v>
      </c>
      <c r="B165" s="380">
        <v>2683824</v>
      </c>
      <c r="C165" s="380">
        <v>6007399</v>
      </c>
      <c r="D165" s="380">
        <v>1773803.4</v>
      </c>
      <c r="E165" s="380">
        <v>5445683.2999999998</v>
      </c>
      <c r="F165" s="287">
        <v>40238</v>
      </c>
      <c r="G165" s="287">
        <v>41214</v>
      </c>
      <c r="H165" s="285" t="s">
        <v>161</v>
      </c>
      <c r="I165" s="285" t="s">
        <v>471</v>
      </c>
      <c r="J165" s="285" t="s">
        <v>471</v>
      </c>
      <c r="K165" s="285" t="s">
        <v>349</v>
      </c>
      <c r="L165" s="285" t="s">
        <v>349</v>
      </c>
      <c r="M165" s="285" t="s">
        <v>392</v>
      </c>
      <c r="N165" s="285" t="s">
        <v>870</v>
      </c>
      <c r="O165" s="285" t="s">
        <v>471</v>
      </c>
      <c r="P165" s="285" t="s">
        <v>573</v>
      </c>
      <c r="Q165" s="285" t="s">
        <v>871</v>
      </c>
      <c r="R165" s="286">
        <v>20</v>
      </c>
      <c r="S165" s="369">
        <v>4</v>
      </c>
      <c r="T165" s="286">
        <v>11</v>
      </c>
      <c r="U165" s="288" t="s">
        <v>179</v>
      </c>
      <c r="V165" s="288">
        <v>2</v>
      </c>
      <c r="W165" s="288">
        <v>630</v>
      </c>
      <c r="X165" s="288" t="s">
        <v>179</v>
      </c>
      <c r="Y165" s="288">
        <v>75</v>
      </c>
      <c r="Z165" s="288" t="s">
        <v>179</v>
      </c>
      <c r="AA165" s="280" t="s">
        <v>872</v>
      </c>
      <c r="AB165" s="285" t="s">
        <v>605</v>
      </c>
      <c r="AC165" s="285"/>
      <c r="AD165" s="285"/>
    </row>
    <row r="166" spans="1:30" s="280" customFormat="1" ht="11.25" x14ac:dyDescent="0.15">
      <c r="A166" s="280" t="s">
        <v>138</v>
      </c>
      <c r="B166" s="380">
        <v>2683824</v>
      </c>
      <c r="C166" s="380">
        <v>6007399</v>
      </c>
      <c r="D166" s="380">
        <v>1773803.4</v>
      </c>
      <c r="E166" s="380">
        <v>5445683.2999999998</v>
      </c>
      <c r="F166" s="287">
        <v>40238</v>
      </c>
      <c r="G166" s="287">
        <v>41214</v>
      </c>
      <c r="H166" s="285" t="s">
        <v>161</v>
      </c>
      <c r="I166" s="285" t="s">
        <v>471</v>
      </c>
      <c r="J166" s="285" t="s">
        <v>471</v>
      </c>
      <c r="K166" s="285" t="s">
        <v>349</v>
      </c>
      <c r="L166" s="285" t="s">
        <v>349</v>
      </c>
      <c r="M166" s="285" t="s">
        <v>392</v>
      </c>
      <c r="N166" s="285" t="s">
        <v>870</v>
      </c>
      <c r="O166" s="285" t="s">
        <v>471</v>
      </c>
      <c r="P166" s="285" t="s">
        <v>573</v>
      </c>
      <c r="Q166" s="285" t="s">
        <v>871</v>
      </c>
      <c r="R166" s="286">
        <v>20</v>
      </c>
      <c r="S166" s="369">
        <v>4</v>
      </c>
      <c r="T166" s="286">
        <v>11</v>
      </c>
      <c r="U166" s="288" t="s">
        <v>179</v>
      </c>
      <c r="V166" s="288">
        <v>2</v>
      </c>
      <c r="W166" s="288">
        <v>630</v>
      </c>
      <c r="X166" s="288" t="s">
        <v>179</v>
      </c>
      <c r="Y166" s="288">
        <v>75</v>
      </c>
      <c r="Z166" s="288" t="s">
        <v>179</v>
      </c>
      <c r="AA166" s="280" t="s">
        <v>872</v>
      </c>
      <c r="AB166" s="285" t="s">
        <v>607</v>
      </c>
      <c r="AC166" s="285"/>
      <c r="AD166" s="285"/>
    </row>
    <row r="167" spans="1:30" s="280" customFormat="1" ht="11.25" x14ac:dyDescent="0.15">
      <c r="A167" s="280" t="s">
        <v>139</v>
      </c>
      <c r="B167" s="380">
        <v>2692112.5</v>
      </c>
      <c r="C167" s="380">
        <v>6047319.4000000004</v>
      </c>
      <c r="D167" s="380">
        <v>1782095.2</v>
      </c>
      <c r="E167" s="380">
        <v>5485605.0999999996</v>
      </c>
      <c r="F167" s="287">
        <v>40238</v>
      </c>
      <c r="G167" s="287" t="s">
        <v>169</v>
      </c>
      <c r="H167" s="285" t="s">
        <v>159</v>
      </c>
      <c r="I167" s="285" t="s">
        <v>806</v>
      </c>
      <c r="J167" s="285" t="s">
        <v>393</v>
      </c>
      <c r="K167" s="285" t="s">
        <v>349</v>
      </c>
      <c r="L167" s="285" t="s">
        <v>349</v>
      </c>
      <c r="M167" s="285" t="s">
        <v>394</v>
      </c>
      <c r="N167" s="285" t="s">
        <v>873</v>
      </c>
      <c r="O167" s="285" t="s">
        <v>393</v>
      </c>
      <c r="P167" s="285" t="s">
        <v>573</v>
      </c>
      <c r="Q167" s="285" t="s">
        <v>874</v>
      </c>
      <c r="R167" s="286">
        <v>20</v>
      </c>
      <c r="S167" s="369">
        <v>4</v>
      </c>
      <c r="T167" s="286">
        <v>15</v>
      </c>
      <c r="U167" s="288" t="s">
        <v>575</v>
      </c>
      <c r="V167" s="288">
        <v>1</v>
      </c>
      <c r="W167" s="288">
        <v>25</v>
      </c>
      <c r="X167" s="288" t="s">
        <v>208</v>
      </c>
      <c r="Y167" s="288">
        <v>5</v>
      </c>
      <c r="Z167" s="288" t="s">
        <v>191</v>
      </c>
      <c r="AA167" s="280" t="s">
        <v>169</v>
      </c>
      <c r="AB167" s="285" t="s">
        <v>169</v>
      </c>
      <c r="AC167" s="285"/>
      <c r="AD167" s="285"/>
    </row>
    <row r="168" spans="1:30" s="280" customFormat="1" ht="11.25" x14ac:dyDescent="0.15">
      <c r="A168" s="285" t="s">
        <v>140</v>
      </c>
      <c r="B168" s="380">
        <v>2532559.33</v>
      </c>
      <c r="C168" s="380">
        <v>5991511.25</v>
      </c>
      <c r="D168" s="380">
        <v>1622564.8</v>
      </c>
      <c r="E168" s="380">
        <v>5429808.0999999996</v>
      </c>
      <c r="F168" s="287">
        <v>40238</v>
      </c>
      <c r="G168" s="287" t="s">
        <v>169</v>
      </c>
      <c r="H168" s="285" t="s">
        <v>161</v>
      </c>
      <c r="I168" s="285" t="s">
        <v>360</v>
      </c>
      <c r="J168" s="285" t="s">
        <v>360</v>
      </c>
      <c r="K168" s="285" t="s">
        <v>360</v>
      </c>
      <c r="L168" s="285" t="s">
        <v>360</v>
      </c>
      <c r="M168" s="285" t="s">
        <v>395</v>
      </c>
      <c r="N168" s="285" t="s">
        <v>875</v>
      </c>
      <c r="O168" s="285" t="s">
        <v>396</v>
      </c>
      <c r="P168" s="285" t="s">
        <v>573</v>
      </c>
      <c r="Q168" s="285" t="s">
        <v>395</v>
      </c>
      <c r="R168" s="286">
        <v>5</v>
      </c>
      <c r="S168" s="369">
        <v>2.2000000000000002</v>
      </c>
      <c r="T168" s="286">
        <v>10</v>
      </c>
      <c r="U168" s="288" t="s">
        <v>179</v>
      </c>
      <c r="V168" s="288">
        <v>6</v>
      </c>
      <c r="W168" s="288">
        <v>1340</v>
      </c>
      <c r="X168" s="288" t="s">
        <v>219</v>
      </c>
      <c r="Y168" s="288">
        <v>90</v>
      </c>
      <c r="Z168" s="288" t="s">
        <v>208</v>
      </c>
      <c r="AA168" s="280" t="s">
        <v>876</v>
      </c>
      <c r="AB168" s="285" t="s">
        <v>169</v>
      </c>
      <c r="AC168" s="285"/>
      <c r="AD168" s="285"/>
    </row>
    <row r="169" spans="1:30" s="280" customFormat="1" ht="11.25" x14ac:dyDescent="0.15">
      <c r="A169" s="285" t="s">
        <v>141</v>
      </c>
      <c r="B169" s="380">
        <v>2679645</v>
      </c>
      <c r="C169" s="380">
        <v>6030750</v>
      </c>
      <c r="D169" s="380">
        <v>1769626.5589999999</v>
      </c>
      <c r="E169" s="380">
        <v>5469035.085</v>
      </c>
      <c r="F169" s="287">
        <v>39814</v>
      </c>
      <c r="G169" s="287" t="s">
        <v>169</v>
      </c>
      <c r="H169" s="285" t="s">
        <v>576</v>
      </c>
      <c r="I169" s="285" t="s">
        <v>806</v>
      </c>
      <c r="J169" s="285" t="s">
        <v>807</v>
      </c>
      <c r="K169" s="285" t="s">
        <v>349</v>
      </c>
      <c r="L169" s="285" t="s">
        <v>349</v>
      </c>
      <c r="M169" s="285" t="s">
        <v>397</v>
      </c>
      <c r="N169" s="285" t="s">
        <v>877</v>
      </c>
      <c r="O169" s="285" t="s">
        <v>353</v>
      </c>
      <c r="P169" s="285" t="s">
        <v>573</v>
      </c>
      <c r="Q169" s="285" t="s">
        <v>878</v>
      </c>
      <c r="R169" s="286">
        <v>5</v>
      </c>
      <c r="S169" s="369">
        <v>3.5</v>
      </c>
      <c r="T169" s="286">
        <v>2</v>
      </c>
      <c r="U169" s="288" t="s">
        <v>179</v>
      </c>
      <c r="V169" s="288">
        <v>1</v>
      </c>
      <c r="W169" s="288">
        <v>1130</v>
      </c>
      <c r="X169" s="288" t="s">
        <v>219</v>
      </c>
      <c r="Y169" s="288">
        <v>15</v>
      </c>
      <c r="Z169" s="288" t="s">
        <v>191</v>
      </c>
      <c r="AA169" s="328" t="s">
        <v>1065</v>
      </c>
      <c r="AB169" s="285" t="s">
        <v>735</v>
      </c>
      <c r="AC169" s="285"/>
      <c r="AD169" s="285"/>
    </row>
    <row r="170" spans="1:30" s="280" customFormat="1" ht="11.25" x14ac:dyDescent="0.15">
      <c r="A170" s="285" t="s">
        <v>142</v>
      </c>
      <c r="B170" s="380">
        <v>2661646.2000000002</v>
      </c>
      <c r="C170" s="380">
        <v>5996807.7999999998</v>
      </c>
      <c r="D170" s="380">
        <v>1751625.1</v>
      </c>
      <c r="E170" s="380">
        <v>5435094.9000000004</v>
      </c>
      <c r="F170" s="287">
        <v>40238</v>
      </c>
      <c r="G170" s="287" t="s">
        <v>169</v>
      </c>
      <c r="H170" s="285" t="s">
        <v>159</v>
      </c>
      <c r="I170" s="285" t="s">
        <v>349</v>
      </c>
      <c r="J170" s="285" t="s">
        <v>349</v>
      </c>
      <c r="K170" s="285" t="s">
        <v>349</v>
      </c>
      <c r="L170" s="285" t="s">
        <v>349</v>
      </c>
      <c r="M170" s="285" t="s">
        <v>368</v>
      </c>
      <c r="N170" s="285" t="s">
        <v>879</v>
      </c>
      <c r="O170" s="285" t="s">
        <v>369</v>
      </c>
      <c r="P170" s="285" t="s">
        <v>573</v>
      </c>
      <c r="Q170" s="285" t="s">
        <v>837</v>
      </c>
      <c r="R170" s="286">
        <v>5</v>
      </c>
      <c r="S170" s="369">
        <v>4</v>
      </c>
      <c r="T170" s="286">
        <v>10</v>
      </c>
      <c r="U170" s="288" t="s">
        <v>179</v>
      </c>
      <c r="V170" s="288">
        <v>1</v>
      </c>
      <c r="W170" s="288">
        <v>25</v>
      </c>
      <c r="X170" s="288" t="s">
        <v>185</v>
      </c>
      <c r="Y170" s="288">
        <v>5</v>
      </c>
      <c r="Z170" s="288" t="s">
        <v>179</v>
      </c>
      <c r="AA170" s="328" t="s">
        <v>1056</v>
      </c>
      <c r="AB170" s="285" t="s">
        <v>169</v>
      </c>
      <c r="AC170" s="285"/>
      <c r="AD170" s="285"/>
    </row>
    <row r="171" spans="1:30" s="280" customFormat="1" ht="11.25" x14ac:dyDescent="0.15">
      <c r="A171" s="285" t="s">
        <v>479</v>
      </c>
      <c r="B171" s="380">
        <v>2666603.6669999999</v>
      </c>
      <c r="C171" s="380">
        <v>6008686.3710000003</v>
      </c>
      <c r="D171" s="380">
        <v>1756583.6569999999</v>
      </c>
      <c r="E171" s="380">
        <v>5446972.4380000001</v>
      </c>
      <c r="F171" s="287">
        <v>41275</v>
      </c>
      <c r="G171" s="287" t="s">
        <v>169</v>
      </c>
      <c r="H171" s="285" t="s">
        <v>161</v>
      </c>
      <c r="I171" s="285" t="s">
        <v>354</v>
      </c>
      <c r="J171" s="285" t="s">
        <v>354</v>
      </c>
      <c r="K171" s="285" t="s">
        <v>349</v>
      </c>
      <c r="L171" s="285" t="s">
        <v>349</v>
      </c>
      <c r="M171" s="285" t="s">
        <v>481</v>
      </c>
      <c r="N171" s="285" t="s">
        <v>880</v>
      </c>
      <c r="O171" s="285" t="s">
        <v>482</v>
      </c>
      <c r="P171" s="285" t="s">
        <v>573</v>
      </c>
      <c r="Q171" s="285" t="s">
        <v>481</v>
      </c>
      <c r="R171" s="286">
        <v>5</v>
      </c>
      <c r="S171" s="369">
        <v>3</v>
      </c>
      <c r="T171" s="286">
        <v>5</v>
      </c>
      <c r="U171" s="288" t="s">
        <v>179</v>
      </c>
      <c r="V171" s="288">
        <v>1</v>
      </c>
      <c r="W171" s="288">
        <v>385</v>
      </c>
      <c r="X171" s="288" t="s">
        <v>174</v>
      </c>
      <c r="Y171" s="288">
        <v>310</v>
      </c>
      <c r="Z171" s="288" t="s">
        <v>174</v>
      </c>
      <c r="AA171" s="280" t="s">
        <v>881</v>
      </c>
      <c r="AB171" s="285" t="s">
        <v>169</v>
      </c>
      <c r="AC171" s="285"/>
      <c r="AD171" s="285"/>
    </row>
    <row r="172" spans="1:30" s="280" customFormat="1" ht="11.25" x14ac:dyDescent="0.15">
      <c r="A172" s="285" t="s">
        <v>503</v>
      </c>
      <c r="B172" s="380">
        <v>2658382.2000000002</v>
      </c>
      <c r="C172" s="380">
        <v>5988846</v>
      </c>
      <c r="D172" s="380">
        <v>1748360.263</v>
      </c>
      <c r="E172" s="380">
        <v>5427134.0080000004</v>
      </c>
      <c r="F172" s="287">
        <v>42005</v>
      </c>
      <c r="G172" s="287" t="s">
        <v>169</v>
      </c>
      <c r="H172" s="285" t="s">
        <v>159</v>
      </c>
      <c r="I172" s="285" t="s">
        <v>349</v>
      </c>
      <c r="J172" s="285" t="s">
        <v>349</v>
      </c>
      <c r="K172" s="285" t="s">
        <v>349</v>
      </c>
      <c r="L172" s="285" t="s">
        <v>349</v>
      </c>
      <c r="M172" s="285" t="s">
        <v>504</v>
      </c>
      <c r="N172" s="285" t="s">
        <v>882</v>
      </c>
      <c r="O172" s="285" t="s">
        <v>373</v>
      </c>
      <c r="P172" s="285" t="s">
        <v>883</v>
      </c>
      <c r="Q172" s="285" t="s">
        <v>882</v>
      </c>
      <c r="R172" s="286">
        <v>15</v>
      </c>
      <c r="S172" s="369">
        <v>4</v>
      </c>
      <c r="T172" s="286" t="s">
        <v>169</v>
      </c>
      <c r="U172" s="288" t="s">
        <v>575</v>
      </c>
      <c r="V172" s="288">
        <v>1</v>
      </c>
      <c r="W172" s="288">
        <v>10</v>
      </c>
      <c r="X172" s="288" t="s">
        <v>182</v>
      </c>
      <c r="Y172" s="288">
        <v>20</v>
      </c>
      <c r="Z172" s="288" t="s">
        <v>174</v>
      </c>
      <c r="AA172" s="328" t="s">
        <v>1059</v>
      </c>
      <c r="AB172" s="285" t="s">
        <v>603</v>
      </c>
      <c r="AC172" s="285"/>
      <c r="AD172" s="285"/>
    </row>
    <row r="173" spans="1:30" s="280" customFormat="1" ht="11.25" x14ac:dyDescent="0.15">
      <c r="A173" s="285" t="s">
        <v>505</v>
      </c>
      <c r="B173" s="380">
        <v>2658382.2000000002</v>
      </c>
      <c r="C173" s="380">
        <v>5988846</v>
      </c>
      <c r="D173" s="380">
        <v>1748360.263</v>
      </c>
      <c r="E173" s="380">
        <v>5427134.0080000004</v>
      </c>
      <c r="F173" s="287">
        <v>42005</v>
      </c>
      <c r="G173" s="287" t="s">
        <v>169</v>
      </c>
      <c r="H173" s="285" t="s">
        <v>159</v>
      </c>
      <c r="I173" s="285" t="s">
        <v>349</v>
      </c>
      <c r="J173" s="285" t="s">
        <v>349</v>
      </c>
      <c r="K173" s="285" t="s">
        <v>349</v>
      </c>
      <c r="L173" s="285" t="s">
        <v>349</v>
      </c>
      <c r="M173" s="285" t="s">
        <v>504</v>
      </c>
      <c r="N173" s="285" t="s">
        <v>882</v>
      </c>
      <c r="O173" s="285" t="s">
        <v>373</v>
      </c>
      <c r="P173" s="285" t="s">
        <v>883</v>
      </c>
      <c r="Q173" s="285" t="s">
        <v>882</v>
      </c>
      <c r="R173" s="286">
        <v>15</v>
      </c>
      <c r="S173" s="369">
        <v>4</v>
      </c>
      <c r="T173" s="286" t="s">
        <v>169</v>
      </c>
      <c r="U173" s="288" t="s">
        <v>575</v>
      </c>
      <c r="V173" s="288">
        <v>1</v>
      </c>
      <c r="W173" s="288">
        <v>10</v>
      </c>
      <c r="X173" s="288" t="s">
        <v>182</v>
      </c>
      <c r="Y173" s="288">
        <v>20</v>
      </c>
      <c r="Z173" s="288" t="s">
        <v>174</v>
      </c>
      <c r="AA173" s="328" t="s">
        <v>1059</v>
      </c>
      <c r="AB173" s="285" t="s">
        <v>605</v>
      </c>
      <c r="AC173" s="285"/>
      <c r="AD173" s="285"/>
    </row>
    <row r="174" spans="1:30" s="280" customFormat="1" ht="11.25" x14ac:dyDescent="0.15">
      <c r="A174" s="285" t="s">
        <v>506</v>
      </c>
      <c r="B174" s="380">
        <v>2658382.2000000002</v>
      </c>
      <c r="C174" s="380">
        <v>5988846</v>
      </c>
      <c r="D174" s="380">
        <v>1748360.263</v>
      </c>
      <c r="E174" s="380">
        <v>5427134.0080000004</v>
      </c>
      <c r="F174" s="287">
        <v>42005</v>
      </c>
      <c r="G174" s="287" t="s">
        <v>169</v>
      </c>
      <c r="H174" s="285" t="s">
        <v>159</v>
      </c>
      <c r="I174" s="285" t="s">
        <v>349</v>
      </c>
      <c r="J174" s="285" t="s">
        <v>349</v>
      </c>
      <c r="K174" s="285" t="s">
        <v>349</v>
      </c>
      <c r="L174" s="285" t="s">
        <v>349</v>
      </c>
      <c r="M174" s="285" t="s">
        <v>504</v>
      </c>
      <c r="N174" s="285" t="s">
        <v>882</v>
      </c>
      <c r="O174" s="285" t="s">
        <v>373</v>
      </c>
      <c r="P174" s="285" t="s">
        <v>883</v>
      </c>
      <c r="Q174" s="285" t="s">
        <v>882</v>
      </c>
      <c r="R174" s="286">
        <v>15</v>
      </c>
      <c r="S174" s="369">
        <v>4</v>
      </c>
      <c r="T174" s="286" t="s">
        <v>169</v>
      </c>
      <c r="U174" s="288" t="s">
        <v>575</v>
      </c>
      <c r="V174" s="288">
        <v>1</v>
      </c>
      <c r="W174" s="288">
        <v>10</v>
      </c>
      <c r="X174" s="288" t="s">
        <v>182</v>
      </c>
      <c r="Y174" s="288">
        <v>20</v>
      </c>
      <c r="Z174" s="288" t="s">
        <v>174</v>
      </c>
      <c r="AA174" s="328" t="s">
        <v>1059</v>
      </c>
      <c r="AB174" s="285" t="s">
        <v>607</v>
      </c>
      <c r="AC174" s="285"/>
      <c r="AD174" s="285"/>
    </row>
    <row r="175" spans="1:30" s="280" customFormat="1" ht="11.25" x14ac:dyDescent="0.15">
      <c r="A175" s="285" t="s">
        <v>513</v>
      </c>
      <c r="B175" s="380">
        <v>2676029.9</v>
      </c>
      <c r="C175" s="380">
        <v>6003634.7999999998</v>
      </c>
      <c r="D175" s="380">
        <v>1766009</v>
      </c>
      <c r="E175" s="380">
        <v>5441920</v>
      </c>
      <c r="F175" s="287">
        <v>42430</v>
      </c>
      <c r="G175" s="287" t="s">
        <v>169</v>
      </c>
      <c r="H175" s="285" t="s">
        <v>159</v>
      </c>
      <c r="I175" s="285" t="s">
        <v>346</v>
      </c>
      <c r="J175" s="285" t="s">
        <v>346</v>
      </c>
      <c r="K175" s="285" t="s">
        <v>349</v>
      </c>
      <c r="L175" s="285" t="s">
        <v>349</v>
      </c>
      <c r="M175" s="285" t="s">
        <v>517</v>
      </c>
      <c r="N175" s="285" t="s">
        <v>884</v>
      </c>
      <c r="O175" s="285" t="s">
        <v>348</v>
      </c>
      <c r="P175" s="285" t="s">
        <v>573</v>
      </c>
      <c r="Q175" s="285" t="s">
        <v>885</v>
      </c>
      <c r="R175" s="286">
        <v>5</v>
      </c>
      <c r="S175" s="369">
        <v>3</v>
      </c>
      <c r="T175" s="286">
        <v>12</v>
      </c>
      <c r="U175" s="288" t="s">
        <v>179</v>
      </c>
      <c r="V175" s="288">
        <v>2</v>
      </c>
      <c r="W175" s="288">
        <v>85</v>
      </c>
      <c r="X175" s="288" t="s">
        <v>219</v>
      </c>
      <c r="Y175" s="288">
        <v>210</v>
      </c>
      <c r="Z175" s="288" t="s">
        <v>219</v>
      </c>
      <c r="AA175" s="328" t="s">
        <v>1054</v>
      </c>
      <c r="AB175" s="285" t="s">
        <v>169</v>
      </c>
      <c r="AC175" s="285"/>
      <c r="AD175" s="285"/>
    </row>
    <row r="176" spans="1:30" s="280" customFormat="1" ht="11.25" x14ac:dyDescent="0.15">
      <c r="A176" s="280" t="s">
        <v>519</v>
      </c>
      <c r="B176" s="380">
        <v>2664281.6</v>
      </c>
      <c r="C176" s="380">
        <v>6006279.4000000004</v>
      </c>
      <c r="D176" s="380">
        <v>1754261.47</v>
      </c>
      <c r="E176" s="380">
        <v>5444565.8099999996</v>
      </c>
      <c r="F176" s="287">
        <v>42552</v>
      </c>
      <c r="G176" s="287" t="s">
        <v>169</v>
      </c>
      <c r="H176" s="285" t="s">
        <v>160</v>
      </c>
      <c r="I176" s="285" t="s">
        <v>354</v>
      </c>
      <c r="J176" s="285" t="s">
        <v>354</v>
      </c>
      <c r="K176" s="285" t="s">
        <v>349</v>
      </c>
      <c r="L176" s="285" t="s">
        <v>349</v>
      </c>
      <c r="M176" s="285" t="s">
        <v>520</v>
      </c>
      <c r="N176" s="285" t="s">
        <v>886</v>
      </c>
      <c r="O176" s="285" t="s">
        <v>354</v>
      </c>
      <c r="P176" s="285" t="s">
        <v>887</v>
      </c>
      <c r="Q176" s="285" t="s">
        <v>888</v>
      </c>
      <c r="R176" s="286">
        <v>40</v>
      </c>
      <c r="S176" s="369">
        <v>3.1</v>
      </c>
      <c r="T176" s="286">
        <v>9.6999999999999993</v>
      </c>
      <c r="U176" s="288" t="s">
        <v>179</v>
      </c>
      <c r="V176" s="288">
        <v>1</v>
      </c>
      <c r="W176" s="288">
        <v>580</v>
      </c>
      <c r="X176" s="288" t="s">
        <v>185</v>
      </c>
      <c r="Y176" s="288">
        <v>10</v>
      </c>
      <c r="Z176" s="288" t="s">
        <v>185</v>
      </c>
      <c r="AA176" s="280" t="s">
        <v>587</v>
      </c>
      <c r="AB176" s="285" t="s">
        <v>889</v>
      </c>
      <c r="AC176" s="285"/>
      <c r="AD176" s="285"/>
    </row>
    <row r="177" spans="1:30" s="280" customFormat="1" ht="11.25" x14ac:dyDescent="0.15">
      <c r="A177" s="280" t="s">
        <v>521</v>
      </c>
      <c r="B177" s="380">
        <v>2692168.2510000002</v>
      </c>
      <c r="C177" s="380">
        <v>6047336.3329999996</v>
      </c>
      <c r="D177" s="380">
        <v>1782151</v>
      </c>
      <c r="E177" s="380">
        <v>5485622</v>
      </c>
      <c r="F177" s="287">
        <v>42583</v>
      </c>
      <c r="G177" s="287" t="s">
        <v>169</v>
      </c>
      <c r="H177" s="285" t="s">
        <v>159</v>
      </c>
      <c r="I177" s="285" t="s">
        <v>806</v>
      </c>
      <c r="J177" s="285" t="s">
        <v>393</v>
      </c>
      <c r="K177" s="285" t="s">
        <v>349</v>
      </c>
      <c r="L177" s="285" t="s">
        <v>349</v>
      </c>
      <c r="M177" s="285" t="s">
        <v>522</v>
      </c>
      <c r="N177" s="285" t="s">
        <v>890</v>
      </c>
      <c r="O177" s="285" t="s">
        <v>393</v>
      </c>
      <c r="P177" s="285" t="s">
        <v>573</v>
      </c>
      <c r="Q177" s="285" t="s">
        <v>890</v>
      </c>
      <c r="R177" s="286">
        <v>25</v>
      </c>
      <c r="S177" s="369">
        <v>3</v>
      </c>
      <c r="T177" s="286">
        <v>11</v>
      </c>
      <c r="U177" s="288" t="s">
        <v>575</v>
      </c>
      <c r="V177" s="288">
        <v>1</v>
      </c>
      <c r="W177" s="288">
        <v>10</v>
      </c>
      <c r="X177" s="288" t="s">
        <v>219</v>
      </c>
      <c r="Y177" s="288">
        <v>45</v>
      </c>
      <c r="Z177" s="288" t="s">
        <v>197</v>
      </c>
      <c r="AA177" s="280" t="s">
        <v>1090</v>
      </c>
      <c r="AB177" s="285" t="s">
        <v>889</v>
      </c>
      <c r="AC177" s="374" t="s">
        <v>1095</v>
      </c>
      <c r="AD177" s="285"/>
    </row>
    <row r="178" spans="1:30" s="280" customFormat="1" ht="11.25" x14ac:dyDescent="0.15">
      <c r="A178" s="280" t="s">
        <v>523</v>
      </c>
      <c r="B178" s="380">
        <v>2666639.9479999999</v>
      </c>
      <c r="C178" s="380">
        <v>6009327.9579999996</v>
      </c>
      <c r="D178" s="380">
        <v>1756620</v>
      </c>
      <c r="E178" s="380">
        <v>5447614</v>
      </c>
      <c r="F178" s="287">
        <v>42583</v>
      </c>
      <c r="G178" s="287" t="s">
        <v>169</v>
      </c>
      <c r="H178" s="285" t="s">
        <v>159</v>
      </c>
      <c r="I178" s="285" t="s">
        <v>354</v>
      </c>
      <c r="J178" s="285" t="s">
        <v>354</v>
      </c>
      <c r="K178" s="285" t="s">
        <v>349</v>
      </c>
      <c r="L178" s="285" t="s">
        <v>349</v>
      </c>
      <c r="M178" s="285" t="s">
        <v>524</v>
      </c>
      <c r="N178" s="285" t="s">
        <v>891</v>
      </c>
      <c r="O178" s="285" t="s">
        <v>525</v>
      </c>
      <c r="P178" s="285" t="s">
        <v>573</v>
      </c>
      <c r="Q178" s="285" t="s">
        <v>892</v>
      </c>
      <c r="R178" s="286">
        <v>100</v>
      </c>
      <c r="S178" s="369">
        <v>3</v>
      </c>
      <c r="T178" s="286">
        <v>20</v>
      </c>
      <c r="U178" s="288" t="s">
        <v>179</v>
      </c>
      <c r="V178" s="288">
        <v>1</v>
      </c>
      <c r="W178" s="288">
        <v>15</v>
      </c>
      <c r="X178" s="288" t="s">
        <v>179</v>
      </c>
      <c r="Y178" s="288">
        <v>35</v>
      </c>
      <c r="Z178" s="288" t="s">
        <v>182</v>
      </c>
      <c r="AA178" s="280" t="s">
        <v>169</v>
      </c>
      <c r="AB178" s="285" t="s">
        <v>889</v>
      </c>
      <c r="AC178" s="285"/>
      <c r="AD178" s="285"/>
    </row>
    <row r="179" spans="1:30" s="280" customFormat="1" ht="11.25" x14ac:dyDescent="0.15">
      <c r="A179" s="280" t="s">
        <v>526</v>
      </c>
      <c r="B179" s="380">
        <v>2732070.4180000001</v>
      </c>
      <c r="C179" s="380">
        <v>6024016.5539999995</v>
      </c>
      <c r="D179" s="380">
        <v>1822056</v>
      </c>
      <c r="E179" s="380">
        <v>5462296</v>
      </c>
      <c r="F179" s="287">
        <v>42583</v>
      </c>
      <c r="G179" s="287" t="s">
        <v>169</v>
      </c>
      <c r="H179" s="285" t="s">
        <v>159</v>
      </c>
      <c r="I179" s="285" t="s">
        <v>538</v>
      </c>
      <c r="J179" s="285" t="s">
        <v>538</v>
      </c>
      <c r="K179" s="285" t="s">
        <v>349</v>
      </c>
      <c r="L179" s="285" t="s">
        <v>349</v>
      </c>
      <c r="M179" s="285" t="s">
        <v>527</v>
      </c>
      <c r="N179" s="285" t="s">
        <v>893</v>
      </c>
      <c r="O179" s="285" t="s">
        <v>528</v>
      </c>
      <c r="P179" s="285" t="s">
        <v>894</v>
      </c>
      <c r="Q179" s="285" t="s">
        <v>895</v>
      </c>
      <c r="R179" s="286">
        <v>5</v>
      </c>
      <c r="S179" s="369">
        <v>3</v>
      </c>
      <c r="T179" s="286">
        <v>10</v>
      </c>
      <c r="U179" s="288" t="s">
        <v>179</v>
      </c>
      <c r="V179" s="288">
        <v>2</v>
      </c>
      <c r="W179" s="288">
        <v>10</v>
      </c>
      <c r="X179" s="288" t="s">
        <v>182</v>
      </c>
      <c r="Y179" s="288">
        <v>505</v>
      </c>
      <c r="Z179" s="288" t="s">
        <v>182</v>
      </c>
      <c r="AA179" s="280" t="s">
        <v>896</v>
      </c>
      <c r="AB179" s="285" t="s">
        <v>889</v>
      </c>
      <c r="AC179" s="285"/>
      <c r="AD179" s="285"/>
    </row>
    <row r="180" spans="1:30" s="280" customFormat="1" ht="11.25" x14ac:dyDescent="0.15">
      <c r="A180" s="280" t="s">
        <v>529</v>
      </c>
      <c r="B180" s="380">
        <v>2670479</v>
      </c>
      <c r="C180" s="380">
        <v>5998759</v>
      </c>
      <c r="D180" s="380">
        <v>1760457.7</v>
      </c>
      <c r="E180" s="380">
        <v>5437045</v>
      </c>
      <c r="F180" s="287">
        <v>42917</v>
      </c>
      <c r="G180" s="287" t="s">
        <v>169</v>
      </c>
      <c r="H180" s="285" t="s">
        <v>161</v>
      </c>
      <c r="I180" s="285" t="s">
        <v>346</v>
      </c>
      <c r="J180" s="285" t="s">
        <v>346</v>
      </c>
      <c r="K180" s="285" t="s">
        <v>349</v>
      </c>
      <c r="L180" s="285" t="s">
        <v>349</v>
      </c>
      <c r="M180" s="285" t="s">
        <v>530</v>
      </c>
      <c r="N180" s="285" t="s">
        <v>897</v>
      </c>
      <c r="O180" s="285" t="s">
        <v>371</v>
      </c>
      <c r="P180" s="285" t="s">
        <v>573</v>
      </c>
      <c r="Q180" s="285" t="s">
        <v>897</v>
      </c>
      <c r="R180" s="286">
        <v>5</v>
      </c>
      <c r="S180" s="369">
        <v>3</v>
      </c>
      <c r="T180" s="286">
        <v>5</v>
      </c>
      <c r="U180" s="288" t="s">
        <v>179</v>
      </c>
      <c r="V180" s="288">
        <v>2</v>
      </c>
      <c r="W180" s="288">
        <v>290</v>
      </c>
      <c r="X180" s="288" t="s">
        <v>191</v>
      </c>
      <c r="Y180" s="288">
        <v>250</v>
      </c>
      <c r="Z180" s="288" t="s">
        <v>197</v>
      </c>
      <c r="AA180" s="280" t="s">
        <v>169</v>
      </c>
      <c r="AB180" s="285" t="s">
        <v>889</v>
      </c>
      <c r="AC180" s="285"/>
      <c r="AD180" s="285"/>
    </row>
    <row r="181" spans="1:30" s="280" customFormat="1" ht="11.25" x14ac:dyDescent="0.15">
      <c r="A181" s="280" t="s">
        <v>531</v>
      </c>
      <c r="B181" s="380">
        <v>2682738</v>
      </c>
      <c r="C181" s="380">
        <v>6007390</v>
      </c>
      <c r="D181" s="380">
        <v>1772717.4</v>
      </c>
      <c r="E181" s="380">
        <v>5445674.4000000004</v>
      </c>
      <c r="F181" s="287">
        <v>42917</v>
      </c>
      <c r="G181" s="287" t="s">
        <v>169</v>
      </c>
      <c r="H181" s="285" t="s">
        <v>161</v>
      </c>
      <c r="I181" s="285" t="s">
        <v>389</v>
      </c>
      <c r="J181" s="285" t="s">
        <v>389</v>
      </c>
      <c r="K181" s="285" t="s">
        <v>349</v>
      </c>
      <c r="L181" s="285" t="s">
        <v>349</v>
      </c>
      <c r="M181" s="285" t="s">
        <v>532</v>
      </c>
      <c r="N181" s="285" t="s">
        <v>898</v>
      </c>
      <c r="O181" s="285" t="s">
        <v>533</v>
      </c>
      <c r="P181" s="285" t="s">
        <v>573</v>
      </c>
      <c r="Q181" s="285" t="s">
        <v>898</v>
      </c>
      <c r="R181" s="286">
        <v>5</v>
      </c>
      <c r="S181" s="369">
        <v>3</v>
      </c>
      <c r="T181" s="286">
        <v>15</v>
      </c>
      <c r="U181" s="288" t="s">
        <v>179</v>
      </c>
      <c r="V181" s="288">
        <v>2</v>
      </c>
      <c r="W181" s="288">
        <v>630</v>
      </c>
      <c r="X181" s="288" t="s">
        <v>179</v>
      </c>
      <c r="Y181" s="288">
        <v>410</v>
      </c>
      <c r="Z181" s="288" t="s">
        <v>182</v>
      </c>
      <c r="AA181" s="280" t="s">
        <v>169</v>
      </c>
      <c r="AB181" s="285" t="s">
        <v>889</v>
      </c>
      <c r="AC181" s="285"/>
      <c r="AD181" s="285"/>
    </row>
    <row r="182" spans="1:30" s="280" customFormat="1" ht="11.25" x14ac:dyDescent="0.15">
      <c r="A182" s="280" t="s">
        <v>534</v>
      </c>
      <c r="B182" s="380">
        <v>2660758.0520100002</v>
      </c>
      <c r="C182" s="380">
        <v>5996329.9290099991</v>
      </c>
      <c r="D182" s="380">
        <v>1750736.98</v>
      </c>
      <c r="E182" s="380">
        <v>5434617.1500000004</v>
      </c>
      <c r="F182" s="287">
        <v>42948</v>
      </c>
      <c r="G182" s="287" t="s">
        <v>169</v>
      </c>
      <c r="H182" s="285" t="s">
        <v>161</v>
      </c>
      <c r="I182" s="285" t="s">
        <v>349</v>
      </c>
      <c r="J182" s="285" t="s">
        <v>349</v>
      </c>
      <c r="K182" s="285" t="s">
        <v>349</v>
      </c>
      <c r="L182" s="285" t="s">
        <v>349</v>
      </c>
      <c r="M182" s="285" t="s">
        <v>535</v>
      </c>
      <c r="N182" s="285" t="s">
        <v>899</v>
      </c>
      <c r="O182" s="285" t="s">
        <v>369</v>
      </c>
      <c r="P182" s="285" t="s">
        <v>573</v>
      </c>
      <c r="Q182" s="285" t="s">
        <v>899</v>
      </c>
      <c r="R182" s="286">
        <v>5</v>
      </c>
      <c r="S182" s="369">
        <v>3</v>
      </c>
      <c r="T182" s="286">
        <v>14.5</v>
      </c>
      <c r="U182" s="288" t="s">
        <v>179</v>
      </c>
      <c r="V182" s="288">
        <v>1</v>
      </c>
      <c r="W182" s="288">
        <v>840</v>
      </c>
      <c r="X182" s="288" t="s">
        <v>185</v>
      </c>
      <c r="Y182" s="288">
        <v>350</v>
      </c>
      <c r="Z182" s="288" t="s">
        <v>185</v>
      </c>
      <c r="AA182" s="280" t="s">
        <v>169</v>
      </c>
      <c r="AB182" s="285" t="s">
        <v>889</v>
      </c>
      <c r="AC182" s="285"/>
      <c r="AD182" s="285"/>
    </row>
    <row r="183" spans="1:30" s="280" customFormat="1" ht="11.25" x14ac:dyDescent="0.15">
      <c r="A183" s="280" t="s">
        <v>536</v>
      </c>
      <c r="B183" s="380">
        <v>2732240.20401</v>
      </c>
      <c r="C183" s="380">
        <v>6025201.3590099998</v>
      </c>
      <c r="D183" s="380">
        <v>1822226</v>
      </c>
      <c r="E183" s="380">
        <v>5463481</v>
      </c>
      <c r="F183" s="287">
        <v>42948</v>
      </c>
      <c r="G183" s="287" t="s">
        <v>169</v>
      </c>
      <c r="H183" s="285" t="s">
        <v>161</v>
      </c>
      <c r="I183" s="285" t="s">
        <v>538</v>
      </c>
      <c r="J183" s="285" t="s">
        <v>538</v>
      </c>
      <c r="K183" s="285" t="s">
        <v>349</v>
      </c>
      <c r="L183" s="285" t="s">
        <v>349</v>
      </c>
      <c r="M183" s="285" t="s">
        <v>537</v>
      </c>
      <c r="N183" s="285" t="s">
        <v>900</v>
      </c>
      <c r="O183" s="285" t="s">
        <v>538</v>
      </c>
      <c r="P183" s="285" t="s">
        <v>573</v>
      </c>
      <c r="Q183" s="285" t="s">
        <v>900</v>
      </c>
      <c r="R183" s="286">
        <v>5</v>
      </c>
      <c r="S183" s="369">
        <v>3</v>
      </c>
      <c r="T183" s="286">
        <v>13</v>
      </c>
      <c r="U183" s="288" t="s">
        <v>179</v>
      </c>
      <c r="V183" s="288">
        <v>2</v>
      </c>
      <c r="W183" s="288">
        <v>1055</v>
      </c>
      <c r="X183" s="288" t="s">
        <v>185</v>
      </c>
      <c r="Y183" s="288">
        <v>440</v>
      </c>
      <c r="Z183" s="288" t="s">
        <v>219</v>
      </c>
      <c r="AA183" s="280" t="s">
        <v>169</v>
      </c>
      <c r="AB183" s="285" t="s">
        <v>889</v>
      </c>
      <c r="AC183" s="285"/>
      <c r="AD183" s="285"/>
    </row>
    <row r="184" spans="1:30" s="280" customFormat="1" ht="11.25" x14ac:dyDescent="0.15">
      <c r="A184" s="280" t="s">
        <v>21</v>
      </c>
      <c r="B184" s="380">
        <v>2362534.9</v>
      </c>
      <c r="C184" s="380">
        <v>5859678.7000000002</v>
      </c>
      <c r="D184" s="380">
        <v>1452575</v>
      </c>
      <c r="E184" s="380">
        <v>5298042.5</v>
      </c>
      <c r="F184" s="287">
        <v>39083</v>
      </c>
      <c r="G184" s="287" t="s">
        <v>169</v>
      </c>
      <c r="H184" s="285" t="s">
        <v>159</v>
      </c>
      <c r="I184" s="285" t="s">
        <v>398</v>
      </c>
      <c r="J184" s="285" t="s">
        <v>398</v>
      </c>
      <c r="K184" s="285" t="s">
        <v>400</v>
      </c>
      <c r="L184" s="285" t="s">
        <v>398</v>
      </c>
      <c r="M184" s="285" t="s">
        <v>399</v>
      </c>
      <c r="N184" s="285" t="s">
        <v>901</v>
      </c>
      <c r="O184" s="285" t="s">
        <v>398</v>
      </c>
      <c r="P184" s="285" t="s">
        <v>902</v>
      </c>
      <c r="Q184" s="285" t="s">
        <v>901</v>
      </c>
      <c r="R184" s="286">
        <v>15</v>
      </c>
      <c r="S184" s="369">
        <v>2.2999999999999998</v>
      </c>
      <c r="T184" s="286">
        <v>16</v>
      </c>
      <c r="U184" s="288" t="s">
        <v>179</v>
      </c>
      <c r="V184" s="288">
        <v>6</v>
      </c>
      <c r="W184" s="288">
        <v>1</v>
      </c>
      <c r="X184" s="288" t="s">
        <v>191</v>
      </c>
      <c r="Y184" s="288">
        <v>175</v>
      </c>
      <c r="Z184" s="288" t="s">
        <v>208</v>
      </c>
      <c r="AA184" s="280" t="s">
        <v>903</v>
      </c>
      <c r="AB184" s="285" t="s">
        <v>169</v>
      </c>
      <c r="AC184" s="285"/>
      <c r="AD184" s="285"/>
    </row>
    <row r="185" spans="1:30" s="280" customFormat="1" ht="11.25" x14ac:dyDescent="0.15">
      <c r="A185" s="280" t="s">
        <v>22</v>
      </c>
      <c r="B185" s="380">
        <v>2479019</v>
      </c>
      <c r="C185" s="380">
        <v>5746886</v>
      </c>
      <c r="D185" s="380">
        <v>1569019.1</v>
      </c>
      <c r="E185" s="380">
        <v>5185272.2</v>
      </c>
      <c r="F185" s="287">
        <v>39083</v>
      </c>
      <c r="G185" s="287" t="s">
        <v>169</v>
      </c>
      <c r="H185" s="285" t="s">
        <v>159</v>
      </c>
      <c r="I185" s="285" t="s">
        <v>401</v>
      </c>
      <c r="J185" s="285" t="s">
        <v>401</v>
      </c>
      <c r="K185" s="285" t="s">
        <v>404</v>
      </c>
      <c r="L185" s="285" t="s">
        <v>404</v>
      </c>
      <c r="M185" s="285" t="s">
        <v>402</v>
      </c>
      <c r="N185" s="285" t="s">
        <v>904</v>
      </c>
      <c r="O185" s="285" t="s">
        <v>403</v>
      </c>
      <c r="P185" s="285" t="s">
        <v>905</v>
      </c>
      <c r="Q185" s="285" t="s">
        <v>906</v>
      </c>
      <c r="R185" s="286">
        <v>30</v>
      </c>
      <c r="S185" s="369">
        <v>3.2</v>
      </c>
      <c r="T185" s="286">
        <v>20</v>
      </c>
      <c r="U185" s="288" t="s">
        <v>575</v>
      </c>
      <c r="V185" s="288">
        <v>74</v>
      </c>
      <c r="W185" s="288">
        <v>15</v>
      </c>
      <c r="X185" s="288" t="s">
        <v>179</v>
      </c>
      <c r="Y185" s="288">
        <v>50</v>
      </c>
      <c r="Z185" s="288" t="s">
        <v>174</v>
      </c>
      <c r="AA185" s="280" t="s">
        <v>907</v>
      </c>
      <c r="AB185" s="285" t="s">
        <v>169</v>
      </c>
      <c r="AC185" s="285"/>
      <c r="AD185" s="285"/>
    </row>
    <row r="186" spans="1:30" s="280" customFormat="1" ht="11.25" x14ac:dyDescent="0.15">
      <c r="A186" s="280" t="s">
        <v>23</v>
      </c>
      <c r="B186" s="380">
        <v>2475124</v>
      </c>
      <c r="C186" s="380">
        <v>5741781</v>
      </c>
      <c r="D186" s="380">
        <v>1565125.7</v>
      </c>
      <c r="E186" s="380">
        <v>5180169</v>
      </c>
      <c r="F186" s="287">
        <v>39083</v>
      </c>
      <c r="G186" s="287" t="s">
        <v>169</v>
      </c>
      <c r="H186" s="285" t="s">
        <v>159</v>
      </c>
      <c r="I186" s="285" t="s">
        <v>401</v>
      </c>
      <c r="J186" s="285" t="s">
        <v>401</v>
      </c>
      <c r="K186" s="285" t="s">
        <v>404</v>
      </c>
      <c r="L186" s="285" t="s">
        <v>404</v>
      </c>
      <c r="M186" s="285" t="s">
        <v>405</v>
      </c>
      <c r="N186" s="285" t="s">
        <v>908</v>
      </c>
      <c r="O186" s="285" t="s">
        <v>406</v>
      </c>
      <c r="P186" s="285" t="s">
        <v>909</v>
      </c>
      <c r="Q186" s="285" t="s">
        <v>910</v>
      </c>
      <c r="R186" s="286">
        <v>30</v>
      </c>
      <c r="S186" s="369">
        <v>3.3</v>
      </c>
      <c r="T186" s="286">
        <v>10</v>
      </c>
      <c r="U186" s="288" t="s">
        <v>575</v>
      </c>
      <c r="V186" s="288">
        <v>73</v>
      </c>
      <c r="W186" s="288">
        <v>30</v>
      </c>
      <c r="X186" s="288" t="s">
        <v>197</v>
      </c>
      <c r="Y186" s="288">
        <v>15</v>
      </c>
      <c r="Z186" s="288" t="s">
        <v>174</v>
      </c>
      <c r="AA186" s="280" t="s">
        <v>911</v>
      </c>
      <c r="AB186" s="285" t="s">
        <v>169</v>
      </c>
      <c r="AC186" s="285"/>
      <c r="AD186" s="285"/>
    </row>
    <row r="187" spans="1:30" s="280" customFormat="1" ht="11.25" x14ac:dyDescent="0.15">
      <c r="A187" s="280" t="s">
        <v>24</v>
      </c>
      <c r="B187" s="380">
        <v>2475309</v>
      </c>
      <c r="C187" s="380">
        <v>5738046</v>
      </c>
      <c r="D187" s="380">
        <v>1565310.8</v>
      </c>
      <c r="E187" s="380">
        <v>5176435.4000000004</v>
      </c>
      <c r="F187" s="287">
        <v>39083</v>
      </c>
      <c r="G187" s="287" t="s">
        <v>169</v>
      </c>
      <c r="H187" s="285" t="s">
        <v>161</v>
      </c>
      <c r="I187" s="285" t="s">
        <v>401</v>
      </c>
      <c r="J187" s="285" t="s">
        <v>401</v>
      </c>
      <c r="K187" s="285" t="s">
        <v>404</v>
      </c>
      <c r="L187" s="285" t="s">
        <v>404</v>
      </c>
      <c r="M187" s="285" t="s">
        <v>407</v>
      </c>
      <c r="N187" s="285" t="s">
        <v>912</v>
      </c>
      <c r="O187" s="285" t="s">
        <v>408</v>
      </c>
      <c r="P187" s="285" t="s">
        <v>913</v>
      </c>
      <c r="Q187" s="285" t="s">
        <v>407</v>
      </c>
      <c r="R187" s="286">
        <v>60</v>
      </c>
      <c r="S187" s="369">
        <v>3.1</v>
      </c>
      <c r="T187" s="286">
        <v>20</v>
      </c>
      <c r="U187" s="288" t="s">
        <v>179</v>
      </c>
      <c r="V187" s="288">
        <v>75</v>
      </c>
      <c r="W187" s="288">
        <v>470</v>
      </c>
      <c r="X187" s="288" t="s">
        <v>208</v>
      </c>
      <c r="Y187" s="288">
        <v>730</v>
      </c>
      <c r="Z187" s="288" t="s">
        <v>219</v>
      </c>
      <c r="AA187" s="280" t="s">
        <v>914</v>
      </c>
      <c r="AB187" s="285" t="s">
        <v>169</v>
      </c>
      <c r="AC187" s="285"/>
      <c r="AD187" s="285"/>
    </row>
    <row r="188" spans="1:30" s="280" customFormat="1" ht="11.25" x14ac:dyDescent="0.15">
      <c r="A188" s="280" t="s">
        <v>25</v>
      </c>
      <c r="B188" s="380">
        <v>2484754</v>
      </c>
      <c r="C188" s="380">
        <v>5739484</v>
      </c>
      <c r="D188" s="380">
        <v>1574752.1</v>
      </c>
      <c r="E188" s="380">
        <v>5177873.2</v>
      </c>
      <c r="F188" s="287">
        <v>39083</v>
      </c>
      <c r="G188" s="287" t="s">
        <v>169</v>
      </c>
      <c r="H188" s="285" t="s">
        <v>159</v>
      </c>
      <c r="I188" s="285" t="s">
        <v>401</v>
      </c>
      <c r="J188" s="285" t="s">
        <v>401</v>
      </c>
      <c r="K188" s="285" t="s">
        <v>404</v>
      </c>
      <c r="L188" s="285" t="s">
        <v>404</v>
      </c>
      <c r="M188" s="285" t="s">
        <v>409</v>
      </c>
      <c r="N188" s="285" t="s">
        <v>915</v>
      </c>
      <c r="O188" s="285" t="s">
        <v>410</v>
      </c>
      <c r="P188" s="285" t="s">
        <v>916</v>
      </c>
      <c r="Q188" s="285" t="s">
        <v>917</v>
      </c>
      <c r="R188" s="286">
        <v>1</v>
      </c>
      <c r="S188" s="369">
        <v>3.4</v>
      </c>
      <c r="T188" s="286">
        <v>10</v>
      </c>
      <c r="U188" s="288" t="s">
        <v>575</v>
      </c>
      <c r="V188" s="288" t="s">
        <v>411</v>
      </c>
      <c r="W188" s="288">
        <v>15</v>
      </c>
      <c r="X188" s="288" t="s">
        <v>219</v>
      </c>
      <c r="Y188" s="288">
        <v>15</v>
      </c>
      <c r="Z188" s="288" t="s">
        <v>191</v>
      </c>
      <c r="AA188" s="280" t="s">
        <v>918</v>
      </c>
      <c r="AB188" s="285" t="s">
        <v>169</v>
      </c>
      <c r="AC188" s="285"/>
      <c r="AD188" s="285"/>
    </row>
    <row r="189" spans="1:30" s="280" customFormat="1" ht="11.25" x14ac:dyDescent="0.15">
      <c r="A189" s="280" t="s">
        <v>143</v>
      </c>
      <c r="B189" s="380">
        <v>2470921</v>
      </c>
      <c r="C189" s="380">
        <v>5740232</v>
      </c>
      <c r="D189" s="380">
        <v>1560924.4</v>
      </c>
      <c r="E189" s="380">
        <v>5178620.4000000004</v>
      </c>
      <c r="F189" s="287">
        <v>40269</v>
      </c>
      <c r="G189" s="287" t="s">
        <v>169</v>
      </c>
      <c r="H189" s="285" t="s">
        <v>159</v>
      </c>
      <c r="I189" s="285" t="s">
        <v>401</v>
      </c>
      <c r="J189" s="285" t="s">
        <v>401</v>
      </c>
      <c r="K189" s="285" t="s">
        <v>404</v>
      </c>
      <c r="L189" s="285" t="s">
        <v>404</v>
      </c>
      <c r="M189" s="285" t="s">
        <v>412</v>
      </c>
      <c r="N189" s="285" t="s">
        <v>919</v>
      </c>
      <c r="O189" s="285" t="s">
        <v>413</v>
      </c>
      <c r="P189" s="285" t="s">
        <v>573</v>
      </c>
      <c r="Q189" s="285" t="s">
        <v>920</v>
      </c>
      <c r="R189" s="286">
        <v>1</v>
      </c>
      <c r="S189" s="369">
        <v>2.85</v>
      </c>
      <c r="T189" s="286">
        <v>14</v>
      </c>
      <c r="U189" s="288" t="s">
        <v>575</v>
      </c>
      <c r="V189" s="288">
        <v>1</v>
      </c>
      <c r="W189" s="288">
        <v>20</v>
      </c>
      <c r="X189" s="288" t="s">
        <v>182</v>
      </c>
      <c r="Y189" s="288">
        <v>10</v>
      </c>
      <c r="Z189" s="288" t="s">
        <v>174</v>
      </c>
      <c r="AA189" s="280" t="s">
        <v>169</v>
      </c>
      <c r="AB189" s="285" t="s">
        <v>169</v>
      </c>
      <c r="AC189" s="285"/>
      <c r="AD189" s="285"/>
    </row>
    <row r="190" spans="1:30" s="280" customFormat="1" ht="11.25" x14ac:dyDescent="0.15">
      <c r="A190" s="280" t="s">
        <v>144</v>
      </c>
      <c r="B190" s="380">
        <v>2475318</v>
      </c>
      <c r="C190" s="380">
        <v>5744438.2000000002</v>
      </c>
      <c r="D190" s="380">
        <v>1565319.6</v>
      </c>
      <c r="E190" s="380">
        <v>5182825.2</v>
      </c>
      <c r="F190" s="287">
        <v>40269</v>
      </c>
      <c r="G190" s="287" t="s">
        <v>169</v>
      </c>
      <c r="H190" s="285" t="s">
        <v>160</v>
      </c>
      <c r="I190" s="285" t="s">
        <v>401</v>
      </c>
      <c r="J190" s="285" t="s">
        <v>401</v>
      </c>
      <c r="K190" s="285" t="s">
        <v>404</v>
      </c>
      <c r="L190" s="285" t="s">
        <v>404</v>
      </c>
      <c r="M190" s="285" t="s">
        <v>921</v>
      </c>
      <c r="N190" s="285" t="s">
        <v>922</v>
      </c>
      <c r="O190" s="285" t="s">
        <v>414</v>
      </c>
      <c r="P190" s="285" t="s">
        <v>573</v>
      </c>
      <c r="Q190" s="285" t="s">
        <v>923</v>
      </c>
      <c r="R190" s="286">
        <v>10</v>
      </c>
      <c r="S190" s="369">
        <v>3</v>
      </c>
      <c r="T190" s="286">
        <v>10</v>
      </c>
      <c r="U190" s="288" t="s">
        <v>575</v>
      </c>
      <c r="V190" s="288">
        <v>1</v>
      </c>
      <c r="W190" s="288">
        <v>2195</v>
      </c>
      <c r="X190" s="288" t="s">
        <v>219</v>
      </c>
      <c r="Y190" s="288">
        <v>15</v>
      </c>
      <c r="Z190" s="288" t="s">
        <v>179</v>
      </c>
      <c r="AA190" s="280" t="s">
        <v>924</v>
      </c>
      <c r="AB190" s="285" t="s">
        <v>169</v>
      </c>
      <c r="AC190" s="285"/>
      <c r="AD190" s="285"/>
    </row>
    <row r="191" spans="1:30" s="280" customFormat="1" ht="11.25" x14ac:dyDescent="0.15">
      <c r="A191" s="280" t="s">
        <v>145</v>
      </c>
      <c r="B191" s="380">
        <v>2479958.1</v>
      </c>
      <c r="C191" s="380">
        <v>5750638.0999999996</v>
      </c>
      <c r="D191" s="380">
        <v>1569957.76</v>
      </c>
      <c r="E191" s="380">
        <v>5189022.8760000002</v>
      </c>
      <c r="F191" s="287">
        <v>40269</v>
      </c>
      <c r="G191" s="287" t="s">
        <v>169</v>
      </c>
      <c r="H191" s="285" t="s">
        <v>159</v>
      </c>
      <c r="I191" s="285" t="s">
        <v>401</v>
      </c>
      <c r="J191" s="285" t="s">
        <v>401</v>
      </c>
      <c r="K191" s="285" t="s">
        <v>404</v>
      </c>
      <c r="L191" s="285" t="s">
        <v>404</v>
      </c>
      <c r="M191" s="285" t="s">
        <v>415</v>
      </c>
      <c r="N191" s="285" t="s">
        <v>925</v>
      </c>
      <c r="O191" s="285" t="s">
        <v>416</v>
      </c>
      <c r="P191" s="285" t="s">
        <v>573</v>
      </c>
      <c r="Q191" s="285" t="s">
        <v>926</v>
      </c>
      <c r="R191" s="286">
        <v>5</v>
      </c>
      <c r="S191" s="369">
        <v>3.15</v>
      </c>
      <c r="T191" s="286">
        <v>16</v>
      </c>
      <c r="U191" s="288" t="s">
        <v>575</v>
      </c>
      <c r="V191" s="288">
        <v>74</v>
      </c>
      <c r="W191" s="288">
        <v>15</v>
      </c>
      <c r="X191" s="288" t="s">
        <v>174</v>
      </c>
      <c r="Y191" s="288">
        <v>35</v>
      </c>
      <c r="Z191" s="288" t="s">
        <v>174</v>
      </c>
      <c r="AA191" s="280" t="s">
        <v>927</v>
      </c>
      <c r="AB191" s="285" t="s">
        <v>169</v>
      </c>
      <c r="AC191" s="285"/>
      <c r="AD191" s="285"/>
    </row>
    <row r="192" spans="1:30" s="280" customFormat="1" ht="11.25" x14ac:dyDescent="0.15">
      <c r="A192" s="280" t="s">
        <v>146</v>
      </c>
      <c r="B192" s="380">
        <v>2481459</v>
      </c>
      <c r="C192" s="380">
        <v>5739921</v>
      </c>
      <c r="D192" s="380">
        <v>1571458.4</v>
      </c>
      <c r="E192" s="380">
        <v>5178309.9000000004</v>
      </c>
      <c r="F192" s="287">
        <v>40269</v>
      </c>
      <c r="G192" s="287" t="s">
        <v>169</v>
      </c>
      <c r="H192" s="285" t="s">
        <v>159</v>
      </c>
      <c r="I192" s="285" t="s">
        <v>401</v>
      </c>
      <c r="J192" s="285" t="s">
        <v>401</v>
      </c>
      <c r="K192" s="285" t="s">
        <v>404</v>
      </c>
      <c r="L192" s="285" t="s">
        <v>404</v>
      </c>
      <c r="M192" s="285" t="s">
        <v>417</v>
      </c>
      <c r="N192" s="285" t="s">
        <v>928</v>
      </c>
      <c r="O192" s="285" t="s">
        <v>418</v>
      </c>
      <c r="P192" s="285" t="s">
        <v>573</v>
      </c>
      <c r="Q192" s="285" t="s">
        <v>929</v>
      </c>
      <c r="R192" s="286">
        <v>15</v>
      </c>
      <c r="S192" s="369">
        <v>2.9</v>
      </c>
      <c r="T192" s="286">
        <v>15</v>
      </c>
      <c r="U192" s="288" t="s">
        <v>575</v>
      </c>
      <c r="V192" s="288">
        <v>76</v>
      </c>
      <c r="W192" s="288">
        <v>25</v>
      </c>
      <c r="X192" s="288" t="s">
        <v>179</v>
      </c>
      <c r="Y192" s="288">
        <v>15</v>
      </c>
      <c r="Z192" s="288" t="s">
        <v>185</v>
      </c>
      <c r="AA192" s="280" t="s">
        <v>930</v>
      </c>
      <c r="AB192" s="285" t="s">
        <v>169</v>
      </c>
      <c r="AC192" s="285"/>
      <c r="AD192" s="285"/>
    </row>
    <row r="193" spans="1:30" s="280" customFormat="1" ht="11.25" x14ac:dyDescent="0.15">
      <c r="A193" s="280" t="s">
        <v>147</v>
      </c>
      <c r="B193" s="380">
        <v>2482762.1</v>
      </c>
      <c r="C193" s="380">
        <v>5744309.0999999996</v>
      </c>
      <c r="D193" s="380">
        <v>1572760.8</v>
      </c>
      <c r="E193" s="380">
        <v>5182696.3</v>
      </c>
      <c r="F193" s="287">
        <v>40269</v>
      </c>
      <c r="G193" s="287" t="s">
        <v>169</v>
      </c>
      <c r="H193" s="285" t="s">
        <v>160</v>
      </c>
      <c r="I193" s="285" t="s">
        <v>401</v>
      </c>
      <c r="J193" s="285" t="s">
        <v>401</v>
      </c>
      <c r="K193" s="285" t="s">
        <v>404</v>
      </c>
      <c r="L193" s="285" t="s">
        <v>404</v>
      </c>
      <c r="M193" s="285" t="s">
        <v>419</v>
      </c>
      <c r="N193" s="285" t="s">
        <v>931</v>
      </c>
      <c r="O193" s="285" t="s">
        <v>420</v>
      </c>
      <c r="P193" s="285" t="s">
        <v>932</v>
      </c>
      <c r="Q193" s="285" t="s">
        <v>933</v>
      </c>
      <c r="R193" s="286">
        <v>30</v>
      </c>
      <c r="S193" s="369">
        <v>3.1</v>
      </c>
      <c r="T193" s="286">
        <v>12</v>
      </c>
      <c r="U193" s="288" t="s">
        <v>575</v>
      </c>
      <c r="V193" s="288">
        <v>74</v>
      </c>
      <c r="W193" s="288">
        <v>2050</v>
      </c>
      <c r="X193" s="288" t="s">
        <v>179</v>
      </c>
      <c r="Y193" s="288">
        <v>15</v>
      </c>
      <c r="Z193" s="288" t="s">
        <v>174</v>
      </c>
      <c r="AA193" s="280" t="s">
        <v>934</v>
      </c>
      <c r="AB193" s="285" t="s">
        <v>169</v>
      </c>
      <c r="AC193" s="285"/>
      <c r="AD193" s="285"/>
    </row>
    <row r="194" spans="1:30" s="280" customFormat="1" ht="11.25" x14ac:dyDescent="0.15">
      <c r="A194" s="280" t="s">
        <v>148</v>
      </c>
      <c r="B194" s="380">
        <v>2483685</v>
      </c>
      <c r="C194" s="380">
        <v>5741606</v>
      </c>
      <c r="D194" s="380">
        <v>1573683.4</v>
      </c>
      <c r="E194" s="380">
        <v>5179994.3</v>
      </c>
      <c r="F194" s="287">
        <v>40269</v>
      </c>
      <c r="G194" s="287" t="s">
        <v>169</v>
      </c>
      <c r="H194" s="285" t="s">
        <v>160</v>
      </c>
      <c r="I194" s="285" t="s">
        <v>401</v>
      </c>
      <c r="J194" s="285" t="s">
        <v>401</v>
      </c>
      <c r="K194" s="285" t="s">
        <v>404</v>
      </c>
      <c r="L194" s="285" t="s">
        <v>404</v>
      </c>
      <c r="M194" s="285" t="s">
        <v>421</v>
      </c>
      <c r="N194" s="285" t="s">
        <v>935</v>
      </c>
      <c r="O194" s="285" t="s">
        <v>422</v>
      </c>
      <c r="P194" s="285" t="s">
        <v>573</v>
      </c>
      <c r="Q194" s="285" t="s">
        <v>936</v>
      </c>
      <c r="R194" s="286">
        <v>35</v>
      </c>
      <c r="S194" s="369">
        <v>3</v>
      </c>
      <c r="T194" s="286">
        <v>10</v>
      </c>
      <c r="U194" s="288" t="s">
        <v>179</v>
      </c>
      <c r="V194" s="288">
        <v>76</v>
      </c>
      <c r="W194" s="288">
        <v>2270</v>
      </c>
      <c r="X194" s="288" t="s">
        <v>197</v>
      </c>
      <c r="Y194" s="288">
        <v>15</v>
      </c>
      <c r="Z194" s="288" t="s">
        <v>219</v>
      </c>
      <c r="AA194" s="280" t="s">
        <v>937</v>
      </c>
      <c r="AB194" s="285" t="s">
        <v>169</v>
      </c>
      <c r="AC194" s="285"/>
      <c r="AD194" s="285"/>
    </row>
    <row r="195" spans="1:30" s="280" customFormat="1" ht="11.25" x14ac:dyDescent="0.15">
      <c r="A195" s="280" t="s">
        <v>149</v>
      </c>
      <c r="B195" s="380">
        <v>2477569</v>
      </c>
      <c r="C195" s="380">
        <v>5741888</v>
      </c>
      <c r="D195" s="380">
        <v>1567569.8</v>
      </c>
      <c r="E195" s="380">
        <v>5180276</v>
      </c>
      <c r="F195" s="287">
        <v>40269</v>
      </c>
      <c r="G195" s="287" t="s">
        <v>169</v>
      </c>
      <c r="H195" s="285" t="s">
        <v>160</v>
      </c>
      <c r="I195" s="285" t="s">
        <v>401</v>
      </c>
      <c r="J195" s="285" t="s">
        <v>401</v>
      </c>
      <c r="K195" s="285" t="s">
        <v>404</v>
      </c>
      <c r="L195" s="285" t="s">
        <v>404</v>
      </c>
      <c r="M195" s="285" t="s">
        <v>423</v>
      </c>
      <c r="N195" s="285" t="s">
        <v>938</v>
      </c>
      <c r="O195" s="285" t="s">
        <v>406</v>
      </c>
      <c r="P195" s="285" t="s">
        <v>573</v>
      </c>
      <c r="Q195" s="285" t="s">
        <v>939</v>
      </c>
      <c r="R195" s="286">
        <v>60</v>
      </c>
      <c r="S195" s="369">
        <v>3</v>
      </c>
      <c r="T195" s="286">
        <v>70</v>
      </c>
      <c r="U195" s="288" t="s">
        <v>575</v>
      </c>
      <c r="V195" s="288">
        <v>76</v>
      </c>
      <c r="W195" s="288">
        <v>1900</v>
      </c>
      <c r="X195" s="288" t="s">
        <v>182</v>
      </c>
      <c r="Y195" s="288">
        <v>10</v>
      </c>
      <c r="Z195" s="288" t="s">
        <v>182</v>
      </c>
      <c r="AA195" s="280" t="s">
        <v>940</v>
      </c>
      <c r="AB195" s="285" t="s">
        <v>603</v>
      </c>
      <c r="AC195" s="285"/>
      <c r="AD195" s="285"/>
    </row>
    <row r="196" spans="1:30" s="280" customFormat="1" ht="11.25" x14ac:dyDescent="0.15">
      <c r="A196" s="280" t="s">
        <v>150</v>
      </c>
      <c r="B196" s="380">
        <v>2477569</v>
      </c>
      <c r="C196" s="380">
        <v>5741888</v>
      </c>
      <c r="D196" s="380">
        <v>1567569.8</v>
      </c>
      <c r="E196" s="380">
        <v>5180276</v>
      </c>
      <c r="F196" s="287">
        <v>40269</v>
      </c>
      <c r="G196" s="287" t="s">
        <v>169</v>
      </c>
      <c r="H196" s="285" t="s">
        <v>160</v>
      </c>
      <c r="I196" s="285" t="s">
        <v>401</v>
      </c>
      <c r="J196" s="285" t="s">
        <v>401</v>
      </c>
      <c r="K196" s="285" t="s">
        <v>404</v>
      </c>
      <c r="L196" s="285" t="s">
        <v>404</v>
      </c>
      <c r="M196" s="285" t="s">
        <v>423</v>
      </c>
      <c r="N196" s="285" t="s">
        <v>938</v>
      </c>
      <c r="O196" s="285" t="s">
        <v>406</v>
      </c>
      <c r="P196" s="285" t="s">
        <v>573</v>
      </c>
      <c r="Q196" s="285" t="s">
        <v>939</v>
      </c>
      <c r="R196" s="286">
        <v>60</v>
      </c>
      <c r="S196" s="369">
        <v>3</v>
      </c>
      <c r="T196" s="286">
        <v>70</v>
      </c>
      <c r="U196" s="288" t="s">
        <v>575</v>
      </c>
      <c r="V196" s="288">
        <v>76</v>
      </c>
      <c r="W196" s="288">
        <v>1900</v>
      </c>
      <c r="X196" s="288" t="s">
        <v>182</v>
      </c>
      <c r="Y196" s="288">
        <v>10</v>
      </c>
      <c r="Z196" s="288" t="s">
        <v>182</v>
      </c>
      <c r="AA196" s="280" t="s">
        <v>940</v>
      </c>
      <c r="AB196" s="285" t="s">
        <v>605</v>
      </c>
      <c r="AC196" s="285"/>
      <c r="AD196" s="285"/>
    </row>
    <row r="197" spans="1:30" s="280" customFormat="1" ht="11.25" x14ac:dyDescent="0.15">
      <c r="A197" s="280" t="s">
        <v>151</v>
      </c>
      <c r="B197" s="380">
        <v>2477569</v>
      </c>
      <c r="C197" s="380">
        <v>5741888</v>
      </c>
      <c r="D197" s="380">
        <v>1567569.8</v>
      </c>
      <c r="E197" s="380">
        <v>5180276</v>
      </c>
      <c r="F197" s="287">
        <v>40269</v>
      </c>
      <c r="G197" s="287" t="s">
        <v>169</v>
      </c>
      <c r="H197" s="285" t="s">
        <v>160</v>
      </c>
      <c r="I197" s="285" t="s">
        <v>401</v>
      </c>
      <c r="J197" s="285" t="s">
        <v>401</v>
      </c>
      <c r="K197" s="285" t="s">
        <v>404</v>
      </c>
      <c r="L197" s="285" t="s">
        <v>404</v>
      </c>
      <c r="M197" s="285" t="s">
        <v>423</v>
      </c>
      <c r="N197" s="285" t="s">
        <v>938</v>
      </c>
      <c r="O197" s="285" t="s">
        <v>406</v>
      </c>
      <c r="P197" s="285" t="s">
        <v>573</v>
      </c>
      <c r="Q197" s="285" t="s">
        <v>939</v>
      </c>
      <c r="R197" s="286">
        <v>60</v>
      </c>
      <c r="S197" s="369">
        <v>3</v>
      </c>
      <c r="T197" s="286">
        <v>70</v>
      </c>
      <c r="U197" s="288" t="s">
        <v>575</v>
      </c>
      <c r="V197" s="288">
        <v>76</v>
      </c>
      <c r="W197" s="288">
        <v>1900</v>
      </c>
      <c r="X197" s="288" t="s">
        <v>182</v>
      </c>
      <c r="Y197" s="288">
        <v>10</v>
      </c>
      <c r="Z197" s="288" t="s">
        <v>182</v>
      </c>
      <c r="AA197" s="280" t="s">
        <v>940</v>
      </c>
      <c r="AB197" s="285" t="s">
        <v>607</v>
      </c>
      <c r="AC197" s="285"/>
      <c r="AD197" s="285"/>
    </row>
    <row r="198" spans="1:30" s="280" customFormat="1" ht="11.25" x14ac:dyDescent="0.15">
      <c r="A198" s="280" t="s">
        <v>152</v>
      </c>
      <c r="B198" s="380">
        <v>2480393</v>
      </c>
      <c r="C198" s="380">
        <v>5743956</v>
      </c>
      <c r="D198" s="380">
        <v>1570392.6</v>
      </c>
      <c r="E198" s="380">
        <v>5182343.3</v>
      </c>
      <c r="F198" s="287">
        <v>40269</v>
      </c>
      <c r="G198" s="287" t="s">
        <v>169</v>
      </c>
      <c r="H198" s="285" t="s">
        <v>161</v>
      </c>
      <c r="I198" s="285" t="s">
        <v>401</v>
      </c>
      <c r="J198" s="285" t="s">
        <v>401</v>
      </c>
      <c r="K198" s="285" t="s">
        <v>404</v>
      </c>
      <c r="L198" s="285" t="s">
        <v>404</v>
      </c>
      <c r="M198" s="285" t="s">
        <v>424</v>
      </c>
      <c r="N198" s="285" t="s">
        <v>941</v>
      </c>
      <c r="O198" s="285" t="s">
        <v>425</v>
      </c>
      <c r="P198" s="285" t="s">
        <v>573</v>
      </c>
      <c r="Q198" s="285" t="s">
        <v>942</v>
      </c>
      <c r="R198" s="286">
        <v>45</v>
      </c>
      <c r="S198" s="369">
        <v>3.5</v>
      </c>
      <c r="T198" s="286">
        <v>10</v>
      </c>
      <c r="U198" s="288" t="s">
        <v>179</v>
      </c>
      <c r="V198" s="288">
        <v>74</v>
      </c>
      <c r="W198" s="288">
        <v>2600</v>
      </c>
      <c r="X198" s="288" t="s">
        <v>179</v>
      </c>
      <c r="Y198" s="288">
        <v>155</v>
      </c>
      <c r="Z198" s="288" t="s">
        <v>174</v>
      </c>
      <c r="AA198" s="280" t="s">
        <v>1091</v>
      </c>
      <c r="AB198" s="285" t="s">
        <v>603</v>
      </c>
      <c r="AC198" s="374" t="s">
        <v>1096</v>
      </c>
      <c r="AD198" s="285"/>
    </row>
    <row r="199" spans="1:30" s="280" customFormat="1" ht="11.25" x14ac:dyDescent="0.15">
      <c r="A199" s="280" t="s">
        <v>153</v>
      </c>
      <c r="B199" s="380">
        <v>2480393</v>
      </c>
      <c r="C199" s="380">
        <v>5743956</v>
      </c>
      <c r="D199" s="380">
        <v>1570392.6</v>
      </c>
      <c r="E199" s="380">
        <v>5182343.3</v>
      </c>
      <c r="F199" s="287">
        <v>40269</v>
      </c>
      <c r="G199" s="287" t="s">
        <v>169</v>
      </c>
      <c r="H199" s="285" t="s">
        <v>161</v>
      </c>
      <c r="I199" s="285" t="s">
        <v>401</v>
      </c>
      <c r="J199" s="285" t="s">
        <v>401</v>
      </c>
      <c r="K199" s="285" t="s">
        <v>404</v>
      </c>
      <c r="L199" s="285" t="s">
        <v>404</v>
      </c>
      <c r="M199" s="285" t="s">
        <v>424</v>
      </c>
      <c r="N199" s="285" t="s">
        <v>941</v>
      </c>
      <c r="O199" s="285" t="s">
        <v>425</v>
      </c>
      <c r="P199" s="285" t="s">
        <v>573</v>
      </c>
      <c r="Q199" s="285" t="s">
        <v>942</v>
      </c>
      <c r="R199" s="286">
        <v>45</v>
      </c>
      <c r="S199" s="369">
        <v>3.5</v>
      </c>
      <c r="T199" s="286">
        <v>10</v>
      </c>
      <c r="U199" s="288" t="s">
        <v>179</v>
      </c>
      <c r="V199" s="288">
        <v>74</v>
      </c>
      <c r="W199" s="288">
        <v>2600</v>
      </c>
      <c r="X199" s="288" t="s">
        <v>179</v>
      </c>
      <c r="Y199" s="288">
        <v>155</v>
      </c>
      <c r="Z199" s="288" t="s">
        <v>174</v>
      </c>
      <c r="AA199" s="280" t="s">
        <v>1091</v>
      </c>
      <c r="AB199" s="285" t="s">
        <v>605</v>
      </c>
      <c r="AC199" s="374" t="s">
        <v>1096</v>
      </c>
      <c r="AD199" s="285"/>
    </row>
    <row r="200" spans="1:30" s="280" customFormat="1" ht="11.25" x14ac:dyDescent="0.15">
      <c r="A200" s="280" t="s">
        <v>154</v>
      </c>
      <c r="B200" s="380">
        <v>2480393</v>
      </c>
      <c r="C200" s="380">
        <v>5743956</v>
      </c>
      <c r="D200" s="380">
        <v>1570392.6</v>
      </c>
      <c r="E200" s="380">
        <v>5182343.3</v>
      </c>
      <c r="F200" s="287">
        <v>40269</v>
      </c>
      <c r="G200" s="287" t="s">
        <v>169</v>
      </c>
      <c r="H200" s="285" t="s">
        <v>161</v>
      </c>
      <c r="I200" s="285" t="s">
        <v>401</v>
      </c>
      <c r="J200" s="285" t="s">
        <v>401</v>
      </c>
      <c r="K200" s="285" t="s">
        <v>404</v>
      </c>
      <c r="L200" s="285" t="s">
        <v>404</v>
      </c>
      <c r="M200" s="285" t="s">
        <v>424</v>
      </c>
      <c r="N200" s="285" t="s">
        <v>941</v>
      </c>
      <c r="O200" s="285" t="s">
        <v>425</v>
      </c>
      <c r="P200" s="285" t="s">
        <v>573</v>
      </c>
      <c r="Q200" s="285" t="s">
        <v>942</v>
      </c>
      <c r="R200" s="286">
        <v>45</v>
      </c>
      <c r="S200" s="369">
        <v>3.5</v>
      </c>
      <c r="T200" s="286">
        <v>10</v>
      </c>
      <c r="U200" s="288" t="s">
        <v>179</v>
      </c>
      <c r="V200" s="288">
        <v>74</v>
      </c>
      <c r="W200" s="288">
        <v>2600</v>
      </c>
      <c r="X200" s="288" t="s">
        <v>179</v>
      </c>
      <c r="Y200" s="288">
        <v>155</v>
      </c>
      <c r="Z200" s="288" t="s">
        <v>174</v>
      </c>
      <c r="AA200" s="280" t="s">
        <v>1091</v>
      </c>
      <c r="AB200" s="285" t="s">
        <v>607</v>
      </c>
      <c r="AC200" s="374" t="s">
        <v>1096</v>
      </c>
      <c r="AD200" s="285"/>
    </row>
    <row r="201" spans="1:30" s="280" customFormat="1" ht="11.25" x14ac:dyDescent="0.15">
      <c r="A201" s="280" t="s">
        <v>514</v>
      </c>
      <c r="B201" s="380">
        <v>2487422.6</v>
      </c>
      <c r="C201" s="380">
        <v>5733748.5</v>
      </c>
      <c r="D201" s="380">
        <v>1577419.8</v>
      </c>
      <c r="E201" s="380">
        <v>5172140.0999999996</v>
      </c>
      <c r="F201" s="287">
        <v>42370</v>
      </c>
      <c r="G201" s="287">
        <v>42766</v>
      </c>
      <c r="H201" s="285" t="s">
        <v>159</v>
      </c>
      <c r="I201" s="285" t="s">
        <v>401</v>
      </c>
      <c r="J201" s="285" t="s">
        <v>401</v>
      </c>
      <c r="K201" s="285" t="s">
        <v>404</v>
      </c>
      <c r="L201" s="285" t="s">
        <v>404</v>
      </c>
      <c r="M201" s="285" t="s">
        <v>518</v>
      </c>
      <c r="N201" s="285" t="s">
        <v>943</v>
      </c>
      <c r="O201" s="285" t="s">
        <v>944</v>
      </c>
      <c r="P201" s="285" t="s">
        <v>573</v>
      </c>
      <c r="Q201" s="285" t="s">
        <v>781</v>
      </c>
      <c r="R201" s="286">
        <v>100</v>
      </c>
      <c r="S201" s="369">
        <v>3</v>
      </c>
      <c r="T201" s="286" t="s">
        <v>945</v>
      </c>
      <c r="U201" s="288" t="s">
        <v>575</v>
      </c>
      <c r="V201" s="288">
        <v>74</v>
      </c>
      <c r="W201" s="288">
        <v>15</v>
      </c>
      <c r="X201" s="288" t="s">
        <v>182</v>
      </c>
      <c r="Y201" s="288">
        <v>15</v>
      </c>
      <c r="Z201" s="288" t="s">
        <v>174</v>
      </c>
      <c r="AA201" s="280" t="s">
        <v>946</v>
      </c>
      <c r="AB201" s="285" t="s">
        <v>603</v>
      </c>
      <c r="AC201" s="285"/>
      <c r="AD201" s="285"/>
    </row>
    <row r="202" spans="1:30" s="280" customFormat="1" ht="11.25" x14ac:dyDescent="0.15">
      <c r="A202" s="280" t="s">
        <v>515</v>
      </c>
      <c r="B202" s="380">
        <v>2487422.6</v>
      </c>
      <c r="C202" s="380">
        <v>5733748.5</v>
      </c>
      <c r="D202" s="380">
        <v>1577419.8</v>
      </c>
      <c r="E202" s="380">
        <v>5172140.0999999996</v>
      </c>
      <c r="F202" s="287">
        <v>42370</v>
      </c>
      <c r="G202" s="287">
        <v>42766</v>
      </c>
      <c r="H202" s="285" t="s">
        <v>159</v>
      </c>
      <c r="I202" s="285" t="s">
        <v>401</v>
      </c>
      <c r="J202" s="285" t="s">
        <v>401</v>
      </c>
      <c r="K202" s="285" t="s">
        <v>404</v>
      </c>
      <c r="L202" s="285" t="s">
        <v>404</v>
      </c>
      <c r="M202" s="285" t="s">
        <v>518</v>
      </c>
      <c r="N202" s="285" t="s">
        <v>943</v>
      </c>
      <c r="O202" s="285" t="s">
        <v>944</v>
      </c>
      <c r="P202" s="285" t="s">
        <v>573</v>
      </c>
      <c r="Q202" s="285" t="s">
        <v>781</v>
      </c>
      <c r="R202" s="286">
        <v>100</v>
      </c>
      <c r="S202" s="369">
        <v>3</v>
      </c>
      <c r="T202" s="286" t="s">
        <v>945</v>
      </c>
      <c r="U202" s="288" t="s">
        <v>575</v>
      </c>
      <c r="V202" s="288">
        <v>74</v>
      </c>
      <c r="W202" s="288">
        <v>15</v>
      </c>
      <c r="X202" s="288" t="s">
        <v>182</v>
      </c>
      <c r="Y202" s="288">
        <v>15</v>
      </c>
      <c r="Z202" s="288" t="s">
        <v>174</v>
      </c>
      <c r="AA202" s="280" t="s">
        <v>946</v>
      </c>
      <c r="AB202" s="285" t="s">
        <v>605</v>
      </c>
      <c r="AC202" s="285"/>
      <c r="AD202" s="285"/>
    </row>
    <row r="203" spans="1:30" s="280" customFormat="1" ht="11.25" x14ac:dyDescent="0.15">
      <c r="A203" s="280" t="s">
        <v>516</v>
      </c>
      <c r="B203" s="380">
        <v>2487422.6</v>
      </c>
      <c r="C203" s="380">
        <v>5733748.5</v>
      </c>
      <c r="D203" s="380">
        <v>1577419.8</v>
      </c>
      <c r="E203" s="380">
        <v>5172140.0999999996</v>
      </c>
      <c r="F203" s="287">
        <v>42370</v>
      </c>
      <c r="G203" s="287">
        <v>42766</v>
      </c>
      <c r="H203" s="285" t="s">
        <v>159</v>
      </c>
      <c r="I203" s="285" t="s">
        <v>401</v>
      </c>
      <c r="J203" s="285" t="s">
        <v>401</v>
      </c>
      <c r="K203" s="285" t="s">
        <v>404</v>
      </c>
      <c r="L203" s="285" t="s">
        <v>404</v>
      </c>
      <c r="M203" s="285" t="s">
        <v>518</v>
      </c>
      <c r="N203" s="285" t="s">
        <v>943</v>
      </c>
      <c r="O203" s="285" t="s">
        <v>944</v>
      </c>
      <c r="P203" s="285" t="s">
        <v>573</v>
      </c>
      <c r="Q203" s="285" t="s">
        <v>781</v>
      </c>
      <c r="R203" s="286">
        <v>100</v>
      </c>
      <c r="S203" s="369">
        <v>3</v>
      </c>
      <c r="T203" s="286" t="s">
        <v>945</v>
      </c>
      <c r="U203" s="288" t="s">
        <v>575</v>
      </c>
      <c r="V203" s="288">
        <v>74</v>
      </c>
      <c r="W203" s="288">
        <v>15</v>
      </c>
      <c r="X203" s="288" t="s">
        <v>182</v>
      </c>
      <c r="Y203" s="288">
        <v>15</v>
      </c>
      <c r="Z203" s="288" t="s">
        <v>174</v>
      </c>
      <c r="AA203" s="280" t="s">
        <v>946</v>
      </c>
      <c r="AB203" s="285" t="s">
        <v>607</v>
      </c>
      <c r="AC203" s="285"/>
      <c r="AD203" s="285"/>
    </row>
    <row r="204" spans="1:30" s="280" customFormat="1" ht="11.25" x14ac:dyDescent="0.15">
      <c r="A204" s="280" t="s">
        <v>26</v>
      </c>
      <c r="B204" s="380">
        <v>2316457</v>
      </c>
      <c r="C204" s="380">
        <v>5478947</v>
      </c>
      <c r="D204" s="380">
        <v>1406665.5</v>
      </c>
      <c r="E204" s="380">
        <v>4917299</v>
      </c>
      <c r="F204" s="287">
        <v>39083</v>
      </c>
      <c r="G204" s="287" t="s">
        <v>169</v>
      </c>
      <c r="H204" s="285" t="s">
        <v>159</v>
      </c>
      <c r="I204" s="285" t="s">
        <v>426</v>
      </c>
      <c r="J204" s="285" t="s">
        <v>426</v>
      </c>
      <c r="K204" s="285" t="s">
        <v>428</v>
      </c>
      <c r="L204" s="285" t="s">
        <v>428</v>
      </c>
      <c r="M204" s="285" t="s">
        <v>427</v>
      </c>
      <c r="N204" s="285" t="s">
        <v>947</v>
      </c>
      <c r="O204" s="285" t="s">
        <v>426</v>
      </c>
      <c r="P204" s="285" t="s">
        <v>948</v>
      </c>
      <c r="Q204" s="285" t="s">
        <v>949</v>
      </c>
      <c r="R204" s="286">
        <v>35</v>
      </c>
      <c r="S204" s="369">
        <v>3</v>
      </c>
      <c r="T204" s="286">
        <v>15</v>
      </c>
      <c r="U204" s="288" t="s">
        <v>575</v>
      </c>
      <c r="V204" s="288">
        <v>1</v>
      </c>
      <c r="W204" s="288">
        <v>10</v>
      </c>
      <c r="X204" s="288" t="s">
        <v>174</v>
      </c>
      <c r="Y204" s="288">
        <v>205</v>
      </c>
      <c r="Z204" s="288" t="s">
        <v>182</v>
      </c>
      <c r="AA204" s="280" t="s">
        <v>950</v>
      </c>
      <c r="AB204" s="285" t="s">
        <v>169</v>
      </c>
      <c r="AC204" s="285"/>
      <c r="AD204" s="285"/>
    </row>
    <row r="205" spans="1:30" s="280" customFormat="1" ht="11.25" x14ac:dyDescent="0.15">
      <c r="A205" s="280" t="s">
        <v>27</v>
      </c>
      <c r="B205" s="380">
        <v>2314122</v>
      </c>
      <c r="C205" s="380">
        <v>5476231</v>
      </c>
      <c r="D205" s="380">
        <v>1404334.6</v>
      </c>
      <c r="E205" s="380">
        <v>4914579.5999999996</v>
      </c>
      <c r="F205" s="287">
        <v>39142</v>
      </c>
      <c r="G205" s="287" t="s">
        <v>169</v>
      </c>
      <c r="H205" s="285" t="s">
        <v>159</v>
      </c>
      <c r="I205" s="285" t="s">
        <v>426</v>
      </c>
      <c r="J205" s="285" t="s">
        <v>426</v>
      </c>
      <c r="K205" s="285" t="s">
        <v>428</v>
      </c>
      <c r="L205" s="285" t="s">
        <v>428</v>
      </c>
      <c r="M205" s="285" t="s">
        <v>429</v>
      </c>
      <c r="N205" s="285" t="s">
        <v>951</v>
      </c>
      <c r="O205" s="285" t="s">
        <v>430</v>
      </c>
      <c r="P205" s="285" t="s">
        <v>573</v>
      </c>
      <c r="Q205" s="285" t="s">
        <v>952</v>
      </c>
      <c r="R205" s="286">
        <v>5</v>
      </c>
      <c r="S205" s="369">
        <v>3</v>
      </c>
      <c r="T205" s="286">
        <v>5</v>
      </c>
      <c r="U205" s="288" t="s">
        <v>179</v>
      </c>
      <c r="V205" s="288">
        <v>1</v>
      </c>
      <c r="W205" s="288">
        <v>60</v>
      </c>
      <c r="X205" s="288" t="s">
        <v>182</v>
      </c>
      <c r="Y205" s="288">
        <v>160</v>
      </c>
      <c r="Z205" s="288" t="s">
        <v>182</v>
      </c>
      <c r="AA205" s="280" t="s">
        <v>169</v>
      </c>
      <c r="AB205" s="285" t="s">
        <v>169</v>
      </c>
      <c r="AC205" s="285"/>
      <c r="AD205" s="285"/>
    </row>
    <row r="206" spans="1:30" s="280" customFormat="1" ht="11.25" x14ac:dyDescent="0.15">
      <c r="A206" s="285" t="s">
        <v>28</v>
      </c>
      <c r="B206" s="380">
        <v>2307541.7999999998</v>
      </c>
      <c r="C206" s="380">
        <v>5475355.4000000004</v>
      </c>
      <c r="D206" s="380">
        <v>1397754.7</v>
      </c>
      <c r="E206" s="380">
        <v>4913692.0999999996</v>
      </c>
      <c r="F206" s="287">
        <v>39142</v>
      </c>
      <c r="G206" s="287">
        <v>40603</v>
      </c>
      <c r="H206" s="285" t="s">
        <v>160</v>
      </c>
      <c r="I206" s="285" t="s">
        <v>426</v>
      </c>
      <c r="J206" s="285" t="s">
        <v>426</v>
      </c>
      <c r="K206" s="285" t="s">
        <v>428</v>
      </c>
      <c r="L206" s="285" t="s">
        <v>428</v>
      </c>
      <c r="M206" s="285" t="s">
        <v>431</v>
      </c>
      <c r="N206" s="285" t="s">
        <v>953</v>
      </c>
      <c r="O206" s="285" t="s">
        <v>432</v>
      </c>
      <c r="P206" s="285" t="s">
        <v>954</v>
      </c>
      <c r="Q206" s="285" t="s">
        <v>955</v>
      </c>
      <c r="R206" s="286">
        <v>5</v>
      </c>
      <c r="S206" s="369">
        <v>3</v>
      </c>
      <c r="T206" s="286">
        <v>5</v>
      </c>
      <c r="U206" s="288" t="s">
        <v>179</v>
      </c>
      <c r="V206" s="288">
        <v>1</v>
      </c>
      <c r="W206" s="288">
        <v>165</v>
      </c>
      <c r="X206" s="288" t="s">
        <v>182</v>
      </c>
      <c r="Y206" s="288">
        <v>10</v>
      </c>
      <c r="Z206" s="288" t="s">
        <v>185</v>
      </c>
      <c r="AA206" s="337" t="s">
        <v>1062</v>
      </c>
      <c r="AB206" s="285" t="s">
        <v>169</v>
      </c>
      <c r="AC206" s="285"/>
      <c r="AD206" s="285"/>
    </row>
    <row r="207" spans="1:30" s="280" customFormat="1" ht="11.25" x14ac:dyDescent="0.15">
      <c r="A207" s="280" t="s">
        <v>29</v>
      </c>
      <c r="B207" s="380">
        <v>2168560</v>
      </c>
      <c r="C207" s="380">
        <v>5566006</v>
      </c>
      <c r="D207" s="380">
        <v>1258576.2</v>
      </c>
      <c r="E207" s="380">
        <v>5004222.0999999996</v>
      </c>
      <c r="F207" s="287">
        <v>39083</v>
      </c>
      <c r="G207" s="287" t="s">
        <v>169</v>
      </c>
      <c r="H207" s="285" t="s">
        <v>159</v>
      </c>
      <c r="I207" s="285" t="s">
        <v>433</v>
      </c>
      <c r="J207" s="285" t="s">
        <v>433</v>
      </c>
      <c r="K207" s="285" t="s">
        <v>428</v>
      </c>
      <c r="L207" s="285" t="s">
        <v>428</v>
      </c>
      <c r="M207" s="285" t="s">
        <v>434</v>
      </c>
      <c r="N207" s="285" t="s">
        <v>956</v>
      </c>
      <c r="O207" s="285" t="s">
        <v>433</v>
      </c>
      <c r="P207" s="285" t="s">
        <v>573</v>
      </c>
      <c r="Q207" s="285" t="s">
        <v>957</v>
      </c>
      <c r="R207" s="286">
        <v>100</v>
      </c>
      <c r="S207" s="369">
        <v>3</v>
      </c>
      <c r="T207" s="286">
        <v>5</v>
      </c>
      <c r="U207" s="288" t="s">
        <v>575</v>
      </c>
      <c r="V207" s="288" t="s">
        <v>435</v>
      </c>
      <c r="W207" s="288">
        <v>10</v>
      </c>
      <c r="X207" s="288" t="s">
        <v>191</v>
      </c>
      <c r="Y207" s="288">
        <v>75</v>
      </c>
      <c r="Z207" s="288" t="s">
        <v>219</v>
      </c>
      <c r="AA207" s="280" t="s">
        <v>958</v>
      </c>
      <c r="AB207" s="285" t="s">
        <v>169</v>
      </c>
      <c r="AC207" s="285"/>
      <c r="AD207" s="285"/>
    </row>
    <row r="208" spans="1:30" s="280" customFormat="1" ht="11.25" x14ac:dyDescent="0.15">
      <c r="A208" s="280" t="s">
        <v>30</v>
      </c>
      <c r="B208" s="380">
        <v>2152166</v>
      </c>
      <c r="C208" s="380">
        <v>5411731</v>
      </c>
      <c r="D208" s="380">
        <v>1242407.1000000001</v>
      </c>
      <c r="E208" s="380">
        <v>4849734.2</v>
      </c>
      <c r="F208" s="287">
        <v>39083</v>
      </c>
      <c r="G208" s="287" t="s">
        <v>169</v>
      </c>
      <c r="H208" s="285" t="s">
        <v>159</v>
      </c>
      <c r="I208" s="285" t="s">
        <v>436</v>
      </c>
      <c r="J208" s="285" t="s">
        <v>436</v>
      </c>
      <c r="K208" s="285" t="s">
        <v>438</v>
      </c>
      <c r="L208" s="285" t="s">
        <v>438</v>
      </c>
      <c r="M208" s="285" t="s">
        <v>437</v>
      </c>
      <c r="N208" s="285" t="s">
        <v>959</v>
      </c>
      <c r="O208" s="285" t="s">
        <v>436</v>
      </c>
      <c r="P208" s="285" t="s">
        <v>960</v>
      </c>
      <c r="Q208" s="285" t="s">
        <v>959</v>
      </c>
      <c r="R208" s="286">
        <v>5</v>
      </c>
      <c r="S208" s="369">
        <v>3</v>
      </c>
      <c r="T208" s="286">
        <v>3</v>
      </c>
      <c r="U208" s="288" t="s">
        <v>179</v>
      </c>
      <c r="V208" s="288">
        <v>6</v>
      </c>
      <c r="W208" s="288">
        <v>15</v>
      </c>
      <c r="X208" s="288" t="s">
        <v>185</v>
      </c>
      <c r="Y208" s="288">
        <v>265</v>
      </c>
      <c r="Z208" s="288" t="s">
        <v>185</v>
      </c>
      <c r="AA208" s="280" t="s">
        <v>961</v>
      </c>
      <c r="AB208" s="285" t="s">
        <v>169</v>
      </c>
      <c r="AC208" s="285"/>
      <c r="AD208" s="285"/>
    </row>
    <row r="209" spans="1:30" s="280" customFormat="1" ht="11.25" x14ac:dyDescent="0.15">
      <c r="A209" s="280" t="s">
        <v>155</v>
      </c>
      <c r="B209" s="380">
        <v>2304509.7000000002</v>
      </c>
      <c r="C209" s="380">
        <v>5476884</v>
      </c>
      <c r="D209" s="380">
        <v>1394721.2</v>
      </c>
      <c r="E209" s="380">
        <v>4915217.9000000004</v>
      </c>
      <c r="F209" s="287">
        <v>40269</v>
      </c>
      <c r="G209" s="287" t="s">
        <v>169</v>
      </c>
      <c r="H209" s="285" t="s">
        <v>159</v>
      </c>
      <c r="I209" s="285" t="s">
        <v>426</v>
      </c>
      <c r="J209" s="285" t="s">
        <v>426</v>
      </c>
      <c r="K209" s="285" t="s">
        <v>428</v>
      </c>
      <c r="L209" s="285" t="s">
        <v>428</v>
      </c>
      <c r="M209" s="285" t="s">
        <v>439</v>
      </c>
      <c r="N209" s="285" t="s">
        <v>962</v>
      </c>
      <c r="O209" s="285" t="s">
        <v>440</v>
      </c>
      <c r="P209" s="285" t="s">
        <v>573</v>
      </c>
      <c r="Q209" s="285" t="s">
        <v>963</v>
      </c>
      <c r="R209" s="286">
        <v>35</v>
      </c>
      <c r="S209" s="369">
        <v>3</v>
      </c>
      <c r="T209" s="286">
        <v>20</v>
      </c>
      <c r="U209" s="288" t="s">
        <v>575</v>
      </c>
      <c r="V209" s="288">
        <v>87</v>
      </c>
      <c r="W209" s="288">
        <v>15</v>
      </c>
      <c r="X209" s="288" t="s">
        <v>185</v>
      </c>
      <c r="Y209" s="288">
        <v>105</v>
      </c>
      <c r="Z209" s="288" t="s">
        <v>179</v>
      </c>
      <c r="AA209" s="280" t="s">
        <v>169</v>
      </c>
      <c r="AB209" s="285" t="s">
        <v>169</v>
      </c>
      <c r="AC209" s="285"/>
      <c r="AD209" s="285"/>
    </row>
    <row r="210" spans="1:30" s="280" customFormat="1" ht="11.25" x14ac:dyDescent="0.15">
      <c r="A210" s="280" t="s">
        <v>156</v>
      </c>
      <c r="B210" s="380">
        <v>2313873.7999999998</v>
      </c>
      <c r="C210" s="380">
        <v>5477602.7000000002</v>
      </c>
      <c r="D210" s="380">
        <v>1404084.4</v>
      </c>
      <c r="E210" s="380">
        <v>4915950.9000000004</v>
      </c>
      <c r="F210" s="287">
        <v>40269</v>
      </c>
      <c r="G210" s="287" t="s">
        <v>169</v>
      </c>
      <c r="H210" s="285" t="s">
        <v>161</v>
      </c>
      <c r="I210" s="285" t="s">
        <v>426</v>
      </c>
      <c r="J210" s="285" t="s">
        <v>426</v>
      </c>
      <c r="K210" s="285" t="s">
        <v>428</v>
      </c>
      <c r="L210" s="285" t="s">
        <v>428</v>
      </c>
      <c r="M210" s="285" t="s">
        <v>441</v>
      </c>
      <c r="N210" s="285" t="s">
        <v>964</v>
      </c>
      <c r="O210" s="285" t="s">
        <v>442</v>
      </c>
      <c r="P210" s="285" t="s">
        <v>965</v>
      </c>
      <c r="Q210" s="285" t="s">
        <v>964</v>
      </c>
      <c r="R210" s="286">
        <v>5</v>
      </c>
      <c r="S210" s="369">
        <v>3</v>
      </c>
      <c r="T210" s="286">
        <v>20</v>
      </c>
      <c r="U210" s="288" t="s">
        <v>179</v>
      </c>
      <c r="V210" s="288">
        <v>1</v>
      </c>
      <c r="W210" s="288">
        <v>1500</v>
      </c>
      <c r="X210" s="288" t="s">
        <v>182</v>
      </c>
      <c r="Y210" s="288">
        <v>40</v>
      </c>
      <c r="Z210" s="288" t="s">
        <v>174</v>
      </c>
      <c r="AA210" s="280" t="s">
        <v>966</v>
      </c>
      <c r="AB210" s="285" t="s">
        <v>169</v>
      </c>
      <c r="AC210" s="285"/>
      <c r="AD210" s="285"/>
    </row>
    <row r="211" spans="1:30" s="280" customFormat="1" ht="11.25" x14ac:dyDescent="0.15">
      <c r="A211" s="280" t="s">
        <v>157</v>
      </c>
      <c r="B211" s="380">
        <v>2315158.6</v>
      </c>
      <c r="C211" s="380">
        <v>5479259.2000000002</v>
      </c>
      <c r="D211" s="380">
        <v>1405366.6</v>
      </c>
      <c r="E211" s="380">
        <v>4917609.2</v>
      </c>
      <c r="F211" s="287">
        <v>40269</v>
      </c>
      <c r="G211" s="287" t="s">
        <v>169</v>
      </c>
      <c r="H211" s="285" t="s">
        <v>160</v>
      </c>
      <c r="I211" s="285" t="s">
        <v>426</v>
      </c>
      <c r="J211" s="285" t="s">
        <v>426</v>
      </c>
      <c r="K211" s="285" t="s">
        <v>428</v>
      </c>
      <c r="L211" s="285" t="s">
        <v>428</v>
      </c>
      <c r="M211" s="285" t="s">
        <v>443</v>
      </c>
      <c r="N211" s="285" t="s">
        <v>967</v>
      </c>
      <c r="O211" s="285" t="s">
        <v>344</v>
      </c>
      <c r="P211" s="285" t="s">
        <v>573</v>
      </c>
      <c r="Q211" s="285" t="s">
        <v>968</v>
      </c>
      <c r="R211" s="286">
        <v>5</v>
      </c>
      <c r="S211" s="369">
        <v>3</v>
      </c>
      <c r="T211" s="286">
        <v>10</v>
      </c>
      <c r="U211" s="288" t="s">
        <v>575</v>
      </c>
      <c r="V211" s="288">
        <v>1</v>
      </c>
      <c r="W211" s="288">
        <v>1440</v>
      </c>
      <c r="X211" s="288" t="s">
        <v>185</v>
      </c>
      <c r="Y211" s="288">
        <v>30</v>
      </c>
      <c r="Z211" s="288" t="s">
        <v>191</v>
      </c>
      <c r="AA211" s="280" t="s">
        <v>169</v>
      </c>
      <c r="AB211" s="285" t="s">
        <v>169</v>
      </c>
      <c r="AC211" s="285"/>
      <c r="AD211" s="285"/>
    </row>
    <row r="212" spans="1:30" s="280" customFormat="1" ht="11.25" x14ac:dyDescent="0.15">
      <c r="A212" s="280" t="s">
        <v>158</v>
      </c>
      <c r="B212" s="380">
        <v>2316566.2999999998</v>
      </c>
      <c r="C212" s="380">
        <v>5475998.2000000002</v>
      </c>
      <c r="D212" s="380">
        <v>1406779.2</v>
      </c>
      <c r="E212" s="380">
        <v>4914350.5</v>
      </c>
      <c r="F212" s="287">
        <v>40269</v>
      </c>
      <c r="G212" s="287" t="s">
        <v>169</v>
      </c>
      <c r="H212" s="285" t="s">
        <v>160</v>
      </c>
      <c r="I212" s="285" t="s">
        <v>426</v>
      </c>
      <c r="J212" s="285" t="s">
        <v>426</v>
      </c>
      <c r="K212" s="285" t="s">
        <v>428</v>
      </c>
      <c r="L212" s="285" t="s">
        <v>428</v>
      </c>
      <c r="M212" s="285" t="s">
        <v>444</v>
      </c>
      <c r="N212" s="285" t="s">
        <v>969</v>
      </c>
      <c r="O212" s="285" t="s">
        <v>445</v>
      </c>
      <c r="P212" s="285" t="s">
        <v>573</v>
      </c>
      <c r="Q212" s="285" t="s">
        <v>970</v>
      </c>
      <c r="R212" s="286">
        <v>50</v>
      </c>
      <c r="S212" s="369">
        <v>3</v>
      </c>
      <c r="T212" s="286">
        <v>50</v>
      </c>
      <c r="U212" s="288" t="s">
        <v>575</v>
      </c>
      <c r="V212" s="288">
        <v>1</v>
      </c>
      <c r="W212" s="288">
        <v>1210</v>
      </c>
      <c r="X212" s="288" t="s">
        <v>219</v>
      </c>
      <c r="Y212" s="288">
        <v>10</v>
      </c>
      <c r="Z212" s="288" t="s">
        <v>179</v>
      </c>
      <c r="AA212" s="280" t="s">
        <v>169</v>
      </c>
      <c r="AB212" s="285" t="s">
        <v>169</v>
      </c>
      <c r="AC212" s="285" t="s">
        <v>169</v>
      </c>
      <c r="AD212" s="285"/>
    </row>
    <row r="213" spans="1:30" s="280" customFormat="1" ht="11.25" x14ac:dyDescent="0.15">
      <c r="A213" s="280" t="s">
        <v>31</v>
      </c>
      <c r="B213" s="380">
        <v>2153191</v>
      </c>
      <c r="C213" s="380">
        <v>5414246.2000000002</v>
      </c>
      <c r="D213" s="380">
        <v>1243427.7</v>
      </c>
      <c r="E213" s="380">
        <v>4852254.9000000004</v>
      </c>
      <c r="F213" s="287">
        <v>40299</v>
      </c>
      <c r="G213" s="287" t="s">
        <v>169</v>
      </c>
      <c r="H213" s="285" t="s">
        <v>161</v>
      </c>
      <c r="I213" s="285" t="s">
        <v>436</v>
      </c>
      <c r="J213" s="285" t="s">
        <v>436</v>
      </c>
      <c r="K213" s="285" t="s">
        <v>438</v>
      </c>
      <c r="L213" s="285" t="s">
        <v>438</v>
      </c>
      <c r="M213" s="285" t="s">
        <v>446</v>
      </c>
      <c r="N213" s="285" t="s">
        <v>971</v>
      </c>
      <c r="O213" s="285" t="s">
        <v>447</v>
      </c>
      <c r="P213" s="285" t="s">
        <v>573</v>
      </c>
      <c r="Q213" s="285" t="s">
        <v>446</v>
      </c>
      <c r="R213" s="286">
        <v>5</v>
      </c>
      <c r="S213" s="369">
        <v>3</v>
      </c>
      <c r="T213" s="286">
        <v>10</v>
      </c>
      <c r="U213" s="288" t="s">
        <v>179</v>
      </c>
      <c r="V213" s="288">
        <v>6</v>
      </c>
      <c r="W213" s="288">
        <v>1145</v>
      </c>
      <c r="X213" s="288" t="s">
        <v>174</v>
      </c>
      <c r="Y213" s="288">
        <v>50</v>
      </c>
      <c r="Z213" s="288" t="s">
        <v>174</v>
      </c>
      <c r="AA213" s="280" t="s">
        <v>169</v>
      </c>
      <c r="AB213" s="285" t="s">
        <v>169</v>
      </c>
      <c r="AC213" s="285" t="s">
        <v>169</v>
      </c>
      <c r="AD213" s="285"/>
    </row>
    <row r="214" spans="1:30" s="280" customFormat="1" ht="11.25" x14ac:dyDescent="0.15">
      <c r="A214" s="285" t="s">
        <v>468</v>
      </c>
      <c r="B214" s="380">
        <v>2307599.7000000002</v>
      </c>
      <c r="C214" s="380">
        <v>5475268.0999999996</v>
      </c>
      <c r="D214" s="380">
        <v>1397812.1</v>
      </c>
      <c r="E214" s="380">
        <v>4913605.4000000004</v>
      </c>
      <c r="F214" s="287">
        <v>40634</v>
      </c>
      <c r="G214" s="287" t="s">
        <v>169</v>
      </c>
      <c r="H214" s="285" t="s">
        <v>159</v>
      </c>
      <c r="I214" s="285" t="s">
        <v>426</v>
      </c>
      <c r="J214" s="285" t="s">
        <v>426</v>
      </c>
      <c r="K214" s="285" t="s">
        <v>428</v>
      </c>
      <c r="L214" s="285" t="s">
        <v>428</v>
      </c>
      <c r="M214" s="285" t="s">
        <v>431</v>
      </c>
      <c r="N214" s="285" t="s">
        <v>972</v>
      </c>
      <c r="O214" s="285" t="s">
        <v>432</v>
      </c>
      <c r="P214" s="285" t="s">
        <v>573</v>
      </c>
      <c r="Q214" s="285" t="s">
        <v>955</v>
      </c>
      <c r="R214" s="286">
        <v>125</v>
      </c>
      <c r="S214" s="369">
        <v>3</v>
      </c>
      <c r="T214" s="286">
        <v>20</v>
      </c>
      <c r="U214" s="288" t="s">
        <v>179</v>
      </c>
      <c r="V214" s="288">
        <v>1</v>
      </c>
      <c r="W214" s="288">
        <v>85</v>
      </c>
      <c r="X214" s="288" t="s">
        <v>182</v>
      </c>
      <c r="Y214" s="288">
        <v>10</v>
      </c>
      <c r="Z214" s="288" t="s">
        <v>174</v>
      </c>
      <c r="AA214" s="328" t="s">
        <v>1063</v>
      </c>
      <c r="AB214" s="285" t="s">
        <v>169</v>
      </c>
      <c r="AC214" s="285" t="s">
        <v>169</v>
      </c>
      <c r="AD214" s="285"/>
    </row>
    <row r="215" spans="1:30" x14ac:dyDescent="0.2">
      <c r="B215" s="290"/>
      <c r="C215" s="290"/>
      <c r="D215" s="290"/>
      <c r="E215" s="290"/>
      <c r="F215" s="291"/>
      <c r="G215" s="291"/>
      <c r="H215" s="289"/>
      <c r="I215" s="289"/>
      <c r="J215" s="289"/>
      <c r="K215" s="289"/>
      <c r="L215" s="289"/>
      <c r="M215" s="289"/>
      <c r="N215" s="289"/>
      <c r="O215" s="289"/>
      <c r="P215" s="289"/>
      <c r="Q215" s="289"/>
      <c r="R215" s="290"/>
      <c r="S215" s="370"/>
      <c r="T215" s="290"/>
      <c r="U215" s="292"/>
      <c r="V215" s="292"/>
      <c r="W215" s="292"/>
      <c r="X215" s="292"/>
      <c r="Y215" s="292"/>
      <c r="Z215" s="292"/>
      <c r="AB215" s="289"/>
    </row>
    <row r="216" spans="1:30" x14ac:dyDescent="0.2">
      <c r="B216" s="290"/>
      <c r="C216" s="290"/>
      <c r="D216" s="290"/>
      <c r="E216" s="290"/>
      <c r="F216" s="291"/>
      <c r="G216" s="291"/>
      <c r="H216" s="289"/>
      <c r="I216" s="289"/>
      <c r="J216" s="289"/>
      <c r="K216" s="289"/>
      <c r="L216" s="289"/>
      <c r="M216" s="289"/>
      <c r="N216" s="289"/>
      <c r="O216" s="289"/>
      <c r="P216" s="289"/>
      <c r="Q216" s="289"/>
      <c r="R216" s="290"/>
      <c r="S216" s="370"/>
      <c r="T216" s="290"/>
      <c r="U216" s="292"/>
      <c r="V216" s="292"/>
      <c r="W216" s="292"/>
      <c r="X216" s="292"/>
      <c r="Y216" s="292"/>
      <c r="Z216" s="292"/>
      <c r="AB216" s="289"/>
    </row>
    <row r="217" spans="1:30" x14ac:dyDescent="0.2">
      <c r="B217" s="290"/>
      <c r="C217" s="290"/>
      <c r="D217" s="290"/>
      <c r="E217" s="290"/>
      <c r="F217" s="291"/>
      <c r="G217" s="291"/>
      <c r="H217" s="289"/>
      <c r="I217" s="289"/>
      <c r="J217" s="289"/>
      <c r="K217" s="289"/>
      <c r="L217" s="289"/>
      <c r="M217" s="289"/>
      <c r="N217" s="289"/>
      <c r="O217" s="289"/>
      <c r="P217" s="289"/>
      <c r="Q217" s="289"/>
      <c r="R217" s="290"/>
      <c r="S217" s="370"/>
      <c r="T217" s="290"/>
      <c r="U217" s="292"/>
      <c r="V217" s="292"/>
      <c r="W217" s="292"/>
      <c r="X217" s="292"/>
      <c r="Y217" s="292"/>
      <c r="Z217" s="292"/>
      <c r="AB217" s="289"/>
    </row>
    <row r="221" spans="1:30" ht="13.7" customHeight="1" x14ac:dyDescent="0.2"/>
  </sheetData>
  <mergeCells count="30">
    <mergeCell ref="Y4:Y5"/>
    <mergeCell ref="Z4:Z5"/>
    <mergeCell ref="AA4:AA5"/>
    <mergeCell ref="AB4:AB5"/>
    <mergeCell ref="AC4:AC5"/>
    <mergeCell ref="T4:T5"/>
    <mergeCell ref="U4:U5"/>
    <mergeCell ref="V4:V5"/>
    <mergeCell ref="W4:W5"/>
    <mergeCell ref="X4:X5"/>
    <mergeCell ref="A4:A5"/>
    <mergeCell ref="B4:B5"/>
    <mergeCell ref="C4:C5"/>
    <mergeCell ref="D4:D5"/>
    <mergeCell ref="E4:E5"/>
    <mergeCell ref="D1:E1"/>
    <mergeCell ref="S4:S5"/>
    <mergeCell ref="M4:M5"/>
    <mergeCell ref="N4:N5"/>
    <mergeCell ref="O4:O5"/>
    <mergeCell ref="P4:P5"/>
    <mergeCell ref="Q4:Q5"/>
    <mergeCell ref="R4:R5"/>
    <mergeCell ref="L4:L5"/>
    <mergeCell ref="F4:F5"/>
    <mergeCell ref="G4:G5"/>
    <mergeCell ref="H4:H5"/>
    <mergeCell ref="I4:I5"/>
    <mergeCell ref="J4:J5"/>
    <mergeCell ref="K4:K5"/>
  </mergeCells>
  <phoneticPr fontId="0" type="noConversion"/>
  <conditionalFormatting sqref="A1">
    <cfRule type="cellIs" dxfId="353" priority="19" stopIfTrue="1" operator="equal">
      <formula>""</formula>
    </cfRule>
  </conditionalFormatting>
  <conditionalFormatting sqref="B14:E14">
    <cfRule type="cellIs" dxfId="352" priority="17" stopIfTrue="1" operator="equal">
      <formula>""</formula>
    </cfRule>
  </conditionalFormatting>
  <conditionalFormatting sqref="B7:E7">
    <cfRule type="cellIs" dxfId="351" priority="18" stopIfTrue="1" operator="equal">
      <formula>""</formula>
    </cfRule>
  </conditionalFormatting>
  <conditionalFormatting sqref="D22:E22">
    <cfRule type="cellIs" dxfId="350" priority="16" stopIfTrue="1" operator="equal">
      <formula>""</formula>
    </cfRule>
  </conditionalFormatting>
  <conditionalFormatting sqref="B25:E25">
    <cfRule type="cellIs" dxfId="349" priority="15" stopIfTrue="1" operator="equal">
      <formula>""</formula>
    </cfRule>
  </conditionalFormatting>
  <conditionalFormatting sqref="B27:E27">
    <cfRule type="cellIs" dxfId="348" priority="14" stopIfTrue="1" operator="equal">
      <formula>""</formula>
    </cfRule>
  </conditionalFormatting>
  <conditionalFormatting sqref="B30:E30">
    <cfRule type="cellIs" dxfId="347" priority="13" stopIfTrue="1" operator="equal">
      <formula>""</formula>
    </cfRule>
  </conditionalFormatting>
  <conditionalFormatting sqref="B34:E34">
    <cfRule type="cellIs" dxfId="346" priority="12" stopIfTrue="1" operator="equal">
      <formula>""</formula>
    </cfRule>
  </conditionalFormatting>
  <conditionalFormatting sqref="B38:E38">
    <cfRule type="cellIs" dxfId="345" priority="11" stopIfTrue="1" operator="equal">
      <formula>""</formula>
    </cfRule>
  </conditionalFormatting>
  <conditionalFormatting sqref="B50:E50">
    <cfRule type="cellIs" dxfId="344" priority="10" stopIfTrue="1" operator="equal">
      <formula>""</formula>
    </cfRule>
  </conditionalFormatting>
  <conditionalFormatting sqref="B54:E54">
    <cfRule type="cellIs" dxfId="343" priority="9" stopIfTrue="1" operator="equal">
      <formula>""</formula>
    </cfRule>
  </conditionalFormatting>
  <conditionalFormatting sqref="B58:E58">
    <cfRule type="cellIs" dxfId="342" priority="8" stopIfTrue="1" operator="equal">
      <formula>""</formula>
    </cfRule>
  </conditionalFormatting>
  <conditionalFormatting sqref="B62:E62">
    <cfRule type="cellIs" dxfId="341" priority="7" stopIfTrue="1" operator="equal">
      <formula>""</formula>
    </cfRule>
  </conditionalFormatting>
  <conditionalFormatting sqref="B66:E66">
    <cfRule type="cellIs" dxfId="340" priority="6" stopIfTrue="1" operator="equal">
      <formula>""</formula>
    </cfRule>
  </conditionalFormatting>
  <conditionalFormatting sqref="B68:E68">
    <cfRule type="cellIs" dxfId="339" priority="5" stopIfTrue="1" operator="equal">
      <formula>""</formula>
    </cfRule>
  </conditionalFormatting>
  <conditionalFormatting sqref="B70:E70">
    <cfRule type="cellIs" dxfId="338" priority="4" stopIfTrue="1" operator="equal">
      <formula>""</formula>
    </cfRule>
  </conditionalFormatting>
  <conditionalFormatting sqref="B84:E84">
    <cfRule type="cellIs" dxfId="337" priority="3" stopIfTrue="1" operator="equal">
      <formula>""</formula>
    </cfRule>
  </conditionalFormatting>
  <conditionalFormatting sqref="B96:E96">
    <cfRule type="cellIs" dxfId="336" priority="2" stopIfTrue="1" operator="equal">
      <formula>""</formula>
    </cfRule>
  </conditionalFormatting>
  <conditionalFormatting sqref="B116:E116">
    <cfRule type="cellIs" dxfId="335" priority="1" stopIfTrue="1" operator="equal">
      <formula>""</formula>
    </cfRule>
  </conditionalFormatting>
  <pageMargins left="0.74803149606299213" right="0.74803149606299213" top="0.39370078740157483" bottom="0.39370078740157483" header="0.31496062992125984" footer="0.31496062992125984"/>
  <pageSetup paperSize="9" scale="55" fitToHeight="2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A1:AK440"/>
  <sheetViews>
    <sheetView zoomScale="112" zoomScaleNormal="112" workbookViewId="0">
      <pane xSplit="2" ySplit="6" topLeftCell="C59" activePane="bottomRight" state="frozen"/>
      <selection activeCell="K6" sqref="K6"/>
      <selection pane="topRight" activeCell="K6" sqref="K6"/>
      <selection pane="bottomLeft" activeCell="K6" sqref="K6"/>
      <selection pane="bottomRight" activeCell="D59" sqref="D59"/>
    </sheetView>
  </sheetViews>
  <sheetFormatPr defaultColWidth="10.7109375" defaultRowHeight="10.5" x14ac:dyDescent="0.15"/>
  <cols>
    <col min="1" max="1" width="10.7109375" style="39" customWidth="1"/>
    <col min="2" max="2" width="9.42578125" style="51" bestFit="1" customWidth="1"/>
    <col min="3" max="3" width="8.140625" style="51" hidden="1" customWidth="1"/>
    <col min="4" max="15" width="18.140625" style="39" customWidth="1"/>
    <col min="16" max="17" width="18.140625" style="50" customWidth="1"/>
    <col min="18" max="19" width="11.7109375" style="26" customWidth="1"/>
    <col min="20" max="20" width="11.7109375" style="21" customWidth="1"/>
    <col min="21" max="25" width="11.7109375" style="10" customWidth="1"/>
    <col min="26" max="26" width="11.7109375" style="39" customWidth="1"/>
    <col min="27" max="27" width="10.7109375" style="39"/>
    <col min="28" max="28" width="21" style="39" bestFit="1" customWidth="1"/>
    <col min="29" max="29" width="10.7109375" style="39"/>
    <col min="30" max="30" width="16.42578125" style="230" bestFit="1" customWidth="1"/>
    <col min="31" max="31" width="10.7109375" style="230"/>
    <col min="32" max="32" width="12.42578125" style="39" bestFit="1" customWidth="1"/>
    <col min="33" max="16384" width="10.7109375" style="39"/>
  </cols>
  <sheetData>
    <row r="1" spans="1:35" s="31" customFormat="1" ht="18" customHeight="1" thickTop="1" x14ac:dyDescent="0.15">
      <c r="B1" s="468" t="s">
        <v>448</v>
      </c>
      <c r="C1" s="469"/>
      <c r="D1" s="469"/>
      <c r="E1" s="469"/>
      <c r="F1" s="469"/>
      <c r="G1" s="469"/>
      <c r="H1" s="469"/>
      <c r="I1" s="469"/>
      <c r="J1" s="469"/>
      <c r="K1" s="469"/>
      <c r="L1" s="469"/>
      <c r="M1" s="469"/>
      <c r="N1" s="469"/>
      <c r="O1" s="469"/>
      <c r="P1" s="469"/>
      <c r="Q1" s="470"/>
      <c r="R1" s="23"/>
      <c r="S1" s="23"/>
      <c r="T1" s="3"/>
      <c r="U1" s="2"/>
      <c r="V1" s="2"/>
      <c r="W1" s="2"/>
      <c r="X1" s="2"/>
      <c r="Y1" s="2"/>
      <c r="AB1" s="93"/>
      <c r="AC1" s="93"/>
      <c r="AD1" s="206"/>
      <c r="AE1" s="206"/>
      <c r="AF1" s="93"/>
      <c r="AG1" s="93"/>
      <c r="AH1" s="93"/>
    </row>
    <row r="2" spans="1:35" s="31" customFormat="1" ht="18" customHeight="1" x14ac:dyDescent="0.15">
      <c r="B2" s="471" t="s">
        <v>449</v>
      </c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2"/>
      <c r="N2" s="472"/>
      <c r="O2" s="472"/>
      <c r="P2" s="472"/>
      <c r="Q2" s="473"/>
      <c r="R2" s="23"/>
      <c r="S2" s="23"/>
      <c r="T2" s="3"/>
      <c r="U2" s="2"/>
      <c r="V2" s="2"/>
      <c r="W2" s="2"/>
      <c r="X2" s="2"/>
      <c r="Y2" s="2"/>
      <c r="AB2" s="93"/>
      <c r="AC2" s="93"/>
      <c r="AD2" s="206"/>
      <c r="AE2" s="206"/>
      <c r="AF2" s="93"/>
      <c r="AG2" s="93"/>
      <c r="AH2" s="93"/>
    </row>
    <row r="3" spans="1:35" s="31" customFormat="1" ht="18" customHeight="1" thickBot="1" x14ac:dyDescent="0.2">
      <c r="B3" s="474" t="s">
        <v>477</v>
      </c>
      <c r="C3" s="475"/>
      <c r="D3" s="475"/>
      <c r="E3" s="475"/>
      <c r="F3" s="475"/>
      <c r="G3" s="475"/>
      <c r="H3" s="475"/>
      <c r="I3" s="475"/>
      <c r="J3" s="475"/>
      <c r="K3" s="475"/>
      <c r="L3" s="475"/>
      <c r="M3" s="475"/>
      <c r="N3" s="475"/>
      <c r="O3" s="475"/>
      <c r="P3" s="475"/>
      <c r="Q3" s="476"/>
      <c r="R3" s="23"/>
      <c r="S3" s="23"/>
      <c r="T3" s="3"/>
      <c r="U3" s="2"/>
      <c r="V3" s="2"/>
      <c r="W3" s="2"/>
      <c r="X3" s="2"/>
      <c r="Y3" s="2"/>
      <c r="AB3" s="94"/>
      <c r="AC3" s="94"/>
      <c r="AD3" s="206"/>
      <c r="AE3" s="206"/>
      <c r="AF3" s="94"/>
      <c r="AG3" s="94"/>
      <c r="AH3" s="94"/>
    </row>
    <row r="4" spans="1:35" s="31" customFormat="1" ht="14.25" thickTop="1" thickBot="1" x14ac:dyDescent="0.25">
      <c r="B4" s="32"/>
      <c r="C4" s="32"/>
      <c r="P4" s="33"/>
      <c r="Q4" s="33"/>
      <c r="R4" s="21" t="s">
        <v>497</v>
      </c>
      <c r="S4" s="30"/>
      <c r="T4" s="21" t="s">
        <v>498</v>
      </c>
      <c r="U4" s="1"/>
      <c r="V4" s="1"/>
      <c r="W4" s="1"/>
      <c r="X4" s="449" t="s">
        <v>508</v>
      </c>
      <c r="Y4" s="449"/>
      <c r="Z4" s="449"/>
      <c r="AA4" s="105"/>
      <c r="AD4" s="206"/>
      <c r="AE4" s="206"/>
    </row>
    <row r="5" spans="1:35" s="31" customFormat="1" ht="14.25" customHeight="1" thickTop="1" thickBot="1" x14ac:dyDescent="0.2">
      <c r="B5" s="160"/>
      <c r="C5" s="106"/>
      <c r="D5" s="477" t="s">
        <v>451</v>
      </c>
      <c r="E5" s="477"/>
      <c r="F5" s="477"/>
      <c r="G5" s="477"/>
      <c r="H5" s="477"/>
      <c r="I5" s="477"/>
      <c r="J5" s="477"/>
      <c r="K5" s="477"/>
      <c r="L5" s="477"/>
      <c r="M5" s="477"/>
      <c r="N5" s="477"/>
      <c r="O5" s="477"/>
      <c r="P5" s="477"/>
      <c r="Q5" s="478" t="s">
        <v>452</v>
      </c>
      <c r="R5" s="139" t="s">
        <v>461</v>
      </c>
      <c r="S5" s="466" t="s">
        <v>452</v>
      </c>
      <c r="T5" s="168" t="s">
        <v>460</v>
      </c>
      <c r="U5" s="450" t="s">
        <v>452</v>
      </c>
      <c r="V5" s="168" t="s">
        <v>494</v>
      </c>
      <c r="W5" s="450" t="s">
        <v>452</v>
      </c>
      <c r="X5" s="139" t="s">
        <v>461</v>
      </c>
      <c r="Y5" s="139" t="s">
        <v>460</v>
      </c>
      <c r="Z5" s="450" t="s">
        <v>509</v>
      </c>
      <c r="AA5" s="107"/>
      <c r="AB5" s="95"/>
      <c r="AC5" s="96"/>
      <c r="AD5" s="96"/>
      <c r="AE5" s="96"/>
      <c r="AF5" s="96"/>
      <c r="AG5" s="96"/>
      <c r="AH5" s="96"/>
      <c r="AI5" s="97"/>
    </row>
    <row r="6" spans="1:35" s="31" customFormat="1" ht="14.25" customHeight="1" thickTop="1" x14ac:dyDescent="0.15">
      <c r="B6" s="103" t="s">
        <v>453</v>
      </c>
      <c r="C6" s="34">
        <v>40878</v>
      </c>
      <c r="D6" s="34">
        <v>40909</v>
      </c>
      <c r="E6" s="34">
        <v>40940</v>
      </c>
      <c r="F6" s="34">
        <v>40969</v>
      </c>
      <c r="G6" s="34">
        <v>41000</v>
      </c>
      <c r="H6" s="34">
        <v>41030</v>
      </c>
      <c r="I6" s="34">
        <v>41061</v>
      </c>
      <c r="J6" s="34">
        <v>41091</v>
      </c>
      <c r="K6" s="34">
        <v>41122</v>
      </c>
      <c r="L6" s="34">
        <v>41153</v>
      </c>
      <c r="M6" s="34">
        <v>41183</v>
      </c>
      <c r="N6" s="34">
        <v>41214</v>
      </c>
      <c r="O6" s="34">
        <v>41244</v>
      </c>
      <c r="P6" s="34" t="s">
        <v>454</v>
      </c>
      <c r="Q6" s="479"/>
      <c r="R6" s="149" t="s">
        <v>454</v>
      </c>
      <c r="S6" s="467"/>
      <c r="T6" s="158" t="s">
        <v>454</v>
      </c>
      <c r="U6" s="451"/>
      <c r="V6" s="158" t="s">
        <v>454</v>
      </c>
      <c r="W6" s="451"/>
      <c r="X6" s="149" t="s">
        <v>454</v>
      </c>
      <c r="Y6" s="149" t="s">
        <v>454</v>
      </c>
      <c r="Z6" s="451"/>
      <c r="AB6" s="98" t="s">
        <v>166</v>
      </c>
      <c r="AC6" s="34" t="s">
        <v>476</v>
      </c>
      <c r="AD6" s="34" t="s">
        <v>1087</v>
      </c>
      <c r="AE6" s="34" t="s">
        <v>1088</v>
      </c>
      <c r="AF6" s="34" t="s">
        <v>472</v>
      </c>
      <c r="AG6" s="34" t="s">
        <v>474</v>
      </c>
      <c r="AH6" s="34" t="s">
        <v>473</v>
      </c>
      <c r="AI6" s="99" t="s">
        <v>475</v>
      </c>
    </row>
    <row r="7" spans="1:35" ht="12" customHeight="1" x14ac:dyDescent="0.15">
      <c r="A7" s="31"/>
      <c r="B7" s="35" t="s">
        <v>2</v>
      </c>
      <c r="C7" s="104">
        <f>IF(VLOOKUP($B7,'Monthly Summary 2011'!$B$7:$Q$222,14,FALSE)=0,"",VLOOKUP($B7,'Monthly Summary 2011'!$B$7:$Q$222,14,FALSE))</f>
        <v>16.399999999999999</v>
      </c>
      <c r="D7" s="36">
        <v>18.100000000000001</v>
      </c>
      <c r="E7" s="36">
        <v>24.4</v>
      </c>
      <c r="F7" s="36">
        <v>22.6</v>
      </c>
      <c r="G7" s="36">
        <v>27.4</v>
      </c>
      <c r="H7" s="36">
        <v>33.799999999999997</v>
      </c>
      <c r="I7" s="36">
        <v>36.200000000000003</v>
      </c>
      <c r="J7" s="36">
        <v>31.5</v>
      </c>
      <c r="K7" s="36">
        <v>24.7</v>
      </c>
      <c r="L7" s="36">
        <v>18.100000000000001</v>
      </c>
      <c r="M7" s="36"/>
      <c r="N7" s="36">
        <v>23.3</v>
      </c>
      <c r="O7" s="36">
        <v>15.6</v>
      </c>
      <c r="P7" s="37">
        <f>(AVERAGE(D7:O7))</f>
        <v>25.063636363636363</v>
      </c>
      <c r="Q7" s="38">
        <f>COUNT(D7:O7)/COUNT($D$6:$O$6)</f>
        <v>0.91666666666666663</v>
      </c>
      <c r="R7" s="140">
        <f>IF($S7=0%,"",IF($S7&gt;66%,AVERAGE($D7:$F7),"-"))</f>
        <v>21.7</v>
      </c>
      <c r="S7" s="150">
        <f>COUNT(D7:F7)/3</f>
        <v>1</v>
      </c>
      <c r="T7" s="140">
        <f>IF($U7=0%,"",IF($U7&gt;66%,AVERAGE($J7:$L7),"-"))</f>
        <v>24.766666666666669</v>
      </c>
      <c r="U7" s="9">
        <f>COUNT(J7:L7)/3</f>
        <v>1</v>
      </c>
      <c r="V7" s="141">
        <f>IF(AND(($S7&gt;33%),($U7&gt;33%),($W7&gt;=75%)),AVERAGE($D7:$O7),"-")</f>
        <v>25.063636363636363</v>
      </c>
      <c r="W7" s="142">
        <f>Q7</f>
        <v>0.91666666666666663</v>
      </c>
      <c r="X7" s="144">
        <f t="shared" ref="X7:X38" ca="1" si="0">IF(VLOOKUP($B7,$AC$6:$AI$158,3,FALSE)="",$R7,IF(ISERROR(AVERAGEIF($AD$6:$AD$160,VLOOKUP($B7,$AC$6:$AI$158,2,FALSE),$R$6:$R$158)),"",AVERAGEIF($AD$6:$AD$160,VLOOKUP($B7,$AC$6:$AI$158,2,FALSE),$R$6:$R$158)))</f>
        <v>14.383333333333333</v>
      </c>
      <c r="Y7" s="144">
        <f t="shared" ref="Y7:Y38" ca="1" si="1">IF(VLOOKUP($B7,$AC$6:$AI$158,3,FALSE)="",$T7,IF(ISERROR(AVERAGEIF($AD$6:$AD$160,VLOOKUP($B7,$AC$6:$AI$158,2,FALSE),$T$6:$T$158)),"",AVERAGEIF($AD$6:$AD$160,VLOOKUP($B7,$AC$6:$AI$158,2,FALSE),$T$6:$T$158)))</f>
        <v>17.116666666666667</v>
      </c>
      <c r="Z7" s="144">
        <f t="shared" ref="Z7:Z38" ca="1" si="2">IF(VLOOKUP($B7,$AC$6:$AI$158,3,FALSE)="",$V7,IF(ISERROR(AVERAGEIF($AD$6:$AD$160,VLOOKUP($B7,$AC$6:$AI$158,2,FALSE),$V$6:$V$158)),"",AVERAGEIF($AD$6:$AD$160,VLOOKUP($B7,$AC$6:$AI$158,2,FALSE),$V$6:$V$158)))</f>
        <v>17.672727272727272</v>
      </c>
      <c r="AA7" s="10"/>
      <c r="AB7" s="100" t="str">
        <f>VLOOKUP($B7,'2007-2020 Metadata'!$A$4:$S$214,MATCH("Urban Area /Monitoring Zone",'2007-2020 Metadata'!$A$4:$S$4,0),FALSE)</f>
        <v>Whangarei</v>
      </c>
      <c r="AC7" s="87" t="str">
        <f>VLOOKUP(B7,'2007-2020 Metadata'!$A$6:$A$214,1,FALSE)</f>
        <v>AUC001</v>
      </c>
      <c r="AD7" s="230" t="str">
        <f>VLOOKUP($AC7,'2007-2020 Metadata'!$A$6:$S$214,9,FALSE)</f>
        <v>Whangarei</v>
      </c>
      <c r="AE7" s="248">
        <f>IF(ISBLANK(VLOOKUP($AC7,'2007-2020 Metadata'!$A$6:$S$214,19,FALSE)),"",VLOOKUP($AC7,'2007-2020 Metadata'!$A$6:$S$214,19,FALSE))</f>
        <v>3.2</v>
      </c>
      <c r="AF7" s="88" t="str">
        <f>VLOOKUP($B7,'2007-2020 Metadata'!$A$4:$S$214,MATCH("Site type",'2007-2020 Metadata'!$A$4:$S$4,0),FALSE)</f>
        <v>SH</v>
      </c>
      <c r="AG7" s="143">
        <f>MIN($D7:$O7)</f>
        <v>15.6</v>
      </c>
      <c r="AH7" s="143">
        <f>MAX($D7:$O7)</f>
        <v>36.200000000000003</v>
      </c>
      <c r="AI7" s="144">
        <f ca="1">IF($W7&gt;=75%,$Z7," ")</f>
        <v>17.672727272727272</v>
      </c>
    </row>
    <row r="8" spans="1:35" ht="12" customHeight="1" x14ac:dyDescent="0.15">
      <c r="A8" s="31"/>
      <c r="B8" s="40" t="s">
        <v>3</v>
      </c>
      <c r="C8" s="104">
        <f>IF(VLOOKUP($B8,'Monthly Summary 2011'!$B$7:$Q$222,14,FALSE)=0,"",VLOOKUP($B8,'Monthly Summary 2011'!$B$7:$Q$222,14,FALSE))</f>
        <v>8.5</v>
      </c>
      <c r="D8" s="36">
        <v>8.1999999999999993</v>
      </c>
      <c r="E8" s="36">
        <v>10.7</v>
      </c>
      <c r="F8" s="36">
        <v>10.3</v>
      </c>
      <c r="G8" s="36">
        <v>13.8</v>
      </c>
      <c r="H8" s="36">
        <v>16.899999999999999</v>
      </c>
      <c r="I8" s="36">
        <v>17</v>
      </c>
      <c r="J8" s="36"/>
      <c r="K8" s="36">
        <v>7.5</v>
      </c>
      <c r="L8" s="36">
        <v>6</v>
      </c>
      <c r="M8" s="36">
        <v>5</v>
      </c>
      <c r="N8" s="36">
        <v>5</v>
      </c>
      <c r="O8" s="36"/>
      <c r="P8" s="37">
        <f t="shared" ref="P8:P71" si="3">(AVERAGE(D8:O8))</f>
        <v>10.040000000000001</v>
      </c>
      <c r="Q8" s="38">
        <f t="shared" ref="Q8:Q71" si="4">COUNT(D8:O8)/COUNT($D$6:$O$6)</f>
        <v>0.83333333333333337</v>
      </c>
      <c r="R8" s="140">
        <f t="shared" ref="R8:R71" si="5">IF($S8=0%,"",IF($S8&gt;66%,AVERAGE($D8:$F8),"-"))</f>
        <v>9.7333333333333325</v>
      </c>
      <c r="S8" s="24">
        <f t="shared" ref="S8:S71" si="6">COUNT(D8:F8)/3</f>
        <v>1</v>
      </c>
      <c r="T8" s="140">
        <f t="shared" ref="T8:T71" si="7">IF($U8=0%,"",IF($U8&gt;66%,AVERAGE($J8:$L8),"-"))</f>
        <v>6.75</v>
      </c>
      <c r="U8" s="9">
        <f t="shared" ref="U8:U71" si="8">COUNT(J8:L8)/3</f>
        <v>0.66666666666666663</v>
      </c>
      <c r="V8" s="141">
        <f t="shared" ref="V8:V71" si="9">IF(AND(($S8&gt;33%),($U8&gt;33%),($W8&gt;=75%)),AVERAGE($D8:$O8),"-")</f>
        <v>10.040000000000001</v>
      </c>
      <c r="W8" s="142">
        <f t="shared" ref="W8:W71" si="10">Q8</f>
        <v>0.83333333333333337</v>
      </c>
      <c r="X8" s="144">
        <f t="shared" ca="1" si="0"/>
        <v>9.7333333333333325</v>
      </c>
      <c r="Y8" s="144">
        <f t="shared" ca="1" si="1"/>
        <v>6.75</v>
      </c>
      <c r="Z8" s="144">
        <f t="shared" ca="1" si="2"/>
        <v>10.040000000000001</v>
      </c>
      <c r="AA8" s="10"/>
      <c r="AB8" s="357" t="str">
        <f>VLOOKUP($B8,'2007-2020 Metadata'!$A$4:$S$214,MATCH("Urban Area /Monitoring Zone",'2007-2020 Metadata'!$A$4:$S$4,0),FALSE)</f>
        <v>Auckland - Northern</v>
      </c>
      <c r="AC8" s="87" t="str">
        <f>VLOOKUP(B8,'2007-2020 Metadata'!$A$6:$A$214,1,FALSE)</f>
        <v>AUC004</v>
      </c>
      <c r="AD8" s="230" t="str">
        <f>VLOOKUP($AC8,'2007-2020 Metadata'!$A$6:$S$214,9,FALSE)</f>
        <v>Rodney</v>
      </c>
      <c r="AE8" s="248">
        <f>IF(ISBLANK(VLOOKUP($AC8,'2007-2020 Metadata'!$A$6:$S$214,19,FALSE)),"",VLOOKUP($AC8,'2007-2020 Metadata'!$A$6:$S$214,19,FALSE))</f>
        <v>2.5</v>
      </c>
      <c r="AF8" s="88" t="str">
        <f>VLOOKUP($B8,'2007-2020 Metadata'!$A$4:$S$214,MATCH("Site type",'2007-2020 Metadata'!$A$4:$S$4,0),FALSE)</f>
        <v>SH</v>
      </c>
      <c r="AG8" s="143">
        <f t="shared" ref="AG8:AG71" si="11">MIN($D8:$O8)</f>
        <v>5</v>
      </c>
      <c r="AH8" s="143">
        <f t="shared" ref="AH8:AH71" si="12">MAX($D8:$O8)</f>
        <v>17</v>
      </c>
      <c r="AI8" s="144">
        <f t="shared" ref="AI8:AI71" ca="1" si="13">IF($W8&gt;=75%,$Z8," ")</f>
        <v>10.040000000000001</v>
      </c>
    </row>
    <row r="9" spans="1:35" ht="12" customHeight="1" x14ac:dyDescent="0.15">
      <c r="A9" s="31"/>
      <c r="B9" s="40" t="s">
        <v>4</v>
      </c>
      <c r="C9" s="104">
        <f>IF(VLOOKUP($B9,'Monthly Summary 2011'!$B$7:$Q$222,14,FALSE)=0,"",VLOOKUP($B9,'Monthly Summary 2011'!$B$7:$Q$222,14,FALSE))</f>
        <v>21.4</v>
      </c>
      <c r="D9" s="36">
        <v>24.4</v>
      </c>
      <c r="E9" s="36">
        <v>25.9</v>
      </c>
      <c r="F9" s="36">
        <v>29.5</v>
      </c>
      <c r="G9" s="36">
        <v>33.5</v>
      </c>
      <c r="H9" s="36">
        <v>31.7</v>
      </c>
      <c r="I9" s="36">
        <v>34.299999999999997</v>
      </c>
      <c r="J9" s="36">
        <v>31.5</v>
      </c>
      <c r="K9" s="36"/>
      <c r="L9" s="36"/>
      <c r="M9" s="36"/>
      <c r="N9" s="36"/>
      <c r="O9" s="36"/>
      <c r="P9" s="37">
        <f t="shared" si="3"/>
        <v>30.114285714285717</v>
      </c>
      <c r="Q9" s="38">
        <f t="shared" si="4"/>
        <v>0.58333333333333337</v>
      </c>
      <c r="R9" s="140">
        <f t="shared" si="5"/>
        <v>26.599999999999998</v>
      </c>
      <c r="S9" s="24">
        <f t="shared" si="6"/>
        <v>1</v>
      </c>
      <c r="T9" s="140" t="str">
        <f t="shared" si="7"/>
        <v>-</v>
      </c>
      <c r="U9" s="9">
        <f t="shared" si="8"/>
        <v>0.33333333333333331</v>
      </c>
      <c r="V9" s="141" t="str">
        <f t="shared" si="9"/>
        <v>-</v>
      </c>
      <c r="W9" s="142">
        <f t="shared" si="10"/>
        <v>0.58333333333333337</v>
      </c>
      <c r="X9" s="144">
        <f t="shared" ca="1" si="0"/>
        <v>23.239393939393942</v>
      </c>
      <c r="Y9" s="144">
        <f t="shared" ca="1" si="1"/>
        <v>27.863333333333333</v>
      </c>
      <c r="Z9" s="144">
        <f t="shared" ca="1" si="2"/>
        <v>26.047045454545458</v>
      </c>
      <c r="AA9" s="10"/>
      <c r="AB9" s="357" t="str">
        <f>VLOOKUP($B9,'2007-2020 Metadata'!$A$4:$S$214,MATCH("Urban Area /Monitoring Zone",'2007-2020 Metadata'!$A$4:$S$4,0),FALSE)</f>
        <v>Auckland - Northern</v>
      </c>
      <c r="AC9" s="87" t="str">
        <f>VLOOKUP(B9,'2007-2020 Metadata'!$A$6:$A$214,1,FALSE)</f>
        <v>AUC005</v>
      </c>
      <c r="AD9" s="230" t="str">
        <f>VLOOKUP($AC9,'2007-2020 Metadata'!$A$6:$S$214,9,FALSE)</f>
        <v xml:space="preserve">North Shore </v>
      </c>
      <c r="AE9" s="248">
        <f>IF(ISBLANK(VLOOKUP($AC9,'2007-2020 Metadata'!$A$6:$S$214,19,FALSE)),"",VLOOKUP($AC9,'2007-2020 Metadata'!$A$6:$S$214,19,FALSE))</f>
        <v>2.1</v>
      </c>
      <c r="AF9" s="88" t="str">
        <f>VLOOKUP($B9,'2007-2020 Metadata'!$A$4:$S$214,MATCH("Site type",'2007-2020 Metadata'!$A$4:$S$4,0),FALSE)</f>
        <v>Local</v>
      </c>
      <c r="AG9" s="143">
        <f t="shared" si="11"/>
        <v>24.4</v>
      </c>
      <c r="AH9" s="143">
        <f t="shared" si="12"/>
        <v>34.299999999999997</v>
      </c>
      <c r="AI9" s="144" t="str">
        <f t="shared" si="13"/>
        <v xml:space="preserve"> </v>
      </c>
    </row>
    <row r="10" spans="1:35" ht="12" customHeight="1" x14ac:dyDescent="0.15">
      <c r="A10" s="31"/>
      <c r="B10" s="40" t="s">
        <v>6</v>
      </c>
      <c r="C10" s="104">
        <f>IF(VLOOKUP($B10,'Monthly Summary 2011'!$B$7:$Q$222,14,FALSE)=0,"",VLOOKUP($B10,'Monthly Summary 2011'!$B$7:$Q$222,14,FALSE))</f>
        <v>26.7</v>
      </c>
      <c r="D10" s="36">
        <v>22.1</v>
      </c>
      <c r="E10" s="36">
        <v>26.8</v>
      </c>
      <c r="F10" s="36">
        <v>39.6</v>
      </c>
      <c r="G10" s="36">
        <v>42.9</v>
      </c>
      <c r="H10" s="36">
        <v>28.8</v>
      </c>
      <c r="I10" s="36">
        <v>28.2</v>
      </c>
      <c r="J10" s="36">
        <v>39.6</v>
      </c>
      <c r="K10" s="36">
        <v>28.4</v>
      </c>
      <c r="L10" s="36">
        <v>26</v>
      </c>
      <c r="M10" s="36">
        <v>19.899999999999999</v>
      </c>
      <c r="N10" s="36">
        <v>16.7</v>
      </c>
      <c r="O10" s="36">
        <v>19.899999999999999</v>
      </c>
      <c r="P10" s="37">
        <f t="shared" si="3"/>
        <v>28.24166666666666</v>
      </c>
      <c r="Q10" s="38">
        <f t="shared" si="4"/>
        <v>1</v>
      </c>
      <c r="R10" s="140">
        <f t="shared" si="5"/>
        <v>29.5</v>
      </c>
      <c r="S10" s="24">
        <f t="shared" si="6"/>
        <v>1</v>
      </c>
      <c r="T10" s="140">
        <f t="shared" si="7"/>
        <v>31.333333333333332</v>
      </c>
      <c r="U10" s="9">
        <f t="shared" si="8"/>
        <v>1</v>
      </c>
      <c r="V10" s="141">
        <f t="shared" si="9"/>
        <v>28.24166666666666</v>
      </c>
      <c r="W10" s="142">
        <f t="shared" si="10"/>
        <v>1</v>
      </c>
      <c r="X10" s="144">
        <f t="shared" ca="1" si="0"/>
        <v>23.239393939393942</v>
      </c>
      <c r="Y10" s="144">
        <f t="shared" ca="1" si="1"/>
        <v>27.863333333333333</v>
      </c>
      <c r="Z10" s="144">
        <f t="shared" ca="1" si="2"/>
        <v>26.047045454545458</v>
      </c>
      <c r="AA10" s="10"/>
      <c r="AB10" s="357" t="str">
        <f>VLOOKUP($B10,'2007-2020 Metadata'!$A$4:$S$214,MATCH("Urban Area /Monitoring Zone",'2007-2020 Metadata'!$A$4:$S$4,0),FALSE)</f>
        <v>Auckland - Northern</v>
      </c>
      <c r="AC10" s="87" t="str">
        <f>VLOOKUP(B10,'2007-2020 Metadata'!$A$6:$A$214,1,FALSE)</f>
        <v>AUC007</v>
      </c>
      <c r="AD10" s="230" t="str">
        <f>VLOOKUP($AC10,'2007-2020 Metadata'!$A$6:$S$214,9,FALSE)</f>
        <v xml:space="preserve">North Shore </v>
      </c>
      <c r="AE10" s="248">
        <f>IF(ISBLANK(VLOOKUP($AC10,'2007-2020 Metadata'!$A$6:$S$214,19,FALSE)),"",VLOOKUP($AC10,'2007-2020 Metadata'!$A$6:$S$214,19,FALSE))</f>
        <v>3</v>
      </c>
      <c r="AF10" s="88" t="str">
        <f>VLOOKUP($B10,'2007-2020 Metadata'!$A$4:$S$214,MATCH("Site type",'2007-2020 Metadata'!$A$4:$S$4,0),FALSE)</f>
        <v>SH</v>
      </c>
      <c r="AG10" s="143">
        <f t="shared" si="11"/>
        <v>16.7</v>
      </c>
      <c r="AH10" s="143">
        <f t="shared" si="12"/>
        <v>42.9</v>
      </c>
      <c r="AI10" s="144">
        <f t="shared" ca="1" si="13"/>
        <v>26.047045454545458</v>
      </c>
    </row>
    <row r="11" spans="1:35" ht="12" customHeight="1" x14ac:dyDescent="0.15">
      <c r="A11" s="31"/>
      <c r="B11" s="40" t="s">
        <v>7</v>
      </c>
      <c r="C11" s="104">
        <f>IF(VLOOKUP($B11,'Monthly Summary 2011'!$B$7:$Q$222,14,FALSE)=0,"",VLOOKUP($B11,'Monthly Summary 2011'!$B$7:$Q$222,14,FALSE))</f>
        <v>28.5</v>
      </c>
      <c r="D11" s="36">
        <v>19.399999999999999</v>
      </c>
      <c r="E11" s="36">
        <v>27.1</v>
      </c>
      <c r="F11" s="36">
        <v>34.5</v>
      </c>
      <c r="G11" s="36">
        <v>39</v>
      </c>
      <c r="H11" s="36">
        <v>29.5</v>
      </c>
      <c r="I11" s="36">
        <v>32</v>
      </c>
      <c r="J11" s="36">
        <v>40.200000000000003</v>
      </c>
      <c r="K11" s="36">
        <v>30</v>
      </c>
      <c r="L11" s="36">
        <v>26.6</v>
      </c>
      <c r="M11" s="36">
        <v>20.100000000000001</v>
      </c>
      <c r="N11" s="36">
        <v>22.6</v>
      </c>
      <c r="O11" s="36">
        <v>20.399999999999999</v>
      </c>
      <c r="P11" s="37">
        <f t="shared" si="3"/>
        <v>28.450000000000003</v>
      </c>
      <c r="Q11" s="38">
        <f t="shared" si="4"/>
        <v>1</v>
      </c>
      <c r="R11" s="140">
        <f t="shared" si="5"/>
        <v>27</v>
      </c>
      <c r="S11" s="24">
        <f t="shared" si="6"/>
        <v>1</v>
      </c>
      <c r="T11" s="140">
        <f t="shared" si="7"/>
        <v>32.266666666666673</v>
      </c>
      <c r="U11" s="9">
        <f t="shared" si="8"/>
        <v>1</v>
      </c>
      <c r="V11" s="141">
        <f t="shared" si="9"/>
        <v>28.450000000000003</v>
      </c>
      <c r="W11" s="142">
        <f t="shared" si="10"/>
        <v>1</v>
      </c>
      <c r="X11" s="144">
        <f t="shared" ca="1" si="0"/>
        <v>26.251282051282047</v>
      </c>
      <c r="Y11" s="144">
        <f t="shared" ca="1" si="1"/>
        <v>32.028205128205123</v>
      </c>
      <c r="Z11" s="144">
        <f t="shared" ca="1" si="2"/>
        <v>30.274999999999999</v>
      </c>
      <c r="AA11" s="10"/>
      <c r="AB11" s="357" t="str">
        <f>VLOOKUP($B11,'2007-2020 Metadata'!$A$4:$S$214,MATCH("Urban Area /Monitoring Zone",'2007-2020 Metadata'!$A$4:$S$4,0),FALSE)</f>
        <v>Auckland - Central</v>
      </c>
      <c r="AC11" s="87" t="str">
        <f>VLOOKUP(B11,'2007-2020 Metadata'!$A$6:$A$214,1,FALSE)</f>
        <v>AUC008</v>
      </c>
      <c r="AD11" s="230" t="str">
        <f>VLOOKUP($AC11,'2007-2020 Metadata'!$A$6:$S$214,9,FALSE)</f>
        <v>Auckland</v>
      </c>
      <c r="AE11" s="248">
        <f>IF(ISBLANK(VLOOKUP($AC11,'2007-2020 Metadata'!$A$6:$S$214,19,FALSE)),"",VLOOKUP($AC11,'2007-2020 Metadata'!$A$6:$S$214,19,FALSE))</f>
        <v>3</v>
      </c>
      <c r="AF11" s="88" t="str">
        <f>VLOOKUP($B11,'2007-2020 Metadata'!$A$4:$S$214,MATCH("Site type",'2007-2020 Metadata'!$A$4:$S$4,0),FALSE)</f>
        <v>SH</v>
      </c>
      <c r="AG11" s="143">
        <f t="shared" si="11"/>
        <v>19.399999999999999</v>
      </c>
      <c r="AH11" s="143">
        <f t="shared" si="12"/>
        <v>40.200000000000003</v>
      </c>
      <c r="AI11" s="144">
        <f t="shared" ca="1" si="13"/>
        <v>30.274999999999999</v>
      </c>
    </row>
    <row r="12" spans="1:35" ht="12" customHeight="1" x14ac:dyDescent="0.15">
      <c r="A12" s="31"/>
      <c r="B12" s="40" t="s">
        <v>8</v>
      </c>
      <c r="C12" s="104">
        <f>IF(VLOOKUP($B12,'Monthly Summary 2011'!$B$7:$Q$222,14,FALSE)=0,"",VLOOKUP($B12,'Monthly Summary 2011'!$B$7:$Q$222,14,FALSE))</f>
        <v>30.2</v>
      </c>
      <c r="D12" s="36">
        <v>25.1</v>
      </c>
      <c r="E12" s="36">
        <v>39</v>
      </c>
      <c r="F12" s="36">
        <v>43.9</v>
      </c>
      <c r="G12" s="36">
        <v>51.5</v>
      </c>
      <c r="H12" s="36">
        <v>52.3</v>
      </c>
      <c r="I12" s="36">
        <v>54.6</v>
      </c>
      <c r="J12" s="36">
        <v>43.3</v>
      </c>
      <c r="K12" s="36">
        <v>43.5</v>
      </c>
      <c r="L12" s="36">
        <v>35.5</v>
      </c>
      <c r="M12" s="36">
        <v>39.9</v>
      </c>
      <c r="N12" s="36">
        <v>41.3</v>
      </c>
      <c r="O12" s="36">
        <v>26.1</v>
      </c>
      <c r="P12" s="37">
        <f t="shared" si="3"/>
        <v>41.333333333333336</v>
      </c>
      <c r="Q12" s="38">
        <f t="shared" si="4"/>
        <v>1</v>
      </c>
      <c r="R12" s="140">
        <f t="shared" si="5"/>
        <v>36</v>
      </c>
      <c r="S12" s="24">
        <f t="shared" si="6"/>
        <v>1</v>
      </c>
      <c r="T12" s="140">
        <f t="shared" si="7"/>
        <v>40.766666666666666</v>
      </c>
      <c r="U12" s="9">
        <f t="shared" si="8"/>
        <v>1</v>
      </c>
      <c r="V12" s="141">
        <f t="shared" si="9"/>
        <v>41.333333333333336</v>
      </c>
      <c r="W12" s="142">
        <f t="shared" si="10"/>
        <v>1</v>
      </c>
      <c r="X12" s="144">
        <f t="shared" ca="1" si="0"/>
        <v>26.251282051282047</v>
      </c>
      <c r="Y12" s="144">
        <f t="shared" ca="1" si="1"/>
        <v>32.028205128205123</v>
      </c>
      <c r="Z12" s="144">
        <f t="shared" ca="1" si="2"/>
        <v>30.274999999999999</v>
      </c>
      <c r="AA12" s="10"/>
      <c r="AB12" s="357" t="str">
        <f>VLOOKUP($B12,'2007-2020 Metadata'!$A$4:$S$214,MATCH("Urban Area /Monitoring Zone",'2007-2020 Metadata'!$A$4:$S$4,0),FALSE)</f>
        <v>Auckland - Central</v>
      </c>
      <c r="AC12" s="87" t="str">
        <f>VLOOKUP(B12,'2007-2020 Metadata'!$A$6:$A$214,1,FALSE)</f>
        <v>AUC009</v>
      </c>
      <c r="AD12" s="230" t="str">
        <f>VLOOKUP($AC12,'2007-2020 Metadata'!$A$6:$S$214,9,FALSE)</f>
        <v>Auckland</v>
      </c>
      <c r="AE12" s="248">
        <f>IF(ISBLANK(VLOOKUP($AC12,'2007-2020 Metadata'!$A$6:$S$214,19,FALSE)),"",VLOOKUP($AC12,'2007-2020 Metadata'!$A$6:$S$214,19,FALSE))</f>
        <v>3</v>
      </c>
      <c r="AF12" s="88" t="str">
        <f>VLOOKUP($B12,'2007-2020 Metadata'!$A$4:$S$214,MATCH("Site type",'2007-2020 Metadata'!$A$4:$S$4,0),FALSE)</f>
        <v>SH</v>
      </c>
      <c r="AG12" s="143">
        <f t="shared" si="11"/>
        <v>25.1</v>
      </c>
      <c r="AH12" s="143">
        <f t="shared" si="12"/>
        <v>54.6</v>
      </c>
      <c r="AI12" s="144">
        <f t="shared" ca="1" si="13"/>
        <v>30.274999999999999</v>
      </c>
    </row>
    <row r="13" spans="1:35" ht="12" customHeight="1" x14ac:dyDescent="0.15">
      <c r="A13" s="31"/>
      <c r="B13" s="40" t="s">
        <v>9</v>
      </c>
      <c r="C13" s="104">
        <f>IF(VLOOKUP($B13,'Monthly Summary 2011'!$B$7:$Q$222,14,FALSE)=0,"",VLOOKUP($B13,'Monthly Summary 2011'!$B$7:$Q$222,14,FALSE))</f>
        <v>17.100000000000001</v>
      </c>
      <c r="D13" s="36">
        <v>25.5</v>
      </c>
      <c r="E13" s="36">
        <v>28.8</v>
      </c>
      <c r="F13" s="36">
        <v>38.6</v>
      </c>
      <c r="G13" s="36">
        <v>45.8</v>
      </c>
      <c r="H13" s="36">
        <v>47.2</v>
      </c>
      <c r="I13" s="36">
        <v>48.9</v>
      </c>
      <c r="J13" s="36">
        <v>39.4</v>
      </c>
      <c r="K13" s="36">
        <v>38</v>
      </c>
      <c r="L13" s="36">
        <v>32.299999999999997</v>
      </c>
      <c r="M13" s="36">
        <v>36</v>
      </c>
      <c r="N13" s="36">
        <v>31.8</v>
      </c>
      <c r="O13" s="36">
        <v>23</v>
      </c>
      <c r="P13" s="37">
        <f t="shared" si="3"/>
        <v>36.274999999999999</v>
      </c>
      <c r="Q13" s="38">
        <f t="shared" si="4"/>
        <v>1</v>
      </c>
      <c r="R13" s="140">
        <f t="shared" si="5"/>
        <v>30.966666666666669</v>
      </c>
      <c r="S13" s="24">
        <f t="shared" si="6"/>
        <v>1</v>
      </c>
      <c r="T13" s="140">
        <f t="shared" si="7"/>
        <v>36.56666666666667</v>
      </c>
      <c r="U13" s="9">
        <f t="shared" si="8"/>
        <v>1</v>
      </c>
      <c r="V13" s="141">
        <f t="shared" si="9"/>
        <v>36.274999999999999</v>
      </c>
      <c r="W13" s="142">
        <f t="shared" si="10"/>
        <v>1</v>
      </c>
      <c r="X13" s="144">
        <f t="shared" ca="1" si="0"/>
        <v>26.251282051282047</v>
      </c>
      <c r="Y13" s="144">
        <f t="shared" ca="1" si="1"/>
        <v>32.028205128205123</v>
      </c>
      <c r="Z13" s="144">
        <f t="shared" ca="1" si="2"/>
        <v>30.274999999999999</v>
      </c>
      <c r="AA13" s="10"/>
      <c r="AB13" s="357" t="str">
        <f>VLOOKUP($B13,'2007-2020 Metadata'!$A$4:$S$214,MATCH("Urban Area /Monitoring Zone",'2007-2020 Metadata'!$A$4:$S$4,0),FALSE)</f>
        <v>Auckland - Central</v>
      </c>
      <c r="AC13" s="87" t="str">
        <f>VLOOKUP(B13,'2007-2020 Metadata'!$A$6:$A$214,1,FALSE)</f>
        <v>AUC011</v>
      </c>
      <c r="AD13" s="230" t="str">
        <f>VLOOKUP($AC13,'2007-2020 Metadata'!$A$6:$S$214,9,FALSE)</f>
        <v>Auckland</v>
      </c>
      <c r="AE13" s="248">
        <f>IF(ISBLANK(VLOOKUP($AC13,'2007-2020 Metadata'!$A$6:$S$214,19,FALSE)),"",VLOOKUP($AC13,'2007-2020 Metadata'!$A$6:$S$214,19,FALSE))</f>
        <v>3</v>
      </c>
      <c r="AF13" s="88" t="str">
        <f>VLOOKUP($B13,'2007-2020 Metadata'!$A$4:$S$214,MATCH("Site type",'2007-2020 Metadata'!$A$4:$S$4,0),FALSE)</f>
        <v>SH</v>
      </c>
      <c r="AG13" s="143">
        <f t="shared" si="11"/>
        <v>23</v>
      </c>
      <c r="AH13" s="143">
        <f t="shared" si="12"/>
        <v>48.9</v>
      </c>
      <c r="AI13" s="144">
        <f t="shared" ca="1" si="13"/>
        <v>30.274999999999999</v>
      </c>
    </row>
    <row r="14" spans="1:35" ht="12" customHeight="1" x14ac:dyDescent="0.15">
      <c r="A14" s="31"/>
      <c r="B14" s="40" t="s">
        <v>10</v>
      </c>
      <c r="C14" s="104">
        <f>IF(VLOOKUP($B14,'Monthly Summary 2011'!$B$7:$Q$222,14,FALSE)=0,"",VLOOKUP($B14,'Monthly Summary 2011'!$B$7:$Q$222,14,FALSE))</f>
        <v>15.3</v>
      </c>
      <c r="D14" s="36">
        <v>21.3</v>
      </c>
      <c r="E14" s="36">
        <v>24.4</v>
      </c>
      <c r="F14" s="36">
        <v>28</v>
      </c>
      <c r="G14" s="36">
        <v>38.200000000000003</v>
      </c>
      <c r="H14" s="36">
        <v>44.1</v>
      </c>
      <c r="I14" s="36">
        <v>44</v>
      </c>
      <c r="J14" s="36">
        <v>29.3</v>
      </c>
      <c r="K14" s="36">
        <v>31.4</v>
      </c>
      <c r="L14" s="36">
        <v>28.5</v>
      </c>
      <c r="M14" s="36">
        <v>19.600000000000001</v>
      </c>
      <c r="N14" s="36">
        <v>28.7</v>
      </c>
      <c r="O14" s="36">
        <v>18.2</v>
      </c>
      <c r="P14" s="37">
        <f t="shared" si="3"/>
        <v>29.641666666666666</v>
      </c>
      <c r="Q14" s="38">
        <f t="shared" si="4"/>
        <v>1</v>
      </c>
      <c r="R14" s="260">
        <f t="shared" si="5"/>
        <v>24.566666666666666</v>
      </c>
      <c r="S14" s="264">
        <f t="shared" si="6"/>
        <v>1</v>
      </c>
      <c r="T14" s="260">
        <f t="shared" si="7"/>
        <v>29.733333333333334</v>
      </c>
      <c r="U14" s="265">
        <f t="shared" si="8"/>
        <v>1</v>
      </c>
      <c r="V14" s="262">
        <f t="shared" si="9"/>
        <v>29.641666666666666</v>
      </c>
      <c r="W14" s="261">
        <f t="shared" si="10"/>
        <v>1</v>
      </c>
      <c r="X14" s="177">
        <f t="shared" ca="1" si="0"/>
        <v>26.251282051282047</v>
      </c>
      <c r="Y14" s="177">
        <f t="shared" ca="1" si="1"/>
        <v>32.028205128205123</v>
      </c>
      <c r="Z14" s="177">
        <f t="shared" ca="1" si="2"/>
        <v>30.274999999999999</v>
      </c>
      <c r="AA14" s="10"/>
      <c r="AB14" s="357" t="str">
        <f>VLOOKUP($B14,'2007-2020 Metadata'!$A$4:$S$214,MATCH("Urban Area /Monitoring Zone",'2007-2020 Metadata'!$A$4:$S$4,0),FALSE)</f>
        <v>Auckland - Central</v>
      </c>
      <c r="AC14" s="259" t="str">
        <f>VLOOKUP(B14,'2007-2020 Metadata'!$A$6:$A$214,1,FALSE)</f>
        <v>AUC013</v>
      </c>
      <c r="AD14" s="256" t="str">
        <f>VLOOKUP($AC14,'2007-2020 Metadata'!$A$6:$S$214,9,FALSE)</f>
        <v>Auckland</v>
      </c>
      <c r="AE14" s="263">
        <f>IF(ISBLANK(VLOOKUP($AC14,'2007-2020 Metadata'!$A$6:$S$214,19,FALSE)),"",VLOOKUP($AC14,'2007-2020 Metadata'!$A$6:$S$214,19,FALSE))</f>
        <v>4</v>
      </c>
      <c r="AF14" s="257" t="str">
        <f>VLOOKUP($B14,'2007-2020 Metadata'!$A$4:$S$214,MATCH("Site type",'2007-2020 Metadata'!$A$4:$S$4,0),FALSE)</f>
        <v>SH</v>
      </c>
      <c r="AG14" s="258">
        <f>MIN(AVERAGE(D$14:D$16),AVERAGE(E$14:E$16),AVERAGE(F$14:F$16),AVERAGE(G$14:G$16),AVERAGE(H$14:H$16),AVERAGE(I$14:I$16),AVERAGE(J$14:J$16),AVERAGE(K$14:K$16),AVERAGE(L$14:L$16),AVERAGE(M$14:M$16),AVERAGE(N$14:N$16),AVERAGE(O$14:O$16))</f>
        <v>18.100000000000001</v>
      </c>
      <c r="AH14" s="258">
        <f>MAX(AVERAGE(D$14:D$16),AVERAGE(E$14:E$16),AVERAGE(F$14:F$16),AVERAGE(G$14:G$16),AVERAGE(H$14:H$16),AVERAGE(I$14:I$16),AVERAGE(J$14:J$16),AVERAGE(K$14:K$16),AVERAGE(L$14:L$16),AVERAGE(M$14:M$16),AVERAGE(N$14:N$16),AVERAGE(O$14:O$16))</f>
        <v>41.533333333333331</v>
      </c>
      <c r="AI14" s="177">
        <f t="shared" ca="1" si="13"/>
        <v>30.274999999999999</v>
      </c>
    </row>
    <row r="15" spans="1:35" ht="12" customHeight="1" x14ac:dyDescent="0.15">
      <c r="A15" s="31"/>
      <c r="B15" s="40" t="s">
        <v>11</v>
      </c>
      <c r="C15" s="104">
        <f>IF(VLOOKUP($B15,'Monthly Summary 2011'!$B$7:$Q$222,14,FALSE)=0,"",VLOOKUP($B15,'Monthly Summary 2011'!$B$7:$Q$222,14,FALSE))</f>
        <v>14.8</v>
      </c>
      <c r="D15" s="36">
        <v>20.7</v>
      </c>
      <c r="E15" s="36">
        <v>24.6</v>
      </c>
      <c r="F15" s="36">
        <v>25.8</v>
      </c>
      <c r="G15" s="36">
        <v>37.5</v>
      </c>
      <c r="H15" s="36">
        <v>41.6</v>
      </c>
      <c r="I15" s="36">
        <v>40.299999999999997</v>
      </c>
      <c r="J15" s="36">
        <v>30.4</v>
      </c>
      <c r="K15" s="36">
        <v>26.3</v>
      </c>
      <c r="L15" s="36">
        <v>29.4</v>
      </c>
      <c r="M15" s="36">
        <v>20.5</v>
      </c>
      <c r="N15" s="36">
        <v>28.9</v>
      </c>
      <c r="O15" s="36">
        <v>18</v>
      </c>
      <c r="P15" s="37">
        <f t="shared" si="3"/>
        <v>28.666666666666668</v>
      </c>
      <c r="Q15" s="38">
        <f t="shared" si="4"/>
        <v>1</v>
      </c>
      <c r="R15" s="260">
        <f t="shared" si="5"/>
        <v>23.7</v>
      </c>
      <c r="S15" s="264">
        <f t="shared" si="6"/>
        <v>1</v>
      </c>
      <c r="T15" s="260">
        <f t="shared" si="7"/>
        <v>28.7</v>
      </c>
      <c r="U15" s="265">
        <f t="shared" si="8"/>
        <v>1</v>
      </c>
      <c r="V15" s="262">
        <f t="shared" si="9"/>
        <v>28.666666666666668</v>
      </c>
      <c r="W15" s="261">
        <f t="shared" si="10"/>
        <v>1</v>
      </c>
      <c r="X15" s="177">
        <f t="shared" ca="1" si="0"/>
        <v>26.251282051282047</v>
      </c>
      <c r="Y15" s="177">
        <f t="shared" ca="1" si="1"/>
        <v>32.028205128205123</v>
      </c>
      <c r="Z15" s="177">
        <f t="shared" ca="1" si="2"/>
        <v>30.274999999999999</v>
      </c>
      <c r="AA15" s="10"/>
      <c r="AB15" s="357" t="str">
        <f>VLOOKUP($B15,'2007-2020 Metadata'!$A$4:$S$214,MATCH("Urban Area /Monitoring Zone",'2007-2020 Metadata'!$A$4:$S$4,0),FALSE)</f>
        <v>Auckland - Central</v>
      </c>
      <c r="AC15" s="259" t="str">
        <f>VLOOKUP(B15,'2007-2020 Metadata'!$A$6:$A$214,1,FALSE)</f>
        <v>AUC014</v>
      </c>
      <c r="AD15" s="256" t="str">
        <f>VLOOKUP($AC15,'2007-2020 Metadata'!$A$6:$S$214,9,FALSE)</f>
        <v>Auckland</v>
      </c>
      <c r="AE15" s="263">
        <f>IF(ISBLANK(VLOOKUP($AC15,'2007-2020 Metadata'!$A$6:$S$214,19,FALSE)),"",VLOOKUP($AC15,'2007-2020 Metadata'!$A$6:$S$214,19,FALSE))</f>
        <v>4</v>
      </c>
      <c r="AF15" s="257" t="str">
        <f>VLOOKUP($B15,'2007-2020 Metadata'!$A$4:$S$214,MATCH("Site type",'2007-2020 Metadata'!$A$4:$S$4,0),FALSE)</f>
        <v>SH</v>
      </c>
      <c r="AG15" s="258">
        <f t="shared" ref="AG15:AG16" si="14">MIN(AVERAGE(D$14:D$16),AVERAGE(E$14:E$16),AVERAGE(F$14:F$16),AVERAGE(G$14:G$16),AVERAGE(H$14:H$16),AVERAGE(I$14:I$16),AVERAGE(J$14:J$16),AVERAGE(K$14:K$16),AVERAGE(L$14:L$16),AVERAGE(M$14:M$16),AVERAGE(N$14:N$16),AVERAGE(O$14:O$16))</f>
        <v>18.100000000000001</v>
      </c>
      <c r="AH15" s="258">
        <f t="shared" ref="AH15:AH16" si="15">MAX(AVERAGE(D$14:D$16),AVERAGE(E$14:E$16),AVERAGE(F$14:F$16),AVERAGE(G$14:G$16),AVERAGE(H$14:H$16),AVERAGE(I$14:I$16),AVERAGE(J$14:J$16),AVERAGE(K$14:K$16),AVERAGE(L$14:L$16),AVERAGE(M$14:M$16),AVERAGE(N$14:N$16),AVERAGE(O$14:O$16))</f>
        <v>41.533333333333331</v>
      </c>
      <c r="AI15" s="177">
        <f t="shared" ca="1" si="13"/>
        <v>30.274999999999999</v>
      </c>
    </row>
    <row r="16" spans="1:35" ht="12" customHeight="1" x14ac:dyDescent="0.15">
      <c r="A16" s="31"/>
      <c r="B16" s="40" t="s">
        <v>12</v>
      </c>
      <c r="C16" s="104">
        <f>IF(VLOOKUP($B16,'Monthly Summary 2011'!$B$7:$Q$222,14,FALSE)=0,"",VLOOKUP($B16,'Monthly Summary 2011'!$B$7:$Q$222,14,FALSE))</f>
        <v>10.9</v>
      </c>
      <c r="D16" s="36">
        <v>20.5</v>
      </c>
      <c r="E16" s="36">
        <v>24.7</v>
      </c>
      <c r="F16" s="36">
        <v>27.2</v>
      </c>
      <c r="G16" s="36">
        <v>37.700000000000003</v>
      </c>
      <c r="H16" s="36">
        <v>35.1</v>
      </c>
      <c r="I16" s="36">
        <v>40.299999999999997</v>
      </c>
      <c r="J16" s="36">
        <v>28.8</v>
      </c>
      <c r="K16" s="36">
        <v>26.3</v>
      </c>
      <c r="L16" s="36">
        <v>28.8</v>
      </c>
      <c r="M16" s="36">
        <v>18.100000000000001</v>
      </c>
      <c r="N16" s="36">
        <v>29.8</v>
      </c>
      <c r="O16" s="36">
        <v>18.100000000000001</v>
      </c>
      <c r="P16" s="37">
        <f t="shared" si="3"/>
        <v>27.950000000000006</v>
      </c>
      <c r="Q16" s="38">
        <f t="shared" si="4"/>
        <v>1</v>
      </c>
      <c r="R16" s="260">
        <f t="shared" si="5"/>
        <v>24.133333333333336</v>
      </c>
      <c r="S16" s="264">
        <f t="shared" si="6"/>
        <v>1</v>
      </c>
      <c r="T16" s="260">
        <f t="shared" si="7"/>
        <v>27.966666666666669</v>
      </c>
      <c r="U16" s="265">
        <f t="shared" si="8"/>
        <v>1</v>
      </c>
      <c r="V16" s="262">
        <f t="shared" si="9"/>
        <v>27.950000000000006</v>
      </c>
      <c r="W16" s="261">
        <f t="shared" si="10"/>
        <v>1</v>
      </c>
      <c r="X16" s="177">
        <f t="shared" ca="1" si="0"/>
        <v>26.251282051282047</v>
      </c>
      <c r="Y16" s="177">
        <f t="shared" ca="1" si="1"/>
        <v>32.028205128205123</v>
      </c>
      <c r="Z16" s="177">
        <f t="shared" ca="1" si="2"/>
        <v>30.274999999999999</v>
      </c>
      <c r="AA16" s="10"/>
      <c r="AB16" s="357" t="str">
        <f>VLOOKUP($B16,'2007-2020 Metadata'!$A$4:$S$214,MATCH("Urban Area /Monitoring Zone",'2007-2020 Metadata'!$A$4:$S$4,0),FALSE)</f>
        <v>Auckland - Central</v>
      </c>
      <c r="AC16" s="259" t="str">
        <f>VLOOKUP(B16,'2007-2020 Metadata'!$A$6:$A$214,1,FALSE)</f>
        <v>AUC015</v>
      </c>
      <c r="AD16" s="256" t="str">
        <f>VLOOKUP($AC16,'2007-2020 Metadata'!$A$6:$S$214,9,FALSE)</f>
        <v>Auckland</v>
      </c>
      <c r="AE16" s="263">
        <f>IF(ISBLANK(VLOOKUP($AC16,'2007-2020 Metadata'!$A$6:$S$214,19,FALSE)),"",VLOOKUP($AC16,'2007-2020 Metadata'!$A$6:$S$214,19,FALSE))</f>
        <v>4</v>
      </c>
      <c r="AF16" s="257" t="str">
        <f>VLOOKUP($B16,'2007-2020 Metadata'!$A$4:$S$214,MATCH("Site type",'2007-2020 Metadata'!$A$4:$S$4,0),FALSE)</f>
        <v>SH</v>
      </c>
      <c r="AG16" s="258">
        <f t="shared" si="14"/>
        <v>18.100000000000001</v>
      </c>
      <c r="AH16" s="258">
        <f t="shared" si="15"/>
        <v>41.533333333333331</v>
      </c>
      <c r="AI16" s="177">
        <f t="shared" ca="1" si="13"/>
        <v>30.274999999999999</v>
      </c>
    </row>
    <row r="17" spans="1:35" ht="12" customHeight="1" x14ac:dyDescent="0.15">
      <c r="A17" s="31"/>
      <c r="B17" s="40" t="s">
        <v>13</v>
      </c>
      <c r="C17" s="104">
        <f>IF(VLOOKUP($B17,'Monthly Summary 2011'!$B$7:$Q$222,14,FALSE)=0,"",VLOOKUP($B17,'Monthly Summary 2011'!$B$7:$Q$222,14,FALSE))</f>
        <v>16.7</v>
      </c>
      <c r="D17" s="36">
        <v>24.2</v>
      </c>
      <c r="E17" s="36">
        <v>27.4</v>
      </c>
      <c r="F17" s="36">
        <v>26.4</v>
      </c>
      <c r="G17" s="36">
        <v>38.9</v>
      </c>
      <c r="H17" s="36">
        <v>40.5</v>
      </c>
      <c r="I17" s="36">
        <v>43.5</v>
      </c>
      <c r="J17" s="36">
        <v>23.8</v>
      </c>
      <c r="K17" s="36">
        <v>31.4</v>
      </c>
      <c r="L17" s="36">
        <v>25.1</v>
      </c>
      <c r="M17" s="36">
        <v>27.3</v>
      </c>
      <c r="N17" s="36">
        <v>29.5</v>
      </c>
      <c r="O17" s="36">
        <v>21.3</v>
      </c>
      <c r="P17" s="37">
        <f t="shared" si="3"/>
        <v>29.941666666666674</v>
      </c>
      <c r="Q17" s="38">
        <f t="shared" si="4"/>
        <v>1</v>
      </c>
      <c r="R17" s="140">
        <f t="shared" si="5"/>
        <v>26</v>
      </c>
      <c r="S17" s="24">
        <f t="shared" si="6"/>
        <v>1</v>
      </c>
      <c r="T17" s="140">
        <f t="shared" si="7"/>
        <v>26.766666666666669</v>
      </c>
      <c r="U17" s="9">
        <f t="shared" si="8"/>
        <v>1</v>
      </c>
      <c r="V17" s="141">
        <f t="shared" si="9"/>
        <v>29.941666666666674</v>
      </c>
      <c r="W17" s="142">
        <f t="shared" si="10"/>
        <v>1</v>
      </c>
      <c r="X17" s="144">
        <f t="shared" ca="1" si="0"/>
        <v>22.953703703703706</v>
      </c>
      <c r="Y17" s="144">
        <f t="shared" ca="1" si="1"/>
        <v>26.12222222222222</v>
      </c>
      <c r="Z17" s="144">
        <f t="shared" ca="1" si="2"/>
        <v>25.979511784511786</v>
      </c>
      <c r="AA17" s="10"/>
      <c r="AB17" s="357" t="str">
        <f>VLOOKUP($B17,'2007-2020 Metadata'!$A$4:$S$214,MATCH("Urban Area /Monitoring Zone",'2007-2020 Metadata'!$A$4:$S$4,0),FALSE)</f>
        <v xml:space="preserve">Auckland - Southern </v>
      </c>
      <c r="AC17" s="87" t="str">
        <f>VLOOKUP(B17,'2007-2020 Metadata'!$A$6:$A$214,1,FALSE)</f>
        <v>AUC018</v>
      </c>
      <c r="AD17" s="230" t="str">
        <f>VLOOKUP($AC17,'2007-2020 Metadata'!$A$6:$S$214,9,FALSE)</f>
        <v>Manukau</v>
      </c>
      <c r="AE17" s="248">
        <f>IF(ISBLANK(VLOOKUP($AC17,'2007-2020 Metadata'!$A$6:$S$214,19,FALSE)),"",VLOOKUP($AC17,'2007-2020 Metadata'!$A$6:$S$214,19,FALSE))</f>
        <v>3</v>
      </c>
      <c r="AF17" s="88" t="str">
        <f>VLOOKUP($B17,'2007-2020 Metadata'!$A$4:$S$214,MATCH("Site type",'2007-2020 Metadata'!$A$4:$S$4,0),FALSE)</f>
        <v>SH</v>
      </c>
      <c r="AG17" s="143">
        <f t="shared" si="11"/>
        <v>21.3</v>
      </c>
      <c r="AH17" s="143">
        <f t="shared" si="12"/>
        <v>43.5</v>
      </c>
      <c r="AI17" s="144">
        <f t="shared" ca="1" si="13"/>
        <v>25.979511784511786</v>
      </c>
    </row>
    <row r="18" spans="1:35" ht="12" customHeight="1" x14ac:dyDescent="0.15">
      <c r="A18" s="31"/>
      <c r="B18" s="40" t="s">
        <v>14</v>
      </c>
      <c r="C18" s="104">
        <f>IF(VLOOKUP($B18,'Monthly Summary 2011'!$B$7:$Q$222,14,FALSE)=0,"",VLOOKUP($B18,'Monthly Summary 2011'!$B$7:$Q$222,14,FALSE))</f>
        <v>21.5</v>
      </c>
      <c r="D18" s="36">
        <v>16.399999999999999</v>
      </c>
      <c r="E18" s="36">
        <v>21.6</v>
      </c>
      <c r="F18" s="36">
        <v>22.4</v>
      </c>
      <c r="G18" s="36">
        <v>28.1</v>
      </c>
      <c r="H18" s="36">
        <v>25.6</v>
      </c>
      <c r="I18" s="36">
        <v>33.200000000000003</v>
      </c>
      <c r="J18" s="36">
        <v>31.8</v>
      </c>
      <c r="K18" s="36">
        <v>27.9</v>
      </c>
      <c r="L18" s="36">
        <v>20</v>
      </c>
      <c r="M18" s="36">
        <v>18.5</v>
      </c>
      <c r="N18" s="36">
        <v>18.2</v>
      </c>
      <c r="O18" s="36">
        <v>17.600000000000001</v>
      </c>
      <c r="P18" s="37">
        <f t="shared" si="3"/>
        <v>23.441666666666674</v>
      </c>
      <c r="Q18" s="38">
        <f t="shared" si="4"/>
        <v>1</v>
      </c>
      <c r="R18" s="140">
        <f t="shared" si="5"/>
        <v>20.133333333333333</v>
      </c>
      <c r="S18" s="24">
        <f t="shared" si="6"/>
        <v>1</v>
      </c>
      <c r="T18" s="140">
        <f t="shared" si="7"/>
        <v>26.566666666666666</v>
      </c>
      <c r="U18" s="9">
        <f t="shared" si="8"/>
        <v>1</v>
      </c>
      <c r="V18" s="141">
        <f t="shared" si="9"/>
        <v>23.441666666666674</v>
      </c>
      <c r="W18" s="142">
        <f t="shared" si="10"/>
        <v>1</v>
      </c>
      <c r="X18" s="144">
        <f t="shared" ca="1" si="0"/>
        <v>22.953703703703706</v>
      </c>
      <c r="Y18" s="144">
        <f t="shared" ca="1" si="1"/>
        <v>26.12222222222222</v>
      </c>
      <c r="Z18" s="144">
        <f t="shared" ca="1" si="2"/>
        <v>25.979511784511786</v>
      </c>
      <c r="AA18" s="10"/>
      <c r="AB18" s="357" t="str">
        <f>VLOOKUP($B18,'2007-2020 Metadata'!$A$4:$S$214,MATCH("Urban Area /Monitoring Zone",'2007-2020 Metadata'!$A$4:$S$4,0),FALSE)</f>
        <v xml:space="preserve">Auckland - Southern </v>
      </c>
      <c r="AC18" s="87" t="str">
        <f>VLOOKUP(B18,'2007-2020 Metadata'!$A$6:$A$214,1,FALSE)</f>
        <v>AUC019</v>
      </c>
      <c r="AD18" s="230" t="str">
        <f>VLOOKUP($AC18,'2007-2020 Metadata'!$A$6:$S$214,9,FALSE)</f>
        <v>Manukau</v>
      </c>
      <c r="AE18" s="248">
        <f>IF(ISBLANK(VLOOKUP($AC18,'2007-2020 Metadata'!$A$6:$S$214,19,FALSE)),"",VLOOKUP($AC18,'2007-2020 Metadata'!$A$6:$S$214,19,FALSE))</f>
        <v>2</v>
      </c>
      <c r="AF18" s="88" t="str">
        <f>VLOOKUP($B18,'2007-2020 Metadata'!$A$4:$S$214,MATCH("Site type",'2007-2020 Metadata'!$A$4:$S$4,0),FALSE)</f>
        <v>SH</v>
      </c>
      <c r="AG18" s="143">
        <f t="shared" si="11"/>
        <v>16.399999999999999</v>
      </c>
      <c r="AH18" s="143">
        <f t="shared" si="12"/>
        <v>33.200000000000003</v>
      </c>
      <c r="AI18" s="144">
        <f t="shared" ca="1" si="13"/>
        <v>25.979511784511786</v>
      </c>
    </row>
    <row r="19" spans="1:35" ht="12" customHeight="1" x14ac:dyDescent="0.15">
      <c r="A19" s="31"/>
      <c r="B19" s="40" t="s">
        <v>993</v>
      </c>
      <c r="C19" s="104">
        <f>IF(VLOOKUP($B19,'Monthly Summary 2011'!$B$7:$Q$222,14,FALSE)=0,"",VLOOKUP($B19,'Monthly Summary 2011'!$B$7:$Q$222,14,FALSE))</f>
        <v>8.8000000000000007</v>
      </c>
      <c r="D19" s="36">
        <v>10.7</v>
      </c>
      <c r="E19" s="36">
        <v>14.7</v>
      </c>
      <c r="F19" s="36">
        <v>14.6</v>
      </c>
      <c r="G19" s="36">
        <v>19.399999999999999</v>
      </c>
      <c r="H19" s="36">
        <v>20.100000000000001</v>
      </c>
      <c r="I19" s="36">
        <v>21.8</v>
      </c>
      <c r="J19" s="36">
        <v>18.5</v>
      </c>
      <c r="K19" s="36">
        <v>18.3</v>
      </c>
      <c r="L19" s="36">
        <v>13.6</v>
      </c>
      <c r="M19" s="36">
        <v>15.4</v>
      </c>
      <c r="N19" s="36">
        <v>15.6</v>
      </c>
      <c r="O19" s="36">
        <v>9.5</v>
      </c>
      <c r="P19" s="37">
        <f t="shared" si="3"/>
        <v>16.016666666666666</v>
      </c>
      <c r="Q19" s="38">
        <f t="shared" si="4"/>
        <v>1</v>
      </c>
      <c r="R19" s="140">
        <f t="shared" si="5"/>
        <v>13.333333333333334</v>
      </c>
      <c r="S19" s="24">
        <f t="shared" si="6"/>
        <v>1</v>
      </c>
      <c r="T19" s="140">
        <f t="shared" si="7"/>
        <v>16.8</v>
      </c>
      <c r="U19" s="9">
        <f t="shared" si="8"/>
        <v>1</v>
      </c>
      <c r="V19" s="141">
        <f t="shared" si="9"/>
        <v>16.016666666666666</v>
      </c>
      <c r="W19" s="142">
        <f t="shared" si="10"/>
        <v>1</v>
      </c>
      <c r="X19" s="144">
        <f t="shared" si="0"/>
        <v>13.333333333333334</v>
      </c>
      <c r="Y19" s="144">
        <f t="shared" si="1"/>
        <v>16.8</v>
      </c>
      <c r="Z19" s="144">
        <f t="shared" si="2"/>
        <v>16.016666666666666</v>
      </c>
      <c r="AA19" s="10"/>
      <c r="AB19" s="357">
        <f>VLOOKUP($B19,'2007-2020 Metadata'!$A$4:$S$214,MATCH("Urban Area /Monitoring Zone",'2007-2020 Metadata'!$A$4:$S$4,0),FALSE)</f>
        <v>0</v>
      </c>
      <c r="AC19" s="87" t="str">
        <f>VLOOKUP(B19,'2007-2020 Metadata'!$A$6:$A$214,1,FALSE)</f>
        <v>AUC020a</v>
      </c>
      <c r="AD19" s="230">
        <f>VLOOKUP($AC19,'2007-2020 Metadata'!$A$6:$S$214,9,FALSE)</f>
        <v>0</v>
      </c>
      <c r="AE19" s="248" t="str">
        <f>IF(ISBLANK(VLOOKUP($AC19,'2007-2020 Metadata'!$A$6:$S$214,19,FALSE)),"",VLOOKUP($AC19,'2007-2020 Metadata'!$A$6:$S$214,19,FALSE))</f>
        <v/>
      </c>
      <c r="AF19" s="88" t="str">
        <f>VLOOKUP($B19,'2007-2020 Metadata'!$A$4:$S$214,MATCH("Site type",'2007-2020 Metadata'!$A$4:$S$4,0),FALSE)</f>
        <v>SH</v>
      </c>
      <c r="AG19" s="143">
        <f t="shared" si="11"/>
        <v>9.5</v>
      </c>
      <c r="AH19" s="143">
        <f t="shared" si="12"/>
        <v>21.8</v>
      </c>
      <c r="AI19" s="144">
        <f t="shared" si="13"/>
        <v>16.016666666666666</v>
      </c>
    </row>
    <row r="20" spans="1:35" ht="12" customHeight="1" x14ac:dyDescent="0.15">
      <c r="A20" s="31"/>
      <c r="B20" s="40" t="s">
        <v>994</v>
      </c>
      <c r="C20" s="104">
        <f>IF(VLOOKUP($B20,'Monthly Summary 2011'!$B$7:$Q$222,14,FALSE)=0,"",VLOOKUP($B20,'Monthly Summary 2011'!$B$7:$Q$222,14,FALSE))</f>
        <v>15.5</v>
      </c>
      <c r="D20" s="36">
        <v>10.199999999999999</v>
      </c>
      <c r="E20" s="36">
        <v>14.1</v>
      </c>
      <c r="F20" s="36">
        <v>18.7</v>
      </c>
      <c r="G20" s="36">
        <v>22.2</v>
      </c>
      <c r="H20" s="36">
        <v>20</v>
      </c>
      <c r="I20" s="36">
        <v>23</v>
      </c>
      <c r="J20" s="36">
        <v>24.3</v>
      </c>
      <c r="K20" s="36">
        <v>19.899999999999999</v>
      </c>
      <c r="L20" s="36">
        <v>14</v>
      </c>
      <c r="M20" s="36">
        <v>12.1</v>
      </c>
      <c r="N20" s="36">
        <v>13.7</v>
      </c>
      <c r="O20" s="36">
        <v>10.8</v>
      </c>
      <c r="P20" s="37">
        <f t="shared" si="3"/>
        <v>16.916666666666668</v>
      </c>
      <c r="Q20" s="38">
        <f t="shared" si="4"/>
        <v>1</v>
      </c>
      <c r="R20" s="140">
        <f t="shared" si="5"/>
        <v>14.333333333333334</v>
      </c>
      <c r="S20" s="24">
        <f t="shared" si="6"/>
        <v>1</v>
      </c>
      <c r="T20" s="140">
        <f t="shared" si="7"/>
        <v>19.400000000000002</v>
      </c>
      <c r="U20" s="9">
        <f t="shared" si="8"/>
        <v>1</v>
      </c>
      <c r="V20" s="141">
        <f t="shared" si="9"/>
        <v>16.916666666666668</v>
      </c>
      <c r="W20" s="142">
        <f t="shared" si="10"/>
        <v>1</v>
      </c>
      <c r="X20" s="144">
        <f t="shared" si="0"/>
        <v>14.333333333333334</v>
      </c>
      <c r="Y20" s="144">
        <f t="shared" si="1"/>
        <v>19.400000000000002</v>
      </c>
      <c r="Z20" s="144">
        <f t="shared" si="2"/>
        <v>16.916666666666668</v>
      </c>
      <c r="AA20" s="10"/>
      <c r="AB20" s="357">
        <f>VLOOKUP($B20,'2007-2020 Metadata'!$A$4:$S$214,MATCH("Urban Area /Monitoring Zone",'2007-2020 Metadata'!$A$4:$S$4,0),FALSE)</f>
        <v>0</v>
      </c>
      <c r="AC20" s="87" t="str">
        <f>VLOOKUP(B20,'2007-2020 Metadata'!$A$6:$A$214,1,FALSE)</f>
        <v>AUC021a</v>
      </c>
      <c r="AD20" s="230">
        <f>VLOOKUP($AC20,'2007-2020 Metadata'!$A$6:$S$214,9,FALSE)</f>
        <v>0</v>
      </c>
      <c r="AE20" s="248" t="str">
        <f>IF(ISBLANK(VLOOKUP($AC20,'2007-2020 Metadata'!$A$6:$S$214,19,FALSE)),"",VLOOKUP($AC20,'2007-2020 Metadata'!$A$6:$S$214,19,FALSE))</f>
        <v/>
      </c>
      <c r="AF20" s="88" t="str">
        <f>VLOOKUP($B20,'2007-2020 Metadata'!$A$4:$S$214,MATCH("Site type",'2007-2020 Metadata'!$A$4:$S$4,0),FALSE)</f>
        <v>Background</v>
      </c>
      <c r="AG20" s="143">
        <f t="shared" si="11"/>
        <v>10.199999999999999</v>
      </c>
      <c r="AH20" s="143">
        <f t="shared" si="12"/>
        <v>24.3</v>
      </c>
      <c r="AI20" s="144">
        <f t="shared" si="13"/>
        <v>16.916666666666668</v>
      </c>
    </row>
    <row r="21" spans="1:35" ht="12" customHeight="1" x14ac:dyDescent="0.15">
      <c r="A21" s="31"/>
      <c r="B21" s="40" t="s">
        <v>17</v>
      </c>
      <c r="C21" s="104">
        <f>IF(VLOOKUP($B21,'Monthly Summary 2011'!$B$7:$Q$222,14,FALSE)=0,"",VLOOKUP($B21,'Monthly Summary 2011'!$B$7:$Q$222,14,FALSE))</f>
        <v>25.5</v>
      </c>
      <c r="D21" s="36">
        <v>22.2</v>
      </c>
      <c r="E21" s="36">
        <v>27.1</v>
      </c>
      <c r="F21" s="36">
        <v>34.799999999999997</v>
      </c>
      <c r="G21" s="36">
        <v>40.6</v>
      </c>
      <c r="H21" s="36">
        <v>30.5</v>
      </c>
      <c r="I21" s="36">
        <v>39.200000000000003</v>
      </c>
      <c r="J21" s="36">
        <v>39.200000000000003</v>
      </c>
      <c r="K21" s="36">
        <v>32.200000000000003</v>
      </c>
      <c r="L21" s="36">
        <v>30.4</v>
      </c>
      <c r="M21" s="36">
        <v>28.3</v>
      </c>
      <c r="N21" s="36">
        <v>30.8</v>
      </c>
      <c r="O21" s="36">
        <v>21.4</v>
      </c>
      <c r="P21" s="37">
        <f t="shared" si="3"/>
        <v>31.391666666666662</v>
      </c>
      <c r="Q21" s="38">
        <f t="shared" si="4"/>
        <v>1</v>
      </c>
      <c r="R21" s="140">
        <f t="shared" si="5"/>
        <v>28.033333333333331</v>
      </c>
      <c r="S21" s="24">
        <f t="shared" si="6"/>
        <v>1</v>
      </c>
      <c r="T21" s="140">
        <f t="shared" si="7"/>
        <v>33.933333333333337</v>
      </c>
      <c r="U21" s="9">
        <f t="shared" si="8"/>
        <v>1</v>
      </c>
      <c r="V21" s="141">
        <f t="shared" si="9"/>
        <v>31.391666666666662</v>
      </c>
      <c r="W21" s="142">
        <f t="shared" si="10"/>
        <v>1</v>
      </c>
      <c r="X21" s="144">
        <f t="shared" ca="1" si="0"/>
        <v>26.251282051282047</v>
      </c>
      <c r="Y21" s="144">
        <f t="shared" ca="1" si="1"/>
        <v>32.028205128205123</v>
      </c>
      <c r="Z21" s="144">
        <f t="shared" ca="1" si="2"/>
        <v>30.274999999999999</v>
      </c>
      <c r="AA21" s="10"/>
      <c r="AB21" s="357" t="str">
        <f>VLOOKUP($B21,'2007-2020 Metadata'!$A$4:$S$214,MATCH("Urban Area /Monitoring Zone",'2007-2020 Metadata'!$A$4:$S$4,0),FALSE)</f>
        <v>Auckland - Central</v>
      </c>
      <c r="AC21" s="87" t="str">
        <f>VLOOKUP(B21,'2007-2020 Metadata'!$A$6:$A$214,1,FALSE)</f>
        <v>AUC022</v>
      </c>
      <c r="AD21" s="230" t="str">
        <f>VLOOKUP($AC21,'2007-2020 Metadata'!$A$6:$S$214,9,FALSE)</f>
        <v>Auckland</v>
      </c>
      <c r="AE21" s="248">
        <f>IF(ISBLANK(VLOOKUP($AC21,'2007-2020 Metadata'!$A$6:$S$214,19,FALSE)),"",VLOOKUP($AC21,'2007-2020 Metadata'!$A$6:$S$214,19,FALSE))</f>
        <v>3</v>
      </c>
      <c r="AF21" s="88" t="str">
        <f>VLOOKUP($B21,'2007-2020 Metadata'!$A$4:$S$214,MATCH("Site type",'2007-2020 Metadata'!$A$4:$S$4,0),FALSE)</f>
        <v>SH</v>
      </c>
      <c r="AG21" s="143">
        <f t="shared" si="11"/>
        <v>21.4</v>
      </c>
      <c r="AH21" s="143">
        <f t="shared" si="12"/>
        <v>40.6</v>
      </c>
      <c r="AI21" s="144">
        <f t="shared" ca="1" si="13"/>
        <v>30.274999999999999</v>
      </c>
    </row>
    <row r="22" spans="1:35" ht="12" customHeight="1" x14ac:dyDescent="0.15">
      <c r="A22" s="31"/>
      <c r="B22" s="40" t="s">
        <v>18</v>
      </c>
      <c r="C22" s="104">
        <f>IF(VLOOKUP($B22,'Monthly Summary 2011'!$B$7:$Q$222,14,FALSE)=0,"",VLOOKUP($B22,'Monthly Summary 2011'!$B$7:$Q$222,14,FALSE))</f>
        <v>15.7</v>
      </c>
      <c r="D22" s="36">
        <v>12.9</v>
      </c>
      <c r="E22" s="36">
        <v>17.899999999999999</v>
      </c>
      <c r="F22" s="36">
        <v>20.100000000000001</v>
      </c>
      <c r="G22" s="36">
        <v>21.2</v>
      </c>
      <c r="H22" s="36">
        <v>20.7</v>
      </c>
      <c r="I22" s="36">
        <v>27.1</v>
      </c>
      <c r="J22" s="36">
        <v>29.6</v>
      </c>
      <c r="K22" s="36">
        <v>24.9</v>
      </c>
      <c r="L22" s="36">
        <v>19.3</v>
      </c>
      <c r="M22" s="36">
        <v>15.2</v>
      </c>
      <c r="N22" s="36">
        <v>13.3</v>
      </c>
      <c r="O22" s="36">
        <v>13.5</v>
      </c>
      <c r="P22" s="37">
        <f t="shared" si="3"/>
        <v>19.641666666666669</v>
      </c>
      <c r="Q22" s="38">
        <f t="shared" si="4"/>
        <v>1</v>
      </c>
      <c r="R22" s="140">
        <f t="shared" si="5"/>
        <v>16.966666666666665</v>
      </c>
      <c r="S22" s="24">
        <f t="shared" si="6"/>
        <v>1</v>
      </c>
      <c r="T22" s="140">
        <f t="shared" si="7"/>
        <v>24.599999999999998</v>
      </c>
      <c r="U22" s="9">
        <f t="shared" si="8"/>
        <v>1</v>
      </c>
      <c r="V22" s="141">
        <f t="shared" si="9"/>
        <v>19.641666666666669</v>
      </c>
      <c r="W22" s="142">
        <f t="shared" si="10"/>
        <v>1</v>
      </c>
      <c r="X22" s="144">
        <f t="shared" ca="1" si="0"/>
        <v>26.251282051282047</v>
      </c>
      <c r="Y22" s="144">
        <f t="shared" ca="1" si="1"/>
        <v>32.028205128205123</v>
      </c>
      <c r="Z22" s="144">
        <f t="shared" ca="1" si="2"/>
        <v>30.274999999999999</v>
      </c>
      <c r="AA22" s="10"/>
      <c r="AB22" s="357" t="str">
        <f>VLOOKUP($B22,'2007-2020 Metadata'!$A$4:$S$214,MATCH("Urban Area /Monitoring Zone",'2007-2020 Metadata'!$A$4:$S$4,0),FALSE)</f>
        <v>Auckland - Central</v>
      </c>
      <c r="AC22" s="87" t="str">
        <f>VLOOKUP(B22,'2007-2020 Metadata'!$A$6:$A$214,1,FALSE)</f>
        <v>AUC025</v>
      </c>
      <c r="AD22" s="230" t="str">
        <f>VLOOKUP($AC22,'2007-2020 Metadata'!$A$6:$S$214,9,FALSE)</f>
        <v>Auckland</v>
      </c>
      <c r="AE22" s="248">
        <f>IF(ISBLANK(VLOOKUP($AC22,'2007-2020 Metadata'!$A$6:$S$214,19,FALSE)),"",VLOOKUP($AC22,'2007-2020 Metadata'!$A$6:$S$214,19,FALSE))</f>
        <v>3</v>
      </c>
      <c r="AF22" s="88" t="str">
        <f>VLOOKUP($B22,'2007-2020 Metadata'!$A$4:$S$214,MATCH("Site type",'2007-2020 Metadata'!$A$4:$S$4,0),FALSE)</f>
        <v>SH</v>
      </c>
      <c r="AG22" s="143">
        <f t="shared" si="11"/>
        <v>12.9</v>
      </c>
      <c r="AH22" s="143">
        <f t="shared" si="12"/>
        <v>29.6</v>
      </c>
      <c r="AI22" s="144">
        <f t="shared" ca="1" si="13"/>
        <v>30.274999999999999</v>
      </c>
    </row>
    <row r="23" spans="1:35" ht="12" customHeight="1" x14ac:dyDescent="0.15">
      <c r="A23" s="31"/>
      <c r="B23" s="40" t="s">
        <v>19</v>
      </c>
      <c r="C23" s="104">
        <f>IF(VLOOKUP($B23,'Monthly Summary 2011'!$B$7:$Q$222,14,FALSE)=0,"",VLOOKUP($B23,'Monthly Summary 2011'!$B$7:$Q$222,14,FALSE))</f>
        <v>23.3</v>
      </c>
      <c r="D23" s="36">
        <v>17.3</v>
      </c>
      <c r="E23" s="36"/>
      <c r="F23" s="36">
        <v>32.799999999999997</v>
      </c>
      <c r="G23" s="36">
        <v>32.6</v>
      </c>
      <c r="H23" s="36">
        <v>24.4</v>
      </c>
      <c r="I23" s="36">
        <v>27.7</v>
      </c>
      <c r="J23" s="36">
        <v>35.6</v>
      </c>
      <c r="K23" s="36">
        <v>27.4</v>
      </c>
      <c r="L23" s="36">
        <v>25.3</v>
      </c>
      <c r="M23" s="36">
        <v>15.2</v>
      </c>
      <c r="N23" s="36">
        <v>16.600000000000001</v>
      </c>
      <c r="O23" s="36">
        <v>20.399999999999999</v>
      </c>
      <c r="P23" s="37">
        <f t="shared" si="3"/>
        <v>25.027272727272724</v>
      </c>
      <c r="Q23" s="38">
        <f t="shared" si="4"/>
        <v>0.91666666666666663</v>
      </c>
      <c r="R23" s="140">
        <f t="shared" si="5"/>
        <v>25.049999999999997</v>
      </c>
      <c r="S23" s="24">
        <f t="shared" si="6"/>
        <v>0.66666666666666663</v>
      </c>
      <c r="T23" s="140">
        <f t="shared" si="7"/>
        <v>29.433333333333334</v>
      </c>
      <c r="U23" s="9">
        <f t="shared" si="8"/>
        <v>1</v>
      </c>
      <c r="V23" s="141">
        <f t="shared" si="9"/>
        <v>25.027272727272724</v>
      </c>
      <c r="W23" s="142">
        <f t="shared" si="10"/>
        <v>0.91666666666666663</v>
      </c>
      <c r="X23" s="144">
        <f t="shared" ca="1" si="0"/>
        <v>22.953703703703706</v>
      </c>
      <c r="Y23" s="144">
        <f t="shared" ca="1" si="1"/>
        <v>26.12222222222222</v>
      </c>
      <c r="Z23" s="144">
        <f t="shared" ca="1" si="2"/>
        <v>25.979511784511786</v>
      </c>
      <c r="AA23" s="10"/>
      <c r="AB23" s="357" t="str">
        <f>VLOOKUP($B23,'2007-2020 Metadata'!$A$4:$S$214,MATCH("Urban Area /Monitoring Zone",'2007-2020 Metadata'!$A$4:$S$4,0),FALSE)</f>
        <v xml:space="preserve">Auckland - Southern </v>
      </c>
      <c r="AC23" s="87" t="str">
        <f>VLOOKUP(B23,'2007-2020 Metadata'!$A$6:$A$214,1,FALSE)</f>
        <v>AUC026</v>
      </c>
      <c r="AD23" s="230" t="str">
        <f>VLOOKUP($AC23,'2007-2020 Metadata'!$A$6:$S$214,9,FALSE)</f>
        <v>Manukau</v>
      </c>
      <c r="AE23" s="248">
        <f>IF(ISBLANK(VLOOKUP($AC23,'2007-2020 Metadata'!$A$6:$S$214,19,FALSE)),"",VLOOKUP($AC23,'2007-2020 Metadata'!$A$6:$S$214,19,FALSE))</f>
        <v>3</v>
      </c>
      <c r="AF23" s="88" t="str">
        <f>VLOOKUP($B23,'2007-2020 Metadata'!$A$4:$S$214,MATCH("Site type",'2007-2020 Metadata'!$A$4:$S$4,0),FALSE)</f>
        <v>SH</v>
      </c>
      <c r="AG23" s="143">
        <f t="shared" si="11"/>
        <v>15.2</v>
      </c>
      <c r="AH23" s="143">
        <f t="shared" si="12"/>
        <v>35.6</v>
      </c>
      <c r="AI23" s="144">
        <f t="shared" ca="1" si="13"/>
        <v>25.979511784511786</v>
      </c>
    </row>
    <row r="24" spans="1:35" ht="12" customHeight="1" x14ac:dyDescent="0.15">
      <c r="A24" s="31"/>
      <c r="B24" s="40" t="s">
        <v>998</v>
      </c>
      <c r="C24" s="104">
        <f>IF(VLOOKUP($B24,'Monthly Summary 2011'!$B$7:$Q$222,14,FALSE)=0,"",VLOOKUP($B24,'Monthly Summary 2011'!$B$7:$Q$222,14,FALSE))</f>
        <v>17.600000000000001</v>
      </c>
      <c r="D24" s="36">
        <v>18.3</v>
      </c>
      <c r="E24" s="36">
        <v>24.4</v>
      </c>
      <c r="F24" s="36">
        <v>23.8</v>
      </c>
      <c r="G24" s="36">
        <v>32.799999999999997</v>
      </c>
      <c r="H24" s="36">
        <v>36.6</v>
      </c>
      <c r="I24" s="36">
        <v>39.299999999999997</v>
      </c>
      <c r="J24" s="36">
        <v>29.9</v>
      </c>
      <c r="K24" s="36">
        <v>30.2</v>
      </c>
      <c r="L24" s="36">
        <v>20.2</v>
      </c>
      <c r="M24" s="36">
        <v>22.7</v>
      </c>
      <c r="N24" s="36">
        <v>22.2</v>
      </c>
      <c r="O24" s="36">
        <v>16.899999999999999</v>
      </c>
      <c r="P24" s="37">
        <f t="shared" si="3"/>
        <v>26.441666666666663</v>
      </c>
      <c r="Q24" s="38">
        <f t="shared" si="4"/>
        <v>1</v>
      </c>
      <c r="R24" s="140">
        <f t="shared" si="5"/>
        <v>22.166666666666668</v>
      </c>
      <c r="S24" s="24">
        <f t="shared" si="6"/>
        <v>1</v>
      </c>
      <c r="T24" s="140">
        <f t="shared" si="7"/>
        <v>26.766666666666666</v>
      </c>
      <c r="U24" s="9">
        <f t="shared" si="8"/>
        <v>1</v>
      </c>
      <c r="V24" s="141">
        <f t="shared" si="9"/>
        <v>26.441666666666663</v>
      </c>
      <c r="W24" s="142">
        <f t="shared" si="10"/>
        <v>1</v>
      </c>
      <c r="X24" s="144">
        <f t="shared" si="0"/>
        <v>22.166666666666668</v>
      </c>
      <c r="Y24" s="144">
        <f t="shared" si="1"/>
        <v>26.766666666666666</v>
      </c>
      <c r="Z24" s="144">
        <f t="shared" si="2"/>
        <v>26.441666666666663</v>
      </c>
      <c r="AA24" s="10"/>
      <c r="AB24" s="357">
        <f>VLOOKUP($B24,'2007-2020 Metadata'!$A$4:$S$214,MATCH("Urban Area /Monitoring Zone",'2007-2020 Metadata'!$A$4:$S$4,0),FALSE)</f>
        <v>0</v>
      </c>
      <c r="AC24" s="87" t="str">
        <f>VLOOKUP(B24,'2007-2020 Metadata'!$A$6:$A$214,1,FALSE)</f>
        <v>AUC027a</v>
      </c>
      <c r="AD24" s="230">
        <f>VLOOKUP($AC24,'2007-2020 Metadata'!$A$6:$S$214,9,FALSE)</f>
        <v>0</v>
      </c>
      <c r="AE24" s="248" t="str">
        <f>IF(ISBLANK(VLOOKUP($AC24,'2007-2020 Metadata'!$A$6:$S$214,19,FALSE)),"",VLOOKUP($AC24,'2007-2020 Metadata'!$A$6:$S$214,19,FALSE))</f>
        <v/>
      </c>
      <c r="AF24" s="88" t="str">
        <f>VLOOKUP($B24,'2007-2020 Metadata'!$A$4:$S$214,MATCH("Site type",'2007-2020 Metadata'!$A$4:$S$4,0),FALSE)</f>
        <v>SH</v>
      </c>
      <c r="AG24" s="143">
        <f t="shared" si="11"/>
        <v>16.899999999999999</v>
      </c>
      <c r="AH24" s="143">
        <f t="shared" si="12"/>
        <v>39.299999999999997</v>
      </c>
      <c r="AI24" s="144">
        <f t="shared" si="13"/>
        <v>26.441666666666663</v>
      </c>
    </row>
    <row r="25" spans="1:35" ht="12" customHeight="1" x14ac:dyDescent="0.15">
      <c r="A25" s="31"/>
      <c r="B25" s="40" t="s">
        <v>1013</v>
      </c>
      <c r="C25" s="104">
        <f>IF(VLOOKUP($B25,'Monthly Summary 2011'!$B$7:$Q$222,14,FALSE)=0,"",VLOOKUP($B25,'Monthly Summary 2011'!$B$7:$Q$222,14,FALSE))</f>
        <v>12.4</v>
      </c>
      <c r="D25" s="36">
        <v>11</v>
      </c>
      <c r="E25" s="36">
        <v>15.4</v>
      </c>
      <c r="F25" s="36">
        <v>14.8</v>
      </c>
      <c r="G25" s="36">
        <v>19.600000000000001</v>
      </c>
      <c r="H25" s="36">
        <v>20.6</v>
      </c>
      <c r="I25" s="36">
        <v>24.7</v>
      </c>
      <c r="J25" s="36">
        <v>20.6</v>
      </c>
      <c r="K25" s="36">
        <v>20.3</v>
      </c>
      <c r="L25" s="36">
        <v>12.8</v>
      </c>
      <c r="M25" s="36">
        <v>16.399999999999999</v>
      </c>
      <c r="N25" s="36">
        <v>14.3</v>
      </c>
      <c r="O25" s="36">
        <v>10.1</v>
      </c>
      <c r="P25" s="37">
        <f t="shared" si="3"/>
        <v>16.716666666666672</v>
      </c>
      <c r="Q25" s="38">
        <f t="shared" si="4"/>
        <v>1</v>
      </c>
      <c r="R25" s="140">
        <f t="shared" si="5"/>
        <v>13.733333333333334</v>
      </c>
      <c r="S25" s="24">
        <f t="shared" si="6"/>
        <v>1</v>
      </c>
      <c r="T25" s="140">
        <f t="shared" si="7"/>
        <v>17.900000000000002</v>
      </c>
      <c r="U25" s="9">
        <f t="shared" si="8"/>
        <v>1</v>
      </c>
      <c r="V25" s="141">
        <f t="shared" si="9"/>
        <v>16.716666666666672</v>
      </c>
      <c r="W25" s="142">
        <f t="shared" si="10"/>
        <v>1</v>
      </c>
      <c r="X25" s="144">
        <f t="shared" si="0"/>
        <v>13.733333333333334</v>
      </c>
      <c r="Y25" s="144">
        <f t="shared" si="1"/>
        <v>17.900000000000002</v>
      </c>
      <c r="Z25" s="144">
        <f t="shared" si="2"/>
        <v>16.716666666666672</v>
      </c>
      <c r="AA25" s="10"/>
      <c r="AB25" s="357">
        <f>VLOOKUP($B25,'2007-2020 Metadata'!$A$4:$S$214,MATCH("Urban Area /Monitoring Zone",'2007-2020 Metadata'!$A$4:$S$4,0),FALSE)</f>
        <v>0</v>
      </c>
      <c r="AC25" s="87" t="str">
        <f>VLOOKUP(B25,'2007-2020 Metadata'!$A$6:$A$214,1,FALSE)</f>
        <v>AUC039a</v>
      </c>
      <c r="AD25" s="230">
        <f>VLOOKUP($AC25,'2007-2020 Metadata'!$A$6:$S$214,9,FALSE)</f>
        <v>0</v>
      </c>
      <c r="AE25" s="248" t="str">
        <f>IF(ISBLANK(VLOOKUP($AC25,'2007-2020 Metadata'!$A$6:$S$214,19,FALSE)),"",VLOOKUP($AC25,'2007-2020 Metadata'!$A$6:$S$214,19,FALSE))</f>
        <v/>
      </c>
      <c r="AF25" s="88" t="str">
        <f>VLOOKUP($B25,'2007-2020 Metadata'!$A$4:$S$214,MATCH("Site type",'2007-2020 Metadata'!$A$4:$S$4,0),FALSE)</f>
        <v>SH</v>
      </c>
      <c r="AG25" s="143">
        <f t="shared" si="11"/>
        <v>10.1</v>
      </c>
      <c r="AH25" s="143">
        <f t="shared" si="12"/>
        <v>24.7</v>
      </c>
      <c r="AI25" s="144">
        <f t="shared" si="13"/>
        <v>16.716666666666672</v>
      </c>
    </row>
    <row r="26" spans="1:35" ht="12" customHeight="1" x14ac:dyDescent="0.15">
      <c r="A26" s="31"/>
      <c r="B26" s="40" t="s">
        <v>61</v>
      </c>
      <c r="C26" s="104">
        <f>IF(VLOOKUP($B26,'Monthly Summary 2011'!$B$7:$Q$222,14,FALSE)=0,"",VLOOKUP($B26,'Monthly Summary 2011'!$B$7:$Q$222,14,FALSE))</f>
        <v>8.8000000000000007</v>
      </c>
      <c r="D26" s="36">
        <v>12.5</v>
      </c>
      <c r="E26" s="36">
        <v>17.100000000000001</v>
      </c>
      <c r="F26" s="36">
        <v>16</v>
      </c>
      <c r="G26" s="36">
        <v>19.899999999999999</v>
      </c>
      <c r="H26" s="36">
        <v>24.1</v>
      </c>
      <c r="I26" s="36">
        <v>27.1</v>
      </c>
      <c r="J26" s="36">
        <v>19.7</v>
      </c>
      <c r="K26" s="36">
        <v>21.9</v>
      </c>
      <c r="L26" s="36">
        <v>16.8</v>
      </c>
      <c r="M26" s="36">
        <v>17.3</v>
      </c>
      <c r="N26" s="36">
        <v>17.899999999999999</v>
      </c>
      <c r="O26" s="36">
        <v>12.1</v>
      </c>
      <c r="P26" s="37">
        <f t="shared" si="3"/>
        <v>18.533333333333335</v>
      </c>
      <c r="Q26" s="38">
        <f t="shared" si="4"/>
        <v>1</v>
      </c>
      <c r="R26" s="140">
        <f t="shared" si="5"/>
        <v>15.200000000000001</v>
      </c>
      <c r="S26" s="24">
        <f t="shared" si="6"/>
        <v>1</v>
      </c>
      <c r="T26" s="140">
        <f t="shared" si="7"/>
        <v>19.466666666666665</v>
      </c>
      <c r="U26" s="9">
        <f t="shared" si="8"/>
        <v>1</v>
      </c>
      <c r="V26" s="141">
        <f t="shared" si="9"/>
        <v>18.533333333333335</v>
      </c>
      <c r="W26" s="142">
        <f t="shared" si="10"/>
        <v>1</v>
      </c>
      <c r="X26" s="144">
        <f t="shared" ca="1" si="0"/>
        <v>23.239393939393942</v>
      </c>
      <c r="Y26" s="144">
        <f t="shared" ca="1" si="1"/>
        <v>27.863333333333333</v>
      </c>
      <c r="Z26" s="144">
        <f t="shared" ca="1" si="2"/>
        <v>26.047045454545458</v>
      </c>
      <c r="AA26" s="10"/>
      <c r="AB26" s="357" t="str">
        <f>VLOOKUP($B26,'2007-2020 Metadata'!$A$4:$S$214,MATCH("Urban Area /Monitoring Zone",'2007-2020 Metadata'!$A$4:$S$4,0),FALSE)</f>
        <v>Auckland - Northern</v>
      </c>
      <c r="AC26" s="87" t="str">
        <f>VLOOKUP(B26,'2007-2020 Metadata'!$A$6:$A$214,1,FALSE)</f>
        <v>AUC040</v>
      </c>
      <c r="AD26" s="230" t="str">
        <f>VLOOKUP($AC26,'2007-2020 Metadata'!$A$6:$S$214,9,FALSE)</f>
        <v xml:space="preserve">North Shore </v>
      </c>
      <c r="AE26" s="248">
        <f>IF(ISBLANK(VLOOKUP($AC26,'2007-2020 Metadata'!$A$6:$S$214,19,FALSE)),"",VLOOKUP($AC26,'2007-2020 Metadata'!$A$6:$S$214,19,FALSE))</f>
        <v>2.5</v>
      </c>
      <c r="AF26" s="88" t="str">
        <f>VLOOKUP($B26,'2007-2020 Metadata'!$A$4:$S$214,MATCH("Site type",'2007-2020 Metadata'!$A$4:$S$4,0),FALSE)</f>
        <v>SH</v>
      </c>
      <c r="AG26" s="143">
        <f t="shared" si="11"/>
        <v>12.1</v>
      </c>
      <c r="AH26" s="143">
        <f t="shared" si="12"/>
        <v>27.1</v>
      </c>
      <c r="AI26" s="144">
        <f t="shared" ca="1" si="13"/>
        <v>26.047045454545458</v>
      </c>
    </row>
    <row r="27" spans="1:35" ht="12" customHeight="1" x14ac:dyDescent="0.15">
      <c r="A27" s="31"/>
      <c r="B27" s="40" t="s">
        <v>62</v>
      </c>
      <c r="C27" s="104">
        <f>IF(VLOOKUP($B27,'Monthly Summary 2011'!$B$7:$Q$222,14,FALSE)=0,"",VLOOKUP($B27,'Monthly Summary 2011'!$B$7:$Q$222,14,FALSE))</f>
        <v>19.7</v>
      </c>
      <c r="D27" s="36">
        <v>13.7</v>
      </c>
      <c r="E27" s="36">
        <v>19.2</v>
      </c>
      <c r="F27" s="36">
        <v>23.4</v>
      </c>
      <c r="G27" s="36">
        <v>25.7</v>
      </c>
      <c r="H27" s="36">
        <v>19.2</v>
      </c>
      <c r="I27" s="36">
        <v>23.7</v>
      </c>
      <c r="J27" s="36">
        <v>31.3</v>
      </c>
      <c r="K27" s="36">
        <v>22.5</v>
      </c>
      <c r="L27" s="36">
        <v>14.9</v>
      </c>
      <c r="M27" s="36">
        <v>12.8</v>
      </c>
      <c r="N27" s="36">
        <v>15.2</v>
      </c>
      <c r="O27" s="36"/>
      <c r="P27" s="37">
        <f t="shared" si="3"/>
        <v>20.145454545454548</v>
      </c>
      <c r="Q27" s="38">
        <f t="shared" si="4"/>
        <v>0.91666666666666663</v>
      </c>
      <c r="R27" s="140">
        <f t="shared" si="5"/>
        <v>18.766666666666666</v>
      </c>
      <c r="S27" s="24">
        <f t="shared" si="6"/>
        <v>1</v>
      </c>
      <c r="T27" s="140">
        <f t="shared" si="7"/>
        <v>22.900000000000002</v>
      </c>
      <c r="U27" s="9">
        <f t="shared" si="8"/>
        <v>1</v>
      </c>
      <c r="V27" s="141">
        <f t="shared" si="9"/>
        <v>20.145454545454548</v>
      </c>
      <c r="W27" s="142">
        <f t="shared" si="10"/>
        <v>0.91666666666666663</v>
      </c>
      <c r="X27" s="144">
        <f t="shared" ca="1" si="0"/>
        <v>23.239393939393942</v>
      </c>
      <c r="Y27" s="144">
        <f t="shared" ca="1" si="1"/>
        <v>27.863333333333333</v>
      </c>
      <c r="Z27" s="144">
        <f t="shared" ca="1" si="2"/>
        <v>26.047045454545458</v>
      </c>
      <c r="AA27" s="10"/>
      <c r="AB27" s="357" t="str">
        <f>VLOOKUP($B27,'2007-2020 Metadata'!$A$4:$S$214,MATCH("Urban Area /Monitoring Zone",'2007-2020 Metadata'!$A$4:$S$4,0),FALSE)</f>
        <v>Auckland - Northern</v>
      </c>
      <c r="AC27" s="87" t="str">
        <f>VLOOKUP(B27,'2007-2020 Metadata'!$A$6:$A$214,1,FALSE)</f>
        <v>AUC041</v>
      </c>
      <c r="AD27" s="230" t="str">
        <f>VLOOKUP($AC27,'2007-2020 Metadata'!$A$6:$S$214,9,FALSE)</f>
        <v xml:space="preserve">North Shore </v>
      </c>
      <c r="AE27" s="248">
        <f>IF(ISBLANK(VLOOKUP($AC27,'2007-2020 Metadata'!$A$6:$S$214,19,FALSE)),"",VLOOKUP($AC27,'2007-2020 Metadata'!$A$6:$S$214,19,FALSE))</f>
        <v>3</v>
      </c>
      <c r="AF27" s="88" t="str">
        <f>VLOOKUP($B27,'2007-2020 Metadata'!$A$4:$S$214,MATCH("Site type",'2007-2020 Metadata'!$A$4:$S$4,0),FALSE)</f>
        <v>Local</v>
      </c>
      <c r="AG27" s="143">
        <f t="shared" si="11"/>
        <v>12.8</v>
      </c>
      <c r="AH27" s="143">
        <f t="shared" si="12"/>
        <v>31.3</v>
      </c>
      <c r="AI27" s="144">
        <f t="shared" ca="1" si="13"/>
        <v>26.047045454545458</v>
      </c>
    </row>
    <row r="28" spans="1:35" ht="12" customHeight="1" x14ac:dyDescent="0.15">
      <c r="A28" s="31"/>
      <c r="B28" s="40" t="s">
        <v>63</v>
      </c>
      <c r="C28" s="104">
        <f>IF(VLOOKUP($B28,'Monthly Summary 2011'!$B$7:$Q$222,14,FALSE)=0,"",VLOOKUP($B28,'Monthly Summary 2011'!$B$7:$Q$222,14,FALSE))</f>
        <v>23</v>
      </c>
      <c r="D28" s="36">
        <v>20</v>
      </c>
      <c r="E28" s="36">
        <v>32.200000000000003</v>
      </c>
      <c r="F28" s="36">
        <v>28.2</v>
      </c>
      <c r="G28" s="36">
        <v>36</v>
      </c>
      <c r="H28" s="36">
        <v>41</v>
      </c>
      <c r="I28" s="36">
        <v>41.2</v>
      </c>
      <c r="J28" s="36">
        <v>34.799999999999997</v>
      </c>
      <c r="K28" s="36">
        <v>31.9</v>
      </c>
      <c r="L28" s="36">
        <v>30.4</v>
      </c>
      <c r="M28" s="36">
        <v>19.2</v>
      </c>
      <c r="N28" s="36">
        <v>27.9</v>
      </c>
      <c r="O28" s="36">
        <v>22.8</v>
      </c>
      <c r="P28" s="37">
        <f t="shared" si="3"/>
        <v>30.466666666666665</v>
      </c>
      <c r="Q28" s="38">
        <f t="shared" si="4"/>
        <v>1</v>
      </c>
      <c r="R28" s="140">
        <f t="shared" si="5"/>
        <v>26.8</v>
      </c>
      <c r="S28" s="24">
        <f t="shared" si="6"/>
        <v>1</v>
      </c>
      <c r="T28" s="140">
        <f t="shared" si="7"/>
        <v>32.366666666666667</v>
      </c>
      <c r="U28" s="9">
        <f t="shared" si="8"/>
        <v>1</v>
      </c>
      <c r="V28" s="141">
        <f t="shared" si="9"/>
        <v>30.466666666666665</v>
      </c>
      <c r="W28" s="142">
        <f t="shared" si="10"/>
        <v>1</v>
      </c>
      <c r="X28" s="144">
        <f t="shared" ca="1" si="0"/>
        <v>23.239393939393942</v>
      </c>
      <c r="Y28" s="144">
        <f t="shared" ca="1" si="1"/>
        <v>27.863333333333333</v>
      </c>
      <c r="Z28" s="144">
        <f t="shared" ca="1" si="2"/>
        <v>26.047045454545458</v>
      </c>
      <c r="AA28" s="10"/>
      <c r="AB28" s="357" t="str">
        <f>VLOOKUP($B28,'2007-2020 Metadata'!$A$4:$S$214,MATCH("Urban Area /Monitoring Zone",'2007-2020 Metadata'!$A$4:$S$4,0),FALSE)</f>
        <v>Auckland - Northern</v>
      </c>
      <c r="AC28" s="87" t="str">
        <f>VLOOKUP(B28,'2007-2020 Metadata'!$A$6:$A$214,1,FALSE)</f>
        <v>AUC042</v>
      </c>
      <c r="AD28" s="230" t="str">
        <f>VLOOKUP($AC28,'2007-2020 Metadata'!$A$6:$S$214,9,FALSE)</f>
        <v xml:space="preserve">North Shore </v>
      </c>
      <c r="AE28" s="248">
        <f>IF(ISBLANK(VLOOKUP($AC28,'2007-2020 Metadata'!$A$6:$S$214,19,FALSE)),"",VLOOKUP($AC28,'2007-2020 Metadata'!$A$6:$S$214,19,FALSE))</f>
        <v>3</v>
      </c>
      <c r="AF28" s="88" t="str">
        <f>VLOOKUP($B28,'2007-2020 Metadata'!$A$4:$S$214,MATCH("Site type",'2007-2020 Metadata'!$A$4:$S$4,0),FALSE)</f>
        <v>Local</v>
      </c>
      <c r="AG28" s="143">
        <f t="shared" si="11"/>
        <v>19.2</v>
      </c>
      <c r="AH28" s="143">
        <f t="shared" si="12"/>
        <v>41.2</v>
      </c>
      <c r="AI28" s="144">
        <f t="shared" ca="1" si="13"/>
        <v>26.047045454545458</v>
      </c>
    </row>
    <row r="29" spans="1:35" ht="12" customHeight="1" x14ac:dyDescent="0.15">
      <c r="A29" s="31"/>
      <c r="B29" s="40" t="s">
        <v>64</v>
      </c>
      <c r="C29" s="104">
        <f>IF(VLOOKUP($B29,'Monthly Summary 2011'!$B$7:$Q$222,14,FALSE)=0,"",VLOOKUP($B29,'Monthly Summary 2011'!$B$7:$Q$222,14,FALSE))</f>
        <v>17.600000000000001</v>
      </c>
      <c r="D29" s="36">
        <v>19.399999999999999</v>
      </c>
      <c r="E29" s="36">
        <v>27</v>
      </c>
      <c r="F29" s="36">
        <v>23.2</v>
      </c>
      <c r="G29" s="36">
        <v>34.5</v>
      </c>
      <c r="H29" s="36">
        <v>36.4</v>
      </c>
      <c r="I29" s="36">
        <v>43.8</v>
      </c>
      <c r="J29" s="36">
        <v>29.2</v>
      </c>
      <c r="K29" s="36">
        <v>31.7</v>
      </c>
      <c r="L29" s="36">
        <v>24.6</v>
      </c>
      <c r="M29" s="36">
        <v>15.8</v>
      </c>
      <c r="N29" s="36">
        <v>27.2</v>
      </c>
      <c r="O29" s="36">
        <v>18.2</v>
      </c>
      <c r="P29" s="37">
        <f t="shared" si="3"/>
        <v>27.583333333333332</v>
      </c>
      <c r="Q29" s="38">
        <f t="shared" si="4"/>
        <v>1</v>
      </c>
      <c r="R29" s="260">
        <f t="shared" si="5"/>
        <v>23.2</v>
      </c>
      <c r="S29" s="264">
        <f t="shared" si="6"/>
        <v>1</v>
      </c>
      <c r="T29" s="260">
        <f t="shared" si="7"/>
        <v>28.5</v>
      </c>
      <c r="U29" s="265">
        <f t="shared" si="8"/>
        <v>1</v>
      </c>
      <c r="V29" s="262">
        <f t="shared" si="9"/>
        <v>27.583333333333332</v>
      </c>
      <c r="W29" s="261">
        <f t="shared" si="10"/>
        <v>1</v>
      </c>
      <c r="X29" s="177">
        <f t="shared" ca="1" si="0"/>
        <v>23.239393939393942</v>
      </c>
      <c r="Y29" s="177">
        <f t="shared" ca="1" si="1"/>
        <v>27.863333333333333</v>
      </c>
      <c r="Z29" s="177">
        <f t="shared" ca="1" si="2"/>
        <v>26.047045454545458</v>
      </c>
      <c r="AA29" s="10"/>
      <c r="AB29" s="357" t="str">
        <f>VLOOKUP($B29,'2007-2020 Metadata'!$A$4:$S$214,MATCH("Urban Area /Monitoring Zone",'2007-2020 Metadata'!$A$4:$S$4,0),FALSE)</f>
        <v>Auckland - Northern</v>
      </c>
      <c r="AC29" s="259" t="str">
        <f>VLOOKUP(B29,'2007-2020 Metadata'!$A$6:$A$214,1,FALSE)</f>
        <v>AUC043</v>
      </c>
      <c r="AD29" s="256" t="str">
        <f>VLOOKUP($AC29,'2007-2020 Metadata'!$A$6:$S$214,9,FALSE)</f>
        <v xml:space="preserve">North Shore </v>
      </c>
      <c r="AE29" s="263">
        <f>IF(ISBLANK(VLOOKUP($AC29,'2007-2020 Metadata'!$A$6:$S$214,19,FALSE)),"",VLOOKUP($AC29,'2007-2020 Metadata'!$A$6:$S$214,19,FALSE))</f>
        <v>3</v>
      </c>
      <c r="AF29" s="257" t="str">
        <f>VLOOKUP($B29,'2007-2020 Metadata'!$A$4:$S$214,MATCH("Site type",'2007-2020 Metadata'!$A$4:$S$4,0),FALSE)</f>
        <v>SH</v>
      </c>
      <c r="AG29" s="258">
        <f>MIN(AVERAGE(D$29:D$31),AVERAGE(E$29:E$31),AVERAGE(F$29:F$31),AVERAGE(G$29:G$31),AVERAGE(H$29:H$31),AVERAGE(I$29:I$31),AVERAGE(J$29:J$31),AVERAGE(K$29:K$31),AVERAGE(L$29:L$31),AVERAGE(M$29:M$31),AVERAGE(N$29:N$31),AVERAGE(O$29:O$31))</f>
        <v>16.3</v>
      </c>
      <c r="AH29" s="258">
        <f>MAX(AVERAGE(D$29:D$31),AVERAGE(E$29:E$31),AVERAGE(F$29:F$31),AVERAGE(G$29:G$31),AVERAGE(H$29:H$31),AVERAGE(I$29:I$31),AVERAGE(J$29:J$31),AVERAGE(K$29:K$31),AVERAGE(L$29:L$31),AVERAGE(M$29:M$31),AVERAGE(N$29:N$31),AVERAGE(O$29:O$31))</f>
        <v>42.4</v>
      </c>
      <c r="AI29" s="177">
        <f t="shared" ca="1" si="13"/>
        <v>26.047045454545458</v>
      </c>
    </row>
    <row r="30" spans="1:35" ht="12" customHeight="1" x14ac:dyDescent="0.15">
      <c r="A30" s="31"/>
      <c r="B30" s="40" t="s">
        <v>65</v>
      </c>
      <c r="C30" s="104">
        <f>IF(VLOOKUP($B30,'Monthly Summary 2011'!$B$7:$Q$222,14,FALSE)=0,"",VLOOKUP($B30,'Monthly Summary 2011'!$B$7:$Q$222,14,FALSE))</f>
        <v>17.100000000000001</v>
      </c>
      <c r="D30" s="36">
        <v>18.8</v>
      </c>
      <c r="E30" s="36">
        <v>26.7</v>
      </c>
      <c r="F30" s="36">
        <v>24.6</v>
      </c>
      <c r="G30" s="36">
        <v>27.8</v>
      </c>
      <c r="H30" s="36">
        <v>38.200000000000003</v>
      </c>
      <c r="I30" s="36">
        <v>43.6</v>
      </c>
      <c r="J30" s="36">
        <v>29.9</v>
      </c>
      <c r="K30" s="36">
        <v>28.2</v>
      </c>
      <c r="L30" s="36">
        <v>29.7</v>
      </c>
      <c r="M30" s="36">
        <v>16.600000000000001</v>
      </c>
      <c r="N30" s="36">
        <v>29.3</v>
      </c>
      <c r="O30" s="36">
        <v>16.2</v>
      </c>
      <c r="P30" s="37">
        <f t="shared" si="3"/>
        <v>27.466666666666669</v>
      </c>
      <c r="Q30" s="38">
        <f t="shared" si="4"/>
        <v>1</v>
      </c>
      <c r="R30" s="260">
        <f t="shared" si="5"/>
        <v>23.366666666666664</v>
      </c>
      <c r="S30" s="264">
        <f t="shared" si="6"/>
        <v>1</v>
      </c>
      <c r="T30" s="260">
        <f t="shared" si="7"/>
        <v>29.266666666666666</v>
      </c>
      <c r="U30" s="265">
        <f t="shared" si="8"/>
        <v>1</v>
      </c>
      <c r="V30" s="262">
        <f t="shared" si="9"/>
        <v>27.466666666666669</v>
      </c>
      <c r="W30" s="261">
        <f t="shared" si="10"/>
        <v>1</v>
      </c>
      <c r="X30" s="177">
        <f t="shared" ca="1" si="0"/>
        <v>23.239393939393942</v>
      </c>
      <c r="Y30" s="177">
        <f t="shared" ca="1" si="1"/>
        <v>27.863333333333333</v>
      </c>
      <c r="Z30" s="177">
        <f t="shared" ca="1" si="2"/>
        <v>26.047045454545458</v>
      </c>
      <c r="AA30" s="10"/>
      <c r="AB30" s="357" t="str">
        <f>VLOOKUP($B30,'2007-2020 Metadata'!$A$4:$S$214,MATCH("Urban Area /Monitoring Zone",'2007-2020 Metadata'!$A$4:$S$4,0),FALSE)</f>
        <v>Auckland - Northern</v>
      </c>
      <c r="AC30" s="259" t="str">
        <f>VLOOKUP(B30,'2007-2020 Metadata'!$A$6:$A$214,1,FALSE)</f>
        <v>AUC044</v>
      </c>
      <c r="AD30" s="256" t="str">
        <f>VLOOKUP($AC30,'2007-2020 Metadata'!$A$6:$S$214,9,FALSE)</f>
        <v xml:space="preserve">North Shore </v>
      </c>
      <c r="AE30" s="263">
        <f>IF(ISBLANK(VLOOKUP($AC30,'2007-2020 Metadata'!$A$6:$S$214,19,FALSE)),"",VLOOKUP($AC30,'2007-2020 Metadata'!$A$6:$S$214,19,FALSE))</f>
        <v>3</v>
      </c>
      <c r="AF30" s="257" t="str">
        <f>VLOOKUP($B30,'2007-2020 Metadata'!$A$4:$S$214,MATCH("Site type",'2007-2020 Metadata'!$A$4:$S$4,0),FALSE)</f>
        <v>SH</v>
      </c>
      <c r="AG30" s="258">
        <f>MIN(AVERAGE(D$29:D$31),AVERAGE(E$29:E$31),AVERAGE(F$29:F$31),AVERAGE(G$29:G$31),AVERAGE(H$29:H$31),AVERAGE(I$29:I$31),AVERAGE(J$29:J$31),AVERAGE(K$29:K$31),AVERAGE(L$29:L$31),AVERAGE(M$29:M$31),AVERAGE(N$29:N$31),AVERAGE(O$29:O$31))</f>
        <v>16.3</v>
      </c>
      <c r="AH30" s="258">
        <f t="shared" ref="AH30:AH31" si="16">MAX(AVERAGE(D$29:D$31),AVERAGE(E$29:E$31),AVERAGE(F$29:F$31),AVERAGE(G$29:G$31),AVERAGE(H$29:H$31),AVERAGE(I$29:I$31),AVERAGE(J$29:J$31),AVERAGE(K$29:K$31),AVERAGE(L$29:L$31),AVERAGE(M$29:M$31),AVERAGE(N$29:N$31),AVERAGE(O$29:O$31))</f>
        <v>42.4</v>
      </c>
      <c r="AI30" s="177">
        <f t="shared" ca="1" si="13"/>
        <v>26.047045454545458</v>
      </c>
    </row>
    <row r="31" spans="1:35" ht="12" customHeight="1" x14ac:dyDescent="0.15">
      <c r="A31" s="31"/>
      <c r="B31" s="40" t="s">
        <v>66</v>
      </c>
      <c r="C31" s="104">
        <f>IF(VLOOKUP($B31,'Monthly Summary 2011'!$B$7:$Q$222,14,FALSE)=0,"",VLOOKUP($B31,'Monthly Summary 2011'!$B$7:$Q$222,14,FALSE))</f>
        <v>18.100000000000001</v>
      </c>
      <c r="D31" s="36">
        <v>20.399999999999999</v>
      </c>
      <c r="E31" s="36">
        <v>27.5</v>
      </c>
      <c r="F31" s="36">
        <v>23.3</v>
      </c>
      <c r="G31" s="36">
        <v>33.700000000000003</v>
      </c>
      <c r="H31" s="36">
        <v>39</v>
      </c>
      <c r="I31" s="36">
        <v>39.799999999999997</v>
      </c>
      <c r="J31" s="36">
        <v>29.8</v>
      </c>
      <c r="K31" s="36">
        <v>29.6</v>
      </c>
      <c r="L31" s="36">
        <v>29</v>
      </c>
      <c r="M31" s="36">
        <v>16.5</v>
      </c>
      <c r="N31" s="36">
        <v>27.3</v>
      </c>
      <c r="O31" s="36">
        <v>18.100000000000001</v>
      </c>
      <c r="P31" s="37">
        <f t="shared" si="3"/>
        <v>27.833333333333339</v>
      </c>
      <c r="Q31" s="38">
        <f t="shared" si="4"/>
        <v>1</v>
      </c>
      <c r="R31" s="260">
        <f t="shared" si="5"/>
        <v>23.733333333333334</v>
      </c>
      <c r="S31" s="264">
        <f t="shared" si="6"/>
        <v>1</v>
      </c>
      <c r="T31" s="260">
        <f t="shared" si="7"/>
        <v>29.466666666666669</v>
      </c>
      <c r="U31" s="265">
        <f t="shared" si="8"/>
        <v>1</v>
      </c>
      <c r="V31" s="262">
        <f t="shared" si="9"/>
        <v>27.833333333333339</v>
      </c>
      <c r="W31" s="261">
        <f t="shared" si="10"/>
        <v>1</v>
      </c>
      <c r="X31" s="177">
        <f t="shared" ca="1" si="0"/>
        <v>23.239393939393942</v>
      </c>
      <c r="Y31" s="177">
        <f t="shared" ca="1" si="1"/>
        <v>27.863333333333333</v>
      </c>
      <c r="Z31" s="177">
        <f t="shared" ca="1" si="2"/>
        <v>26.047045454545458</v>
      </c>
      <c r="AA31" s="10"/>
      <c r="AB31" s="357" t="str">
        <f>VLOOKUP($B31,'2007-2020 Metadata'!$A$4:$S$214,MATCH("Urban Area /Monitoring Zone",'2007-2020 Metadata'!$A$4:$S$4,0),FALSE)</f>
        <v>Auckland - Northern</v>
      </c>
      <c r="AC31" s="259" t="str">
        <f>VLOOKUP(B31,'2007-2020 Metadata'!$A$6:$A$214,1,FALSE)</f>
        <v>AUC045</v>
      </c>
      <c r="AD31" s="256" t="str">
        <f>VLOOKUP($AC31,'2007-2020 Metadata'!$A$6:$S$214,9,FALSE)</f>
        <v xml:space="preserve">North Shore </v>
      </c>
      <c r="AE31" s="263">
        <f>IF(ISBLANK(VLOOKUP($AC31,'2007-2020 Metadata'!$A$6:$S$214,19,FALSE)),"",VLOOKUP($AC31,'2007-2020 Metadata'!$A$6:$S$214,19,FALSE))</f>
        <v>3</v>
      </c>
      <c r="AF31" s="257" t="str">
        <f>VLOOKUP($B31,'2007-2020 Metadata'!$A$4:$S$214,MATCH("Site type",'2007-2020 Metadata'!$A$4:$S$4,0),FALSE)</f>
        <v>SH</v>
      </c>
      <c r="AG31" s="258">
        <f>MIN(AVERAGE(D$29:D$31),AVERAGE(E$29:E$31),AVERAGE(F$29:F$31),AVERAGE(G$29:G$31),AVERAGE(H$29:H$31),AVERAGE(I$29:I$31),AVERAGE(J$29:J$31),AVERAGE(K$29:K$31),AVERAGE(L$29:L$31),AVERAGE(M$29:M$31),AVERAGE(N$29:N$31),AVERAGE(O$29:O$31))</f>
        <v>16.3</v>
      </c>
      <c r="AH31" s="258">
        <f t="shared" si="16"/>
        <v>42.4</v>
      </c>
      <c r="AI31" s="177">
        <f t="shared" ca="1" si="13"/>
        <v>26.047045454545458</v>
      </c>
    </row>
    <row r="32" spans="1:35" ht="12" customHeight="1" x14ac:dyDescent="0.15">
      <c r="A32" s="31"/>
      <c r="B32" s="40" t="s">
        <v>67</v>
      </c>
      <c r="C32" s="104">
        <f>IF(VLOOKUP($B32,'Monthly Summary 2011'!$B$7:$Q$222,14,FALSE)=0,"",VLOOKUP($B32,'Monthly Summary 2011'!$B$7:$Q$222,14,FALSE))</f>
        <v>11.7</v>
      </c>
      <c r="D32" s="36">
        <v>21.4</v>
      </c>
      <c r="E32" s="36">
        <v>26.4</v>
      </c>
      <c r="F32" s="36">
        <v>20.6</v>
      </c>
      <c r="G32" s="36">
        <v>27.9</v>
      </c>
      <c r="H32" s="36">
        <v>42.7</v>
      </c>
      <c r="I32" s="36">
        <v>44.2</v>
      </c>
      <c r="J32" s="36">
        <v>28.9</v>
      </c>
      <c r="K32" s="36">
        <v>34.4</v>
      </c>
      <c r="L32" s="36">
        <v>28.4</v>
      </c>
      <c r="M32" s="36">
        <v>27.6</v>
      </c>
      <c r="N32" s="36">
        <v>30.3</v>
      </c>
      <c r="O32" s="36">
        <v>18.5</v>
      </c>
      <c r="P32" s="37">
        <f t="shared" si="3"/>
        <v>29.275000000000002</v>
      </c>
      <c r="Q32" s="38">
        <f t="shared" si="4"/>
        <v>1</v>
      </c>
      <c r="R32" s="140">
        <f t="shared" si="5"/>
        <v>22.8</v>
      </c>
      <c r="S32" s="24">
        <f t="shared" si="6"/>
        <v>1</v>
      </c>
      <c r="T32" s="140">
        <f t="shared" si="7"/>
        <v>30.566666666666663</v>
      </c>
      <c r="U32" s="9">
        <f t="shared" si="8"/>
        <v>1</v>
      </c>
      <c r="V32" s="141">
        <f t="shared" si="9"/>
        <v>29.275000000000002</v>
      </c>
      <c r="W32" s="142">
        <f t="shared" si="10"/>
        <v>1</v>
      </c>
      <c r="X32" s="144">
        <f t="shared" ca="1" si="0"/>
        <v>23.239393939393942</v>
      </c>
      <c r="Y32" s="144">
        <f t="shared" ca="1" si="1"/>
        <v>27.863333333333333</v>
      </c>
      <c r="Z32" s="144">
        <f t="shared" ca="1" si="2"/>
        <v>26.047045454545458</v>
      </c>
      <c r="AA32" s="10"/>
      <c r="AB32" s="357" t="str">
        <f>VLOOKUP($B32,'2007-2020 Metadata'!$A$4:$S$214,MATCH("Urban Area /Monitoring Zone",'2007-2020 Metadata'!$A$4:$S$4,0),FALSE)</f>
        <v>Auckland - Northern</v>
      </c>
      <c r="AC32" s="87" t="str">
        <f>VLOOKUP(B32,'2007-2020 Metadata'!$A$6:$A$214,1,FALSE)</f>
        <v>AUC046</v>
      </c>
      <c r="AD32" s="230" t="str">
        <f>VLOOKUP($AC32,'2007-2020 Metadata'!$A$6:$S$214,9,FALSE)</f>
        <v xml:space="preserve">North Shore </v>
      </c>
      <c r="AE32" s="248">
        <f>IF(ISBLANK(VLOOKUP($AC32,'2007-2020 Metadata'!$A$6:$S$214,19,FALSE)),"",VLOOKUP($AC32,'2007-2020 Metadata'!$A$6:$S$214,19,FALSE))</f>
        <v>3</v>
      </c>
      <c r="AF32" s="88" t="str">
        <f>VLOOKUP($B32,'2007-2020 Metadata'!$A$4:$S$214,MATCH("Site type",'2007-2020 Metadata'!$A$4:$S$4,0),FALSE)</f>
        <v>Local</v>
      </c>
      <c r="AG32" s="143">
        <f t="shared" si="11"/>
        <v>18.5</v>
      </c>
      <c r="AH32" s="143">
        <f t="shared" si="12"/>
        <v>44.2</v>
      </c>
      <c r="AI32" s="144">
        <f t="shared" ca="1" si="13"/>
        <v>26.047045454545458</v>
      </c>
    </row>
    <row r="33" spans="1:35" ht="12" customHeight="1" x14ac:dyDescent="0.15">
      <c r="A33" s="31"/>
      <c r="B33" s="40" t="s">
        <v>68</v>
      </c>
      <c r="C33" s="104">
        <f>IF(VLOOKUP($B33,'Monthly Summary 2011'!$B$7:$Q$222,14,FALSE)=0,"",VLOOKUP($B33,'Monthly Summary 2011'!$B$7:$Q$222,14,FALSE))</f>
        <v>9.4</v>
      </c>
      <c r="D33" s="36">
        <v>7</v>
      </c>
      <c r="E33" s="36">
        <v>13.2</v>
      </c>
      <c r="F33" s="36">
        <v>13.6</v>
      </c>
      <c r="G33" s="36">
        <v>17.3</v>
      </c>
      <c r="H33" s="36">
        <v>19.399999999999999</v>
      </c>
      <c r="I33" s="36">
        <v>17.7</v>
      </c>
      <c r="J33" s="36">
        <v>19.2</v>
      </c>
      <c r="K33" s="36">
        <v>14.9</v>
      </c>
      <c r="L33" s="36">
        <v>9.9</v>
      </c>
      <c r="M33" s="36">
        <v>7.1</v>
      </c>
      <c r="N33" s="36">
        <v>11.3</v>
      </c>
      <c r="O33" s="36">
        <v>8</v>
      </c>
      <c r="P33" s="37">
        <f t="shared" si="3"/>
        <v>13.216666666666669</v>
      </c>
      <c r="Q33" s="38">
        <f t="shared" si="4"/>
        <v>1</v>
      </c>
      <c r="R33" s="140">
        <f t="shared" si="5"/>
        <v>11.266666666666666</v>
      </c>
      <c r="S33" s="24">
        <f t="shared" si="6"/>
        <v>1</v>
      </c>
      <c r="T33" s="140">
        <f t="shared" si="7"/>
        <v>14.666666666666666</v>
      </c>
      <c r="U33" s="9">
        <f t="shared" si="8"/>
        <v>1</v>
      </c>
      <c r="V33" s="141">
        <f t="shared" si="9"/>
        <v>13.216666666666669</v>
      </c>
      <c r="W33" s="142">
        <f t="shared" si="10"/>
        <v>1</v>
      </c>
      <c r="X33" s="144">
        <f t="shared" ca="1" si="0"/>
        <v>23.239393939393942</v>
      </c>
      <c r="Y33" s="144">
        <f t="shared" ca="1" si="1"/>
        <v>27.863333333333333</v>
      </c>
      <c r="Z33" s="144">
        <f t="shared" ca="1" si="2"/>
        <v>26.047045454545458</v>
      </c>
      <c r="AA33" s="10"/>
      <c r="AB33" s="357" t="str">
        <f>VLOOKUP($B33,'2007-2020 Metadata'!$A$4:$S$214,MATCH("Urban Area /Monitoring Zone",'2007-2020 Metadata'!$A$4:$S$4,0),FALSE)</f>
        <v>Auckland - Northern</v>
      </c>
      <c r="AC33" s="87" t="str">
        <f>VLOOKUP(B33,'2007-2020 Metadata'!$A$6:$A$214,1,FALSE)</f>
        <v>AUC047</v>
      </c>
      <c r="AD33" s="230" t="str">
        <f>VLOOKUP($AC33,'2007-2020 Metadata'!$A$6:$S$214,9,FALSE)</f>
        <v xml:space="preserve">North Shore </v>
      </c>
      <c r="AE33" s="248">
        <f>IF(ISBLANK(VLOOKUP($AC33,'2007-2020 Metadata'!$A$6:$S$214,19,FALSE)),"",VLOOKUP($AC33,'2007-2020 Metadata'!$A$6:$S$214,19,FALSE))</f>
        <v>3</v>
      </c>
      <c r="AF33" s="88" t="str">
        <f>VLOOKUP($B33,'2007-2020 Metadata'!$A$4:$S$214,MATCH("Site type",'2007-2020 Metadata'!$A$4:$S$4,0),FALSE)</f>
        <v>Background</v>
      </c>
      <c r="AG33" s="143">
        <f t="shared" si="11"/>
        <v>7</v>
      </c>
      <c r="AH33" s="143">
        <f t="shared" si="12"/>
        <v>19.399999999999999</v>
      </c>
      <c r="AI33" s="144">
        <f t="shared" ca="1" si="13"/>
        <v>26.047045454545458</v>
      </c>
    </row>
    <row r="34" spans="1:35" ht="12" customHeight="1" x14ac:dyDescent="0.15">
      <c r="A34" s="31"/>
      <c r="B34" s="40" t="s">
        <v>69</v>
      </c>
      <c r="C34" s="104">
        <f>IF(VLOOKUP($B34,'Monthly Summary 2011'!$B$7:$Q$222,14,FALSE)=0,"",VLOOKUP($B34,'Monthly Summary 2011'!$B$7:$Q$222,14,FALSE))</f>
        <v>13.5</v>
      </c>
      <c r="D34" s="36">
        <v>18.899999999999999</v>
      </c>
      <c r="E34" s="36">
        <v>25.4</v>
      </c>
      <c r="F34" s="36">
        <v>22.7</v>
      </c>
      <c r="G34" s="36">
        <v>33.700000000000003</v>
      </c>
      <c r="H34" s="36">
        <v>33.5</v>
      </c>
      <c r="I34" s="36">
        <v>39.9</v>
      </c>
      <c r="J34" s="36">
        <v>15.8</v>
      </c>
      <c r="K34" s="36">
        <v>28.4</v>
      </c>
      <c r="L34" s="36">
        <v>25.4</v>
      </c>
      <c r="M34" s="36">
        <v>19.600000000000001</v>
      </c>
      <c r="N34" s="36">
        <v>27</v>
      </c>
      <c r="O34" s="36">
        <v>16.8</v>
      </c>
      <c r="P34" s="37">
        <f t="shared" si="3"/>
        <v>25.591666666666669</v>
      </c>
      <c r="Q34" s="38">
        <f t="shared" si="4"/>
        <v>1</v>
      </c>
      <c r="R34" s="140">
        <f t="shared" si="5"/>
        <v>22.333333333333332</v>
      </c>
      <c r="S34" s="24">
        <f t="shared" si="6"/>
        <v>1</v>
      </c>
      <c r="T34" s="140">
        <f t="shared" si="7"/>
        <v>23.2</v>
      </c>
      <c r="U34" s="9">
        <f t="shared" si="8"/>
        <v>1</v>
      </c>
      <c r="V34" s="141">
        <f t="shared" si="9"/>
        <v>25.591666666666669</v>
      </c>
      <c r="W34" s="142">
        <f t="shared" si="10"/>
        <v>1</v>
      </c>
      <c r="X34" s="144">
        <f t="shared" ca="1" si="0"/>
        <v>16.708333333333332</v>
      </c>
      <c r="Y34" s="144">
        <f t="shared" ca="1" si="1"/>
        <v>20.541666666666664</v>
      </c>
      <c r="Z34" s="144">
        <f t="shared" ca="1" si="2"/>
        <v>18.719128787878791</v>
      </c>
      <c r="AA34" s="10"/>
      <c r="AB34" s="357" t="str">
        <f>VLOOKUP($B34,'2007-2020 Metadata'!$A$4:$S$214,MATCH("Urban Area /Monitoring Zone",'2007-2020 Metadata'!$A$4:$S$4,0),FALSE)</f>
        <v>Auckland - Western</v>
      </c>
      <c r="AC34" s="87" t="str">
        <f>VLOOKUP(B34,'2007-2020 Metadata'!$A$6:$A$214,1,FALSE)</f>
        <v>AUC048</v>
      </c>
      <c r="AD34" s="230" t="str">
        <f>VLOOKUP($AC34,'2007-2020 Metadata'!$A$6:$S$214,9,FALSE)</f>
        <v>Waitakere</v>
      </c>
      <c r="AE34" s="248">
        <f>IF(ISBLANK(VLOOKUP($AC34,'2007-2020 Metadata'!$A$6:$S$214,19,FALSE)),"",VLOOKUP($AC34,'2007-2020 Metadata'!$A$6:$S$214,19,FALSE))</f>
        <v>3</v>
      </c>
      <c r="AF34" s="88" t="str">
        <f>VLOOKUP($B34,'2007-2020 Metadata'!$A$4:$S$214,MATCH("Site type",'2007-2020 Metadata'!$A$4:$S$4,0),FALSE)</f>
        <v>SH</v>
      </c>
      <c r="AG34" s="143">
        <f t="shared" si="11"/>
        <v>15.8</v>
      </c>
      <c r="AH34" s="143">
        <f t="shared" si="12"/>
        <v>39.9</v>
      </c>
      <c r="AI34" s="144">
        <f t="shared" ca="1" si="13"/>
        <v>18.719128787878791</v>
      </c>
    </row>
    <row r="35" spans="1:35" ht="12" customHeight="1" x14ac:dyDescent="0.15">
      <c r="A35" s="31"/>
      <c r="B35" s="40" t="s">
        <v>70</v>
      </c>
      <c r="C35" s="104">
        <f>IF(VLOOKUP($B35,'Monthly Summary 2011'!$B$7:$Q$222,14,FALSE)=0,"",VLOOKUP($B35,'Monthly Summary 2011'!$B$7:$Q$222,14,FALSE))</f>
        <v>7.9</v>
      </c>
      <c r="D35" s="36">
        <v>7.8</v>
      </c>
      <c r="E35" s="36">
        <v>12.4</v>
      </c>
      <c r="F35" s="36">
        <v>10.7</v>
      </c>
      <c r="G35" s="36">
        <v>15.8</v>
      </c>
      <c r="H35" s="36">
        <v>18.8</v>
      </c>
      <c r="I35" s="36">
        <v>21.6</v>
      </c>
      <c r="J35" s="36">
        <v>17.7</v>
      </c>
      <c r="K35" s="36">
        <v>15.2</v>
      </c>
      <c r="L35" s="36">
        <v>11.3</v>
      </c>
      <c r="M35" s="36">
        <v>10.7</v>
      </c>
      <c r="N35" s="36">
        <v>12.8</v>
      </c>
      <c r="O35" s="36">
        <v>7.9</v>
      </c>
      <c r="P35" s="37">
        <f t="shared" si="3"/>
        <v>13.558333333333335</v>
      </c>
      <c r="Q35" s="38">
        <f t="shared" si="4"/>
        <v>1</v>
      </c>
      <c r="R35" s="140">
        <f t="shared" si="5"/>
        <v>10.299999999999999</v>
      </c>
      <c r="S35" s="24">
        <f t="shared" si="6"/>
        <v>1</v>
      </c>
      <c r="T35" s="140">
        <f t="shared" si="7"/>
        <v>14.733333333333334</v>
      </c>
      <c r="U35" s="9">
        <f t="shared" si="8"/>
        <v>1</v>
      </c>
      <c r="V35" s="141">
        <f t="shared" si="9"/>
        <v>13.558333333333335</v>
      </c>
      <c r="W35" s="142">
        <f t="shared" si="10"/>
        <v>1</v>
      </c>
      <c r="X35" s="144">
        <f t="shared" ca="1" si="0"/>
        <v>16.708333333333332</v>
      </c>
      <c r="Y35" s="144">
        <f t="shared" ca="1" si="1"/>
        <v>20.541666666666664</v>
      </c>
      <c r="Z35" s="144">
        <f t="shared" ca="1" si="2"/>
        <v>18.719128787878791</v>
      </c>
      <c r="AA35" s="10"/>
      <c r="AB35" s="357" t="str">
        <f>VLOOKUP($B35,'2007-2020 Metadata'!$A$4:$S$214,MATCH("Urban Area /Monitoring Zone",'2007-2020 Metadata'!$A$4:$S$4,0),FALSE)</f>
        <v>Auckland - Western</v>
      </c>
      <c r="AC35" s="87" t="str">
        <f>VLOOKUP(B35,'2007-2020 Metadata'!$A$6:$A$214,1,FALSE)</f>
        <v>AUC049</v>
      </c>
      <c r="AD35" s="230" t="str">
        <f>VLOOKUP($AC35,'2007-2020 Metadata'!$A$6:$S$214,9,FALSE)</f>
        <v>Waitakere</v>
      </c>
      <c r="AE35" s="248">
        <f>IF(ISBLANK(VLOOKUP($AC35,'2007-2020 Metadata'!$A$6:$S$214,19,FALSE)),"",VLOOKUP($AC35,'2007-2020 Metadata'!$A$6:$S$214,19,FALSE))</f>
        <v>3</v>
      </c>
      <c r="AF35" s="88" t="str">
        <f>VLOOKUP($B35,'2007-2020 Metadata'!$A$4:$S$214,MATCH("Site type",'2007-2020 Metadata'!$A$4:$S$4,0),FALSE)</f>
        <v>Local (ex SH)</v>
      </c>
      <c r="AG35" s="143">
        <f t="shared" si="11"/>
        <v>7.8</v>
      </c>
      <c r="AH35" s="143">
        <f t="shared" si="12"/>
        <v>21.6</v>
      </c>
      <c r="AI35" s="144">
        <f t="shared" ca="1" si="13"/>
        <v>18.719128787878791</v>
      </c>
    </row>
    <row r="36" spans="1:35" ht="12" customHeight="1" x14ac:dyDescent="0.15">
      <c r="A36" s="31"/>
      <c r="B36" s="40" t="s">
        <v>71</v>
      </c>
      <c r="C36" s="104">
        <f>IF(VLOOKUP($B36,'Monthly Summary 2011'!$B$7:$Q$222,14,FALSE)=0,"",VLOOKUP($B36,'Monthly Summary 2011'!$B$7:$Q$222,14,FALSE))</f>
        <v>13.7</v>
      </c>
      <c r="D36" s="36">
        <v>9.8000000000000007</v>
      </c>
      <c r="E36" s="36">
        <v>7.9</v>
      </c>
      <c r="F36" s="36">
        <v>18</v>
      </c>
      <c r="G36" s="36">
        <v>19</v>
      </c>
      <c r="H36" s="36">
        <v>14.8</v>
      </c>
      <c r="I36" s="36">
        <v>20.3</v>
      </c>
      <c r="J36" s="36">
        <v>25.4</v>
      </c>
      <c r="K36" s="36">
        <v>19.3</v>
      </c>
      <c r="L36" s="36">
        <v>15.8</v>
      </c>
      <c r="M36" s="36">
        <v>8.6</v>
      </c>
      <c r="N36" s="36">
        <v>12.3</v>
      </c>
      <c r="O36" s="36">
        <v>13.7</v>
      </c>
      <c r="P36" s="37">
        <f t="shared" si="3"/>
        <v>15.408333333333333</v>
      </c>
      <c r="Q36" s="38">
        <f t="shared" si="4"/>
        <v>1</v>
      </c>
      <c r="R36" s="140">
        <f t="shared" si="5"/>
        <v>11.9</v>
      </c>
      <c r="S36" s="24">
        <f t="shared" si="6"/>
        <v>1</v>
      </c>
      <c r="T36" s="140">
        <f t="shared" si="7"/>
        <v>20.166666666666668</v>
      </c>
      <c r="U36" s="9">
        <f t="shared" si="8"/>
        <v>1</v>
      </c>
      <c r="V36" s="141">
        <f t="shared" si="9"/>
        <v>15.408333333333333</v>
      </c>
      <c r="W36" s="142">
        <f t="shared" si="10"/>
        <v>1</v>
      </c>
      <c r="X36" s="144">
        <f t="shared" ca="1" si="0"/>
        <v>16.708333333333332</v>
      </c>
      <c r="Y36" s="144">
        <f t="shared" ca="1" si="1"/>
        <v>20.541666666666664</v>
      </c>
      <c r="Z36" s="144">
        <f t="shared" ca="1" si="2"/>
        <v>18.719128787878791</v>
      </c>
      <c r="AA36" s="10"/>
      <c r="AB36" s="357" t="str">
        <f>VLOOKUP($B36,'2007-2020 Metadata'!$A$4:$S$214,MATCH("Urban Area /Monitoring Zone",'2007-2020 Metadata'!$A$4:$S$4,0),FALSE)</f>
        <v>Auckland - Western</v>
      </c>
      <c r="AC36" s="87" t="str">
        <f>VLOOKUP(B36,'2007-2020 Metadata'!$A$6:$A$214,1,FALSE)</f>
        <v>AUC050</v>
      </c>
      <c r="AD36" s="230" t="str">
        <f>VLOOKUP($AC36,'2007-2020 Metadata'!$A$6:$S$214,9,FALSE)</f>
        <v>Waitakere</v>
      </c>
      <c r="AE36" s="248">
        <f>IF(ISBLANK(VLOOKUP($AC36,'2007-2020 Metadata'!$A$6:$S$214,19,FALSE)),"",VLOOKUP($AC36,'2007-2020 Metadata'!$A$6:$S$214,19,FALSE))</f>
        <v>3</v>
      </c>
      <c r="AF36" s="88" t="str">
        <f>VLOOKUP($B36,'2007-2020 Metadata'!$A$4:$S$214,MATCH("Site type",'2007-2020 Metadata'!$A$4:$S$4,0),FALSE)</f>
        <v>SH</v>
      </c>
      <c r="AG36" s="143">
        <f t="shared" si="11"/>
        <v>7.9</v>
      </c>
      <c r="AH36" s="143">
        <f t="shared" si="12"/>
        <v>25.4</v>
      </c>
      <c r="AI36" s="144">
        <f t="shared" ca="1" si="13"/>
        <v>18.719128787878791</v>
      </c>
    </row>
    <row r="37" spans="1:35" ht="12" customHeight="1" x14ac:dyDescent="0.15">
      <c r="A37" s="31"/>
      <c r="B37" s="40" t="s">
        <v>1024</v>
      </c>
      <c r="C37" s="104">
        <f>IF(VLOOKUP($B37,'Monthly Summary 2011'!$B$7:$Q$222,14,FALSE)=0,"",VLOOKUP($B37,'Monthly Summary 2011'!$B$7:$Q$222,14,FALSE))</f>
        <v>10.4</v>
      </c>
      <c r="D37" s="36">
        <v>12.6</v>
      </c>
      <c r="E37" s="36">
        <v>19.2</v>
      </c>
      <c r="F37" s="36">
        <v>19.8</v>
      </c>
      <c r="G37" s="36">
        <v>27.1</v>
      </c>
      <c r="H37" s="36">
        <v>24.4</v>
      </c>
      <c r="I37" s="36">
        <v>25.8</v>
      </c>
      <c r="J37" s="36">
        <v>23.3</v>
      </c>
      <c r="K37" s="36">
        <v>22.6</v>
      </c>
      <c r="L37" s="36">
        <v>16.3</v>
      </c>
      <c r="M37" s="36">
        <v>18.2</v>
      </c>
      <c r="N37" s="36">
        <v>17.7</v>
      </c>
      <c r="O37" s="36">
        <v>11.4</v>
      </c>
      <c r="P37" s="37">
        <f t="shared" si="3"/>
        <v>19.866666666666667</v>
      </c>
      <c r="Q37" s="38">
        <f t="shared" si="4"/>
        <v>1</v>
      </c>
      <c r="R37" s="140">
        <f t="shared" si="5"/>
        <v>17.2</v>
      </c>
      <c r="S37" s="24">
        <f t="shared" si="6"/>
        <v>1</v>
      </c>
      <c r="T37" s="140">
        <f t="shared" si="7"/>
        <v>20.733333333333334</v>
      </c>
      <c r="U37" s="9">
        <f t="shared" si="8"/>
        <v>1</v>
      </c>
      <c r="V37" s="141">
        <f t="shared" si="9"/>
        <v>19.866666666666667</v>
      </c>
      <c r="W37" s="142">
        <f t="shared" si="10"/>
        <v>1</v>
      </c>
      <c r="X37" s="144">
        <f t="shared" si="0"/>
        <v>17.2</v>
      </c>
      <c r="Y37" s="144">
        <f t="shared" si="1"/>
        <v>20.733333333333334</v>
      </c>
      <c r="Z37" s="144">
        <f t="shared" si="2"/>
        <v>19.866666666666667</v>
      </c>
      <c r="AA37" s="10"/>
      <c r="AB37" s="357">
        <f>VLOOKUP($B37,'2007-2020 Metadata'!$A$4:$S$214,MATCH("Urban Area /Monitoring Zone",'2007-2020 Metadata'!$A$4:$S$4,0),FALSE)</f>
        <v>0</v>
      </c>
      <c r="AC37" s="87" t="str">
        <f>VLOOKUP(B37,'2007-2020 Metadata'!$A$6:$A$214,1,FALSE)</f>
        <v>AUC051a</v>
      </c>
      <c r="AD37" s="230">
        <f>VLOOKUP($AC37,'2007-2020 Metadata'!$A$6:$S$214,9,FALSE)</f>
        <v>0</v>
      </c>
      <c r="AE37" s="248" t="str">
        <f>IF(ISBLANK(VLOOKUP($AC37,'2007-2020 Metadata'!$A$6:$S$214,19,FALSE)),"",VLOOKUP($AC37,'2007-2020 Metadata'!$A$6:$S$214,19,FALSE))</f>
        <v/>
      </c>
      <c r="AF37" s="88" t="str">
        <f>VLOOKUP($B37,'2007-2020 Metadata'!$A$4:$S$214,MATCH("Site type",'2007-2020 Metadata'!$A$4:$S$4,0),FALSE)</f>
        <v>SH</v>
      </c>
      <c r="AG37" s="143">
        <f t="shared" si="11"/>
        <v>11.4</v>
      </c>
      <c r="AH37" s="143">
        <f t="shared" si="12"/>
        <v>27.1</v>
      </c>
      <c r="AI37" s="144">
        <f t="shared" si="13"/>
        <v>19.866666666666667</v>
      </c>
    </row>
    <row r="38" spans="1:35" ht="12" customHeight="1" x14ac:dyDescent="0.15">
      <c r="A38" s="31"/>
      <c r="B38" s="40" t="s">
        <v>73</v>
      </c>
      <c r="C38" s="104">
        <f>IF(VLOOKUP($B38,'Monthly Summary 2011'!$B$7:$Q$222,14,FALSE)=0,"",VLOOKUP($B38,'Monthly Summary 2011'!$B$7:$Q$222,14,FALSE))</f>
        <v>14.3</v>
      </c>
      <c r="D38" s="36">
        <v>11.6</v>
      </c>
      <c r="E38" s="36">
        <v>17.399999999999999</v>
      </c>
      <c r="F38" s="36">
        <v>20.6</v>
      </c>
      <c r="G38" s="36">
        <v>22.5</v>
      </c>
      <c r="H38" s="36">
        <v>26.1</v>
      </c>
      <c r="I38" s="36">
        <v>27.7</v>
      </c>
      <c r="J38" s="36">
        <v>24.3</v>
      </c>
      <c r="K38" s="36">
        <v>22.1</v>
      </c>
      <c r="L38" s="36">
        <v>16.600000000000001</v>
      </c>
      <c r="M38" s="36">
        <v>12</v>
      </c>
      <c r="N38" s="36">
        <v>17.5</v>
      </c>
      <c r="O38" s="36">
        <v>12.8</v>
      </c>
      <c r="P38" s="37">
        <f t="shared" si="3"/>
        <v>19.266666666666666</v>
      </c>
      <c r="Q38" s="38">
        <f t="shared" si="4"/>
        <v>1</v>
      </c>
      <c r="R38" s="140">
        <f t="shared" si="5"/>
        <v>16.533333333333335</v>
      </c>
      <c r="S38" s="24">
        <f t="shared" si="6"/>
        <v>1</v>
      </c>
      <c r="T38" s="140">
        <f t="shared" si="7"/>
        <v>21.000000000000004</v>
      </c>
      <c r="U38" s="9">
        <f t="shared" si="8"/>
        <v>1</v>
      </c>
      <c r="V38" s="141">
        <f t="shared" si="9"/>
        <v>19.266666666666666</v>
      </c>
      <c r="W38" s="142">
        <f t="shared" si="10"/>
        <v>1</v>
      </c>
      <c r="X38" s="144">
        <f t="shared" ca="1" si="0"/>
        <v>16.708333333333332</v>
      </c>
      <c r="Y38" s="144">
        <f t="shared" ca="1" si="1"/>
        <v>20.541666666666664</v>
      </c>
      <c r="Z38" s="144">
        <f t="shared" ca="1" si="2"/>
        <v>18.719128787878791</v>
      </c>
      <c r="AA38" s="10"/>
      <c r="AB38" s="357" t="str">
        <f>VLOOKUP($B38,'2007-2020 Metadata'!$A$4:$S$214,MATCH("Urban Area /Monitoring Zone",'2007-2020 Metadata'!$A$4:$S$4,0),FALSE)</f>
        <v>Auckland - Western</v>
      </c>
      <c r="AC38" s="87" t="str">
        <f>VLOOKUP(B38,'2007-2020 Metadata'!$A$6:$A$214,1,FALSE)</f>
        <v>AUC052</v>
      </c>
      <c r="AD38" s="230" t="str">
        <f>VLOOKUP($AC38,'2007-2020 Metadata'!$A$6:$S$214,9,FALSE)</f>
        <v>Waitakere</v>
      </c>
      <c r="AE38" s="248">
        <f>IF(ISBLANK(VLOOKUP($AC38,'2007-2020 Metadata'!$A$6:$S$214,19,FALSE)),"",VLOOKUP($AC38,'2007-2020 Metadata'!$A$6:$S$214,19,FALSE))</f>
        <v>3</v>
      </c>
      <c r="AF38" s="88" t="str">
        <f>VLOOKUP($B38,'2007-2020 Metadata'!$A$4:$S$214,MATCH("Site type",'2007-2020 Metadata'!$A$4:$S$4,0),FALSE)</f>
        <v>Local</v>
      </c>
      <c r="AG38" s="143">
        <f t="shared" si="11"/>
        <v>11.6</v>
      </c>
      <c r="AH38" s="143">
        <f t="shared" si="12"/>
        <v>27.7</v>
      </c>
      <c r="AI38" s="144">
        <f t="shared" ca="1" si="13"/>
        <v>18.719128787878791</v>
      </c>
    </row>
    <row r="39" spans="1:35" ht="12" customHeight="1" x14ac:dyDescent="0.15">
      <c r="A39" s="31"/>
      <c r="B39" s="40" t="s">
        <v>74</v>
      </c>
      <c r="C39" s="104">
        <f>IF(VLOOKUP($B39,'Monthly Summary 2011'!$B$7:$Q$222,14,FALSE)=0,"",VLOOKUP($B39,'Monthly Summary 2011'!$B$7:$Q$222,14,FALSE))</f>
        <v>20.100000000000001</v>
      </c>
      <c r="D39" s="36">
        <v>24.6</v>
      </c>
      <c r="E39" s="36">
        <v>34.799999999999997</v>
      </c>
      <c r="F39" s="36">
        <v>25</v>
      </c>
      <c r="G39" s="36">
        <v>27.9</v>
      </c>
      <c r="H39" s="36"/>
      <c r="I39" s="36">
        <v>47.2</v>
      </c>
      <c r="J39" s="36">
        <v>30.1</v>
      </c>
      <c r="K39" s="36">
        <v>36</v>
      </c>
      <c r="L39" s="36">
        <v>32.5</v>
      </c>
      <c r="M39" s="36">
        <v>26.6</v>
      </c>
      <c r="N39" s="36">
        <v>40.299999999999997</v>
      </c>
      <c r="O39" s="36">
        <v>23.2</v>
      </c>
      <c r="P39" s="37">
        <f t="shared" si="3"/>
        <v>31.65454545454546</v>
      </c>
      <c r="Q39" s="38">
        <f t="shared" si="4"/>
        <v>0.91666666666666663</v>
      </c>
      <c r="R39" s="140">
        <f t="shared" si="5"/>
        <v>28.133333333333336</v>
      </c>
      <c r="S39" s="24">
        <f t="shared" si="6"/>
        <v>1</v>
      </c>
      <c r="T39" s="140">
        <f t="shared" si="7"/>
        <v>32.866666666666667</v>
      </c>
      <c r="U39" s="9">
        <f t="shared" si="8"/>
        <v>1</v>
      </c>
      <c r="V39" s="141">
        <f t="shared" si="9"/>
        <v>31.65454545454546</v>
      </c>
      <c r="W39" s="142">
        <f t="shared" si="10"/>
        <v>0.91666666666666663</v>
      </c>
      <c r="X39" s="144">
        <f t="shared" ref="X39:X70" ca="1" si="17">IF(VLOOKUP($B39,$AC$6:$AI$158,3,FALSE)="",$R39,IF(ISERROR(AVERAGEIF($AD$6:$AD$160,VLOOKUP($B39,$AC$6:$AI$158,2,FALSE),$R$6:$R$158)),"",AVERAGEIF($AD$6:$AD$160,VLOOKUP($B39,$AC$6:$AI$158,2,FALSE),$R$6:$R$158)))</f>
        <v>16.708333333333332</v>
      </c>
      <c r="Y39" s="144">
        <f t="shared" ref="Y39:Y70" ca="1" si="18">IF(VLOOKUP($B39,$AC$6:$AI$158,3,FALSE)="",$T39,IF(ISERROR(AVERAGEIF($AD$6:$AD$160,VLOOKUP($B39,$AC$6:$AI$158,2,FALSE),$T$6:$T$158)),"",AVERAGEIF($AD$6:$AD$160,VLOOKUP($B39,$AC$6:$AI$158,2,FALSE),$T$6:$T$158)))</f>
        <v>20.541666666666664</v>
      </c>
      <c r="Z39" s="144">
        <f t="shared" ref="Z39:Z70" ca="1" si="19">IF(VLOOKUP($B39,$AC$6:$AI$158,3,FALSE)="",$V39,IF(ISERROR(AVERAGEIF($AD$6:$AD$160,VLOOKUP($B39,$AC$6:$AI$158,2,FALSE),$V$6:$V$158)),"",AVERAGEIF($AD$6:$AD$160,VLOOKUP($B39,$AC$6:$AI$158,2,FALSE),$V$6:$V$158)))</f>
        <v>18.719128787878791</v>
      </c>
      <c r="AA39" s="10"/>
      <c r="AB39" s="357" t="str">
        <f>VLOOKUP($B39,'2007-2020 Metadata'!$A$4:$S$214,MATCH("Urban Area /Monitoring Zone",'2007-2020 Metadata'!$A$4:$S$4,0),FALSE)</f>
        <v>Auckland - Western</v>
      </c>
      <c r="AC39" s="87" t="str">
        <f>VLOOKUP(B39,'2007-2020 Metadata'!$A$6:$A$214,1,FALSE)</f>
        <v>AUC053</v>
      </c>
      <c r="AD39" s="230" t="str">
        <f>VLOOKUP($AC39,'2007-2020 Metadata'!$A$6:$S$214,9,FALSE)</f>
        <v>Waitakere</v>
      </c>
      <c r="AE39" s="248">
        <f>IF(ISBLANK(VLOOKUP($AC39,'2007-2020 Metadata'!$A$6:$S$214,19,FALSE)),"",VLOOKUP($AC39,'2007-2020 Metadata'!$A$6:$S$214,19,FALSE))</f>
        <v>3</v>
      </c>
      <c r="AF39" s="88" t="str">
        <f>VLOOKUP($B39,'2007-2020 Metadata'!$A$4:$S$214,MATCH("Site type",'2007-2020 Metadata'!$A$4:$S$4,0),FALSE)</f>
        <v>Local</v>
      </c>
      <c r="AG39" s="143">
        <f t="shared" si="11"/>
        <v>23.2</v>
      </c>
      <c r="AH39" s="143">
        <f t="shared" si="12"/>
        <v>47.2</v>
      </c>
      <c r="AI39" s="144">
        <f t="shared" ca="1" si="13"/>
        <v>18.719128787878791</v>
      </c>
    </row>
    <row r="40" spans="1:35" ht="12" customHeight="1" x14ac:dyDescent="0.15">
      <c r="A40" s="31"/>
      <c r="B40" s="40" t="s">
        <v>75</v>
      </c>
      <c r="C40" s="104">
        <f>IF(VLOOKUP($B40,'Monthly Summary 2011'!$B$7:$Q$222,14,FALSE)=0,"",VLOOKUP($B40,'Monthly Summary 2011'!$B$7:$Q$222,14,FALSE))</f>
        <v>16.2</v>
      </c>
      <c r="D40" s="36">
        <v>12.7</v>
      </c>
      <c r="E40" s="36">
        <v>17.399999999999999</v>
      </c>
      <c r="F40" s="36">
        <v>22</v>
      </c>
      <c r="G40" s="36">
        <v>24.4</v>
      </c>
      <c r="H40" s="36">
        <v>19.3</v>
      </c>
      <c r="I40" s="36">
        <v>22</v>
      </c>
      <c r="J40" s="36">
        <v>26</v>
      </c>
      <c r="K40" s="36">
        <v>18.8</v>
      </c>
      <c r="L40" s="36">
        <v>16.5</v>
      </c>
      <c r="M40" s="36">
        <v>8.3000000000000007</v>
      </c>
      <c r="N40" s="36">
        <v>13.1</v>
      </c>
      <c r="O40" s="36">
        <v>12.8</v>
      </c>
      <c r="P40" s="37">
        <f t="shared" si="3"/>
        <v>17.775000000000002</v>
      </c>
      <c r="Q40" s="38">
        <f t="shared" si="4"/>
        <v>1</v>
      </c>
      <c r="R40" s="260">
        <f t="shared" si="5"/>
        <v>17.366666666666664</v>
      </c>
      <c r="S40" s="264">
        <f t="shared" si="6"/>
        <v>1</v>
      </c>
      <c r="T40" s="260">
        <f t="shared" si="7"/>
        <v>20.433333333333334</v>
      </c>
      <c r="U40" s="265">
        <f t="shared" si="8"/>
        <v>1</v>
      </c>
      <c r="V40" s="262">
        <f t="shared" si="9"/>
        <v>17.775000000000002</v>
      </c>
      <c r="W40" s="261">
        <f t="shared" si="10"/>
        <v>1</v>
      </c>
      <c r="X40" s="177">
        <f t="shared" ca="1" si="17"/>
        <v>16.708333333333332</v>
      </c>
      <c r="Y40" s="177">
        <f t="shared" ca="1" si="18"/>
        <v>20.541666666666664</v>
      </c>
      <c r="Z40" s="177">
        <f t="shared" ca="1" si="19"/>
        <v>18.719128787878791</v>
      </c>
      <c r="AA40" s="10"/>
      <c r="AB40" s="357" t="str">
        <f>VLOOKUP($B40,'2007-2020 Metadata'!$A$4:$S$214,MATCH("Urban Area /Monitoring Zone",'2007-2020 Metadata'!$A$4:$S$4,0),FALSE)</f>
        <v>Auckland - Western</v>
      </c>
      <c r="AC40" s="259" t="str">
        <f>VLOOKUP(B40,'2007-2020 Metadata'!$A$6:$A$214,1,FALSE)</f>
        <v>AUC054</v>
      </c>
      <c r="AD40" s="256" t="str">
        <f>VLOOKUP($AC40,'2007-2020 Metadata'!$A$6:$S$214,9,FALSE)</f>
        <v>Waitakere</v>
      </c>
      <c r="AE40" s="263">
        <f>IF(ISBLANK(VLOOKUP($AC40,'2007-2020 Metadata'!$A$6:$S$214,19,FALSE)),"",VLOOKUP($AC40,'2007-2020 Metadata'!$A$6:$S$214,19,FALSE))</f>
        <v>3</v>
      </c>
      <c r="AF40" s="257" t="str">
        <f>VLOOKUP($B40,'2007-2020 Metadata'!$A$4:$S$214,MATCH("Site type",'2007-2020 Metadata'!$A$4:$S$4,0),FALSE)</f>
        <v>Local</v>
      </c>
      <c r="AG40" s="258">
        <f>MIN(AVERAGE(D$40:D$42),AVERAGE(E$40:E$42),AVERAGE(F$40:F$42),AVERAGE(G$40:G$42),AVERAGE(H$40:H$42),AVERAGE(I$40:I$42),AVERAGE(J$40:J$42),AVERAGE(K$40:K$42),AVERAGE(L$40:L$42),AVERAGE(M$40:M$42),AVERAGE(N$40:N$42),AVERAGE(O$40:O$42))</f>
        <v>7.4000000000000012</v>
      </c>
      <c r="AH40" s="258">
        <f>MAX(AVERAGE(D$40:D$42),AVERAGE(E$40:E$42),AVERAGE(F$40:F$42),AVERAGE(G$40:G$42),AVERAGE(H$40:H$42),AVERAGE(I$40:I$42),AVERAGE(J$40:J$42),AVERAGE(K$40:K$42),AVERAGE(L$40:L$42),AVERAGE(M$40:M$42),AVERAGE(N$40:N$42),AVERAGE(O$40:O$42))</f>
        <v>26.933333333333337</v>
      </c>
      <c r="AI40" s="177">
        <f t="shared" ca="1" si="13"/>
        <v>18.719128787878791</v>
      </c>
    </row>
    <row r="41" spans="1:35" ht="12" customHeight="1" x14ac:dyDescent="0.15">
      <c r="A41" s="31"/>
      <c r="B41" s="40" t="s">
        <v>76</v>
      </c>
      <c r="C41" s="104">
        <f>IF(VLOOKUP($B41,'Monthly Summary 2011'!$B$7:$Q$222,14,FALSE)=0,"",VLOOKUP($B41,'Monthly Summary 2011'!$B$7:$Q$222,14,FALSE))</f>
        <v>15.9</v>
      </c>
      <c r="D41" s="36">
        <v>11.8</v>
      </c>
      <c r="E41" s="36">
        <v>16.7</v>
      </c>
      <c r="F41" s="36">
        <v>21.4</v>
      </c>
      <c r="G41" s="36">
        <v>23.8</v>
      </c>
      <c r="H41" s="36">
        <v>22.4</v>
      </c>
      <c r="I41" s="36">
        <v>22.8</v>
      </c>
      <c r="J41" s="36">
        <v>26.7</v>
      </c>
      <c r="K41" s="36">
        <v>20</v>
      </c>
      <c r="L41" s="36">
        <v>16.8</v>
      </c>
      <c r="M41" s="36">
        <v>8</v>
      </c>
      <c r="N41" s="36">
        <v>12.8</v>
      </c>
      <c r="O41" s="36">
        <v>12.3</v>
      </c>
      <c r="P41" s="37">
        <f t="shared" si="3"/>
        <v>17.958333333333336</v>
      </c>
      <c r="Q41" s="38">
        <f t="shared" si="4"/>
        <v>1</v>
      </c>
      <c r="R41" s="260">
        <f t="shared" si="5"/>
        <v>16.633333333333333</v>
      </c>
      <c r="S41" s="264">
        <f t="shared" si="6"/>
        <v>1</v>
      </c>
      <c r="T41" s="260">
        <f t="shared" si="7"/>
        <v>21.166666666666668</v>
      </c>
      <c r="U41" s="265">
        <f t="shared" si="8"/>
        <v>1</v>
      </c>
      <c r="V41" s="262">
        <f t="shared" si="9"/>
        <v>17.958333333333336</v>
      </c>
      <c r="W41" s="261">
        <f t="shared" si="10"/>
        <v>1</v>
      </c>
      <c r="X41" s="177">
        <f t="shared" ca="1" si="17"/>
        <v>16.708333333333332</v>
      </c>
      <c r="Y41" s="177">
        <f t="shared" ca="1" si="18"/>
        <v>20.541666666666664</v>
      </c>
      <c r="Z41" s="177">
        <f t="shared" ca="1" si="19"/>
        <v>18.719128787878791</v>
      </c>
      <c r="AA41" s="10"/>
      <c r="AB41" s="357" t="str">
        <f>VLOOKUP($B41,'2007-2020 Metadata'!$A$4:$S$214,MATCH("Urban Area /Monitoring Zone",'2007-2020 Metadata'!$A$4:$S$4,0),FALSE)</f>
        <v>Auckland - Western</v>
      </c>
      <c r="AC41" s="259" t="str">
        <f>VLOOKUP(B41,'2007-2020 Metadata'!$A$6:$A$214,1,FALSE)</f>
        <v>AUC055</v>
      </c>
      <c r="AD41" s="256" t="str">
        <f>VLOOKUP($AC41,'2007-2020 Metadata'!$A$6:$S$214,9,FALSE)</f>
        <v>Waitakere</v>
      </c>
      <c r="AE41" s="263">
        <f>IF(ISBLANK(VLOOKUP($AC41,'2007-2020 Metadata'!$A$6:$S$214,19,FALSE)),"",VLOOKUP($AC41,'2007-2020 Metadata'!$A$6:$S$214,19,FALSE))</f>
        <v>3</v>
      </c>
      <c r="AF41" s="257" t="str">
        <f>VLOOKUP($B41,'2007-2020 Metadata'!$A$4:$S$214,MATCH("Site type",'2007-2020 Metadata'!$A$4:$S$4,0),FALSE)</f>
        <v>Local</v>
      </c>
      <c r="AG41" s="258">
        <f>MIN(AVERAGE(D$40:D$42),AVERAGE(E$40:E$42),AVERAGE(F$40:F$42),AVERAGE(G$40:G$42),AVERAGE(H$40:H$42),AVERAGE(I$40:I$42),AVERAGE(J$40:J$42),AVERAGE(K$40:K$42),AVERAGE(L$40:L$42),AVERAGE(M$40:M$42),AVERAGE(N$40:N$42),AVERAGE(O$40:O$42))</f>
        <v>7.4000000000000012</v>
      </c>
      <c r="AH41" s="258">
        <f t="shared" ref="AH41:AH42" si="20">MAX(AVERAGE(D$40:D$42),AVERAGE(E$40:E$42),AVERAGE(F$40:F$42),AVERAGE(G$40:G$42),AVERAGE(H$40:H$42),AVERAGE(I$40:I$42),AVERAGE(J$40:J$42),AVERAGE(K$40:K$42),AVERAGE(L$40:L$42),AVERAGE(M$40:M$42),AVERAGE(N$40:N$42),AVERAGE(O$40:O$42))</f>
        <v>26.933333333333337</v>
      </c>
      <c r="AI41" s="177">
        <f t="shared" ca="1" si="13"/>
        <v>18.719128787878791</v>
      </c>
    </row>
    <row r="42" spans="1:35" ht="12" customHeight="1" x14ac:dyDescent="0.15">
      <c r="A42" s="31"/>
      <c r="B42" s="40" t="s">
        <v>77</v>
      </c>
      <c r="C42" s="104">
        <f>IF(VLOOKUP($B42,'Monthly Summary 2011'!$B$7:$Q$222,14,FALSE)=0,"",VLOOKUP($B42,'Monthly Summary 2011'!$B$7:$Q$222,14,FALSE))</f>
        <v>15.7</v>
      </c>
      <c r="D42" s="36">
        <v>13</v>
      </c>
      <c r="E42" s="36">
        <v>14.7</v>
      </c>
      <c r="F42" s="36">
        <v>22.6</v>
      </c>
      <c r="G42" s="36">
        <v>21.4</v>
      </c>
      <c r="H42" s="36">
        <v>22.4</v>
      </c>
      <c r="I42" s="36">
        <v>20.2</v>
      </c>
      <c r="J42" s="36">
        <v>28.1</v>
      </c>
      <c r="K42" s="36">
        <v>19.100000000000001</v>
      </c>
      <c r="L42" s="36">
        <v>17.5</v>
      </c>
      <c r="M42" s="36">
        <v>5.9</v>
      </c>
      <c r="N42" s="36">
        <v>13</v>
      </c>
      <c r="O42" s="36">
        <v>12.4</v>
      </c>
      <c r="P42" s="37">
        <f t="shared" si="3"/>
        <v>17.525000000000002</v>
      </c>
      <c r="Q42" s="38">
        <f t="shared" si="4"/>
        <v>1</v>
      </c>
      <c r="R42" s="260">
        <f t="shared" si="5"/>
        <v>16.766666666666666</v>
      </c>
      <c r="S42" s="264">
        <f t="shared" si="6"/>
        <v>1</v>
      </c>
      <c r="T42" s="260">
        <f t="shared" si="7"/>
        <v>21.566666666666666</v>
      </c>
      <c r="U42" s="265">
        <f t="shared" si="8"/>
        <v>1</v>
      </c>
      <c r="V42" s="262">
        <f t="shared" si="9"/>
        <v>17.525000000000002</v>
      </c>
      <c r="W42" s="261">
        <f t="shared" si="10"/>
        <v>1</v>
      </c>
      <c r="X42" s="177">
        <f t="shared" ca="1" si="17"/>
        <v>16.708333333333332</v>
      </c>
      <c r="Y42" s="177">
        <f t="shared" ca="1" si="18"/>
        <v>20.541666666666664</v>
      </c>
      <c r="Z42" s="177">
        <f t="shared" ca="1" si="19"/>
        <v>18.719128787878791</v>
      </c>
      <c r="AA42" s="10"/>
      <c r="AB42" s="357" t="str">
        <f>VLOOKUP($B42,'2007-2020 Metadata'!$A$4:$S$214,MATCH("Urban Area /Monitoring Zone",'2007-2020 Metadata'!$A$4:$S$4,0),FALSE)</f>
        <v>Auckland - Western</v>
      </c>
      <c r="AC42" s="259" t="str">
        <f>VLOOKUP(B42,'2007-2020 Metadata'!$A$6:$A$214,1,FALSE)</f>
        <v>AUC056</v>
      </c>
      <c r="AD42" s="256" t="str">
        <f>VLOOKUP($AC42,'2007-2020 Metadata'!$A$6:$S$214,9,FALSE)</f>
        <v>Waitakere</v>
      </c>
      <c r="AE42" s="263">
        <f>IF(ISBLANK(VLOOKUP($AC42,'2007-2020 Metadata'!$A$6:$S$214,19,FALSE)),"",VLOOKUP($AC42,'2007-2020 Metadata'!$A$6:$S$214,19,FALSE))</f>
        <v>3</v>
      </c>
      <c r="AF42" s="257" t="str">
        <f>VLOOKUP($B42,'2007-2020 Metadata'!$A$4:$S$214,MATCH("Site type",'2007-2020 Metadata'!$A$4:$S$4,0),FALSE)</f>
        <v>Local</v>
      </c>
      <c r="AG42" s="258">
        <f>MIN(AVERAGE(D$40:D$42),AVERAGE(E$40:E$42),AVERAGE(F$40:F$42),AVERAGE(G$40:G$42),AVERAGE(H$40:H$42),AVERAGE(I$40:I$42),AVERAGE(J$40:J$42),AVERAGE(K$40:K$42),AVERAGE(L$40:L$42),AVERAGE(M$40:M$42),AVERAGE(N$40:N$42),AVERAGE(O$40:O$42))</f>
        <v>7.4000000000000012</v>
      </c>
      <c r="AH42" s="258">
        <f t="shared" si="20"/>
        <v>26.933333333333337</v>
      </c>
      <c r="AI42" s="177">
        <f t="shared" ca="1" si="13"/>
        <v>18.719128787878791</v>
      </c>
    </row>
    <row r="43" spans="1:35" ht="12" customHeight="1" x14ac:dyDescent="0.15">
      <c r="A43" s="31"/>
      <c r="B43" s="35" t="s">
        <v>78</v>
      </c>
      <c r="C43" s="104">
        <f>IF(VLOOKUP($B43,'Monthly Summary 2011'!$B$7:$Q$222,14,FALSE)=0,"",VLOOKUP($B43,'Monthly Summary 2011'!$B$7:$Q$222,14,FALSE))</f>
        <v>8.3000000000000007</v>
      </c>
      <c r="D43" s="36">
        <v>6.7</v>
      </c>
      <c r="E43" s="36">
        <v>9.6</v>
      </c>
      <c r="F43" s="36">
        <v>10.5</v>
      </c>
      <c r="G43" s="36">
        <v>12.1</v>
      </c>
      <c r="H43" s="36">
        <v>11.7</v>
      </c>
      <c r="I43" s="36">
        <v>13.6</v>
      </c>
      <c r="J43" s="36">
        <v>15.4</v>
      </c>
      <c r="K43" s="36">
        <v>10.3</v>
      </c>
      <c r="L43" s="36">
        <v>7.8</v>
      </c>
      <c r="M43" s="36">
        <v>4</v>
      </c>
      <c r="N43" s="36">
        <v>7.3</v>
      </c>
      <c r="O43" s="36">
        <v>6.1</v>
      </c>
      <c r="P43" s="37">
        <f t="shared" si="3"/>
        <v>9.591666666666665</v>
      </c>
      <c r="Q43" s="38">
        <f t="shared" si="4"/>
        <v>1</v>
      </c>
      <c r="R43" s="260">
        <f t="shared" si="5"/>
        <v>8.9333333333333336</v>
      </c>
      <c r="S43" s="264">
        <f t="shared" si="6"/>
        <v>1</v>
      </c>
      <c r="T43" s="260">
        <f t="shared" si="7"/>
        <v>11.166666666666666</v>
      </c>
      <c r="U43" s="265">
        <f t="shared" si="8"/>
        <v>1</v>
      </c>
      <c r="V43" s="262">
        <f t="shared" si="9"/>
        <v>9.591666666666665</v>
      </c>
      <c r="W43" s="261">
        <f t="shared" si="10"/>
        <v>1</v>
      </c>
      <c r="X43" s="177">
        <f t="shared" ca="1" si="17"/>
        <v>16.708333333333332</v>
      </c>
      <c r="Y43" s="177">
        <f t="shared" ca="1" si="18"/>
        <v>20.541666666666664</v>
      </c>
      <c r="Z43" s="177">
        <f t="shared" ca="1" si="19"/>
        <v>18.719128787878791</v>
      </c>
      <c r="AA43" s="10"/>
      <c r="AB43" s="357" t="str">
        <f>VLOOKUP($B43,'2007-2020 Metadata'!$A$4:$S$214,MATCH("Urban Area /Monitoring Zone",'2007-2020 Metadata'!$A$4:$S$4,0),FALSE)</f>
        <v>Auckland - Western</v>
      </c>
      <c r="AC43" s="259" t="str">
        <f>VLOOKUP(B43,'2007-2020 Metadata'!$A$6:$A$214,1,FALSE)</f>
        <v>AUC057</v>
      </c>
      <c r="AD43" s="256" t="str">
        <f>VLOOKUP($AC43,'2007-2020 Metadata'!$A$6:$S$214,9,FALSE)</f>
        <v>Waitakere</v>
      </c>
      <c r="AE43" s="263">
        <f>IF(ISBLANK(VLOOKUP($AC43,'2007-2020 Metadata'!$A$6:$S$214,19,FALSE)),"",VLOOKUP($AC43,'2007-2020 Metadata'!$A$6:$S$214,19,FALSE))</f>
        <v>3</v>
      </c>
      <c r="AF43" s="257" t="str">
        <f>VLOOKUP($B43,'2007-2020 Metadata'!$A$4:$S$214,MATCH("Site type",'2007-2020 Metadata'!$A$4:$S$4,0),FALSE)</f>
        <v>Background</v>
      </c>
      <c r="AG43" s="258">
        <f>MIN(AVERAGE(D$43:D$45),AVERAGE(E$43:E$45),AVERAGE(F$43:F$45),AVERAGE(G$43:G$45),AVERAGE(H$43:H$45),AVERAGE(I$43:I$45),AVERAGE(J$43:J$45),AVERAGE(K$43:K$45),AVERAGE(L$43:L$45),AVERAGE(M$43:M$45),AVERAGE(N$43:N$45),AVERAGE(O$43:O$45))</f>
        <v>3.8666666666666671</v>
      </c>
      <c r="AH43" s="258">
        <f>MAX(AVERAGE(D$43:D$45),AVERAGE(E$43:E$45),AVERAGE(F$43:F$45),AVERAGE(G$43:G$45),AVERAGE(H$43:H$45),AVERAGE(I$43:I$45),AVERAGE(J$43:J$45),AVERAGE(K$43:K$45),AVERAGE(L$43:L$45),AVERAGE(M$43:M$45),AVERAGE(N$43:N$45),AVERAGE(O$43:O$45))</f>
        <v>14.966666666666667</v>
      </c>
      <c r="AI43" s="177">
        <f t="shared" ca="1" si="13"/>
        <v>18.719128787878791</v>
      </c>
    </row>
    <row r="44" spans="1:35" ht="12" customHeight="1" x14ac:dyDescent="0.15">
      <c r="A44" s="31"/>
      <c r="B44" s="40" t="s">
        <v>79</v>
      </c>
      <c r="C44" s="104">
        <f>IF(VLOOKUP($B44,'Monthly Summary 2011'!$B$7:$Q$222,14,FALSE)=0,"",VLOOKUP($B44,'Monthly Summary 2011'!$B$7:$Q$222,14,FALSE))</f>
        <v>8.8000000000000007</v>
      </c>
      <c r="D44" s="36">
        <v>6.5</v>
      </c>
      <c r="E44" s="36">
        <v>9.6999999999999993</v>
      </c>
      <c r="F44" s="36">
        <v>11.1</v>
      </c>
      <c r="G44" s="36">
        <v>12.9</v>
      </c>
      <c r="H44" s="36">
        <v>13.2</v>
      </c>
      <c r="I44" s="36">
        <v>12.7</v>
      </c>
      <c r="J44" s="36">
        <v>14.6</v>
      </c>
      <c r="K44" s="36">
        <v>10.9</v>
      </c>
      <c r="L44" s="36">
        <v>8.1</v>
      </c>
      <c r="M44" s="36">
        <v>3.4</v>
      </c>
      <c r="N44" s="36">
        <v>6.9</v>
      </c>
      <c r="O44" s="36">
        <v>6.5</v>
      </c>
      <c r="P44" s="37">
        <f t="shared" si="3"/>
        <v>9.7083333333333339</v>
      </c>
      <c r="Q44" s="38">
        <f t="shared" si="4"/>
        <v>1</v>
      </c>
      <c r="R44" s="260">
        <f t="shared" si="5"/>
        <v>9.1</v>
      </c>
      <c r="S44" s="264">
        <f t="shared" si="6"/>
        <v>1</v>
      </c>
      <c r="T44" s="260">
        <f t="shared" si="7"/>
        <v>11.200000000000001</v>
      </c>
      <c r="U44" s="265">
        <f t="shared" si="8"/>
        <v>1</v>
      </c>
      <c r="V44" s="262">
        <f t="shared" si="9"/>
        <v>9.7083333333333339</v>
      </c>
      <c r="W44" s="261">
        <f t="shared" si="10"/>
        <v>1</v>
      </c>
      <c r="X44" s="177">
        <f t="shared" ca="1" si="17"/>
        <v>16.708333333333332</v>
      </c>
      <c r="Y44" s="177">
        <f t="shared" ca="1" si="18"/>
        <v>20.541666666666664</v>
      </c>
      <c r="Z44" s="177">
        <f t="shared" ca="1" si="19"/>
        <v>18.719128787878791</v>
      </c>
      <c r="AA44" s="10"/>
      <c r="AB44" s="357" t="str">
        <f>VLOOKUP($B44,'2007-2020 Metadata'!$A$4:$S$214,MATCH("Urban Area /Monitoring Zone",'2007-2020 Metadata'!$A$4:$S$4,0),FALSE)</f>
        <v>Auckland - Western</v>
      </c>
      <c r="AC44" s="259" t="str">
        <f>VLOOKUP(B44,'2007-2020 Metadata'!$A$6:$A$214,1,FALSE)</f>
        <v>AUC058</v>
      </c>
      <c r="AD44" s="256" t="str">
        <f>VLOOKUP($AC44,'2007-2020 Metadata'!$A$6:$S$214,9,FALSE)</f>
        <v>Waitakere</v>
      </c>
      <c r="AE44" s="263">
        <f>IF(ISBLANK(VLOOKUP($AC44,'2007-2020 Metadata'!$A$6:$S$214,19,FALSE)),"",VLOOKUP($AC44,'2007-2020 Metadata'!$A$6:$S$214,19,FALSE))</f>
        <v>3</v>
      </c>
      <c r="AF44" s="257" t="str">
        <f>VLOOKUP($B44,'2007-2020 Metadata'!$A$4:$S$214,MATCH("Site type",'2007-2020 Metadata'!$A$4:$S$4,0),FALSE)</f>
        <v>Background</v>
      </c>
      <c r="AG44" s="258">
        <f>MIN(AVERAGE(D$43:D$45),AVERAGE(E$43:E$45),AVERAGE(F$43:F$45),AVERAGE(G$43:G$45),AVERAGE(H$43:H$45),AVERAGE(I$43:I$45),AVERAGE(J$43:J$45),AVERAGE(K$43:K$45),AVERAGE(L$43:L$45),AVERAGE(M$43:M$45),AVERAGE(N$43:N$45),AVERAGE(O$43:O$45))</f>
        <v>3.8666666666666671</v>
      </c>
      <c r="AH44" s="258">
        <f t="shared" ref="AH44:AH45" si="21">MAX(AVERAGE(D$43:D$45),AVERAGE(E$43:E$45),AVERAGE(F$43:F$45),AVERAGE(G$43:G$45),AVERAGE(H$43:H$45),AVERAGE(I$43:I$45),AVERAGE(J$43:J$45),AVERAGE(K$43:K$45),AVERAGE(L$43:L$45),AVERAGE(M$43:M$45),AVERAGE(N$43:N$45),AVERAGE(O$43:O$45))</f>
        <v>14.966666666666667</v>
      </c>
      <c r="AI44" s="177">
        <f t="shared" ca="1" si="13"/>
        <v>18.719128787878791</v>
      </c>
    </row>
    <row r="45" spans="1:35" ht="12" customHeight="1" x14ac:dyDescent="0.15">
      <c r="A45" s="31"/>
      <c r="B45" s="40" t="s">
        <v>80</v>
      </c>
      <c r="C45" s="104">
        <f>IF(VLOOKUP($B45,'Monthly Summary 2011'!$B$7:$Q$222,14,FALSE)=0,"",VLOOKUP($B45,'Monthly Summary 2011'!$B$7:$Q$222,14,FALSE))</f>
        <v>7.9</v>
      </c>
      <c r="D45" s="36">
        <v>6.6</v>
      </c>
      <c r="E45" s="36">
        <v>10</v>
      </c>
      <c r="F45" s="36">
        <v>11.1</v>
      </c>
      <c r="G45" s="36">
        <v>11.6</v>
      </c>
      <c r="H45" s="36">
        <v>13.3</v>
      </c>
      <c r="I45" s="36">
        <v>13.8</v>
      </c>
      <c r="J45" s="36">
        <v>14.9</v>
      </c>
      <c r="K45" s="36">
        <v>9.8000000000000007</v>
      </c>
      <c r="L45" s="36">
        <v>8.1</v>
      </c>
      <c r="M45" s="36">
        <v>4.2</v>
      </c>
      <c r="N45" s="36">
        <v>6.8</v>
      </c>
      <c r="O45" s="36">
        <v>6.9</v>
      </c>
      <c r="P45" s="37">
        <f t="shared" si="3"/>
        <v>9.7583333333333346</v>
      </c>
      <c r="Q45" s="38">
        <f t="shared" si="4"/>
        <v>1</v>
      </c>
      <c r="R45" s="260">
        <f t="shared" si="5"/>
        <v>9.2333333333333343</v>
      </c>
      <c r="S45" s="264">
        <f t="shared" si="6"/>
        <v>1</v>
      </c>
      <c r="T45" s="260">
        <f t="shared" si="7"/>
        <v>10.933333333333335</v>
      </c>
      <c r="U45" s="265">
        <f t="shared" si="8"/>
        <v>1</v>
      </c>
      <c r="V45" s="262">
        <f t="shared" si="9"/>
        <v>9.7583333333333346</v>
      </c>
      <c r="W45" s="261">
        <f t="shared" si="10"/>
        <v>1</v>
      </c>
      <c r="X45" s="177">
        <f t="shared" ca="1" si="17"/>
        <v>16.708333333333332</v>
      </c>
      <c r="Y45" s="177">
        <f t="shared" ca="1" si="18"/>
        <v>20.541666666666664</v>
      </c>
      <c r="Z45" s="177">
        <f t="shared" ca="1" si="19"/>
        <v>18.719128787878791</v>
      </c>
      <c r="AA45" s="10"/>
      <c r="AB45" s="357" t="str">
        <f>VLOOKUP($B45,'2007-2020 Metadata'!$A$4:$S$214,MATCH("Urban Area /Monitoring Zone",'2007-2020 Metadata'!$A$4:$S$4,0),FALSE)</f>
        <v>Auckland - Western</v>
      </c>
      <c r="AC45" s="259" t="str">
        <f>VLOOKUP(B45,'2007-2020 Metadata'!$A$6:$A$214,1,FALSE)</f>
        <v>AUC059</v>
      </c>
      <c r="AD45" s="256" t="str">
        <f>VLOOKUP($AC45,'2007-2020 Metadata'!$A$6:$S$214,9,FALSE)</f>
        <v>Waitakere</v>
      </c>
      <c r="AE45" s="263">
        <f>IF(ISBLANK(VLOOKUP($AC45,'2007-2020 Metadata'!$A$6:$S$214,19,FALSE)),"",VLOOKUP($AC45,'2007-2020 Metadata'!$A$6:$S$214,19,FALSE))</f>
        <v>3</v>
      </c>
      <c r="AF45" s="257" t="str">
        <f>VLOOKUP($B45,'2007-2020 Metadata'!$A$4:$S$214,MATCH("Site type",'2007-2020 Metadata'!$A$4:$S$4,0),FALSE)</f>
        <v>Background</v>
      </c>
      <c r="AG45" s="258">
        <f>MIN(AVERAGE(D$43:D$45),AVERAGE(E$43:E$45),AVERAGE(F$43:F$45),AVERAGE(G$43:G$45),AVERAGE(H$43:H$45),AVERAGE(I$43:I$45),AVERAGE(J$43:J$45),AVERAGE(K$43:K$45),AVERAGE(L$43:L$45),AVERAGE(M$43:M$45),AVERAGE(N$43:N$45),AVERAGE(O$43:O$45))</f>
        <v>3.8666666666666671</v>
      </c>
      <c r="AH45" s="258">
        <f t="shared" si="21"/>
        <v>14.966666666666667</v>
      </c>
      <c r="AI45" s="177">
        <f t="shared" ca="1" si="13"/>
        <v>18.719128787878791</v>
      </c>
    </row>
    <row r="46" spans="1:35" ht="12" customHeight="1" x14ac:dyDescent="0.15">
      <c r="A46" s="31"/>
      <c r="B46" s="40" t="s">
        <v>81</v>
      </c>
      <c r="C46" s="104">
        <f>IF(VLOOKUP($B46,'Monthly Summary 2011'!$B$7:$Q$222,14,FALSE)=0,"",VLOOKUP($B46,'Monthly Summary 2011'!$B$7:$Q$222,14,FALSE))</f>
        <v>27.1</v>
      </c>
      <c r="D46" s="36">
        <v>30.2</v>
      </c>
      <c r="E46" s="36">
        <v>36.4</v>
      </c>
      <c r="F46" s="36">
        <v>31.8</v>
      </c>
      <c r="G46" s="36">
        <v>42.7</v>
      </c>
      <c r="H46" s="36">
        <v>43.9</v>
      </c>
      <c r="I46" s="36">
        <v>43</v>
      </c>
      <c r="J46" s="36">
        <v>40.700000000000003</v>
      </c>
      <c r="K46" s="36">
        <v>41.5</v>
      </c>
      <c r="L46" s="36">
        <v>36.4</v>
      </c>
      <c r="M46" s="36">
        <v>38.200000000000003</v>
      </c>
      <c r="N46" s="36">
        <v>39.299999999999997</v>
      </c>
      <c r="O46" s="36">
        <v>27.5</v>
      </c>
      <c r="P46" s="37">
        <f t="shared" si="3"/>
        <v>37.633333333333333</v>
      </c>
      <c r="Q46" s="38">
        <f t="shared" si="4"/>
        <v>1</v>
      </c>
      <c r="R46" s="140">
        <f t="shared" si="5"/>
        <v>32.799999999999997</v>
      </c>
      <c r="S46" s="24">
        <f t="shared" si="6"/>
        <v>1</v>
      </c>
      <c r="T46" s="140">
        <f t="shared" si="7"/>
        <v>39.533333333333331</v>
      </c>
      <c r="U46" s="9">
        <f t="shared" si="8"/>
        <v>1</v>
      </c>
      <c r="V46" s="141">
        <f t="shared" si="9"/>
        <v>37.633333333333333</v>
      </c>
      <c r="W46" s="142">
        <f t="shared" si="10"/>
        <v>1</v>
      </c>
      <c r="X46" s="144">
        <f t="shared" ca="1" si="17"/>
        <v>26.251282051282047</v>
      </c>
      <c r="Y46" s="144">
        <f t="shared" ca="1" si="18"/>
        <v>32.028205128205123</v>
      </c>
      <c r="Z46" s="144">
        <f t="shared" ca="1" si="19"/>
        <v>30.274999999999999</v>
      </c>
      <c r="AA46" s="10"/>
      <c r="AB46" s="357" t="str">
        <f>VLOOKUP($B46,'2007-2020 Metadata'!$A$4:$S$214,MATCH("Urban Area /Monitoring Zone",'2007-2020 Metadata'!$A$4:$S$4,0),FALSE)</f>
        <v>Auckland - Central</v>
      </c>
      <c r="AC46" s="87" t="str">
        <f>VLOOKUP(B46,'2007-2020 Metadata'!$A$6:$A$214,1,FALSE)</f>
        <v>AUC060</v>
      </c>
      <c r="AD46" s="230" t="str">
        <f>VLOOKUP($AC46,'2007-2020 Metadata'!$A$6:$S$214,9,FALSE)</f>
        <v>Auckland</v>
      </c>
      <c r="AE46" s="248">
        <f>IF(ISBLANK(VLOOKUP($AC46,'2007-2020 Metadata'!$A$6:$S$214,19,FALSE)),"",VLOOKUP($AC46,'2007-2020 Metadata'!$A$6:$S$214,19,FALSE))</f>
        <v>3</v>
      </c>
      <c r="AF46" s="88" t="str">
        <f>VLOOKUP($B46,'2007-2020 Metadata'!$A$4:$S$214,MATCH("Site type",'2007-2020 Metadata'!$A$4:$S$4,0),FALSE)</f>
        <v>Local</v>
      </c>
      <c r="AG46" s="143">
        <f t="shared" si="11"/>
        <v>27.5</v>
      </c>
      <c r="AH46" s="143">
        <f t="shared" si="12"/>
        <v>43.9</v>
      </c>
      <c r="AI46" s="144">
        <f t="shared" ca="1" si="13"/>
        <v>30.274999999999999</v>
      </c>
    </row>
    <row r="47" spans="1:35" ht="12" customHeight="1" x14ac:dyDescent="0.15">
      <c r="A47" s="31"/>
      <c r="B47" s="40" t="s">
        <v>82</v>
      </c>
      <c r="C47" s="104">
        <f>IF(VLOOKUP($B47,'Monthly Summary 2011'!$B$7:$Q$222,14,FALSE)=0,"",VLOOKUP($B47,'Monthly Summary 2011'!$B$7:$Q$222,14,FALSE))</f>
        <v>25.8</v>
      </c>
      <c r="D47" s="36">
        <v>22.8</v>
      </c>
      <c r="E47" s="36">
        <v>31.3</v>
      </c>
      <c r="F47" s="36">
        <v>29.4</v>
      </c>
      <c r="G47" s="36">
        <v>36.700000000000003</v>
      </c>
      <c r="H47" s="36">
        <v>38.1</v>
      </c>
      <c r="I47" s="36">
        <v>40.1</v>
      </c>
      <c r="J47" s="36">
        <v>37.1</v>
      </c>
      <c r="K47" s="36">
        <v>36.9</v>
      </c>
      <c r="L47" s="36">
        <v>30.5</v>
      </c>
      <c r="M47" s="36">
        <v>28.4</v>
      </c>
      <c r="N47" s="36">
        <v>29</v>
      </c>
      <c r="O47" s="36">
        <v>20.8</v>
      </c>
      <c r="P47" s="37">
        <f t="shared" si="3"/>
        <v>31.758333333333329</v>
      </c>
      <c r="Q47" s="38">
        <f t="shared" si="4"/>
        <v>1</v>
      </c>
      <c r="R47" s="140">
        <f t="shared" si="5"/>
        <v>27.833333333333332</v>
      </c>
      <c r="S47" s="24">
        <f t="shared" si="6"/>
        <v>1</v>
      </c>
      <c r="T47" s="140">
        <f t="shared" si="7"/>
        <v>34.833333333333336</v>
      </c>
      <c r="U47" s="9">
        <f t="shared" si="8"/>
        <v>1</v>
      </c>
      <c r="V47" s="141">
        <f t="shared" si="9"/>
        <v>31.758333333333329</v>
      </c>
      <c r="W47" s="142">
        <f t="shared" si="10"/>
        <v>1</v>
      </c>
      <c r="X47" s="144">
        <f t="shared" ca="1" si="17"/>
        <v>26.251282051282047</v>
      </c>
      <c r="Y47" s="144">
        <f t="shared" ca="1" si="18"/>
        <v>32.028205128205123</v>
      </c>
      <c r="Z47" s="144">
        <f t="shared" ca="1" si="19"/>
        <v>30.274999999999999</v>
      </c>
      <c r="AA47" s="10"/>
      <c r="AB47" s="357" t="str">
        <f>VLOOKUP($B47,'2007-2020 Metadata'!$A$4:$S$214,MATCH("Urban Area /Monitoring Zone",'2007-2020 Metadata'!$A$4:$S$4,0),FALSE)</f>
        <v>Auckland - Central</v>
      </c>
      <c r="AC47" s="87" t="str">
        <f>VLOOKUP(B47,'2007-2020 Metadata'!$A$6:$A$214,1,FALSE)</f>
        <v>AUC061</v>
      </c>
      <c r="AD47" s="230" t="str">
        <f>VLOOKUP($AC47,'2007-2020 Metadata'!$A$6:$S$214,9,FALSE)</f>
        <v>Auckland</v>
      </c>
      <c r="AE47" s="248">
        <f>IF(ISBLANK(VLOOKUP($AC47,'2007-2020 Metadata'!$A$6:$S$214,19,FALSE)),"",VLOOKUP($AC47,'2007-2020 Metadata'!$A$6:$S$214,19,FALSE))</f>
        <v>3</v>
      </c>
      <c r="AF47" s="88" t="str">
        <f>VLOOKUP($B47,'2007-2020 Metadata'!$A$4:$S$214,MATCH("Site type",'2007-2020 Metadata'!$A$4:$S$4,0),FALSE)</f>
        <v>Local</v>
      </c>
      <c r="AG47" s="143">
        <f t="shared" si="11"/>
        <v>20.8</v>
      </c>
      <c r="AH47" s="143">
        <f t="shared" si="12"/>
        <v>40.1</v>
      </c>
      <c r="AI47" s="144">
        <f t="shared" ca="1" si="13"/>
        <v>30.274999999999999</v>
      </c>
    </row>
    <row r="48" spans="1:35" ht="12" customHeight="1" x14ac:dyDescent="0.15">
      <c r="A48" s="31"/>
      <c r="B48" s="40" t="s">
        <v>83</v>
      </c>
      <c r="C48" s="104">
        <f>IF(VLOOKUP($B48,'Monthly Summary 2011'!$B$7:$Q$222,14,FALSE)=0,"",VLOOKUP($B48,'Monthly Summary 2011'!$B$7:$Q$222,14,FALSE))</f>
        <v>14.9</v>
      </c>
      <c r="D48" s="36">
        <v>20</v>
      </c>
      <c r="E48" s="36">
        <v>24.3</v>
      </c>
      <c r="F48" s="36">
        <v>25.7</v>
      </c>
      <c r="G48" s="36">
        <v>37.799999999999997</v>
      </c>
      <c r="H48" s="36">
        <v>37.299999999999997</v>
      </c>
      <c r="I48" s="36">
        <v>40.6</v>
      </c>
      <c r="J48" s="36">
        <v>30.1</v>
      </c>
      <c r="K48" s="36">
        <v>28.9</v>
      </c>
      <c r="L48" s="36">
        <v>27.2</v>
      </c>
      <c r="M48" s="36">
        <v>21.2</v>
      </c>
      <c r="N48" s="36">
        <v>26.1</v>
      </c>
      <c r="O48" s="36">
        <v>11.5</v>
      </c>
      <c r="P48" s="37">
        <f t="shared" si="3"/>
        <v>27.558333333333334</v>
      </c>
      <c r="Q48" s="38">
        <f t="shared" si="4"/>
        <v>1</v>
      </c>
      <c r="R48" s="140">
        <f t="shared" si="5"/>
        <v>23.333333333333332</v>
      </c>
      <c r="S48" s="24">
        <f t="shared" si="6"/>
        <v>1</v>
      </c>
      <c r="T48" s="140">
        <f t="shared" si="7"/>
        <v>28.733333333333334</v>
      </c>
      <c r="U48" s="9">
        <f t="shared" si="8"/>
        <v>1</v>
      </c>
      <c r="V48" s="141">
        <f t="shared" si="9"/>
        <v>27.558333333333334</v>
      </c>
      <c r="W48" s="142">
        <f t="shared" si="10"/>
        <v>1</v>
      </c>
      <c r="X48" s="144">
        <f t="shared" ca="1" si="17"/>
        <v>26.251282051282047</v>
      </c>
      <c r="Y48" s="144">
        <f t="shared" ca="1" si="18"/>
        <v>32.028205128205123</v>
      </c>
      <c r="Z48" s="144">
        <f t="shared" ca="1" si="19"/>
        <v>30.274999999999999</v>
      </c>
      <c r="AA48" s="10"/>
      <c r="AB48" s="357" t="str">
        <f>VLOOKUP($B48,'2007-2020 Metadata'!$A$4:$S$214,MATCH("Urban Area /Monitoring Zone",'2007-2020 Metadata'!$A$4:$S$4,0),FALSE)</f>
        <v>Auckland - Central</v>
      </c>
      <c r="AC48" s="87" t="str">
        <f>VLOOKUP(B48,'2007-2020 Metadata'!$A$6:$A$214,1,FALSE)</f>
        <v>AUC062</v>
      </c>
      <c r="AD48" s="230" t="str">
        <f>VLOOKUP($AC48,'2007-2020 Metadata'!$A$6:$S$214,9,FALSE)</f>
        <v>Auckland</v>
      </c>
      <c r="AE48" s="248">
        <f>IF(ISBLANK(VLOOKUP($AC48,'2007-2020 Metadata'!$A$6:$S$214,19,FALSE)),"",VLOOKUP($AC48,'2007-2020 Metadata'!$A$6:$S$214,19,FALSE))</f>
        <v>2.5</v>
      </c>
      <c r="AF48" s="88" t="str">
        <f>VLOOKUP($B48,'2007-2020 Metadata'!$A$4:$S$214,MATCH("Site type",'2007-2020 Metadata'!$A$4:$S$4,0),FALSE)</f>
        <v>Local</v>
      </c>
      <c r="AG48" s="143">
        <f t="shared" si="11"/>
        <v>11.5</v>
      </c>
      <c r="AH48" s="143">
        <f t="shared" si="12"/>
        <v>40.6</v>
      </c>
      <c r="AI48" s="144">
        <f t="shared" ca="1" si="13"/>
        <v>30.274999999999999</v>
      </c>
    </row>
    <row r="49" spans="1:35" ht="12" customHeight="1" x14ac:dyDescent="0.15">
      <c r="A49" s="31"/>
      <c r="B49" s="40" t="s">
        <v>84</v>
      </c>
      <c r="C49" s="104">
        <f>IF(VLOOKUP($B49,'Monthly Summary 2011'!$B$7:$Q$222,14,FALSE)=0,"",VLOOKUP($B49,'Monthly Summary 2011'!$B$7:$Q$222,14,FALSE))</f>
        <v>29.7</v>
      </c>
      <c r="D49" s="36">
        <v>27</v>
      </c>
      <c r="E49" s="36">
        <v>35.1</v>
      </c>
      <c r="F49" s="36">
        <v>37.700000000000003</v>
      </c>
      <c r="G49" s="36">
        <v>44.8</v>
      </c>
      <c r="H49" s="36">
        <v>41.7</v>
      </c>
      <c r="I49" s="36">
        <v>44.9</v>
      </c>
      <c r="J49" s="36">
        <v>37.1</v>
      </c>
      <c r="K49" s="36">
        <v>40.5</v>
      </c>
      <c r="L49" s="36">
        <v>36.6</v>
      </c>
      <c r="M49" s="36">
        <v>29.2</v>
      </c>
      <c r="N49" s="36">
        <v>39.799999999999997</v>
      </c>
      <c r="O49" s="36">
        <v>27.6</v>
      </c>
      <c r="P49" s="37">
        <f t="shared" si="3"/>
        <v>36.833333333333336</v>
      </c>
      <c r="Q49" s="38">
        <f t="shared" si="4"/>
        <v>1</v>
      </c>
      <c r="R49" s="140">
        <f t="shared" si="5"/>
        <v>33.266666666666673</v>
      </c>
      <c r="S49" s="24">
        <f t="shared" si="6"/>
        <v>1</v>
      </c>
      <c r="T49" s="140">
        <f t="shared" si="7"/>
        <v>38.066666666666663</v>
      </c>
      <c r="U49" s="9">
        <f t="shared" si="8"/>
        <v>1</v>
      </c>
      <c r="V49" s="141">
        <f t="shared" si="9"/>
        <v>36.833333333333336</v>
      </c>
      <c r="W49" s="142">
        <f t="shared" si="10"/>
        <v>1</v>
      </c>
      <c r="X49" s="144">
        <f t="shared" ca="1" si="17"/>
        <v>16.708333333333332</v>
      </c>
      <c r="Y49" s="144">
        <f t="shared" ca="1" si="18"/>
        <v>20.541666666666664</v>
      </c>
      <c r="Z49" s="144">
        <f t="shared" ca="1" si="19"/>
        <v>18.719128787878791</v>
      </c>
      <c r="AA49" s="10"/>
      <c r="AB49" s="357" t="str">
        <f>VLOOKUP($B49,'2007-2020 Metadata'!$A$4:$S$214,MATCH("Urban Area /Monitoring Zone",'2007-2020 Metadata'!$A$4:$S$4,0),FALSE)</f>
        <v>Auckland - Western</v>
      </c>
      <c r="AC49" s="87" t="str">
        <f>VLOOKUP(B49,'2007-2020 Metadata'!$A$6:$A$214,1,FALSE)</f>
        <v>AUC063</v>
      </c>
      <c r="AD49" s="230" t="str">
        <f>VLOOKUP($AC49,'2007-2020 Metadata'!$A$6:$S$214,9,FALSE)</f>
        <v>Waitakere</v>
      </c>
      <c r="AE49" s="248">
        <f>IF(ISBLANK(VLOOKUP($AC49,'2007-2020 Metadata'!$A$6:$S$214,19,FALSE)),"",VLOOKUP($AC49,'2007-2020 Metadata'!$A$6:$S$214,19,FALSE))</f>
        <v>3</v>
      </c>
      <c r="AF49" s="88" t="str">
        <f>VLOOKUP($B49,'2007-2020 Metadata'!$A$4:$S$214,MATCH("Site type",'2007-2020 Metadata'!$A$4:$S$4,0),FALSE)</f>
        <v>Local</v>
      </c>
      <c r="AG49" s="143">
        <f t="shared" si="11"/>
        <v>27</v>
      </c>
      <c r="AH49" s="143">
        <f t="shared" si="12"/>
        <v>44.9</v>
      </c>
      <c r="AI49" s="144">
        <f t="shared" ca="1" si="13"/>
        <v>18.719128787878791</v>
      </c>
    </row>
    <row r="50" spans="1:35" ht="12" customHeight="1" x14ac:dyDescent="0.15">
      <c r="A50" s="31"/>
      <c r="B50" s="40" t="s">
        <v>85</v>
      </c>
      <c r="C50" s="104">
        <f>IF(VLOOKUP($B50,'Monthly Summary 2011'!$B$7:$Q$222,14,FALSE)=0,"",VLOOKUP($B50,'Monthly Summary 2011'!$B$7:$Q$222,14,FALSE))</f>
        <v>19.7</v>
      </c>
      <c r="D50" s="36">
        <v>16.8</v>
      </c>
      <c r="E50" s="36">
        <v>24.3</v>
      </c>
      <c r="F50" s="36">
        <v>20.2</v>
      </c>
      <c r="G50" s="36">
        <v>24.7</v>
      </c>
      <c r="H50" s="36">
        <v>33.700000000000003</v>
      </c>
      <c r="I50" s="36">
        <v>33.799999999999997</v>
      </c>
      <c r="J50" s="36">
        <v>29.3</v>
      </c>
      <c r="K50" s="36">
        <v>32.299999999999997</v>
      </c>
      <c r="L50" s="36">
        <v>22.2</v>
      </c>
      <c r="M50" s="36">
        <v>17.8</v>
      </c>
      <c r="N50" s="36">
        <v>18.2</v>
      </c>
      <c r="O50" s="36">
        <v>15.5</v>
      </c>
      <c r="P50" s="37">
        <f t="shared" si="3"/>
        <v>24.066666666666666</v>
      </c>
      <c r="Q50" s="38">
        <f t="shared" si="4"/>
        <v>1</v>
      </c>
      <c r="R50" s="140">
        <f t="shared" si="5"/>
        <v>20.433333333333334</v>
      </c>
      <c r="S50" s="24">
        <f t="shared" si="6"/>
        <v>1</v>
      </c>
      <c r="T50" s="140">
        <f t="shared" si="7"/>
        <v>27.933333333333334</v>
      </c>
      <c r="U50" s="9">
        <f t="shared" si="8"/>
        <v>1</v>
      </c>
      <c r="V50" s="141">
        <f t="shared" si="9"/>
        <v>24.066666666666666</v>
      </c>
      <c r="W50" s="142">
        <f t="shared" si="10"/>
        <v>1</v>
      </c>
      <c r="X50" s="144">
        <f t="shared" ca="1" si="17"/>
        <v>26.251282051282047</v>
      </c>
      <c r="Y50" s="144">
        <f t="shared" ca="1" si="18"/>
        <v>32.028205128205123</v>
      </c>
      <c r="Z50" s="144">
        <f t="shared" ca="1" si="19"/>
        <v>30.274999999999999</v>
      </c>
      <c r="AA50" s="10"/>
      <c r="AB50" s="357" t="str">
        <f>VLOOKUP($B50,'2007-2020 Metadata'!$A$4:$S$214,MATCH("Urban Area /Monitoring Zone",'2007-2020 Metadata'!$A$4:$S$4,0),FALSE)</f>
        <v>Auckland - Central</v>
      </c>
      <c r="AC50" s="87" t="str">
        <f>VLOOKUP(B50,'2007-2020 Metadata'!$A$6:$A$214,1,FALSE)</f>
        <v>AUC064</v>
      </c>
      <c r="AD50" s="230" t="str">
        <f>VLOOKUP($AC50,'2007-2020 Metadata'!$A$6:$S$214,9,FALSE)</f>
        <v>Auckland</v>
      </c>
      <c r="AE50" s="248">
        <f>IF(ISBLANK(VLOOKUP($AC50,'2007-2020 Metadata'!$A$6:$S$214,19,FALSE)),"",VLOOKUP($AC50,'2007-2020 Metadata'!$A$6:$S$214,19,FALSE))</f>
        <v>3</v>
      </c>
      <c r="AF50" s="88" t="str">
        <f>VLOOKUP($B50,'2007-2020 Metadata'!$A$4:$S$214,MATCH("Site type",'2007-2020 Metadata'!$A$4:$S$4,0),FALSE)</f>
        <v>Local</v>
      </c>
      <c r="AG50" s="143">
        <f t="shared" si="11"/>
        <v>15.5</v>
      </c>
      <c r="AH50" s="143">
        <f t="shared" si="12"/>
        <v>33.799999999999997</v>
      </c>
      <c r="AI50" s="144">
        <f t="shared" ca="1" si="13"/>
        <v>30.274999999999999</v>
      </c>
    </row>
    <row r="51" spans="1:35" ht="12" customHeight="1" x14ac:dyDescent="0.15">
      <c r="A51" s="31"/>
      <c r="B51" s="40" t="s">
        <v>86</v>
      </c>
      <c r="C51" s="104">
        <f>IF(VLOOKUP($B51,'Monthly Summary 2011'!$B$7:$Q$222,14,FALSE)=0,"",VLOOKUP($B51,'Monthly Summary 2011'!$B$7:$Q$222,14,FALSE))</f>
        <v>18.8</v>
      </c>
      <c r="D51" s="36">
        <v>20.6</v>
      </c>
      <c r="E51" s="36">
        <v>26.6</v>
      </c>
      <c r="F51" s="36">
        <v>24.6</v>
      </c>
      <c r="G51" s="36">
        <v>33</v>
      </c>
      <c r="H51" s="36">
        <v>36.299999999999997</v>
      </c>
      <c r="I51" s="36">
        <v>38.5</v>
      </c>
      <c r="J51" s="36">
        <v>31</v>
      </c>
      <c r="K51" s="36">
        <v>32.299999999999997</v>
      </c>
      <c r="L51" s="36">
        <v>22</v>
      </c>
      <c r="M51" s="36">
        <v>26.7</v>
      </c>
      <c r="N51" s="36">
        <v>27.1</v>
      </c>
      <c r="O51" s="36">
        <v>15.9</v>
      </c>
      <c r="P51" s="37">
        <f t="shared" si="3"/>
        <v>27.883333333333336</v>
      </c>
      <c r="Q51" s="38">
        <f t="shared" si="4"/>
        <v>1</v>
      </c>
      <c r="R51" s="140">
        <f t="shared" si="5"/>
        <v>23.933333333333337</v>
      </c>
      <c r="S51" s="24">
        <f t="shared" si="6"/>
        <v>1</v>
      </c>
      <c r="T51" s="140">
        <f t="shared" si="7"/>
        <v>28.433333333333334</v>
      </c>
      <c r="U51" s="9">
        <f t="shared" si="8"/>
        <v>1</v>
      </c>
      <c r="V51" s="141">
        <f t="shared" si="9"/>
        <v>27.883333333333336</v>
      </c>
      <c r="W51" s="142">
        <f t="shared" si="10"/>
        <v>1</v>
      </c>
      <c r="X51" s="144">
        <f t="shared" ca="1" si="17"/>
        <v>22.953703703703706</v>
      </c>
      <c r="Y51" s="144">
        <f t="shared" ca="1" si="18"/>
        <v>26.12222222222222</v>
      </c>
      <c r="Z51" s="144">
        <f t="shared" ca="1" si="19"/>
        <v>25.979511784511786</v>
      </c>
      <c r="AA51" s="10"/>
      <c r="AB51" s="357" t="str">
        <f>VLOOKUP($B51,'2007-2020 Metadata'!$A$4:$S$214,MATCH("Urban Area /Monitoring Zone",'2007-2020 Metadata'!$A$4:$S$4,0),FALSE)</f>
        <v xml:space="preserve">Auckland - Southern </v>
      </c>
      <c r="AC51" s="87" t="str">
        <f>VLOOKUP(B51,'2007-2020 Metadata'!$A$6:$A$214,1,FALSE)</f>
        <v>AUC067</v>
      </c>
      <c r="AD51" s="230" t="str">
        <f>VLOOKUP($AC51,'2007-2020 Metadata'!$A$6:$S$214,9,FALSE)</f>
        <v>Manukau</v>
      </c>
      <c r="AE51" s="248">
        <f>IF(ISBLANK(VLOOKUP($AC51,'2007-2020 Metadata'!$A$6:$S$214,19,FALSE)),"",VLOOKUP($AC51,'2007-2020 Metadata'!$A$6:$S$214,19,FALSE))</f>
        <v>3</v>
      </c>
      <c r="AF51" s="88" t="str">
        <f>VLOOKUP($B51,'2007-2020 Metadata'!$A$4:$S$214,MATCH("Site type",'2007-2020 Metadata'!$A$4:$S$4,0),FALSE)</f>
        <v>SH</v>
      </c>
      <c r="AG51" s="143">
        <f t="shared" si="11"/>
        <v>15.9</v>
      </c>
      <c r="AH51" s="143">
        <f t="shared" si="12"/>
        <v>38.5</v>
      </c>
      <c r="AI51" s="144">
        <f t="shared" ca="1" si="13"/>
        <v>25.979511784511786</v>
      </c>
    </row>
    <row r="52" spans="1:35" ht="12" customHeight="1" x14ac:dyDescent="0.15">
      <c r="A52" s="31"/>
      <c r="B52" s="40" t="s">
        <v>87</v>
      </c>
      <c r="C52" s="104">
        <f>IF(VLOOKUP($B52,'Monthly Summary 2011'!$B$7:$Q$222,14,FALSE)=0,"",VLOOKUP($B52,'Monthly Summary 2011'!$B$7:$Q$222,14,FALSE))</f>
        <v>30.6</v>
      </c>
      <c r="D52" s="36">
        <v>34.6</v>
      </c>
      <c r="E52" s="36">
        <v>43</v>
      </c>
      <c r="F52" s="36">
        <v>36.4</v>
      </c>
      <c r="G52" s="36">
        <v>44</v>
      </c>
      <c r="H52" s="36">
        <v>56.1</v>
      </c>
      <c r="I52" s="36">
        <v>52.8</v>
      </c>
      <c r="J52" s="36">
        <v>43.1</v>
      </c>
      <c r="K52" s="36">
        <v>44.9</v>
      </c>
      <c r="L52" s="36">
        <v>33.1</v>
      </c>
      <c r="M52" s="36">
        <v>36.200000000000003</v>
      </c>
      <c r="N52" s="36">
        <v>40.4</v>
      </c>
      <c r="O52" s="36">
        <v>33.799999999999997</v>
      </c>
      <c r="P52" s="37">
        <f t="shared" si="3"/>
        <v>41.533333333333331</v>
      </c>
      <c r="Q52" s="38">
        <f t="shared" si="4"/>
        <v>1</v>
      </c>
      <c r="R52" s="140">
        <f t="shared" si="5"/>
        <v>38</v>
      </c>
      <c r="S52" s="24">
        <f t="shared" si="6"/>
        <v>1</v>
      </c>
      <c r="T52" s="140">
        <f t="shared" si="7"/>
        <v>40.366666666666667</v>
      </c>
      <c r="U52" s="9">
        <f t="shared" si="8"/>
        <v>1</v>
      </c>
      <c r="V52" s="141">
        <f t="shared" si="9"/>
        <v>41.533333333333331</v>
      </c>
      <c r="W52" s="142">
        <f t="shared" si="10"/>
        <v>1</v>
      </c>
      <c r="X52" s="144">
        <f t="shared" ca="1" si="17"/>
        <v>22.953703703703706</v>
      </c>
      <c r="Y52" s="144">
        <f t="shared" ca="1" si="18"/>
        <v>26.12222222222222</v>
      </c>
      <c r="Z52" s="144">
        <f t="shared" ca="1" si="19"/>
        <v>25.979511784511786</v>
      </c>
      <c r="AA52" s="10"/>
      <c r="AB52" s="357" t="str">
        <f>VLOOKUP($B52,'2007-2020 Metadata'!$A$4:$S$214,MATCH("Urban Area /Monitoring Zone",'2007-2020 Metadata'!$A$4:$S$4,0),FALSE)</f>
        <v xml:space="preserve">Auckland - Southern </v>
      </c>
      <c r="AC52" s="87" t="str">
        <f>VLOOKUP(B52,'2007-2020 Metadata'!$A$6:$A$214,1,FALSE)</f>
        <v>AUC068</v>
      </c>
      <c r="AD52" s="230" t="str">
        <f>VLOOKUP($AC52,'2007-2020 Metadata'!$A$6:$S$214,9,FALSE)</f>
        <v>Manukau</v>
      </c>
      <c r="AE52" s="248">
        <f>IF(ISBLANK(VLOOKUP($AC52,'2007-2020 Metadata'!$A$6:$S$214,19,FALSE)),"",VLOOKUP($AC52,'2007-2020 Metadata'!$A$6:$S$214,19,FALSE))</f>
        <v>3</v>
      </c>
      <c r="AF52" s="88" t="str">
        <f>VLOOKUP($B52,'2007-2020 Metadata'!$A$4:$S$214,MATCH("Site type",'2007-2020 Metadata'!$A$4:$S$4,0),FALSE)</f>
        <v>SH</v>
      </c>
      <c r="AG52" s="143">
        <f t="shared" si="11"/>
        <v>33.1</v>
      </c>
      <c r="AH52" s="143">
        <f t="shared" si="12"/>
        <v>56.1</v>
      </c>
      <c r="AI52" s="144">
        <f t="shared" ca="1" si="13"/>
        <v>25.979511784511786</v>
      </c>
    </row>
    <row r="53" spans="1:35" ht="12" customHeight="1" x14ac:dyDescent="0.15">
      <c r="A53" s="31"/>
      <c r="B53" s="40" t="s">
        <v>88</v>
      </c>
      <c r="C53" s="104">
        <f>IF(VLOOKUP($B53,'Monthly Summary 2011'!$B$7:$Q$222,14,FALSE)=0,"",VLOOKUP($B53,'Monthly Summary 2011'!$B$7:$Q$222,14,FALSE))</f>
        <v>21.7</v>
      </c>
      <c r="D53" s="36">
        <v>22.7</v>
      </c>
      <c r="E53" s="36">
        <v>26.9</v>
      </c>
      <c r="F53" s="36">
        <v>29.5</v>
      </c>
      <c r="G53" s="36">
        <v>38.4</v>
      </c>
      <c r="H53" s="36">
        <v>35</v>
      </c>
      <c r="I53" s="36">
        <v>38.700000000000003</v>
      </c>
      <c r="J53" s="36">
        <v>36.200000000000003</v>
      </c>
      <c r="K53" s="36">
        <v>29.5</v>
      </c>
      <c r="L53" s="36">
        <v>23.1</v>
      </c>
      <c r="M53" s="36">
        <v>20.9</v>
      </c>
      <c r="N53" s="36">
        <v>23.9</v>
      </c>
      <c r="O53" s="36">
        <v>18.8</v>
      </c>
      <c r="P53" s="37">
        <f t="shared" si="3"/>
        <v>28.633333333333329</v>
      </c>
      <c r="Q53" s="38">
        <f t="shared" si="4"/>
        <v>1</v>
      </c>
      <c r="R53" s="140">
        <f t="shared" si="5"/>
        <v>26.366666666666664</v>
      </c>
      <c r="S53" s="24">
        <f t="shared" si="6"/>
        <v>1</v>
      </c>
      <c r="T53" s="140">
        <f t="shared" si="7"/>
        <v>29.600000000000005</v>
      </c>
      <c r="U53" s="9">
        <f t="shared" si="8"/>
        <v>1</v>
      </c>
      <c r="V53" s="141">
        <f t="shared" si="9"/>
        <v>28.633333333333329</v>
      </c>
      <c r="W53" s="142">
        <f t="shared" si="10"/>
        <v>1</v>
      </c>
      <c r="X53" s="144">
        <f t="shared" ca="1" si="17"/>
        <v>22.953703703703706</v>
      </c>
      <c r="Y53" s="144">
        <f t="shared" ca="1" si="18"/>
        <v>26.12222222222222</v>
      </c>
      <c r="Z53" s="144">
        <f t="shared" ca="1" si="19"/>
        <v>25.979511784511786</v>
      </c>
      <c r="AA53" s="10"/>
      <c r="AB53" s="357" t="str">
        <f>VLOOKUP($B53,'2007-2020 Metadata'!$A$4:$S$214,MATCH("Urban Area /Monitoring Zone",'2007-2020 Metadata'!$A$4:$S$4,0),FALSE)</f>
        <v xml:space="preserve">Auckland - Southern </v>
      </c>
      <c r="AC53" s="87" t="str">
        <f>VLOOKUP(B53,'2007-2020 Metadata'!$A$6:$A$214,1,FALSE)</f>
        <v>AUC069</v>
      </c>
      <c r="AD53" s="230" t="str">
        <f>VLOOKUP($AC53,'2007-2020 Metadata'!$A$6:$S$214,9,FALSE)</f>
        <v>Manukau</v>
      </c>
      <c r="AE53" s="248">
        <f>IF(ISBLANK(VLOOKUP($AC53,'2007-2020 Metadata'!$A$6:$S$214,19,FALSE)),"",VLOOKUP($AC53,'2007-2020 Metadata'!$A$6:$S$214,19,FALSE))</f>
        <v>3</v>
      </c>
      <c r="AF53" s="88" t="str">
        <f>VLOOKUP($B53,'2007-2020 Metadata'!$A$4:$S$214,MATCH("Site type",'2007-2020 Metadata'!$A$4:$S$4,0),FALSE)</f>
        <v>Local</v>
      </c>
      <c r="AG53" s="143">
        <f t="shared" si="11"/>
        <v>18.8</v>
      </c>
      <c r="AH53" s="143">
        <f t="shared" si="12"/>
        <v>38.700000000000003</v>
      </c>
      <c r="AI53" s="144">
        <f t="shared" ca="1" si="13"/>
        <v>25.979511784511786</v>
      </c>
    </row>
    <row r="54" spans="1:35" ht="12" customHeight="1" x14ac:dyDescent="0.15">
      <c r="A54" s="31"/>
      <c r="B54" s="40" t="s">
        <v>89</v>
      </c>
      <c r="C54" s="104">
        <f>IF(VLOOKUP($B54,'Monthly Summary 2011'!$B$7:$Q$222,14,FALSE)=0,"",VLOOKUP($B54,'Monthly Summary 2011'!$B$7:$Q$222,14,FALSE))</f>
        <v>11.1</v>
      </c>
      <c r="D54" s="36">
        <v>14.1</v>
      </c>
      <c r="E54" s="36">
        <v>17.100000000000001</v>
      </c>
      <c r="F54" s="36">
        <v>14.1</v>
      </c>
      <c r="G54" s="36">
        <v>20.6</v>
      </c>
      <c r="H54" s="36">
        <v>25.2</v>
      </c>
      <c r="I54" s="36">
        <v>25.9</v>
      </c>
      <c r="J54" s="36">
        <v>17.100000000000001</v>
      </c>
      <c r="K54" s="36">
        <v>17.5</v>
      </c>
      <c r="L54" s="36"/>
      <c r="M54" s="36">
        <v>28</v>
      </c>
      <c r="N54" s="36">
        <v>18.7</v>
      </c>
      <c r="O54" s="36"/>
      <c r="P54" s="37">
        <f t="shared" si="3"/>
        <v>19.829999999999998</v>
      </c>
      <c r="Q54" s="38">
        <f t="shared" si="4"/>
        <v>0.83333333333333337</v>
      </c>
      <c r="R54" s="140">
        <f t="shared" si="5"/>
        <v>15.100000000000001</v>
      </c>
      <c r="S54" s="24">
        <f t="shared" si="6"/>
        <v>1</v>
      </c>
      <c r="T54" s="140">
        <f t="shared" si="7"/>
        <v>17.3</v>
      </c>
      <c r="U54" s="9">
        <f t="shared" si="8"/>
        <v>0.66666666666666663</v>
      </c>
      <c r="V54" s="141">
        <f t="shared" si="9"/>
        <v>19.829999999999998</v>
      </c>
      <c r="W54" s="142">
        <f t="shared" si="10"/>
        <v>0.83333333333333337</v>
      </c>
      <c r="X54" s="144">
        <f t="shared" ca="1" si="17"/>
        <v>22.953703703703706</v>
      </c>
      <c r="Y54" s="144">
        <f t="shared" ca="1" si="18"/>
        <v>26.12222222222222</v>
      </c>
      <c r="Z54" s="144">
        <f t="shared" ca="1" si="19"/>
        <v>25.979511784511786</v>
      </c>
      <c r="AA54" s="10"/>
      <c r="AB54" s="357" t="str">
        <f>VLOOKUP($B54,'2007-2020 Metadata'!$A$4:$S$214,MATCH("Urban Area /Monitoring Zone",'2007-2020 Metadata'!$A$4:$S$4,0),FALSE)</f>
        <v xml:space="preserve">Auckland - Southern </v>
      </c>
      <c r="AC54" s="87" t="str">
        <f>VLOOKUP(B54,'2007-2020 Metadata'!$A$6:$A$214,1,FALSE)</f>
        <v>AUC070</v>
      </c>
      <c r="AD54" s="230" t="str">
        <f>VLOOKUP($AC54,'2007-2020 Metadata'!$A$6:$S$214,9,FALSE)</f>
        <v>Manukau</v>
      </c>
      <c r="AE54" s="248">
        <f>IF(ISBLANK(VLOOKUP($AC54,'2007-2020 Metadata'!$A$6:$S$214,19,FALSE)),"",VLOOKUP($AC54,'2007-2020 Metadata'!$A$6:$S$214,19,FALSE))</f>
        <v>2.5</v>
      </c>
      <c r="AF54" s="88" t="str">
        <f>VLOOKUP($B54,'2007-2020 Metadata'!$A$4:$S$214,MATCH("Site type",'2007-2020 Metadata'!$A$4:$S$4,0),FALSE)</f>
        <v>Local</v>
      </c>
      <c r="AG54" s="143">
        <f t="shared" si="11"/>
        <v>14.1</v>
      </c>
      <c r="AH54" s="143">
        <f t="shared" si="12"/>
        <v>28</v>
      </c>
      <c r="AI54" s="144">
        <f t="shared" ca="1" si="13"/>
        <v>25.979511784511786</v>
      </c>
    </row>
    <row r="55" spans="1:35" ht="12" customHeight="1" x14ac:dyDescent="0.15">
      <c r="A55" s="31"/>
      <c r="B55" s="40" t="s">
        <v>90</v>
      </c>
      <c r="C55" s="104">
        <f>IF(VLOOKUP($B55,'Monthly Summary 2011'!$B$7:$Q$222,14,FALSE)=0,"",VLOOKUP($B55,'Monthly Summary 2011'!$B$7:$Q$222,14,FALSE))</f>
        <v>16.600000000000001</v>
      </c>
      <c r="D55" s="36">
        <v>21.7</v>
      </c>
      <c r="E55" s="36">
        <v>26.5</v>
      </c>
      <c r="F55" s="36">
        <v>28.3</v>
      </c>
      <c r="G55" s="36">
        <v>36.5</v>
      </c>
      <c r="H55" s="36">
        <v>29.7</v>
      </c>
      <c r="I55" s="36">
        <v>40.1</v>
      </c>
      <c r="J55" s="36">
        <v>34.200000000000003</v>
      </c>
      <c r="K55" s="36">
        <v>32.799999999999997</v>
      </c>
      <c r="L55" s="36">
        <v>25.4</v>
      </c>
      <c r="M55" s="36">
        <v>28.7</v>
      </c>
      <c r="N55" s="36">
        <v>27.8</v>
      </c>
      <c r="O55" s="36">
        <v>18.8</v>
      </c>
      <c r="P55" s="37">
        <f t="shared" si="3"/>
        <v>29.208333333333332</v>
      </c>
      <c r="Q55" s="38">
        <f t="shared" si="4"/>
        <v>1</v>
      </c>
      <c r="R55" s="140">
        <f t="shared" si="5"/>
        <v>25.5</v>
      </c>
      <c r="S55" s="24">
        <f t="shared" si="6"/>
        <v>1</v>
      </c>
      <c r="T55" s="140">
        <f t="shared" si="7"/>
        <v>30.8</v>
      </c>
      <c r="U55" s="9">
        <f t="shared" si="8"/>
        <v>1</v>
      </c>
      <c r="V55" s="141">
        <f t="shared" si="9"/>
        <v>29.208333333333332</v>
      </c>
      <c r="W55" s="142">
        <f t="shared" si="10"/>
        <v>1</v>
      </c>
      <c r="X55" s="144">
        <f t="shared" ca="1" si="17"/>
        <v>26.251282051282047</v>
      </c>
      <c r="Y55" s="144">
        <f t="shared" ca="1" si="18"/>
        <v>32.028205128205123</v>
      </c>
      <c r="Z55" s="144">
        <f t="shared" ca="1" si="19"/>
        <v>30.274999999999999</v>
      </c>
      <c r="AA55" s="10"/>
      <c r="AB55" s="357" t="str">
        <f>VLOOKUP($B55,'2007-2020 Metadata'!$A$4:$S$214,MATCH("Urban Area /Monitoring Zone",'2007-2020 Metadata'!$A$4:$S$4,0),FALSE)</f>
        <v>Auckland - Central</v>
      </c>
      <c r="AC55" s="87" t="str">
        <f>VLOOKUP(B55,'2007-2020 Metadata'!$A$6:$A$214,1,FALSE)</f>
        <v>AUC071</v>
      </c>
      <c r="AD55" s="230" t="str">
        <f>VLOOKUP($AC55,'2007-2020 Metadata'!$A$6:$S$214,9,FALSE)</f>
        <v>Auckland</v>
      </c>
      <c r="AE55" s="248">
        <f>IF(ISBLANK(VLOOKUP($AC55,'2007-2020 Metadata'!$A$6:$S$214,19,FALSE)),"",VLOOKUP($AC55,'2007-2020 Metadata'!$A$6:$S$214,19,FALSE))</f>
        <v>3</v>
      </c>
      <c r="AF55" s="88" t="str">
        <f>VLOOKUP($B55,'2007-2020 Metadata'!$A$4:$S$214,MATCH("Site type",'2007-2020 Metadata'!$A$4:$S$4,0),FALSE)</f>
        <v>Local</v>
      </c>
      <c r="AG55" s="143">
        <f t="shared" si="11"/>
        <v>18.8</v>
      </c>
      <c r="AH55" s="143">
        <f t="shared" si="12"/>
        <v>40.1</v>
      </c>
      <c r="AI55" s="144">
        <f t="shared" ca="1" si="13"/>
        <v>30.274999999999999</v>
      </c>
    </row>
    <row r="56" spans="1:35" ht="12" customHeight="1" x14ac:dyDescent="0.15">
      <c r="A56" s="31"/>
      <c r="B56" s="40" t="s">
        <v>91</v>
      </c>
      <c r="C56" s="104">
        <f>IF(VLOOKUP($B56,'Monthly Summary 2011'!$B$7:$Q$222,14,FALSE)=0,"",VLOOKUP($B56,'Monthly Summary 2011'!$B$7:$Q$222,14,FALSE))</f>
        <v>13.5</v>
      </c>
      <c r="D56" s="36">
        <v>17.8</v>
      </c>
      <c r="E56" s="36">
        <v>20.9</v>
      </c>
      <c r="F56" s="36">
        <v>24.7</v>
      </c>
      <c r="G56" s="36">
        <v>30.4</v>
      </c>
      <c r="H56" s="36">
        <v>32.4</v>
      </c>
      <c r="I56" s="36">
        <v>34</v>
      </c>
      <c r="J56" s="36">
        <v>26.4</v>
      </c>
      <c r="K56" s="36">
        <v>21.1</v>
      </c>
      <c r="L56" s="36">
        <v>23.1</v>
      </c>
      <c r="M56" s="36">
        <v>15.4</v>
      </c>
      <c r="N56" s="36">
        <v>25.8</v>
      </c>
      <c r="O56" s="36">
        <v>15.5</v>
      </c>
      <c r="P56" s="37">
        <f t="shared" si="3"/>
        <v>23.958333333333332</v>
      </c>
      <c r="Q56" s="38">
        <f t="shared" si="4"/>
        <v>1</v>
      </c>
      <c r="R56" s="140">
        <f t="shared" si="5"/>
        <v>21.133333333333336</v>
      </c>
      <c r="S56" s="24">
        <f t="shared" si="6"/>
        <v>1</v>
      </c>
      <c r="T56" s="140">
        <f t="shared" si="7"/>
        <v>23.533333333333331</v>
      </c>
      <c r="U56" s="9">
        <f t="shared" si="8"/>
        <v>1</v>
      </c>
      <c r="V56" s="141">
        <f t="shared" si="9"/>
        <v>23.958333333333332</v>
      </c>
      <c r="W56" s="142">
        <f t="shared" si="10"/>
        <v>1</v>
      </c>
      <c r="X56" s="144">
        <f t="shared" ca="1" si="17"/>
        <v>22.953703703703706</v>
      </c>
      <c r="Y56" s="144">
        <f t="shared" ca="1" si="18"/>
        <v>26.12222222222222</v>
      </c>
      <c r="Z56" s="144">
        <f t="shared" ca="1" si="19"/>
        <v>25.979511784511786</v>
      </c>
      <c r="AA56" s="10"/>
      <c r="AB56" s="357" t="str">
        <f>VLOOKUP($B56,'2007-2020 Metadata'!$A$4:$S$214,MATCH("Urban Area /Monitoring Zone",'2007-2020 Metadata'!$A$4:$S$4,0),FALSE)</f>
        <v xml:space="preserve">Auckland - Southern </v>
      </c>
      <c r="AC56" s="87" t="str">
        <f>VLOOKUP(B56,'2007-2020 Metadata'!$A$6:$A$214,1,FALSE)</f>
        <v>AUC072</v>
      </c>
      <c r="AD56" s="230" t="str">
        <f>VLOOKUP($AC56,'2007-2020 Metadata'!$A$6:$S$214,9,FALSE)</f>
        <v>Manukau</v>
      </c>
      <c r="AE56" s="248">
        <f>IF(ISBLANK(VLOOKUP($AC56,'2007-2020 Metadata'!$A$6:$S$214,19,FALSE)),"",VLOOKUP($AC56,'2007-2020 Metadata'!$A$6:$S$214,19,FALSE))</f>
        <v>3</v>
      </c>
      <c r="AF56" s="88" t="str">
        <f>VLOOKUP($B56,'2007-2020 Metadata'!$A$4:$S$214,MATCH("Site type",'2007-2020 Metadata'!$A$4:$S$4,0),FALSE)</f>
        <v>Local</v>
      </c>
      <c r="AG56" s="143">
        <f t="shared" si="11"/>
        <v>15.4</v>
      </c>
      <c r="AH56" s="143">
        <f t="shared" si="12"/>
        <v>34</v>
      </c>
      <c r="AI56" s="144">
        <f t="shared" ca="1" si="13"/>
        <v>25.979511784511786</v>
      </c>
    </row>
    <row r="57" spans="1:35" ht="12" customHeight="1" x14ac:dyDescent="0.15">
      <c r="A57" s="31"/>
      <c r="B57" s="40" t="s">
        <v>92</v>
      </c>
      <c r="C57" s="104">
        <f>IF(VLOOKUP($B57,'Monthly Summary 2011'!$B$7:$Q$222,14,FALSE)=0,"",VLOOKUP($B57,'Monthly Summary 2011'!$B$7:$Q$222,14,FALSE))</f>
        <v>7.1</v>
      </c>
      <c r="D57" s="36">
        <v>9.8000000000000007</v>
      </c>
      <c r="E57" s="36">
        <v>12.3</v>
      </c>
      <c r="F57" s="36">
        <v>10.5</v>
      </c>
      <c r="G57" s="36">
        <v>16</v>
      </c>
      <c r="H57" s="36">
        <v>23.2</v>
      </c>
      <c r="I57" s="36">
        <v>24.3</v>
      </c>
      <c r="J57" s="36">
        <v>14.4</v>
      </c>
      <c r="K57" s="36">
        <v>13.9</v>
      </c>
      <c r="L57" s="36">
        <v>11</v>
      </c>
      <c r="M57" s="36">
        <v>8.5</v>
      </c>
      <c r="N57" s="36">
        <v>11.1</v>
      </c>
      <c r="O57" s="36">
        <v>7.8</v>
      </c>
      <c r="P57" s="37">
        <f t="shared" si="3"/>
        <v>13.566666666666668</v>
      </c>
      <c r="Q57" s="38">
        <f t="shared" si="4"/>
        <v>1</v>
      </c>
      <c r="R57" s="140">
        <f t="shared" si="5"/>
        <v>10.866666666666667</v>
      </c>
      <c r="S57" s="24">
        <f t="shared" si="6"/>
        <v>1</v>
      </c>
      <c r="T57" s="140">
        <f t="shared" si="7"/>
        <v>13.1</v>
      </c>
      <c r="U57" s="9">
        <f t="shared" si="8"/>
        <v>1</v>
      </c>
      <c r="V57" s="141">
        <f t="shared" si="9"/>
        <v>13.566666666666668</v>
      </c>
      <c r="W57" s="142">
        <f t="shared" si="10"/>
        <v>1</v>
      </c>
      <c r="X57" s="144">
        <f t="shared" ca="1" si="17"/>
        <v>22.953703703703706</v>
      </c>
      <c r="Y57" s="144">
        <f t="shared" ca="1" si="18"/>
        <v>26.12222222222222</v>
      </c>
      <c r="Z57" s="144">
        <f t="shared" ca="1" si="19"/>
        <v>25.979511784511786</v>
      </c>
      <c r="AA57" s="10"/>
      <c r="AB57" s="357" t="str">
        <f>VLOOKUP($B57,'2007-2020 Metadata'!$A$4:$S$214,MATCH("Urban Area /Monitoring Zone",'2007-2020 Metadata'!$A$4:$S$4,0),FALSE)</f>
        <v xml:space="preserve">Auckland - Southern </v>
      </c>
      <c r="AC57" s="87" t="str">
        <f>VLOOKUP(B57,'2007-2020 Metadata'!$A$6:$A$214,1,FALSE)</f>
        <v>AUC073</v>
      </c>
      <c r="AD57" s="230" t="str">
        <f>VLOOKUP($AC57,'2007-2020 Metadata'!$A$6:$S$214,9,FALSE)</f>
        <v>Manukau</v>
      </c>
      <c r="AE57" s="248">
        <f>IF(ISBLANK(VLOOKUP($AC57,'2007-2020 Metadata'!$A$6:$S$214,19,FALSE)),"",VLOOKUP($AC57,'2007-2020 Metadata'!$A$6:$S$214,19,FALSE))</f>
        <v>3</v>
      </c>
      <c r="AF57" s="88" t="str">
        <f>VLOOKUP($B57,'2007-2020 Metadata'!$A$4:$S$214,MATCH("Site type",'2007-2020 Metadata'!$A$4:$S$4,0),FALSE)</f>
        <v>Background</v>
      </c>
      <c r="AG57" s="143">
        <f t="shared" si="11"/>
        <v>7.8</v>
      </c>
      <c r="AH57" s="143">
        <f t="shared" si="12"/>
        <v>24.3</v>
      </c>
      <c r="AI57" s="144">
        <f t="shared" ca="1" si="13"/>
        <v>25.979511784511786</v>
      </c>
    </row>
    <row r="58" spans="1:35" ht="12" customHeight="1" x14ac:dyDescent="0.15">
      <c r="A58" s="31"/>
      <c r="B58" s="40" t="s">
        <v>93</v>
      </c>
      <c r="C58" s="104">
        <f>IF(VLOOKUP($B58,'Monthly Summary 2011'!$B$7:$Q$222,14,FALSE)=0,"",VLOOKUP($B58,'Monthly Summary 2011'!$B$7:$Q$222,14,FALSE))</f>
        <v>31.9</v>
      </c>
      <c r="D58" s="36">
        <v>28.5</v>
      </c>
      <c r="E58" s="36">
        <v>36.700000000000003</v>
      </c>
      <c r="F58" s="36">
        <v>38</v>
      </c>
      <c r="G58" s="36">
        <v>44.1</v>
      </c>
      <c r="H58" s="36">
        <v>44.1</v>
      </c>
      <c r="I58" s="36">
        <v>50.9</v>
      </c>
      <c r="J58" s="36">
        <v>46.1</v>
      </c>
      <c r="K58" s="36">
        <v>41.3</v>
      </c>
      <c r="L58" s="36">
        <v>32.9</v>
      </c>
      <c r="M58" s="36">
        <v>34.799999999999997</v>
      </c>
      <c r="N58" s="36">
        <v>36.5</v>
      </c>
      <c r="O58" s="36">
        <v>18.600000000000001</v>
      </c>
      <c r="P58" s="37">
        <f t="shared" si="3"/>
        <v>37.708333333333336</v>
      </c>
      <c r="Q58" s="38">
        <f t="shared" si="4"/>
        <v>1</v>
      </c>
      <c r="R58" s="140">
        <f t="shared" si="5"/>
        <v>34.4</v>
      </c>
      <c r="S58" s="24">
        <f t="shared" si="6"/>
        <v>1</v>
      </c>
      <c r="T58" s="140">
        <f t="shared" si="7"/>
        <v>40.1</v>
      </c>
      <c r="U58" s="9">
        <f t="shared" si="8"/>
        <v>1</v>
      </c>
      <c r="V58" s="141">
        <f t="shared" si="9"/>
        <v>37.708333333333336</v>
      </c>
      <c r="W58" s="142">
        <f t="shared" si="10"/>
        <v>1</v>
      </c>
      <c r="X58" s="144">
        <f t="shared" ca="1" si="17"/>
        <v>23.239393939393942</v>
      </c>
      <c r="Y58" s="144">
        <f t="shared" ca="1" si="18"/>
        <v>27.863333333333333</v>
      </c>
      <c r="Z58" s="144">
        <f t="shared" ca="1" si="19"/>
        <v>26.047045454545458</v>
      </c>
      <c r="AA58" s="10"/>
      <c r="AB58" s="357" t="str">
        <f>VLOOKUP($B58,'2007-2020 Metadata'!$A$4:$S$214,MATCH("Urban Area /Monitoring Zone",'2007-2020 Metadata'!$A$4:$S$4,0),FALSE)</f>
        <v>Auckland - Northern</v>
      </c>
      <c r="AC58" s="87" t="str">
        <f>VLOOKUP(B58,'2007-2020 Metadata'!$A$6:$A$214,1,FALSE)</f>
        <v>AUC170</v>
      </c>
      <c r="AD58" s="230" t="str">
        <f>VLOOKUP($AC58,'2007-2020 Metadata'!$A$6:$S$214,9,FALSE)</f>
        <v xml:space="preserve">North Shore </v>
      </c>
      <c r="AE58" s="248">
        <f>IF(ISBLANK(VLOOKUP($AC58,'2007-2020 Metadata'!$A$6:$S$214,19,FALSE)),"",VLOOKUP($AC58,'2007-2020 Metadata'!$A$6:$S$214,19,FALSE))</f>
        <v>3</v>
      </c>
      <c r="AF58" s="88" t="str">
        <f>VLOOKUP($B58,'2007-2020 Metadata'!$A$4:$S$214,MATCH("Site type",'2007-2020 Metadata'!$A$4:$S$4,0),FALSE)</f>
        <v>SH</v>
      </c>
      <c r="AG58" s="143">
        <f t="shared" si="11"/>
        <v>18.600000000000001</v>
      </c>
      <c r="AH58" s="143">
        <f t="shared" si="12"/>
        <v>50.9</v>
      </c>
      <c r="AI58" s="144">
        <f t="shared" ca="1" si="13"/>
        <v>26.047045454545458</v>
      </c>
    </row>
    <row r="59" spans="1:35" ht="12" customHeight="1" x14ac:dyDescent="0.15">
      <c r="A59" s="31"/>
      <c r="B59" s="40" t="s">
        <v>94</v>
      </c>
      <c r="C59" s="104">
        <f>IF(VLOOKUP($B59,'Monthly Summary 2011'!$B$7:$Q$222,14,FALSE)=0,"",VLOOKUP($B59,'Monthly Summary 2011'!$B$7:$Q$222,14,FALSE))</f>
        <v>4.4000000000000004</v>
      </c>
      <c r="D59" s="36">
        <v>6.1</v>
      </c>
      <c r="E59" s="36">
        <v>8.5</v>
      </c>
      <c r="F59" s="36">
        <v>6.6</v>
      </c>
      <c r="G59" s="36">
        <v>11.5</v>
      </c>
      <c r="H59" s="36">
        <v>14.1</v>
      </c>
      <c r="I59" s="36">
        <v>15.5</v>
      </c>
      <c r="J59" s="36">
        <v>13.8</v>
      </c>
      <c r="K59" s="36">
        <v>8.6</v>
      </c>
      <c r="L59" s="36">
        <v>6</v>
      </c>
      <c r="M59" s="36"/>
      <c r="N59" s="36">
        <v>16.8</v>
      </c>
      <c r="O59" s="36">
        <v>5.6</v>
      </c>
      <c r="P59" s="37">
        <f t="shared" si="3"/>
        <v>10.281818181818181</v>
      </c>
      <c r="Q59" s="38">
        <f t="shared" si="4"/>
        <v>0.91666666666666663</v>
      </c>
      <c r="R59" s="140">
        <f t="shared" si="5"/>
        <v>7.0666666666666664</v>
      </c>
      <c r="S59" s="24">
        <f t="shared" si="6"/>
        <v>1</v>
      </c>
      <c r="T59" s="140">
        <f t="shared" si="7"/>
        <v>9.4666666666666668</v>
      </c>
      <c r="U59" s="9">
        <f t="shared" si="8"/>
        <v>1</v>
      </c>
      <c r="V59" s="141">
        <f t="shared" si="9"/>
        <v>10.281818181818181</v>
      </c>
      <c r="W59" s="142">
        <f t="shared" si="10"/>
        <v>0.91666666666666663</v>
      </c>
      <c r="X59" s="144">
        <f t="shared" ca="1" si="17"/>
        <v>14.383333333333333</v>
      </c>
      <c r="Y59" s="144">
        <f t="shared" ca="1" si="18"/>
        <v>17.116666666666667</v>
      </c>
      <c r="Z59" s="144">
        <f t="shared" ca="1" si="19"/>
        <v>17.672727272727272</v>
      </c>
      <c r="AA59" s="10"/>
      <c r="AB59" s="357" t="str">
        <f>VLOOKUP($B59,'2007-2020 Metadata'!$A$4:$S$214,MATCH("Urban Area /Monitoring Zone",'2007-2020 Metadata'!$A$4:$S$4,0),FALSE)</f>
        <v>Whangarei</v>
      </c>
      <c r="AC59" s="87" t="str">
        <f>VLOOKUP(B59,'2007-2020 Metadata'!$A$6:$A$214,1,FALSE)</f>
        <v>AUC171</v>
      </c>
      <c r="AD59" s="230" t="str">
        <f>VLOOKUP($AC59,'2007-2020 Metadata'!$A$6:$S$214,9,FALSE)</f>
        <v>Whangarei</v>
      </c>
      <c r="AE59" s="248">
        <f>IF(ISBLANK(VLOOKUP($AC59,'2007-2020 Metadata'!$A$6:$S$214,19,FALSE)),"",VLOOKUP($AC59,'2007-2020 Metadata'!$A$6:$S$214,19,FALSE))</f>
        <v>3</v>
      </c>
      <c r="AF59" s="88" t="str">
        <f>VLOOKUP($B59,'2007-2020 Metadata'!$A$4:$S$214,MATCH("Site type",'2007-2020 Metadata'!$A$4:$S$4,0),FALSE)</f>
        <v>Background</v>
      </c>
      <c r="AG59" s="143">
        <f t="shared" si="11"/>
        <v>5.6</v>
      </c>
      <c r="AH59" s="143">
        <f t="shared" si="12"/>
        <v>16.8</v>
      </c>
      <c r="AI59" s="144">
        <f t="shared" ca="1" si="13"/>
        <v>17.672727272727272</v>
      </c>
    </row>
    <row r="60" spans="1:35" ht="12" customHeight="1" x14ac:dyDescent="0.15">
      <c r="A60" s="31"/>
      <c r="B60" s="40" t="s">
        <v>32</v>
      </c>
      <c r="C60" s="104">
        <f>IF(VLOOKUP($B60,'Monthly Summary 2011'!$B$7:$Q$222,14,FALSE)=0,"",VLOOKUP($B60,'Monthly Summary 2011'!$B$7:$Q$222,14,FALSE))</f>
        <v>26.4</v>
      </c>
      <c r="D60" s="36">
        <v>23.1</v>
      </c>
      <c r="E60" s="36">
        <v>31.6</v>
      </c>
      <c r="F60" s="36">
        <v>28.3</v>
      </c>
      <c r="G60" s="36">
        <v>26.4</v>
      </c>
      <c r="H60" s="36">
        <v>34</v>
      </c>
      <c r="I60" s="36">
        <v>37.6</v>
      </c>
      <c r="J60" s="36">
        <v>29.1</v>
      </c>
      <c r="K60" s="36">
        <v>32.5</v>
      </c>
      <c r="L60" s="36">
        <v>23.1</v>
      </c>
      <c r="M60" s="36">
        <v>29.7</v>
      </c>
      <c r="N60" s="36">
        <v>33</v>
      </c>
      <c r="O60" s="36">
        <v>24.2</v>
      </c>
      <c r="P60" s="37">
        <f t="shared" si="3"/>
        <v>29.383333333333329</v>
      </c>
      <c r="Q60" s="38">
        <f t="shared" si="4"/>
        <v>1</v>
      </c>
      <c r="R60" s="140">
        <f t="shared" si="5"/>
        <v>27.666666666666668</v>
      </c>
      <c r="S60" s="24">
        <f t="shared" si="6"/>
        <v>1</v>
      </c>
      <c r="T60" s="140">
        <f t="shared" si="7"/>
        <v>28.233333333333334</v>
      </c>
      <c r="U60" s="9">
        <f t="shared" si="8"/>
        <v>1</v>
      </c>
      <c r="V60" s="141">
        <f t="shared" si="9"/>
        <v>29.383333333333329</v>
      </c>
      <c r="W60" s="142">
        <f t="shared" si="10"/>
        <v>1</v>
      </c>
      <c r="X60" s="144">
        <f t="shared" ca="1" si="17"/>
        <v>26.03</v>
      </c>
      <c r="Y60" s="144">
        <f t="shared" ca="1" si="18"/>
        <v>28.093333333333334</v>
      </c>
      <c r="Z60" s="144">
        <f t="shared" ca="1" si="19"/>
        <v>28.346843434343434</v>
      </c>
      <c r="AA60" s="10"/>
      <c r="AB60" s="357" t="str">
        <f>VLOOKUP($B60,'2007-2020 Metadata'!$A$4:$S$214,MATCH("Urban Area /Monitoring Zone",'2007-2020 Metadata'!$A$4:$S$4,0),FALSE)</f>
        <v>Hamilton</v>
      </c>
      <c r="AC60" s="87" t="str">
        <f>VLOOKUP(B60,'2007-2020 Metadata'!$A$6:$A$214,1,FALSE)</f>
        <v>HAM001</v>
      </c>
      <c r="AD60" s="230" t="str">
        <f>VLOOKUP($AC60,'2007-2020 Metadata'!$A$6:$S$214,9,FALSE)</f>
        <v>Hamilton</v>
      </c>
      <c r="AE60" s="248">
        <f>IF(ISBLANK(VLOOKUP($AC60,'2007-2020 Metadata'!$A$6:$S$214,19,FALSE)),"",VLOOKUP($AC60,'2007-2020 Metadata'!$A$6:$S$214,19,FALSE))</f>
        <v>3.8</v>
      </c>
      <c r="AF60" s="88" t="str">
        <f>VLOOKUP($B60,'2007-2020 Metadata'!$A$4:$S$214,MATCH("Site type",'2007-2020 Metadata'!$A$4:$S$4,0),FALSE)</f>
        <v>SH</v>
      </c>
      <c r="AG60" s="143">
        <f t="shared" si="11"/>
        <v>23.1</v>
      </c>
      <c r="AH60" s="143">
        <f t="shared" si="12"/>
        <v>37.6</v>
      </c>
      <c r="AI60" s="144">
        <f t="shared" ca="1" si="13"/>
        <v>28.346843434343434</v>
      </c>
    </row>
    <row r="61" spans="1:35" ht="12" customHeight="1" x14ac:dyDescent="0.15">
      <c r="A61" s="31"/>
      <c r="B61" s="40" t="s">
        <v>33</v>
      </c>
      <c r="C61" s="104">
        <f>IF(VLOOKUP($B61,'Monthly Summary 2011'!$B$7:$Q$222,14,FALSE)=0,"",VLOOKUP($B61,'Monthly Summary 2011'!$B$7:$Q$222,14,FALSE))</f>
        <v>16.399999999999999</v>
      </c>
      <c r="D61" s="36">
        <v>14.7</v>
      </c>
      <c r="E61" s="36">
        <v>23.6</v>
      </c>
      <c r="F61" s="36">
        <v>24.3</v>
      </c>
      <c r="G61" s="36">
        <v>28.8</v>
      </c>
      <c r="H61" s="36">
        <v>39.6</v>
      </c>
      <c r="I61" s="36">
        <v>31.7</v>
      </c>
      <c r="J61" s="36">
        <v>30.1</v>
      </c>
      <c r="K61" s="36">
        <v>29.1</v>
      </c>
      <c r="L61" s="36">
        <v>22.5</v>
      </c>
      <c r="M61" s="36">
        <v>21.9</v>
      </c>
      <c r="N61" s="36">
        <v>23.8</v>
      </c>
      <c r="O61" s="36">
        <v>19.100000000000001</v>
      </c>
      <c r="P61" s="37">
        <f t="shared" si="3"/>
        <v>25.766666666666666</v>
      </c>
      <c r="Q61" s="38">
        <f t="shared" si="4"/>
        <v>1</v>
      </c>
      <c r="R61" s="140">
        <f t="shared" si="5"/>
        <v>20.866666666666664</v>
      </c>
      <c r="S61" s="24">
        <f t="shared" si="6"/>
        <v>1</v>
      </c>
      <c r="T61" s="140">
        <f t="shared" si="7"/>
        <v>27.233333333333334</v>
      </c>
      <c r="U61" s="9">
        <f t="shared" si="8"/>
        <v>1</v>
      </c>
      <c r="V61" s="141">
        <f t="shared" si="9"/>
        <v>25.766666666666666</v>
      </c>
      <c r="W61" s="142">
        <f t="shared" si="10"/>
        <v>1</v>
      </c>
      <c r="X61" s="144">
        <f t="shared" ca="1" si="17"/>
        <v>26.03</v>
      </c>
      <c r="Y61" s="144">
        <f t="shared" ca="1" si="18"/>
        <v>28.093333333333334</v>
      </c>
      <c r="Z61" s="144">
        <f t="shared" ca="1" si="19"/>
        <v>28.346843434343434</v>
      </c>
      <c r="AA61" s="10"/>
      <c r="AB61" s="357" t="str">
        <f>VLOOKUP($B61,'2007-2020 Metadata'!$A$4:$S$214,MATCH("Urban Area /Monitoring Zone",'2007-2020 Metadata'!$A$4:$S$4,0),FALSE)</f>
        <v>Hamilton</v>
      </c>
      <c r="AC61" s="87" t="str">
        <f>VLOOKUP(B61,'2007-2020 Metadata'!$A$6:$A$214,1,FALSE)</f>
        <v>HAM002</v>
      </c>
      <c r="AD61" s="230" t="str">
        <f>VLOOKUP($AC61,'2007-2020 Metadata'!$A$6:$S$214,9,FALSE)</f>
        <v>Hamilton</v>
      </c>
      <c r="AE61" s="248">
        <f>IF(ISBLANK(VLOOKUP($AC61,'2007-2020 Metadata'!$A$6:$S$214,19,FALSE)),"",VLOOKUP($AC61,'2007-2020 Metadata'!$A$6:$S$214,19,FALSE))</f>
        <v>2.6</v>
      </c>
      <c r="AF61" s="88" t="str">
        <f>VLOOKUP($B61,'2007-2020 Metadata'!$A$4:$S$214,MATCH("Site type",'2007-2020 Metadata'!$A$4:$S$4,0),FALSE)</f>
        <v>Local (ex SH)</v>
      </c>
      <c r="AG61" s="143">
        <f t="shared" si="11"/>
        <v>14.7</v>
      </c>
      <c r="AH61" s="143">
        <f t="shared" si="12"/>
        <v>39.6</v>
      </c>
      <c r="AI61" s="144">
        <f t="shared" ca="1" si="13"/>
        <v>28.346843434343434</v>
      </c>
    </row>
    <row r="62" spans="1:35" ht="12" customHeight="1" x14ac:dyDescent="0.15">
      <c r="A62" s="31"/>
      <c r="B62" s="40" t="s">
        <v>34</v>
      </c>
      <c r="C62" s="104">
        <f>IF(VLOOKUP($B62,'Monthly Summary 2011'!$B$7:$Q$222,14,FALSE)=0,"",VLOOKUP($B62,'Monthly Summary 2011'!$B$7:$Q$222,14,FALSE))</f>
        <v>24.8</v>
      </c>
      <c r="D62" s="36">
        <v>32.9</v>
      </c>
      <c r="E62" s="36">
        <v>40.9</v>
      </c>
      <c r="F62" s="36">
        <v>34.5</v>
      </c>
      <c r="G62" s="36">
        <v>39.5</v>
      </c>
      <c r="H62" s="36">
        <v>52.2</v>
      </c>
      <c r="I62" s="36">
        <v>45</v>
      </c>
      <c r="J62" s="36">
        <v>34.9</v>
      </c>
      <c r="K62" s="36">
        <v>38.9</v>
      </c>
      <c r="L62" s="36">
        <v>35.200000000000003</v>
      </c>
      <c r="M62" s="36">
        <v>29.9</v>
      </c>
      <c r="N62" s="36">
        <v>36.1</v>
      </c>
      <c r="O62" s="36">
        <v>29.9</v>
      </c>
      <c r="P62" s="37">
        <f t="shared" si="3"/>
        <v>37.49166666666666</v>
      </c>
      <c r="Q62" s="38">
        <f t="shared" si="4"/>
        <v>1</v>
      </c>
      <c r="R62" s="140">
        <f t="shared" si="5"/>
        <v>36.1</v>
      </c>
      <c r="S62" s="24">
        <f t="shared" si="6"/>
        <v>1</v>
      </c>
      <c r="T62" s="140">
        <f t="shared" si="7"/>
        <v>36.333333333333336</v>
      </c>
      <c r="U62" s="9">
        <f t="shared" si="8"/>
        <v>1</v>
      </c>
      <c r="V62" s="141">
        <f t="shared" si="9"/>
        <v>37.49166666666666</v>
      </c>
      <c r="W62" s="142">
        <f t="shared" si="10"/>
        <v>1</v>
      </c>
      <c r="X62" s="144">
        <f t="shared" ca="1" si="17"/>
        <v>26.03</v>
      </c>
      <c r="Y62" s="144">
        <f t="shared" ca="1" si="18"/>
        <v>28.093333333333334</v>
      </c>
      <c r="Z62" s="144">
        <f t="shared" ca="1" si="19"/>
        <v>28.346843434343434</v>
      </c>
      <c r="AA62" s="10"/>
      <c r="AB62" s="357" t="str">
        <f>VLOOKUP($B62,'2007-2020 Metadata'!$A$4:$S$214,MATCH("Urban Area /Monitoring Zone",'2007-2020 Metadata'!$A$4:$S$4,0),FALSE)</f>
        <v>Hamilton</v>
      </c>
      <c r="AC62" s="87" t="str">
        <f>VLOOKUP(B62,'2007-2020 Metadata'!$A$6:$A$214,1,FALSE)</f>
        <v>HAM003</v>
      </c>
      <c r="AD62" s="230" t="str">
        <f>VLOOKUP($AC62,'2007-2020 Metadata'!$A$6:$S$214,9,FALSE)</f>
        <v>Hamilton</v>
      </c>
      <c r="AE62" s="248">
        <f>IF(ISBLANK(VLOOKUP($AC62,'2007-2020 Metadata'!$A$6:$S$214,19,FALSE)),"",VLOOKUP($AC62,'2007-2020 Metadata'!$A$6:$S$214,19,FALSE))</f>
        <v>2.9</v>
      </c>
      <c r="AF62" s="88" t="str">
        <f>VLOOKUP($B62,'2007-2020 Metadata'!$A$4:$S$214,MATCH("Site type",'2007-2020 Metadata'!$A$4:$S$4,0),FALSE)</f>
        <v>SH</v>
      </c>
      <c r="AG62" s="143">
        <f t="shared" si="11"/>
        <v>29.9</v>
      </c>
      <c r="AH62" s="143">
        <f t="shared" si="12"/>
        <v>52.2</v>
      </c>
      <c r="AI62" s="144">
        <f t="shared" ca="1" si="13"/>
        <v>28.346843434343434</v>
      </c>
    </row>
    <row r="63" spans="1:35" ht="12" customHeight="1" x14ac:dyDescent="0.15">
      <c r="A63" s="31"/>
      <c r="B63" s="40" t="s">
        <v>35</v>
      </c>
      <c r="C63" s="104">
        <f>IF(VLOOKUP($B63,'Monthly Summary 2011'!$B$7:$Q$222,14,FALSE)=0,"",VLOOKUP($B63,'Monthly Summary 2011'!$B$7:$Q$222,14,FALSE))</f>
        <v>20.9</v>
      </c>
      <c r="D63" s="36">
        <v>25.1</v>
      </c>
      <c r="E63" s="36">
        <v>31.1</v>
      </c>
      <c r="F63" s="36">
        <v>19.5</v>
      </c>
      <c r="G63" s="36">
        <v>30.6</v>
      </c>
      <c r="H63" s="36">
        <v>35.9</v>
      </c>
      <c r="I63" s="36">
        <v>33.5</v>
      </c>
      <c r="J63" s="36">
        <v>30.7</v>
      </c>
      <c r="K63" s="36">
        <v>25.7</v>
      </c>
      <c r="L63" s="36">
        <v>22</v>
      </c>
      <c r="M63" s="36">
        <v>25.4</v>
      </c>
      <c r="N63" s="36">
        <v>29.1</v>
      </c>
      <c r="O63" s="36">
        <v>18.399999999999999</v>
      </c>
      <c r="P63" s="37">
        <f t="shared" si="3"/>
        <v>27.25</v>
      </c>
      <c r="Q63" s="38">
        <f t="shared" si="4"/>
        <v>1</v>
      </c>
      <c r="R63" s="140">
        <f t="shared" si="5"/>
        <v>25.233333333333334</v>
      </c>
      <c r="S63" s="24">
        <f t="shared" si="6"/>
        <v>1</v>
      </c>
      <c r="T63" s="140">
        <f t="shared" si="7"/>
        <v>26.133333333333336</v>
      </c>
      <c r="U63" s="9">
        <f t="shared" si="8"/>
        <v>1</v>
      </c>
      <c r="V63" s="141">
        <f t="shared" si="9"/>
        <v>27.25</v>
      </c>
      <c r="W63" s="142">
        <f t="shared" si="10"/>
        <v>1</v>
      </c>
      <c r="X63" s="144">
        <f t="shared" ca="1" si="17"/>
        <v>26.03</v>
      </c>
      <c r="Y63" s="144">
        <f t="shared" ca="1" si="18"/>
        <v>28.093333333333334</v>
      </c>
      <c r="Z63" s="144">
        <f t="shared" ca="1" si="19"/>
        <v>28.346843434343434</v>
      </c>
      <c r="AA63" s="10"/>
      <c r="AB63" s="357" t="str">
        <f>VLOOKUP($B63,'2007-2020 Metadata'!$A$4:$S$214,MATCH("Urban Area /Monitoring Zone",'2007-2020 Metadata'!$A$4:$S$4,0),FALSE)</f>
        <v>Cambridge</v>
      </c>
      <c r="AC63" s="87" t="str">
        <f>VLOOKUP(B63,'2007-2020 Metadata'!$A$6:$A$214,1,FALSE)</f>
        <v>HAM004</v>
      </c>
      <c r="AD63" s="230" t="str">
        <f>VLOOKUP($AC63,'2007-2020 Metadata'!$A$6:$S$214,9,FALSE)</f>
        <v>Hamilton</v>
      </c>
      <c r="AE63" s="248">
        <f>IF(ISBLANK(VLOOKUP($AC63,'2007-2020 Metadata'!$A$6:$S$214,19,FALSE)),"",VLOOKUP($AC63,'2007-2020 Metadata'!$A$6:$S$214,19,FALSE))</f>
        <v>3</v>
      </c>
      <c r="AF63" s="88" t="str">
        <f>VLOOKUP($B63,'2007-2020 Metadata'!$A$4:$S$214,MATCH("Site type",'2007-2020 Metadata'!$A$4:$S$4,0),FALSE)</f>
        <v>Local (ex SH)</v>
      </c>
      <c r="AG63" s="143">
        <f t="shared" si="11"/>
        <v>18.399999999999999</v>
      </c>
      <c r="AH63" s="143">
        <f t="shared" si="12"/>
        <v>35.9</v>
      </c>
      <c r="AI63" s="144">
        <f t="shared" ca="1" si="13"/>
        <v>28.346843434343434</v>
      </c>
    </row>
    <row r="64" spans="1:35" ht="12" customHeight="1" x14ac:dyDescent="0.15">
      <c r="A64" s="31"/>
      <c r="B64" s="40" t="s">
        <v>36</v>
      </c>
      <c r="C64" s="104">
        <f>IF(VLOOKUP($B64,'Monthly Summary 2011'!$B$7:$Q$222,14,FALSE)=0,"",VLOOKUP($B64,'Monthly Summary 2011'!$B$7:$Q$222,14,FALSE))</f>
        <v>14.5</v>
      </c>
      <c r="D64" s="36">
        <v>12.3</v>
      </c>
      <c r="E64" s="36">
        <v>14.7</v>
      </c>
      <c r="F64" s="36">
        <v>17.399999999999999</v>
      </c>
      <c r="G64" s="36">
        <v>19.3</v>
      </c>
      <c r="H64" s="36">
        <v>18.7</v>
      </c>
      <c r="I64" s="36">
        <v>20.5</v>
      </c>
      <c r="J64" s="36">
        <v>19.8</v>
      </c>
      <c r="K64" s="36">
        <v>16.3</v>
      </c>
      <c r="L64" s="36">
        <v>12.7</v>
      </c>
      <c r="M64" s="36">
        <v>12.3</v>
      </c>
      <c r="N64" s="36">
        <v>12.9</v>
      </c>
      <c r="O64" s="36">
        <v>12.3</v>
      </c>
      <c r="P64" s="37">
        <f t="shared" si="3"/>
        <v>15.766666666666667</v>
      </c>
      <c r="Q64" s="38">
        <f t="shared" si="4"/>
        <v>1</v>
      </c>
      <c r="R64" s="140">
        <f t="shared" si="5"/>
        <v>14.799999999999999</v>
      </c>
      <c r="S64" s="24">
        <f t="shared" si="6"/>
        <v>1</v>
      </c>
      <c r="T64" s="140">
        <f t="shared" si="7"/>
        <v>16.266666666666666</v>
      </c>
      <c r="U64" s="9">
        <f t="shared" si="8"/>
        <v>1</v>
      </c>
      <c r="V64" s="141">
        <f t="shared" si="9"/>
        <v>15.766666666666667</v>
      </c>
      <c r="W64" s="142">
        <f t="shared" si="10"/>
        <v>1</v>
      </c>
      <c r="X64" s="144">
        <f t="shared" ca="1" si="17"/>
        <v>14.799999999999999</v>
      </c>
      <c r="Y64" s="144">
        <f t="shared" ca="1" si="18"/>
        <v>16.266666666666666</v>
      </c>
      <c r="Z64" s="144">
        <f t="shared" ca="1" si="19"/>
        <v>15.766666666666667</v>
      </c>
      <c r="AA64" s="10"/>
      <c r="AB64" s="357" t="str">
        <f>VLOOKUP($B64,'2007-2020 Metadata'!$A$4:$S$214,MATCH("Urban Area /Monitoring Zone",'2007-2020 Metadata'!$A$4:$S$4,0),FALSE)</f>
        <v>Taupo</v>
      </c>
      <c r="AC64" s="87" t="str">
        <f>VLOOKUP(B64,'2007-2020 Metadata'!$A$6:$A$214,1,FALSE)</f>
        <v>HAM005</v>
      </c>
      <c r="AD64" s="230" t="str">
        <f>VLOOKUP($AC64,'2007-2020 Metadata'!$A$6:$S$214,9,FALSE)</f>
        <v>Taupo</v>
      </c>
      <c r="AE64" s="248">
        <f>IF(ISBLANK(VLOOKUP($AC64,'2007-2020 Metadata'!$A$6:$S$214,19,FALSE)),"",VLOOKUP($AC64,'2007-2020 Metadata'!$A$6:$S$214,19,FALSE))</f>
        <v>3.5</v>
      </c>
      <c r="AF64" s="88" t="str">
        <f>VLOOKUP($B64,'2007-2020 Metadata'!$A$4:$S$214,MATCH("Site type",'2007-2020 Metadata'!$A$4:$S$4,0),FALSE)</f>
        <v>Local (ex SH)</v>
      </c>
      <c r="AG64" s="143">
        <f t="shared" si="11"/>
        <v>12.3</v>
      </c>
      <c r="AH64" s="143">
        <f t="shared" si="12"/>
        <v>20.5</v>
      </c>
      <c r="AI64" s="144">
        <f t="shared" ca="1" si="13"/>
        <v>15.766666666666667</v>
      </c>
    </row>
    <row r="65" spans="1:35" ht="12" customHeight="1" x14ac:dyDescent="0.15">
      <c r="A65" s="31"/>
      <c r="B65" s="40" t="s">
        <v>37</v>
      </c>
      <c r="C65" s="104">
        <f>IF(VLOOKUP($B65,'Monthly Summary 2011'!$B$7:$Q$222,14,FALSE)=0,"",VLOOKUP($B65,'Monthly Summary 2011'!$B$7:$Q$222,14,FALSE))</f>
        <v>13.4</v>
      </c>
      <c r="D65" s="36">
        <v>15.4</v>
      </c>
      <c r="E65" s="36">
        <v>21.2</v>
      </c>
      <c r="F65" s="36">
        <v>18.8</v>
      </c>
      <c r="G65" s="36">
        <v>23.1</v>
      </c>
      <c r="H65" s="36">
        <v>25</v>
      </c>
      <c r="I65" s="36">
        <v>29.1</v>
      </c>
      <c r="J65" s="36">
        <v>24.4</v>
      </c>
      <c r="K65" s="36">
        <v>27.7</v>
      </c>
      <c r="L65" s="36">
        <v>14.9</v>
      </c>
      <c r="M65" s="36">
        <v>18</v>
      </c>
      <c r="N65" s="36">
        <v>17.600000000000001</v>
      </c>
      <c r="O65" s="36">
        <v>7.5</v>
      </c>
      <c r="P65" s="37">
        <f t="shared" si="3"/>
        <v>20.224999999999998</v>
      </c>
      <c r="Q65" s="38">
        <f t="shared" si="4"/>
        <v>1</v>
      </c>
      <c r="R65" s="140">
        <f t="shared" si="5"/>
        <v>18.466666666666669</v>
      </c>
      <c r="S65" s="24">
        <f t="shared" si="6"/>
        <v>1</v>
      </c>
      <c r="T65" s="140">
        <f t="shared" si="7"/>
        <v>22.333333333333332</v>
      </c>
      <c r="U65" s="9">
        <f t="shared" si="8"/>
        <v>1</v>
      </c>
      <c r="V65" s="141">
        <f t="shared" si="9"/>
        <v>20.224999999999998</v>
      </c>
      <c r="W65" s="142">
        <f t="shared" si="10"/>
        <v>1</v>
      </c>
      <c r="X65" s="144">
        <f t="shared" ca="1" si="17"/>
        <v>12.850000000000001</v>
      </c>
      <c r="Y65" s="144">
        <f t="shared" ca="1" si="18"/>
        <v>16.25</v>
      </c>
      <c r="Z65" s="144">
        <f t="shared" ca="1" si="19"/>
        <v>14.408333333333331</v>
      </c>
      <c r="AA65" s="10"/>
      <c r="AB65" s="357" t="str">
        <f>VLOOKUP($B65,'2007-2020 Metadata'!$A$4:$S$214,MATCH("Urban Area /Monitoring Zone",'2007-2020 Metadata'!$A$4:$S$4,0),FALSE)</f>
        <v>Rotorua</v>
      </c>
      <c r="AC65" s="87" t="str">
        <f>VLOOKUP(B65,'2007-2020 Metadata'!$A$6:$A$214,1,FALSE)</f>
        <v>HAM006</v>
      </c>
      <c r="AD65" s="230" t="str">
        <f>VLOOKUP($AC65,'2007-2020 Metadata'!$A$6:$S$214,9,FALSE)</f>
        <v>Rotorua</v>
      </c>
      <c r="AE65" s="248">
        <f>IF(ISBLANK(VLOOKUP($AC65,'2007-2020 Metadata'!$A$6:$S$214,19,FALSE)),"",VLOOKUP($AC65,'2007-2020 Metadata'!$A$6:$S$214,19,FALSE))</f>
        <v>3</v>
      </c>
      <c r="AF65" s="88" t="str">
        <f>VLOOKUP($B65,'2007-2020 Metadata'!$A$4:$S$214,MATCH("Site type",'2007-2020 Metadata'!$A$4:$S$4,0),FALSE)</f>
        <v>SH</v>
      </c>
      <c r="AG65" s="143">
        <f t="shared" si="11"/>
        <v>7.5</v>
      </c>
      <c r="AH65" s="143">
        <f t="shared" si="12"/>
        <v>29.1</v>
      </c>
      <c r="AI65" s="144">
        <f t="shared" ca="1" si="13"/>
        <v>14.408333333333331</v>
      </c>
    </row>
    <row r="66" spans="1:35" ht="12" customHeight="1" x14ac:dyDescent="0.15">
      <c r="A66" s="31"/>
      <c r="B66" s="40" t="s">
        <v>39</v>
      </c>
      <c r="C66" s="104">
        <f>IF(VLOOKUP($B66,'Monthly Summary 2011'!$B$7:$Q$222,14,FALSE)=0,"",VLOOKUP($B66,'Monthly Summary 2011'!$B$7:$Q$222,14,FALSE))</f>
        <v>22.7</v>
      </c>
      <c r="D66" s="36">
        <v>24.2</v>
      </c>
      <c r="E66" s="36">
        <v>25.4</v>
      </c>
      <c r="F66" s="36">
        <v>30.7</v>
      </c>
      <c r="G66" s="36">
        <v>35</v>
      </c>
      <c r="H66" s="36">
        <v>39.200000000000003</v>
      </c>
      <c r="I66" s="36">
        <v>42</v>
      </c>
      <c r="J66" s="36">
        <v>33.299999999999997</v>
      </c>
      <c r="K66" s="36">
        <v>25.2</v>
      </c>
      <c r="L66" s="36">
        <v>24.2</v>
      </c>
      <c r="M66" s="36">
        <v>23.8</v>
      </c>
      <c r="N66" s="36">
        <v>27.1</v>
      </c>
      <c r="O66" s="36">
        <v>19.2</v>
      </c>
      <c r="P66" s="37">
        <f t="shared" si="3"/>
        <v>29.108333333333334</v>
      </c>
      <c r="Q66" s="38">
        <f t="shared" si="4"/>
        <v>1</v>
      </c>
      <c r="R66" s="140">
        <f t="shared" si="5"/>
        <v>26.766666666666666</v>
      </c>
      <c r="S66" s="24">
        <f t="shared" si="6"/>
        <v>1</v>
      </c>
      <c r="T66" s="140">
        <f t="shared" si="7"/>
        <v>27.566666666666666</v>
      </c>
      <c r="U66" s="9">
        <f t="shared" si="8"/>
        <v>1</v>
      </c>
      <c r="V66" s="141">
        <f t="shared" si="9"/>
        <v>29.108333333333334</v>
      </c>
      <c r="W66" s="142">
        <f t="shared" si="10"/>
        <v>1</v>
      </c>
      <c r="X66" s="144">
        <f t="shared" ca="1" si="17"/>
        <v>20.461904761904758</v>
      </c>
      <c r="Y66" s="144">
        <f t="shared" ca="1" si="18"/>
        <v>22.476190476190474</v>
      </c>
      <c r="Z66" s="144">
        <f t="shared" ca="1" si="19"/>
        <v>22.922857142857143</v>
      </c>
      <c r="AA66" s="10"/>
      <c r="AB66" s="357" t="str">
        <f>VLOOKUP($B66,'2007-2020 Metadata'!$A$4:$S$214,MATCH("Urban Area /Monitoring Zone",'2007-2020 Metadata'!$A$4:$S$4,0),FALSE)</f>
        <v>Tauranga</v>
      </c>
      <c r="AC66" s="87" t="str">
        <f>VLOOKUP(B66,'2007-2020 Metadata'!$A$6:$A$214,1,FALSE)</f>
        <v>HAM007</v>
      </c>
      <c r="AD66" s="230" t="str">
        <f>VLOOKUP($AC66,'2007-2020 Metadata'!$A$6:$S$214,9,FALSE)</f>
        <v>Tauranga</v>
      </c>
      <c r="AE66" s="248">
        <f>IF(ISBLANK(VLOOKUP($AC66,'2007-2020 Metadata'!$A$6:$S$214,19,FALSE)),"",VLOOKUP($AC66,'2007-2020 Metadata'!$A$6:$S$214,19,FALSE))</f>
        <v>2.9</v>
      </c>
      <c r="AF66" s="88" t="str">
        <f>VLOOKUP($B66,'2007-2020 Metadata'!$A$4:$S$214,MATCH("Site type",'2007-2020 Metadata'!$A$4:$S$4,0),FALSE)</f>
        <v>SH</v>
      </c>
      <c r="AG66" s="143">
        <f t="shared" si="11"/>
        <v>19.2</v>
      </c>
      <c r="AH66" s="143">
        <f t="shared" si="12"/>
        <v>42</v>
      </c>
      <c r="AI66" s="144">
        <f t="shared" ca="1" si="13"/>
        <v>22.922857142857143</v>
      </c>
    </row>
    <row r="67" spans="1:35" ht="12" customHeight="1" x14ac:dyDescent="0.15">
      <c r="A67" s="31"/>
      <c r="B67" s="40" t="s">
        <v>40</v>
      </c>
      <c r="C67" s="104">
        <f>IF(VLOOKUP($B67,'Monthly Summary 2011'!$B$7:$Q$222,14,FALSE)=0,"",VLOOKUP($B67,'Monthly Summary 2011'!$B$7:$Q$222,14,FALSE))</f>
        <v>16.600000000000001</v>
      </c>
      <c r="D67" s="36">
        <v>21</v>
      </c>
      <c r="E67" s="36">
        <v>25.8</v>
      </c>
      <c r="F67" s="36">
        <v>30.5</v>
      </c>
      <c r="G67" s="36">
        <v>35.299999999999997</v>
      </c>
      <c r="H67" s="36">
        <v>44.2</v>
      </c>
      <c r="I67" s="36">
        <v>39.799999999999997</v>
      </c>
      <c r="J67" s="36">
        <v>35.1</v>
      </c>
      <c r="K67" s="36">
        <v>30.8</v>
      </c>
      <c r="L67" s="36">
        <v>22.4</v>
      </c>
      <c r="M67" s="36">
        <v>26.5</v>
      </c>
      <c r="N67" s="36">
        <v>26.1</v>
      </c>
      <c r="O67" s="36">
        <v>20.6</v>
      </c>
      <c r="P67" s="37">
        <f t="shared" si="3"/>
        <v>29.841666666666669</v>
      </c>
      <c r="Q67" s="38">
        <f t="shared" si="4"/>
        <v>1</v>
      </c>
      <c r="R67" s="140">
        <f t="shared" si="5"/>
        <v>25.766666666666666</v>
      </c>
      <c r="S67" s="24">
        <f t="shared" si="6"/>
        <v>1</v>
      </c>
      <c r="T67" s="140">
        <f t="shared" si="7"/>
        <v>29.433333333333337</v>
      </c>
      <c r="U67" s="9">
        <f t="shared" si="8"/>
        <v>1</v>
      </c>
      <c r="V67" s="141">
        <f t="shared" si="9"/>
        <v>29.841666666666669</v>
      </c>
      <c r="W67" s="142">
        <f t="shared" si="10"/>
        <v>1</v>
      </c>
      <c r="X67" s="144">
        <f t="shared" ca="1" si="17"/>
        <v>20.461904761904758</v>
      </c>
      <c r="Y67" s="144">
        <f t="shared" ca="1" si="18"/>
        <v>22.476190476190474</v>
      </c>
      <c r="Z67" s="144">
        <f t="shared" ca="1" si="19"/>
        <v>22.922857142857143</v>
      </c>
      <c r="AA67" s="10"/>
      <c r="AB67" s="357" t="str">
        <f>VLOOKUP($B67,'2007-2020 Metadata'!$A$4:$S$214,MATCH("Urban Area /Monitoring Zone",'2007-2020 Metadata'!$A$4:$S$4,0),FALSE)</f>
        <v>Tauranga</v>
      </c>
      <c r="AC67" s="87" t="str">
        <f>VLOOKUP(B67,'2007-2020 Metadata'!$A$6:$A$214,1,FALSE)</f>
        <v>HAM008</v>
      </c>
      <c r="AD67" s="230" t="str">
        <f>VLOOKUP($AC67,'2007-2020 Metadata'!$A$6:$S$214,9,FALSE)</f>
        <v>Tauranga</v>
      </c>
      <c r="AE67" s="248">
        <f>IF(ISBLANK(VLOOKUP($AC67,'2007-2020 Metadata'!$A$6:$S$214,19,FALSE)),"",VLOOKUP($AC67,'2007-2020 Metadata'!$A$6:$S$214,19,FALSE))</f>
        <v>2.9</v>
      </c>
      <c r="AF67" s="88" t="str">
        <f>VLOOKUP($B67,'2007-2020 Metadata'!$A$4:$S$214,MATCH("Site type",'2007-2020 Metadata'!$A$4:$S$4,0),FALSE)</f>
        <v>SH</v>
      </c>
      <c r="AG67" s="143">
        <f t="shared" si="11"/>
        <v>20.6</v>
      </c>
      <c r="AH67" s="143">
        <f t="shared" si="12"/>
        <v>44.2</v>
      </c>
      <c r="AI67" s="144">
        <f t="shared" ca="1" si="13"/>
        <v>22.922857142857143</v>
      </c>
    </row>
    <row r="68" spans="1:35" ht="12" customHeight="1" x14ac:dyDescent="0.15">
      <c r="A68" s="31"/>
      <c r="B68" s="40" t="s">
        <v>41</v>
      </c>
      <c r="C68" s="104">
        <f>IF(VLOOKUP($B68,'Monthly Summary 2011'!$B$7:$Q$222,14,FALSE)=0,"",VLOOKUP($B68,'Monthly Summary 2011'!$B$7:$Q$222,14,FALSE))</f>
        <v>23.7</v>
      </c>
      <c r="D68" s="36">
        <v>20.3</v>
      </c>
      <c r="E68" s="36">
        <v>26.8</v>
      </c>
      <c r="F68" s="36">
        <v>23.6</v>
      </c>
      <c r="G68" s="36">
        <v>33.1</v>
      </c>
      <c r="H68" s="36">
        <v>35.9</v>
      </c>
      <c r="I68" s="36">
        <v>32.4</v>
      </c>
      <c r="J68" s="36">
        <v>23.9</v>
      </c>
      <c r="K68" s="36">
        <v>28.5</v>
      </c>
      <c r="L68" s="36">
        <v>22.3</v>
      </c>
      <c r="M68" s="36">
        <v>24.1</v>
      </c>
      <c r="N68" s="36">
        <v>27.8</v>
      </c>
      <c r="O68" s="36">
        <v>22.2</v>
      </c>
      <c r="P68" s="37">
        <f t="shared" si="3"/>
        <v>26.741666666666671</v>
      </c>
      <c r="Q68" s="38">
        <f t="shared" si="4"/>
        <v>1</v>
      </c>
      <c r="R68" s="140">
        <f t="shared" si="5"/>
        <v>23.566666666666666</v>
      </c>
      <c r="S68" s="24">
        <f t="shared" si="6"/>
        <v>1</v>
      </c>
      <c r="T68" s="140">
        <f t="shared" si="7"/>
        <v>24.900000000000002</v>
      </c>
      <c r="U68" s="9">
        <f t="shared" si="8"/>
        <v>1</v>
      </c>
      <c r="V68" s="141">
        <f t="shared" si="9"/>
        <v>26.741666666666671</v>
      </c>
      <c r="W68" s="142">
        <f t="shared" si="10"/>
        <v>1</v>
      </c>
      <c r="X68" s="144">
        <f t="shared" ca="1" si="17"/>
        <v>20.461904761904758</v>
      </c>
      <c r="Y68" s="144">
        <f t="shared" ca="1" si="18"/>
        <v>22.476190476190474</v>
      </c>
      <c r="Z68" s="144">
        <f t="shared" ca="1" si="19"/>
        <v>22.922857142857143</v>
      </c>
      <c r="AA68" s="10"/>
      <c r="AB68" s="357" t="str">
        <f>VLOOKUP($B68,'2007-2020 Metadata'!$A$4:$S$214,MATCH("Urban Area /Monitoring Zone",'2007-2020 Metadata'!$A$4:$S$4,0),FALSE)</f>
        <v>Tauranga</v>
      </c>
      <c r="AC68" s="87" t="str">
        <f>VLOOKUP(B68,'2007-2020 Metadata'!$A$6:$A$214,1,FALSE)</f>
        <v>HAM010</v>
      </c>
      <c r="AD68" s="230" t="str">
        <f>VLOOKUP($AC68,'2007-2020 Metadata'!$A$6:$S$214,9,FALSE)</f>
        <v>Tauranga</v>
      </c>
      <c r="AE68" s="248">
        <f>IF(ISBLANK(VLOOKUP($AC68,'2007-2020 Metadata'!$A$6:$S$214,19,FALSE)),"",VLOOKUP($AC68,'2007-2020 Metadata'!$A$6:$S$214,19,FALSE))</f>
        <v>2.7</v>
      </c>
      <c r="AF68" s="88" t="str">
        <f>VLOOKUP($B68,'2007-2020 Metadata'!$A$4:$S$214,MATCH("Site type",'2007-2020 Metadata'!$A$4:$S$4,0),FALSE)</f>
        <v>SH</v>
      </c>
      <c r="AG68" s="143">
        <f t="shared" si="11"/>
        <v>20.3</v>
      </c>
      <c r="AH68" s="143">
        <f t="shared" si="12"/>
        <v>35.9</v>
      </c>
      <c r="AI68" s="144">
        <f t="shared" ca="1" si="13"/>
        <v>22.922857142857143</v>
      </c>
    </row>
    <row r="69" spans="1:35" ht="12" customHeight="1" x14ac:dyDescent="0.15">
      <c r="A69" s="31"/>
      <c r="B69" s="40" t="s">
        <v>95</v>
      </c>
      <c r="C69" s="104">
        <f>IF(VLOOKUP($B69,'Monthly Summary 2011'!$B$7:$Q$222,14,FALSE)=0,"",VLOOKUP($B69,'Monthly Summary 2011'!$B$7:$Q$222,14,FALSE))</f>
        <v>20.100000000000001</v>
      </c>
      <c r="D69" s="36">
        <v>18.600000000000001</v>
      </c>
      <c r="E69" s="36">
        <v>22</v>
      </c>
      <c r="F69" s="36">
        <v>30.4</v>
      </c>
      <c r="G69" s="36">
        <v>28.9</v>
      </c>
      <c r="H69" s="36">
        <v>30.7</v>
      </c>
      <c r="I69" s="36">
        <v>30.3</v>
      </c>
      <c r="J69" s="36">
        <v>29.4</v>
      </c>
      <c r="K69" s="36">
        <v>22.1</v>
      </c>
      <c r="L69" s="36">
        <v>17.2</v>
      </c>
      <c r="M69" s="36">
        <v>14.8</v>
      </c>
      <c r="N69" s="36">
        <v>18.2</v>
      </c>
      <c r="O69" s="36">
        <v>14.5</v>
      </c>
      <c r="P69" s="37">
        <f t="shared" si="3"/>
        <v>23.091666666666669</v>
      </c>
      <c r="Q69" s="38">
        <f t="shared" si="4"/>
        <v>1</v>
      </c>
      <c r="R69" s="140">
        <f t="shared" si="5"/>
        <v>23.666666666666668</v>
      </c>
      <c r="S69" s="24">
        <f t="shared" si="6"/>
        <v>1</v>
      </c>
      <c r="T69" s="140">
        <f t="shared" si="7"/>
        <v>22.900000000000002</v>
      </c>
      <c r="U69" s="9">
        <f t="shared" si="8"/>
        <v>1</v>
      </c>
      <c r="V69" s="141">
        <f t="shared" si="9"/>
        <v>23.091666666666669</v>
      </c>
      <c r="W69" s="142">
        <f t="shared" si="10"/>
        <v>1</v>
      </c>
      <c r="X69" s="144">
        <f t="shared" ca="1" si="17"/>
        <v>26.03</v>
      </c>
      <c r="Y69" s="144">
        <f t="shared" ca="1" si="18"/>
        <v>28.093333333333334</v>
      </c>
      <c r="Z69" s="144">
        <f t="shared" ca="1" si="19"/>
        <v>28.346843434343434</v>
      </c>
      <c r="AA69" s="10"/>
      <c r="AB69" s="357" t="str">
        <f>VLOOKUP($B69,'2007-2020 Metadata'!$A$4:$S$214,MATCH("Urban Area /Monitoring Zone",'2007-2020 Metadata'!$A$4:$S$4,0),FALSE)</f>
        <v>Hamilton</v>
      </c>
      <c r="AC69" s="87" t="str">
        <f>VLOOKUP(B69,'2007-2020 Metadata'!$A$6:$A$214,1,FALSE)</f>
        <v>HAM012</v>
      </c>
      <c r="AD69" s="230" t="str">
        <f>VLOOKUP($AC69,'2007-2020 Metadata'!$A$6:$S$214,9,FALSE)</f>
        <v>Hamilton</v>
      </c>
      <c r="AE69" s="248">
        <f>IF(ISBLANK(VLOOKUP($AC69,'2007-2020 Metadata'!$A$6:$S$214,19,FALSE)),"",VLOOKUP($AC69,'2007-2020 Metadata'!$A$6:$S$214,19,FALSE))</f>
        <v>2.8</v>
      </c>
      <c r="AF69" s="88" t="str">
        <f>VLOOKUP($B69,'2007-2020 Metadata'!$A$4:$S$214,MATCH("Site type",'2007-2020 Metadata'!$A$4:$S$4,0),FALSE)</f>
        <v>Local (ex SH)</v>
      </c>
      <c r="AG69" s="143">
        <f t="shared" si="11"/>
        <v>14.5</v>
      </c>
      <c r="AH69" s="143">
        <f t="shared" si="12"/>
        <v>30.7</v>
      </c>
      <c r="AI69" s="144">
        <f t="shared" ca="1" si="13"/>
        <v>28.346843434343434</v>
      </c>
    </row>
    <row r="70" spans="1:35" ht="12" customHeight="1" x14ac:dyDescent="0.15">
      <c r="A70" s="31"/>
      <c r="B70" s="40" t="s">
        <v>96</v>
      </c>
      <c r="C70" s="104">
        <f>IF(VLOOKUP($B70,'Monthly Summary 2011'!$B$7:$Q$222,14,FALSE)=0,"",VLOOKUP($B70,'Monthly Summary 2011'!$B$7:$Q$222,14,FALSE))</f>
        <v>23</v>
      </c>
      <c r="D70" s="36">
        <v>31</v>
      </c>
      <c r="E70" s="36">
        <v>34.200000000000003</v>
      </c>
      <c r="F70" s="36">
        <v>33.4</v>
      </c>
      <c r="G70" s="36">
        <v>40.1</v>
      </c>
      <c r="H70" s="36">
        <v>46.2</v>
      </c>
      <c r="I70" s="36">
        <v>53.9</v>
      </c>
      <c r="J70" s="36">
        <v>36</v>
      </c>
      <c r="K70" s="36">
        <v>35.6</v>
      </c>
      <c r="L70" s="36">
        <v>31.8</v>
      </c>
      <c r="M70" s="36">
        <v>38.1</v>
      </c>
      <c r="N70" s="36">
        <v>35</v>
      </c>
      <c r="O70" s="36">
        <v>26.4</v>
      </c>
      <c r="P70" s="37">
        <f t="shared" si="3"/>
        <v>36.80833333333333</v>
      </c>
      <c r="Q70" s="38">
        <f t="shared" si="4"/>
        <v>1</v>
      </c>
      <c r="R70" s="140">
        <f t="shared" si="5"/>
        <v>32.866666666666667</v>
      </c>
      <c r="S70" s="24">
        <f t="shared" si="6"/>
        <v>1</v>
      </c>
      <c r="T70" s="140">
        <f t="shared" si="7"/>
        <v>34.466666666666661</v>
      </c>
      <c r="U70" s="9">
        <f t="shared" si="8"/>
        <v>1</v>
      </c>
      <c r="V70" s="141">
        <f t="shared" si="9"/>
        <v>36.80833333333333</v>
      </c>
      <c r="W70" s="142">
        <f t="shared" si="10"/>
        <v>1</v>
      </c>
      <c r="X70" s="144">
        <f t="shared" ca="1" si="17"/>
        <v>26.03</v>
      </c>
      <c r="Y70" s="144">
        <f t="shared" ca="1" si="18"/>
        <v>28.093333333333334</v>
      </c>
      <c r="Z70" s="144">
        <f t="shared" ca="1" si="19"/>
        <v>28.346843434343434</v>
      </c>
      <c r="AA70" s="10"/>
      <c r="AB70" s="357" t="str">
        <f>VLOOKUP($B70,'2007-2020 Metadata'!$A$4:$S$214,MATCH("Urban Area /Monitoring Zone",'2007-2020 Metadata'!$A$4:$S$4,0),FALSE)</f>
        <v>Hamilton</v>
      </c>
      <c r="AC70" s="87" t="str">
        <f>VLOOKUP(B70,'2007-2020 Metadata'!$A$6:$A$214,1,FALSE)</f>
        <v>HAM013</v>
      </c>
      <c r="AD70" s="230" t="str">
        <f>VLOOKUP($AC70,'2007-2020 Metadata'!$A$6:$S$214,9,FALSE)</f>
        <v>Hamilton</v>
      </c>
      <c r="AE70" s="248">
        <f>IF(ISBLANK(VLOOKUP($AC70,'2007-2020 Metadata'!$A$6:$S$214,19,FALSE)),"",VLOOKUP($AC70,'2007-2020 Metadata'!$A$6:$S$214,19,FALSE))</f>
        <v>2.8</v>
      </c>
      <c r="AF70" s="88" t="str">
        <f>VLOOKUP($B70,'2007-2020 Metadata'!$A$4:$S$214,MATCH("Site type",'2007-2020 Metadata'!$A$4:$S$4,0),FALSE)</f>
        <v>SH</v>
      </c>
      <c r="AG70" s="143">
        <f t="shared" si="11"/>
        <v>26.4</v>
      </c>
      <c r="AH70" s="143">
        <f t="shared" si="12"/>
        <v>53.9</v>
      </c>
      <c r="AI70" s="144">
        <f t="shared" ca="1" si="13"/>
        <v>28.346843434343434</v>
      </c>
    </row>
    <row r="71" spans="1:35" ht="12" customHeight="1" x14ac:dyDescent="0.15">
      <c r="A71" s="31"/>
      <c r="B71" s="40" t="s">
        <v>97</v>
      </c>
      <c r="C71" s="104">
        <f>IF(VLOOKUP($B71,'Monthly Summary 2011'!$B$7:$Q$222,14,FALSE)=0,"",VLOOKUP($B71,'Monthly Summary 2011'!$B$7:$Q$222,14,FALSE))</f>
        <v>28.8</v>
      </c>
      <c r="D71" s="36"/>
      <c r="E71" s="36">
        <v>32.5</v>
      </c>
      <c r="F71" s="36">
        <v>37.1</v>
      </c>
      <c r="G71" s="36">
        <v>44</v>
      </c>
      <c r="H71" s="36">
        <v>42.2</v>
      </c>
      <c r="I71" s="36">
        <v>47.1</v>
      </c>
      <c r="J71" s="36">
        <v>42.1</v>
      </c>
      <c r="K71" s="36">
        <v>36.200000000000003</v>
      </c>
      <c r="L71" s="36">
        <v>29.3</v>
      </c>
      <c r="M71" s="36">
        <v>33.1</v>
      </c>
      <c r="N71" s="36">
        <v>35</v>
      </c>
      <c r="O71" s="36">
        <v>27.9</v>
      </c>
      <c r="P71" s="37">
        <f t="shared" si="3"/>
        <v>36.954545454545453</v>
      </c>
      <c r="Q71" s="38">
        <f t="shared" si="4"/>
        <v>0.91666666666666663</v>
      </c>
      <c r="R71" s="140">
        <f t="shared" si="5"/>
        <v>34.799999999999997</v>
      </c>
      <c r="S71" s="24">
        <f t="shared" si="6"/>
        <v>0.66666666666666663</v>
      </c>
      <c r="T71" s="140">
        <f t="shared" si="7"/>
        <v>35.866666666666667</v>
      </c>
      <c r="U71" s="9">
        <f t="shared" si="8"/>
        <v>1</v>
      </c>
      <c r="V71" s="141">
        <f t="shared" si="9"/>
        <v>36.954545454545453</v>
      </c>
      <c r="W71" s="142">
        <f t="shared" si="10"/>
        <v>0.91666666666666663</v>
      </c>
      <c r="X71" s="144">
        <f t="shared" ref="X71:X102" ca="1" si="22">IF(VLOOKUP($B71,$AC$6:$AI$158,3,FALSE)="",$R71,IF(ISERROR(AVERAGEIF($AD$6:$AD$160,VLOOKUP($B71,$AC$6:$AI$158,2,FALSE),$R$6:$R$158)),"",AVERAGEIF($AD$6:$AD$160,VLOOKUP($B71,$AC$6:$AI$158,2,FALSE),$R$6:$R$158)))</f>
        <v>26.03</v>
      </c>
      <c r="Y71" s="144">
        <f t="shared" ref="Y71:Y102" ca="1" si="23">IF(VLOOKUP($B71,$AC$6:$AI$158,3,FALSE)="",$T71,IF(ISERROR(AVERAGEIF($AD$6:$AD$160,VLOOKUP($B71,$AC$6:$AI$158,2,FALSE),$T$6:$T$158)),"",AVERAGEIF($AD$6:$AD$160,VLOOKUP($B71,$AC$6:$AI$158,2,FALSE),$T$6:$T$158)))</f>
        <v>28.093333333333334</v>
      </c>
      <c r="Z71" s="144">
        <f t="shared" ref="Z71:Z102" ca="1" si="24">IF(VLOOKUP($B71,$AC$6:$AI$158,3,FALSE)="",$V71,IF(ISERROR(AVERAGEIF($AD$6:$AD$160,VLOOKUP($B71,$AC$6:$AI$158,2,FALSE),$V$6:$V$158)),"",AVERAGEIF($AD$6:$AD$160,VLOOKUP($B71,$AC$6:$AI$158,2,FALSE),$V$6:$V$158)))</f>
        <v>28.346843434343434</v>
      </c>
      <c r="AA71" s="10"/>
      <c r="AB71" s="357" t="str">
        <f>VLOOKUP($B71,'2007-2020 Metadata'!$A$4:$S$214,MATCH("Urban Area /Monitoring Zone",'2007-2020 Metadata'!$A$4:$S$4,0),FALSE)</f>
        <v>Hamilton</v>
      </c>
      <c r="AC71" s="87" t="str">
        <f>VLOOKUP(B71,'2007-2020 Metadata'!$A$6:$A$214,1,FALSE)</f>
        <v>HAM014</v>
      </c>
      <c r="AD71" s="230" t="str">
        <f>VLOOKUP($AC71,'2007-2020 Metadata'!$A$6:$S$214,9,FALSE)</f>
        <v>Hamilton</v>
      </c>
      <c r="AE71" s="248">
        <f>IF(ISBLANK(VLOOKUP($AC71,'2007-2020 Metadata'!$A$6:$S$214,19,FALSE)),"",VLOOKUP($AC71,'2007-2020 Metadata'!$A$6:$S$214,19,FALSE))</f>
        <v>2.2000000000000002</v>
      </c>
      <c r="AF71" s="88" t="str">
        <f>VLOOKUP($B71,'2007-2020 Metadata'!$A$4:$S$214,MATCH("Site type",'2007-2020 Metadata'!$A$4:$S$4,0),FALSE)</f>
        <v>Local</v>
      </c>
      <c r="AG71" s="143">
        <f t="shared" si="11"/>
        <v>27.9</v>
      </c>
      <c r="AH71" s="143">
        <f t="shared" si="12"/>
        <v>47.1</v>
      </c>
      <c r="AI71" s="144">
        <f t="shared" ca="1" si="13"/>
        <v>28.346843434343434</v>
      </c>
    </row>
    <row r="72" spans="1:35" ht="12" customHeight="1" x14ac:dyDescent="0.15">
      <c r="A72" s="31"/>
      <c r="B72" s="40" t="s">
        <v>98</v>
      </c>
      <c r="C72" s="104">
        <f>IF(VLOOKUP($B72,'Monthly Summary 2011'!$B$7:$Q$222,14,FALSE)=0,"",VLOOKUP($B72,'Monthly Summary 2011'!$B$7:$Q$222,14,FALSE))</f>
        <v>17.7</v>
      </c>
      <c r="D72" s="36">
        <v>22.7</v>
      </c>
      <c r="E72" s="36">
        <v>29</v>
      </c>
      <c r="F72" s="36">
        <v>30.3</v>
      </c>
      <c r="G72" s="36">
        <v>33.4</v>
      </c>
      <c r="H72" s="36">
        <v>38.299999999999997</v>
      </c>
      <c r="I72" s="36">
        <v>40.6</v>
      </c>
      <c r="J72" s="36">
        <v>31.5</v>
      </c>
      <c r="K72" s="36">
        <v>30.7</v>
      </c>
      <c r="L72" s="36">
        <v>25.1</v>
      </c>
      <c r="M72" s="36">
        <v>26.5</v>
      </c>
      <c r="N72" s="36">
        <v>23.1</v>
      </c>
      <c r="O72" s="36">
        <v>23.7</v>
      </c>
      <c r="P72" s="37">
        <f t="shared" ref="P72:P135" si="25">(AVERAGE(D72:O72))</f>
        <v>29.575000000000003</v>
      </c>
      <c r="Q72" s="38">
        <f t="shared" ref="Q72:Q135" si="26">COUNT(D72:O72)/COUNT($D$6:$O$6)</f>
        <v>1</v>
      </c>
      <c r="R72" s="140">
        <f t="shared" ref="R72:R135" si="27">IF($S72=0%,"",IF($S72&gt;66%,AVERAGE($D72:$F72),"-"))</f>
        <v>27.333333333333332</v>
      </c>
      <c r="S72" s="24">
        <f t="shared" ref="S72:S135" si="28">COUNT(D72:F72)/3</f>
        <v>1</v>
      </c>
      <c r="T72" s="140">
        <f t="shared" ref="T72:T135" si="29">IF($U72=0%,"",IF($U72&gt;66%,AVERAGE($J72:$L72),"-"))</f>
        <v>29.100000000000005</v>
      </c>
      <c r="U72" s="9">
        <f t="shared" ref="U72:U135" si="30">COUNT(J72:L72)/3</f>
        <v>1</v>
      </c>
      <c r="V72" s="141">
        <f t="shared" ref="V72:V135" si="31">IF(AND(($S72&gt;33%),($U72&gt;33%),($W72&gt;=75%)),AVERAGE($D72:$O72),"-")</f>
        <v>29.575000000000003</v>
      </c>
      <c r="W72" s="142">
        <f t="shared" ref="W72:W135" si="32">Q72</f>
        <v>1</v>
      </c>
      <c r="X72" s="144">
        <f t="shared" ca="1" si="22"/>
        <v>26.03</v>
      </c>
      <c r="Y72" s="144">
        <f t="shared" ca="1" si="23"/>
        <v>28.093333333333334</v>
      </c>
      <c r="Z72" s="144">
        <f t="shared" ca="1" si="24"/>
        <v>28.346843434343434</v>
      </c>
      <c r="AA72" s="10"/>
      <c r="AB72" s="357" t="str">
        <f>VLOOKUP($B72,'2007-2020 Metadata'!$A$4:$S$214,MATCH("Urban Area /Monitoring Zone",'2007-2020 Metadata'!$A$4:$S$4,0),FALSE)</f>
        <v>Hamilton</v>
      </c>
      <c r="AC72" s="87" t="str">
        <f>VLOOKUP(B72,'2007-2020 Metadata'!$A$6:$A$214,1,FALSE)</f>
        <v>HAM015</v>
      </c>
      <c r="AD72" s="230" t="str">
        <f>VLOOKUP($AC72,'2007-2020 Metadata'!$A$6:$S$214,9,FALSE)</f>
        <v>Hamilton</v>
      </c>
      <c r="AE72" s="248">
        <f>IF(ISBLANK(VLOOKUP($AC72,'2007-2020 Metadata'!$A$6:$S$214,19,FALSE)),"",VLOOKUP($AC72,'2007-2020 Metadata'!$A$6:$S$214,19,FALSE))</f>
        <v>2.7</v>
      </c>
      <c r="AF72" s="88" t="str">
        <f>VLOOKUP($B72,'2007-2020 Metadata'!$A$4:$S$214,MATCH("Site type",'2007-2020 Metadata'!$A$4:$S$4,0),FALSE)</f>
        <v>Local</v>
      </c>
      <c r="AG72" s="143">
        <f t="shared" ref="AG72:AG135" si="33">MIN($D72:$O72)</f>
        <v>22.7</v>
      </c>
      <c r="AH72" s="143">
        <f t="shared" ref="AH72:AH135" si="34">MAX($D72:$O72)</f>
        <v>40.6</v>
      </c>
      <c r="AI72" s="144">
        <f t="shared" ref="AI72:AI135" ca="1" si="35">IF($W72&gt;=75%,$Z72," ")</f>
        <v>28.346843434343434</v>
      </c>
    </row>
    <row r="73" spans="1:35" ht="12" customHeight="1" x14ac:dyDescent="0.15">
      <c r="A73" s="31"/>
      <c r="B73" s="40" t="s">
        <v>99</v>
      </c>
      <c r="C73" s="104" t="str">
        <f>IF(VLOOKUP($B73,'Monthly Summary 2011'!$B$7:$Q$222,14,FALSE)=0,"",VLOOKUP($B73,'Monthly Summary 2011'!$B$7:$Q$222,14,FALSE))</f>
        <v/>
      </c>
      <c r="D73" s="36">
        <v>16.2</v>
      </c>
      <c r="E73" s="36">
        <v>22.9</v>
      </c>
      <c r="F73" s="36">
        <v>26</v>
      </c>
      <c r="G73" s="36">
        <v>31.7</v>
      </c>
      <c r="H73" s="36">
        <v>31.8</v>
      </c>
      <c r="I73" s="36">
        <v>32.1</v>
      </c>
      <c r="J73" s="36">
        <v>34.299999999999997</v>
      </c>
      <c r="K73" s="36">
        <v>26.8</v>
      </c>
      <c r="L73" s="36">
        <v>21.9</v>
      </c>
      <c r="M73" s="36">
        <v>13.5</v>
      </c>
      <c r="N73" s="36">
        <v>19</v>
      </c>
      <c r="O73" s="36">
        <v>16.100000000000001</v>
      </c>
      <c r="P73" s="37">
        <f t="shared" si="25"/>
        <v>24.358333333333338</v>
      </c>
      <c r="Q73" s="38">
        <f t="shared" si="26"/>
        <v>1</v>
      </c>
      <c r="R73" s="140">
        <f t="shared" si="27"/>
        <v>21.7</v>
      </c>
      <c r="S73" s="24">
        <f t="shared" si="28"/>
        <v>1</v>
      </c>
      <c r="T73" s="140">
        <f t="shared" si="29"/>
        <v>27.666666666666668</v>
      </c>
      <c r="U73" s="9">
        <f t="shared" si="30"/>
        <v>1</v>
      </c>
      <c r="V73" s="141">
        <f t="shared" si="31"/>
        <v>24.358333333333338</v>
      </c>
      <c r="W73" s="142">
        <f t="shared" si="32"/>
        <v>1</v>
      </c>
      <c r="X73" s="144">
        <f t="shared" ca="1" si="22"/>
        <v>26.03</v>
      </c>
      <c r="Y73" s="144">
        <f t="shared" ca="1" si="23"/>
        <v>28.093333333333334</v>
      </c>
      <c r="Z73" s="144">
        <f t="shared" ca="1" si="24"/>
        <v>28.346843434343434</v>
      </c>
      <c r="AA73" s="10"/>
      <c r="AB73" s="357" t="str">
        <f>VLOOKUP($B73,'2007-2020 Metadata'!$A$4:$S$214,MATCH("Urban Area /Monitoring Zone",'2007-2020 Metadata'!$A$4:$S$4,0),FALSE)</f>
        <v>Hamilton</v>
      </c>
      <c r="AC73" s="87" t="str">
        <f>VLOOKUP(B73,'2007-2020 Metadata'!$A$6:$A$214,1,FALSE)</f>
        <v>HAM016</v>
      </c>
      <c r="AD73" s="230" t="str">
        <f>VLOOKUP($AC73,'2007-2020 Metadata'!$A$6:$S$214,9,FALSE)</f>
        <v>Hamilton</v>
      </c>
      <c r="AE73" s="248">
        <f>IF(ISBLANK(VLOOKUP($AC73,'2007-2020 Metadata'!$A$6:$S$214,19,FALSE)),"",VLOOKUP($AC73,'2007-2020 Metadata'!$A$6:$S$214,19,FALSE))</f>
        <v>2.6</v>
      </c>
      <c r="AF73" s="88" t="str">
        <f>VLOOKUP($B73,'2007-2020 Metadata'!$A$4:$S$214,MATCH("Site type",'2007-2020 Metadata'!$A$4:$S$4,0),FALSE)</f>
        <v>Local</v>
      </c>
      <c r="AG73" s="143">
        <f t="shared" si="33"/>
        <v>13.5</v>
      </c>
      <c r="AH73" s="143">
        <f t="shared" si="34"/>
        <v>34.299999999999997</v>
      </c>
      <c r="AI73" s="144">
        <f t="shared" ca="1" si="35"/>
        <v>28.346843434343434</v>
      </c>
    </row>
    <row r="74" spans="1:35" ht="12" customHeight="1" x14ac:dyDescent="0.15">
      <c r="A74" s="31"/>
      <c r="B74" s="40" t="s">
        <v>100</v>
      </c>
      <c r="C74" s="104">
        <f>IF(VLOOKUP($B74,'Monthly Summary 2011'!$B$7:$Q$222,14,FALSE)=0,"",VLOOKUP($B74,'Monthly Summary 2011'!$B$7:$Q$222,14,FALSE))</f>
        <v>5.7</v>
      </c>
      <c r="D74" s="36">
        <v>8.1999999999999993</v>
      </c>
      <c r="E74" s="36">
        <v>10.6</v>
      </c>
      <c r="F74" s="36">
        <v>11.4</v>
      </c>
      <c r="G74" s="36">
        <v>15.4</v>
      </c>
      <c r="H74" s="36">
        <v>18.7</v>
      </c>
      <c r="I74" s="36">
        <v>17.5</v>
      </c>
      <c r="J74" s="36">
        <v>14.5</v>
      </c>
      <c r="K74" s="36">
        <v>11.5</v>
      </c>
      <c r="L74" s="36"/>
      <c r="M74" s="36"/>
      <c r="N74" s="36"/>
      <c r="O74" s="36">
        <v>7.3</v>
      </c>
      <c r="P74" s="37">
        <f t="shared" si="25"/>
        <v>12.788888888888888</v>
      </c>
      <c r="Q74" s="38">
        <f t="shared" si="26"/>
        <v>0.75</v>
      </c>
      <c r="R74" s="140">
        <f t="shared" si="27"/>
        <v>10.066666666666665</v>
      </c>
      <c r="S74" s="24">
        <f t="shared" si="28"/>
        <v>1</v>
      </c>
      <c r="T74" s="140">
        <f t="shared" si="29"/>
        <v>13</v>
      </c>
      <c r="U74" s="9">
        <f t="shared" si="30"/>
        <v>0.66666666666666663</v>
      </c>
      <c r="V74" s="141">
        <f t="shared" si="31"/>
        <v>12.788888888888888</v>
      </c>
      <c r="W74" s="142">
        <f t="shared" si="32"/>
        <v>0.75</v>
      </c>
      <c r="X74" s="144">
        <f t="shared" ca="1" si="22"/>
        <v>26.03</v>
      </c>
      <c r="Y74" s="144">
        <f t="shared" ca="1" si="23"/>
        <v>28.093333333333334</v>
      </c>
      <c r="Z74" s="144">
        <f t="shared" ca="1" si="24"/>
        <v>28.346843434343434</v>
      </c>
      <c r="AA74" s="10"/>
      <c r="AB74" s="357" t="str">
        <f>VLOOKUP($B74,'2007-2020 Metadata'!$A$4:$S$214,MATCH("Urban Area /Monitoring Zone",'2007-2020 Metadata'!$A$4:$S$4,0),FALSE)</f>
        <v>Hamilton</v>
      </c>
      <c r="AC74" s="87" t="str">
        <f>VLOOKUP(B74,'2007-2020 Metadata'!$A$6:$A$214,1,FALSE)</f>
        <v>HAM017</v>
      </c>
      <c r="AD74" s="230" t="str">
        <f>VLOOKUP($AC74,'2007-2020 Metadata'!$A$6:$S$214,9,FALSE)</f>
        <v>Hamilton</v>
      </c>
      <c r="AE74" s="248">
        <f>IF(ISBLANK(VLOOKUP($AC74,'2007-2020 Metadata'!$A$6:$S$214,19,FALSE)),"",VLOOKUP($AC74,'2007-2020 Metadata'!$A$6:$S$214,19,FALSE))</f>
        <v>5</v>
      </c>
      <c r="AF74" s="88" t="str">
        <f>VLOOKUP($B74,'2007-2020 Metadata'!$A$4:$S$214,MATCH("Site type",'2007-2020 Metadata'!$A$4:$S$4,0),FALSE)</f>
        <v>Background</v>
      </c>
      <c r="AG74" s="143">
        <f t="shared" si="33"/>
        <v>7.3</v>
      </c>
      <c r="AH74" s="143">
        <f t="shared" si="34"/>
        <v>18.7</v>
      </c>
      <c r="AI74" s="144">
        <f t="shared" ca="1" si="35"/>
        <v>28.346843434343434</v>
      </c>
    </row>
    <row r="75" spans="1:35" ht="12" customHeight="1" x14ac:dyDescent="0.15">
      <c r="A75" s="31"/>
      <c r="B75" s="40" t="s">
        <v>101</v>
      </c>
      <c r="C75" s="104">
        <f>IF(VLOOKUP($B75,'Monthly Summary 2011'!$B$7:$Q$222,14,FALSE)=0,"",VLOOKUP($B75,'Monthly Summary 2011'!$B$7:$Q$222,14,FALSE))</f>
        <v>21.8</v>
      </c>
      <c r="D75" s="36">
        <v>24.1</v>
      </c>
      <c r="E75" s="36">
        <v>27.6</v>
      </c>
      <c r="F75" s="36">
        <v>21.9</v>
      </c>
      <c r="G75" s="36">
        <v>30.1</v>
      </c>
      <c r="H75" s="36">
        <v>35.6</v>
      </c>
      <c r="I75" s="36">
        <v>34.700000000000003</v>
      </c>
      <c r="J75" s="36">
        <v>26</v>
      </c>
      <c r="K75" s="36">
        <v>27.1</v>
      </c>
      <c r="L75" s="36">
        <v>19.3</v>
      </c>
      <c r="M75" s="36">
        <v>22.2</v>
      </c>
      <c r="N75" s="36">
        <v>26.7</v>
      </c>
      <c r="O75" s="36">
        <v>23.6</v>
      </c>
      <c r="P75" s="37">
        <f t="shared" si="25"/>
        <v>26.575000000000003</v>
      </c>
      <c r="Q75" s="38">
        <f t="shared" si="26"/>
        <v>1</v>
      </c>
      <c r="R75" s="140">
        <f t="shared" si="27"/>
        <v>24.533333333333331</v>
      </c>
      <c r="S75" s="24">
        <f t="shared" si="28"/>
        <v>1</v>
      </c>
      <c r="T75" s="140">
        <f t="shared" si="29"/>
        <v>24.133333333333336</v>
      </c>
      <c r="U75" s="9">
        <f t="shared" si="30"/>
        <v>1</v>
      </c>
      <c r="V75" s="141">
        <f t="shared" si="31"/>
        <v>26.575000000000003</v>
      </c>
      <c r="W75" s="142">
        <f t="shared" si="32"/>
        <v>1</v>
      </c>
      <c r="X75" s="144">
        <f t="shared" ca="1" si="22"/>
        <v>20.461904761904758</v>
      </c>
      <c r="Y75" s="144">
        <f t="shared" ca="1" si="23"/>
        <v>22.476190476190474</v>
      </c>
      <c r="Z75" s="144">
        <f t="shared" ca="1" si="24"/>
        <v>22.922857142857143</v>
      </c>
      <c r="AA75" s="10"/>
      <c r="AB75" s="357" t="str">
        <f>VLOOKUP($B75,'2007-2020 Metadata'!$A$4:$S$214,MATCH("Urban Area /Monitoring Zone",'2007-2020 Metadata'!$A$4:$S$4,0),FALSE)</f>
        <v>Tauranga</v>
      </c>
      <c r="AC75" s="87" t="str">
        <f>VLOOKUP(B75,'2007-2020 Metadata'!$A$6:$A$214,1,FALSE)</f>
        <v>HAM018</v>
      </c>
      <c r="AD75" s="230" t="str">
        <f>VLOOKUP($AC75,'2007-2020 Metadata'!$A$6:$S$214,9,FALSE)</f>
        <v>Tauranga</v>
      </c>
      <c r="AE75" s="248">
        <f>IF(ISBLANK(VLOOKUP($AC75,'2007-2020 Metadata'!$A$6:$S$214,19,FALSE)),"",VLOOKUP($AC75,'2007-2020 Metadata'!$A$6:$S$214,19,FALSE))</f>
        <v>2.5</v>
      </c>
      <c r="AF75" s="88" t="str">
        <f>VLOOKUP($B75,'2007-2020 Metadata'!$A$4:$S$214,MATCH("Site type",'2007-2020 Metadata'!$A$4:$S$4,0),FALSE)</f>
        <v>SH</v>
      </c>
      <c r="AG75" s="143">
        <f t="shared" si="33"/>
        <v>19.3</v>
      </c>
      <c r="AH75" s="143">
        <f t="shared" si="34"/>
        <v>35.6</v>
      </c>
      <c r="AI75" s="144">
        <f t="shared" ca="1" si="35"/>
        <v>22.922857142857143</v>
      </c>
    </row>
    <row r="76" spans="1:35" ht="12" customHeight="1" x14ac:dyDescent="0.15">
      <c r="A76" s="31"/>
      <c r="B76" s="40" t="s">
        <v>102</v>
      </c>
      <c r="C76" s="104">
        <f>IF(VLOOKUP($B76,'Monthly Summary 2011'!$B$7:$Q$222,14,FALSE)=0,"",VLOOKUP($B76,'Monthly Summary 2011'!$B$7:$Q$222,14,FALSE))</f>
        <v>13</v>
      </c>
      <c r="D76" s="36">
        <v>13.4</v>
      </c>
      <c r="E76" s="36">
        <v>17.5</v>
      </c>
      <c r="F76" s="36">
        <v>17.399999999999999</v>
      </c>
      <c r="G76" s="36">
        <v>22.5</v>
      </c>
      <c r="H76" s="36">
        <v>26.5</v>
      </c>
      <c r="I76" s="36">
        <v>27.1</v>
      </c>
      <c r="J76" s="36">
        <v>25.4</v>
      </c>
      <c r="K76" s="36">
        <v>23</v>
      </c>
      <c r="L76" s="36">
        <v>17.7</v>
      </c>
      <c r="M76" s="36">
        <v>15.1</v>
      </c>
      <c r="N76" s="36">
        <v>13.2</v>
      </c>
      <c r="O76" s="36">
        <v>13.3</v>
      </c>
      <c r="P76" s="37">
        <f t="shared" si="25"/>
        <v>19.341666666666665</v>
      </c>
      <c r="Q76" s="38">
        <f t="shared" si="26"/>
        <v>1</v>
      </c>
      <c r="R76" s="140">
        <f t="shared" si="27"/>
        <v>16.099999999999998</v>
      </c>
      <c r="S76" s="24">
        <f t="shared" si="28"/>
        <v>1</v>
      </c>
      <c r="T76" s="140">
        <f t="shared" si="29"/>
        <v>22.033333333333331</v>
      </c>
      <c r="U76" s="9">
        <f t="shared" si="30"/>
        <v>1</v>
      </c>
      <c r="V76" s="141">
        <f t="shared" si="31"/>
        <v>19.341666666666665</v>
      </c>
      <c r="W76" s="142">
        <f t="shared" si="32"/>
        <v>1</v>
      </c>
      <c r="X76" s="144">
        <f t="shared" ca="1" si="22"/>
        <v>20.461904761904758</v>
      </c>
      <c r="Y76" s="144">
        <f t="shared" ca="1" si="23"/>
        <v>22.476190476190474</v>
      </c>
      <c r="Z76" s="144">
        <f t="shared" ca="1" si="24"/>
        <v>22.922857142857143</v>
      </c>
      <c r="AA76" s="10"/>
      <c r="AB76" s="357" t="str">
        <f>VLOOKUP($B76,'2007-2020 Metadata'!$A$4:$S$214,MATCH("Urban Area /Monitoring Zone",'2007-2020 Metadata'!$A$4:$S$4,0),FALSE)</f>
        <v>Tauranga</v>
      </c>
      <c r="AC76" s="87" t="str">
        <f>VLOOKUP(B76,'2007-2020 Metadata'!$A$6:$A$214,1,FALSE)</f>
        <v>HAM019</v>
      </c>
      <c r="AD76" s="230" t="str">
        <f>VLOOKUP($AC76,'2007-2020 Metadata'!$A$6:$S$214,9,FALSE)</f>
        <v>Tauranga</v>
      </c>
      <c r="AE76" s="248">
        <f>IF(ISBLANK(VLOOKUP($AC76,'2007-2020 Metadata'!$A$6:$S$214,19,FALSE)),"",VLOOKUP($AC76,'2007-2020 Metadata'!$A$6:$S$214,19,FALSE))</f>
        <v>2.7</v>
      </c>
      <c r="AF76" s="88" t="str">
        <f>VLOOKUP($B76,'2007-2020 Metadata'!$A$4:$S$214,MATCH("Site type",'2007-2020 Metadata'!$A$4:$S$4,0),FALSE)</f>
        <v>Local</v>
      </c>
      <c r="AG76" s="143">
        <f t="shared" si="33"/>
        <v>13.2</v>
      </c>
      <c r="AH76" s="143">
        <f t="shared" si="34"/>
        <v>27.1</v>
      </c>
      <c r="AI76" s="144">
        <f t="shared" ca="1" si="35"/>
        <v>22.922857142857143</v>
      </c>
    </row>
    <row r="77" spans="1:35" ht="12" customHeight="1" x14ac:dyDescent="0.15">
      <c r="A77" s="31"/>
      <c r="B77" s="40" t="s">
        <v>103</v>
      </c>
      <c r="C77" s="104">
        <f>IF(VLOOKUP($B77,'Monthly Summary 2011'!$B$7:$Q$222,14,FALSE)=0,"",VLOOKUP($B77,'Monthly Summary 2011'!$B$7:$Q$222,14,FALSE))</f>
        <v>15.4</v>
      </c>
      <c r="D77" s="36">
        <v>14.1</v>
      </c>
      <c r="E77" s="36">
        <v>16.3</v>
      </c>
      <c r="F77" s="36">
        <v>17.8</v>
      </c>
      <c r="G77" s="36">
        <v>27</v>
      </c>
      <c r="H77" s="36">
        <v>25.7</v>
      </c>
      <c r="I77" s="36">
        <v>24.5</v>
      </c>
      <c r="J77" s="36">
        <v>24.5</v>
      </c>
      <c r="K77" s="36">
        <v>19.3</v>
      </c>
      <c r="L77" s="36">
        <v>16.399999999999999</v>
      </c>
      <c r="M77" s="36">
        <v>13.2</v>
      </c>
      <c r="N77" s="36">
        <v>15.2</v>
      </c>
      <c r="O77" s="36">
        <v>11.5</v>
      </c>
      <c r="P77" s="37">
        <f t="shared" si="25"/>
        <v>18.791666666666668</v>
      </c>
      <c r="Q77" s="38">
        <f t="shared" si="26"/>
        <v>1</v>
      </c>
      <c r="R77" s="140">
        <f t="shared" si="27"/>
        <v>16.066666666666666</v>
      </c>
      <c r="S77" s="24">
        <f t="shared" si="28"/>
        <v>1</v>
      </c>
      <c r="T77" s="140">
        <f t="shared" si="29"/>
        <v>20.066666666666666</v>
      </c>
      <c r="U77" s="9">
        <f t="shared" si="30"/>
        <v>1</v>
      </c>
      <c r="V77" s="141">
        <f t="shared" si="31"/>
        <v>18.791666666666668</v>
      </c>
      <c r="W77" s="142">
        <f t="shared" si="32"/>
        <v>1</v>
      </c>
      <c r="X77" s="144">
        <f t="shared" ca="1" si="22"/>
        <v>20.461904761904758</v>
      </c>
      <c r="Y77" s="144">
        <f t="shared" ca="1" si="23"/>
        <v>22.476190476190474</v>
      </c>
      <c r="Z77" s="144">
        <f t="shared" ca="1" si="24"/>
        <v>22.922857142857143</v>
      </c>
      <c r="AA77" s="10"/>
      <c r="AB77" s="357" t="str">
        <f>VLOOKUP($B77,'2007-2020 Metadata'!$A$4:$S$214,MATCH("Urban Area /Monitoring Zone",'2007-2020 Metadata'!$A$4:$S$4,0),FALSE)</f>
        <v>Tauranga</v>
      </c>
      <c r="AC77" s="87" t="str">
        <f>VLOOKUP(B77,'2007-2020 Metadata'!$A$6:$A$214,1,FALSE)</f>
        <v>HAM020</v>
      </c>
      <c r="AD77" s="230" t="str">
        <f>VLOOKUP($AC77,'2007-2020 Metadata'!$A$6:$S$214,9,FALSE)</f>
        <v>Tauranga</v>
      </c>
      <c r="AE77" s="248">
        <f>IF(ISBLANK(VLOOKUP($AC77,'2007-2020 Metadata'!$A$6:$S$214,19,FALSE)),"",VLOOKUP($AC77,'2007-2020 Metadata'!$A$6:$S$214,19,FALSE))</f>
        <v>2.8</v>
      </c>
      <c r="AF77" s="88" t="str">
        <f>VLOOKUP($B77,'2007-2020 Metadata'!$A$4:$S$214,MATCH("Site type",'2007-2020 Metadata'!$A$4:$S$4,0),FALSE)</f>
        <v>Local</v>
      </c>
      <c r="AG77" s="143">
        <f t="shared" si="33"/>
        <v>11.5</v>
      </c>
      <c r="AH77" s="143">
        <f t="shared" si="34"/>
        <v>27</v>
      </c>
      <c r="AI77" s="144">
        <f t="shared" ca="1" si="35"/>
        <v>22.922857142857143</v>
      </c>
    </row>
    <row r="78" spans="1:35" ht="12" customHeight="1" x14ac:dyDescent="0.15">
      <c r="A78" s="31"/>
      <c r="B78" s="40" t="s">
        <v>104</v>
      </c>
      <c r="C78" s="104">
        <f>IF(VLOOKUP($B78,'Monthly Summary 2011'!$B$7:$Q$222,14,FALSE)=0,"",VLOOKUP($B78,'Monthly Summary 2011'!$B$7:$Q$222,14,FALSE))</f>
        <v>7.9</v>
      </c>
      <c r="D78" s="36">
        <v>10.7</v>
      </c>
      <c r="E78" s="36">
        <v>9.9</v>
      </c>
      <c r="F78" s="36">
        <v>10.7</v>
      </c>
      <c r="G78" s="36"/>
      <c r="H78" s="36">
        <v>13.6</v>
      </c>
      <c r="I78" s="36">
        <v>12.6</v>
      </c>
      <c r="J78" s="36">
        <v>10.7</v>
      </c>
      <c r="K78" s="36">
        <v>10</v>
      </c>
      <c r="L78" s="36">
        <v>6.9</v>
      </c>
      <c r="M78" s="36"/>
      <c r="N78" s="36">
        <v>9.8000000000000007</v>
      </c>
      <c r="O78" s="36">
        <v>5.7</v>
      </c>
      <c r="P78" s="37">
        <f t="shared" si="25"/>
        <v>10.06</v>
      </c>
      <c r="Q78" s="38">
        <f t="shared" si="26"/>
        <v>0.83333333333333337</v>
      </c>
      <c r="R78" s="140">
        <f t="shared" si="27"/>
        <v>10.433333333333334</v>
      </c>
      <c r="S78" s="24">
        <f t="shared" si="28"/>
        <v>1</v>
      </c>
      <c r="T78" s="140">
        <f t="shared" si="29"/>
        <v>9.2000000000000011</v>
      </c>
      <c r="U78" s="9">
        <f t="shared" si="30"/>
        <v>1</v>
      </c>
      <c r="V78" s="141">
        <f t="shared" si="31"/>
        <v>10.06</v>
      </c>
      <c r="W78" s="142">
        <f t="shared" si="32"/>
        <v>0.83333333333333337</v>
      </c>
      <c r="X78" s="144">
        <f t="shared" ca="1" si="22"/>
        <v>20.461904761904758</v>
      </c>
      <c r="Y78" s="144">
        <f t="shared" ca="1" si="23"/>
        <v>22.476190476190474</v>
      </c>
      <c r="Z78" s="144">
        <f t="shared" ca="1" si="24"/>
        <v>22.922857142857143</v>
      </c>
      <c r="AA78" s="10"/>
      <c r="AB78" s="357" t="str">
        <f>VLOOKUP($B78,'2007-2020 Metadata'!$A$4:$S$214,MATCH("Urban Area /Monitoring Zone",'2007-2020 Metadata'!$A$4:$S$4,0),FALSE)</f>
        <v>Tauranga</v>
      </c>
      <c r="AC78" s="87" t="str">
        <f>VLOOKUP(B78,'2007-2020 Metadata'!$A$6:$A$214,1,FALSE)</f>
        <v>HAM021</v>
      </c>
      <c r="AD78" s="230" t="str">
        <f>VLOOKUP($AC78,'2007-2020 Metadata'!$A$6:$S$214,9,FALSE)</f>
        <v>Tauranga</v>
      </c>
      <c r="AE78" s="248">
        <f>IF(ISBLANK(VLOOKUP($AC78,'2007-2020 Metadata'!$A$6:$S$214,19,FALSE)),"",VLOOKUP($AC78,'2007-2020 Metadata'!$A$6:$S$214,19,FALSE))</f>
        <v>3</v>
      </c>
      <c r="AF78" s="88" t="str">
        <f>VLOOKUP($B78,'2007-2020 Metadata'!$A$4:$S$214,MATCH("Site type",'2007-2020 Metadata'!$A$4:$S$4,0),FALSE)</f>
        <v>Background</v>
      </c>
      <c r="AG78" s="143">
        <f t="shared" si="33"/>
        <v>5.7</v>
      </c>
      <c r="AH78" s="143">
        <f t="shared" si="34"/>
        <v>13.6</v>
      </c>
      <c r="AI78" s="144">
        <f t="shared" ca="1" si="35"/>
        <v>22.922857142857143</v>
      </c>
    </row>
    <row r="79" spans="1:35" ht="12" customHeight="1" x14ac:dyDescent="0.15">
      <c r="A79" s="31"/>
      <c r="B79" s="40" t="s">
        <v>105</v>
      </c>
      <c r="C79" s="104" t="str">
        <f>IF(VLOOKUP($B79,'Monthly Summary 2011'!$B$7:$Q$222,14,FALSE)=0,"",VLOOKUP($B79,'Monthly Summary 2011'!$B$7:$Q$222,14,FALSE))</f>
        <v/>
      </c>
      <c r="D79" s="36">
        <v>10.8</v>
      </c>
      <c r="E79" s="36">
        <v>16.899999999999999</v>
      </c>
      <c r="F79" s="36"/>
      <c r="G79" s="36">
        <v>22.4</v>
      </c>
      <c r="H79" s="36">
        <v>24.3</v>
      </c>
      <c r="I79" s="36">
        <v>19.399999999999999</v>
      </c>
      <c r="J79" s="36">
        <v>19.399999999999999</v>
      </c>
      <c r="K79" s="36">
        <v>19.3</v>
      </c>
      <c r="L79" s="36">
        <v>17.899999999999999</v>
      </c>
      <c r="M79" s="36"/>
      <c r="N79" s="36">
        <v>19.5</v>
      </c>
      <c r="O79" s="36">
        <v>13.1</v>
      </c>
      <c r="P79" s="37">
        <f t="shared" si="25"/>
        <v>18.3</v>
      </c>
      <c r="Q79" s="38">
        <f t="shared" si="26"/>
        <v>0.83333333333333337</v>
      </c>
      <c r="R79" s="140">
        <f t="shared" si="27"/>
        <v>13.85</v>
      </c>
      <c r="S79" s="24">
        <f t="shared" si="28"/>
        <v>0.66666666666666663</v>
      </c>
      <c r="T79" s="140">
        <f t="shared" si="29"/>
        <v>18.866666666666667</v>
      </c>
      <c r="U79" s="9">
        <f t="shared" si="30"/>
        <v>1</v>
      </c>
      <c r="V79" s="141">
        <f t="shared" si="31"/>
        <v>18.3</v>
      </c>
      <c r="W79" s="142">
        <f t="shared" si="32"/>
        <v>0.83333333333333337</v>
      </c>
      <c r="X79" s="144">
        <f t="shared" ca="1" si="22"/>
        <v>13.85</v>
      </c>
      <c r="Y79" s="144">
        <f t="shared" ca="1" si="23"/>
        <v>18.866666666666667</v>
      </c>
      <c r="Z79" s="144">
        <f t="shared" ca="1" si="24"/>
        <v>18.3</v>
      </c>
      <c r="AA79" s="10"/>
      <c r="AB79" s="357" t="str">
        <f>VLOOKUP($B79,'2007-2020 Metadata'!$A$4:$S$214,MATCH("Urban Area /Monitoring Zone",'2007-2020 Metadata'!$A$4:$S$4,0),FALSE)</f>
        <v>Te Awamutu</v>
      </c>
      <c r="AC79" s="87" t="str">
        <f>VLOOKUP(B79,'2007-2020 Metadata'!$A$6:$A$214,1,FALSE)</f>
        <v>HAM022</v>
      </c>
      <c r="AD79" s="230" t="str">
        <f>VLOOKUP($AC79,'2007-2020 Metadata'!$A$6:$S$214,9,FALSE)</f>
        <v>Te Awamutu</v>
      </c>
      <c r="AE79" s="248">
        <f>IF(ISBLANK(VLOOKUP($AC79,'2007-2020 Metadata'!$A$6:$S$214,19,FALSE)),"",VLOOKUP($AC79,'2007-2020 Metadata'!$A$6:$S$214,19,FALSE))</f>
        <v>3</v>
      </c>
      <c r="AF79" s="88" t="str">
        <f>VLOOKUP($B79,'2007-2020 Metadata'!$A$4:$S$214,MATCH("Site type",'2007-2020 Metadata'!$A$4:$S$4,0),FALSE)</f>
        <v>SH</v>
      </c>
      <c r="AG79" s="143">
        <f t="shared" si="33"/>
        <v>10.8</v>
      </c>
      <c r="AH79" s="143">
        <f t="shared" si="34"/>
        <v>24.3</v>
      </c>
      <c r="AI79" s="144">
        <f t="shared" ca="1" si="35"/>
        <v>18.3</v>
      </c>
    </row>
    <row r="80" spans="1:35" ht="12" customHeight="1" x14ac:dyDescent="0.15">
      <c r="A80" s="31"/>
      <c r="B80" s="40" t="s">
        <v>106</v>
      </c>
      <c r="C80" s="104">
        <f>IF(VLOOKUP($B80,'Monthly Summary 2011'!$B$7:$Q$222,14,FALSE)=0,"",VLOOKUP($B80,'Monthly Summary 2011'!$B$7:$Q$222,14,FALSE))</f>
        <v>7.1</v>
      </c>
      <c r="D80" s="36">
        <v>5.5</v>
      </c>
      <c r="E80" s="36">
        <v>8.5</v>
      </c>
      <c r="F80" s="36">
        <v>7.7</v>
      </c>
      <c r="G80" s="36">
        <v>10.3</v>
      </c>
      <c r="H80" s="36">
        <v>11.6</v>
      </c>
      <c r="I80" s="36">
        <v>12.9</v>
      </c>
      <c r="J80" s="36">
        <v>11</v>
      </c>
      <c r="K80" s="36">
        <v>14.9</v>
      </c>
      <c r="L80" s="36">
        <v>4.5999999999999996</v>
      </c>
      <c r="M80" s="36">
        <v>6.1</v>
      </c>
      <c r="N80" s="36">
        <v>7.1</v>
      </c>
      <c r="O80" s="36">
        <v>2.9</v>
      </c>
      <c r="P80" s="37">
        <f t="shared" si="25"/>
        <v>8.5916666666666668</v>
      </c>
      <c r="Q80" s="38">
        <f t="shared" si="26"/>
        <v>1</v>
      </c>
      <c r="R80" s="140">
        <f t="shared" si="27"/>
        <v>7.2333333333333334</v>
      </c>
      <c r="S80" s="24">
        <f t="shared" si="28"/>
        <v>1</v>
      </c>
      <c r="T80" s="140">
        <f t="shared" si="29"/>
        <v>10.166666666666666</v>
      </c>
      <c r="U80" s="9">
        <f t="shared" si="30"/>
        <v>1</v>
      </c>
      <c r="V80" s="141">
        <f t="shared" si="31"/>
        <v>8.5916666666666668</v>
      </c>
      <c r="W80" s="142">
        <f t="shared" si="32"/>
        <v>1</v>
      </c>
      <c r="X80" s="144">
        <f t="shared" ca="1" si="22"/>
        <v>12.850000000000001</v>
      </c>
      <c r="Y80" s="144">
        <f t="shared" ca="1" si="23"/>
        <v>16.25</v>
      </c>
      <c r="Z80" s="144">
        <f t="shared" ca="1" si="24"/>
        <v>14.408333333333331</v>
      </c>
      <c r="AA80" s="10"/>
      <c r="AB80" s="357" t="str">
        <f>VLOOKUP($B80,'2007-2020 Metadata'!$A$4:$S$214,MATCH("Urban Area /Monitoring Zone",'2007-2020 Metadata'!$A$4:$S$4,0),FALSE)</f>
        <v>Rotorua</v>
      </c>
      <c r="AC80" s="87" t="str">
        <f>VLOOKUP(B80,'2007-2020 Metadata'!$A$6:$A$214,1,FALSE)</f>
        <v>HAM023</v>
      </c>
      <c r="AD80" s="230" t="str">
        <f>VLOOKUP($AC80,'2007-2020 Metadata'!$A$6:$S$214,9,FALSE)</f>
        <v>Rotorua</v>
      </c>
      <c r="AE80" s="248">
        <f>IF(ISBLANK(VLOOKUP($AC80,'2007-2020 Metadata'!$A$6:$S$214,19,FALSE)),"",VLOOKUP($AC80,'2007-2020 Metadata'!$A$6:$S$214,19,FALSE))</f>
        <v>2.5</v>
      </c>
      <c r="AF80" s="88" t="str">
        <f>VLOOKUP($B80,'2007-2020 Metadata'!$A$4:$S$214,MATCH("Site type",'2007-2020 Metadata'!$A$4:$S$4,0),FALSE)</f>
        <v>Background</v>
      </c>
      <c r="AG80" s="143">
        <f t="shared" si="33"/>
        <v>2.9</v>
      </c>
      <c r="AH80" s="143">
        <f t="shared" si="34"/>
        <v>14.9</v>
      </c>
      <c r="AI80" s="144">
        <f t="shared" ca="1" si="35"/>
        <v>14.408333333333331</v>
      </c>
    </row>
    <row r="81" spans="1:35" ht="12" customHeight="1" x14ac:dyDescent="0.15">
      <c r="A81" s="31"/>
      <c r="B81" s="40" t="s">
        <v>42</v>
      </c>
      <c r="C81" s="104">
        <f>IF(VLOOKUP($B81,'Monthly Summary 2011'!$B$7:$Q$222,14,FALSE)=0,"",VLOOKUP($B81,'Monthly Summary 2011'!$B$7:$Q$222,14,FALSE))</f>
        <v>11</v>
      </c>
      <c r="D81" s="36">
        <v>10.8</v>
      </c>
      <c r="E81" s="36">
        <v>14.2</v>
      </c>
      <c r="F81" s="36">
        <v>12.5</v>
      </c>
      <c r="G81" s="36">
        <v>15.4</v>
      </c>
      <c r="H81" s="36">
        <v>21.5</v>
      </c>
      <c r="I81" s="36">
        <v>20.3</v>
      </c>
      <c r="J81" s="36">
        <v>17.399999999999999</v>
      </c>
      <c r="K81" s="36">
        <v>17.600000000000001</v>
      </c>
      <c r="L81" s="36">
        <v>11.1</v>
      </c>
      <c r="M81" s="36">
        <v>11.5</v>
      </c>
      <c r="N81" s="36">
        <v>14.1</v>
      </c>
      <c r="O81" s="36">
        <v>10</v>
      </c>
      <c r="P81" s="37">
        <f t="shared" si="25"/>
        <v>14.699999999999998</v>
      </c>
      <c r="Q81" s="38">
        <f t="shared" si="26"/>
        <v>1</v>
      </c>
      <c r="R81" s="140">
        <f t="shared" si="27"/>
        <v>12.5</v>
      </c>
      <c r="S81" s="24">
        <f t="shared" si="28"/>
        <v>1</v>
      </c>
      <c r="T81" s="140">
        <f t="shared" si="29"/>
        <v>15.366666666666667</v>
      </c>
      <c r="U81" s="9">
        <f t="shared" si="30"/>
        <v>1</v>
      </c>
      <c r="V81" s="141">
        <f t="shared" si="31"/>
        <v>14.699999999999998</v>
      </c>
      <c r="W81" s="142">
        <f t="shared" si="32"/>
        <v>1</v>
      </c>
      <c r="X81" s="144">
        <f t="shared" ca="1" si="22"/>
        <v>12.5</v>
      </c>
      <c r="Y81" s="144">
        <f t="shared" ca="1" si="23"/>
        <v>15.366666666666667</v>
      </c>
      <c r="Z81" s="144">
        <f t="shared" ca="1" si="24"/>
        <v>14.699999999999998</v>
      </c>
      <c r="AA81" s="10"/>
      <c r="AB81" s="357" t="str">
        <f>VLOOKUP($B81,'2007-2020 Metadata'!$A$4:$S$214,MATCH("Urban Area /Monitoring Zone",'2007-2020 Metadata'!$A$4:$S$4,0),FALSE)</f>
        <v>Gisborne</v>
      </c>
      <c r="AC81" s="87" t="str">
        <f>VLOOKUP(B81,'2007-2020 Metadata'!$A$6:$A$214,1,FALSE)</f>
        <v>NAP001</v>
      </c>
      <c r="AD81" s="230" t="str">
        <f>VLOOKUP($AC81,'2007-2020 Metadata'!$A$6:$S$214,9,FALSE)</f>
        <v>Gisborne</v>
      </c>
      <c r="AE81" s="248">
        <f>IF(ISBLANK(VLOOKUP($AC81,'2007-2020 Metadata'!$A$6:$S$214,19,FALSE)),"",VLOOKUP($AC81,'2007-2020 Metadata'!$A$6:$S$214,19,FALSE))</f>
        <v>3</v>
      </c>
      <c r="AF81" s="88" t="str">
        <f>VLOOKUP($B81,'2007-2020 Metadata'!$A$4:$S$214,MATCH("Site type",'2007-2020 Metadata'!$A$4:$S$4,0),FALSE)</f>
        <v>SH</v>
      </c>
      <c r="AG81" s="143">
        <f t="shared" si="33"/>
        <v>10</v>
      </c>
      <c r="AH81" s="143">
        <f t="shared" si="34"/>
        <v>21.5</v>
      </c>
      <c r="AI81" s="144">
        <f t="shared" ca="1" si="35"/>
        <v>14.699999999999998</v>
      </c>
    </row>
    <row r="82" spans="1:35" ht="12" customHeight="1" x14ac:dyDescent="0.15">
      <c r="A82" s="31"/>
      <c r="B82" s="40" t="s">
        <v>43</v>
      </c>
      <c r="C82" s="104">
        <f>IF(VLOOKUP($B82,'Monthly Summary 2011'!$B$7:$Q$222,14,FALSE)=0,"",VLOOKUP($B82,'Monthly Summary 2011'!$B$7:$Q$222,14,FALSE))</f>
        <v>12.6</v>
      </c>
      <c r="D82" s="36">
        <v>14.1</v>
      </c>
      <c r="E82" s="36">
        <v>16.2</v>
      </c>
      <c r="F82" s="36">
        <v>18.600000000000001</v>
      </c>
      <c r="G82" s="36">
        <v>20</v>
      </c>
      <c r="H82" s="36"/>
      <c r="I82" s="36">
        <v>25</v>
      </c>
      <c r="J82" s="36">
        <v>23.3</v>
      </c>
      <c r="K82" s="36">
        <v>18.100000000000001</v>
      </c>
      <c r="L82" s="36">
        <v>12.3</v>
      </c>
      <c r="M82" s="36">
        <v>9.3000000000000007</v>
      </c>
      <c r="N82" s="36">
        <v>16.899999999999999</v>
      </c>
      <c r="O82" s="36">
        <v>12.1</v>
      </c>
      <c r="P82" s="37">
        <f t="shared" si="25"/>
        <v>16.900000000000002</v>
      </c>
      <c r="Q82" s="38">
        <f t="shared" si="26"/>
        <v>0.91666666666666663</v>
      </c>
      <c r="R82" s="140">
        <f t="shared" si="27"/>
        <v>16.3</v>
      </c>
      <c r="S82" s="24">
        <f t="shared" si="28"/>
        <v>1</v>
      </c>
      <c r="T82" s="140">
        <f t="shared" si="29"/>
        <v>17.900000000000002</v>
      </c>
      <c r="U82" s="9">
        <f t="shared" si="30"/>
        <v>1</v>
      </c>
      <c r="V82" s="141">
        <f t="shared" si="31"/>
        <v>16.900000000000002</v>
      </c>
      <c r="W82" s="142">
        <f t="shared" si="32"/>
        <v>0.91666666666666663</v>
      </c>
      <c r="X82" s="144">
        <f t="shared" ca="1" si="22"/>
        <v>15.377777777777778</v>
      </c>
      <c r="Y82" s="144">
        <f t="shared" ca="1" si="23"/>
        <v>18.488888888888891</v>
      </c>
      <c r="Z82" s="144">
        <f t="shared" ca="1" si="24"/>
        <v>16.805555555555554</v>
      </c>
      <c r="AA82" s="10"/>
      <c r="AB82" s="357" t="str">
        <f>VLOOKUP($B82,'2007-2020 Metadata'!$A$4:$S$214,MATCH("Urban Area /Monitoring Zone",'2007-2020 Metadata'!$A$4:$S$4,0),FALSE)</f>
        <v>Napier</v>
      </c>
      <c r="AC82" s="87" t="str">
        <f>VLOOKUP(B82,'2007-2020 Metadata'!$A$6:$A$214,1,FALSE)</f>
        <v>NAP002</v>
      </c>
      <c r="AD82" s="230" t="str">
        <f>VLOOKUP($AC82,'2007-2020 Metadata'!$A$6:$S$214,9,FALSE)</f>
        <v>Napier</v>
      </c>
      <c r="AE82" s="248">
        <f>IF(ISBLANK(VLOOKUP($AC82,'2007-2020 Metadata'!$A$6:$S$214,19,FALSE)),"",VLOOKUP($AC82,'2007-2020 Metadata'!$A$6:$S$214,19,FALSE))</f>
        <v>3</v>
      </c>
      <c r="AF82" s="88" t="str">
        <f>VLOOKUP($B82,'2007-2020 Metadata'!$A$4:$S$214,MATCH("Site type",'2007-2020 Metadata'!$A$4:$S$4,0),FALSE)</f>
        <v>SH</v>
      </c>
      <c r="AG82" s="143">
        <f t="shared" si="33"/>
        <v>9.3000000000000007</v>
      </c>
      <c r="AH82" s="143">
        <f t="shared" si="34"/>
        <v>25</v>
      </c>
      <c r="AI82" s="144">
        <f t="shared" ca="1" si="35"/>
        <v>16.805555555555554</v>
      </c>
    </row>
    <row r="83" spans="1:35" ht="12" customHeight="1" x14ac:dyDescent="0.15">
      <c r="A83" s="31"/>
      <c r="B83" s="40" t="s">
        <v>44</v>
      </c>
      <c r="C83" s="104">
        <f>IF(VLOOKUP($B83,'Monthly Summary 2011'!$B$7:$Q$222,14,FALSE)=0,"",VLOOKUP($B83,'Monthly Summary 2011'!$B$7:$Q$222,14,FALSE))</f>
        <v>24.3</v>
      </c>
      <c r="D83" s="36">
        <v>15.4</v>
      </c>
      <c r="E83" s="36">
        <v>27</v>
      </c>
      <c r="F83" s="36">
        <v>24.7</v>
      </c>
      <c r="G83" s="36">
        <v>28</v>
      </c>
      <c r="H83" s="36">
        <v>30.3</v>
      </c>
      <c r="I83" s="36">
        <v>27</v>
      </c>
      <c r="J83" s="36">
        <v>33.5</v>
      </c>
      <c r="K83" s="36">
        <v>28.5</v>
      </c>
      <c r="L83" s="36">
        <v>21.1</v>
      </c>
      <c r="M83" s="36">
        <v>14.9</v>
      </c>
      <c r="N83" s="36">
        <v>24.4</v>
      </c>
      <c r="O83" s="36">
        <v>20.399999999999999</v>
      </c>
      <c r="P83" s="37">
        <f t="shared" si="25"/>
        <v>24.599999999999994</v>
      </c>
      <c r="Q83" s="38">
        <f t="shared" si="26"/>
        <v>1</v>
      </c>
      <c r="R83" s="140">
        <f t="shared" si="27"/>
        <v>22.366666666666664</v>
      </c>
      <c r="S83" s="24">
        <f t="shared" si="28"/>
        <v>1</v>
      </c>
      <c r="T83" s="140">
        <f t="shared" si="29"/>
        <v>27.7</v>
      </c>
      <c r="U83" s="9">
        <f t="shared" si="30"/>
        <v>1</v>
      </c>
      <c r="V83" s="141">
        <f t="shared" si="31"/>
        <v>24.599999999999994</v>
      </c>
      <c r="W83" s="142">
        <f t="shared" si="32"/>
        <v>1</v>
      </c>
      <c r="X83" s="144">
        <f t="shared" ca="1" si="22"/>
        <v>15.377777777777778</v>
      </c>
      <c r="Y83" s="144">
        <f t="shared" ca="1" si="23"/>
        <v>18.488888888888891</v>
      </c>
      <c r="Z83" s="144">
        <f t="shared" ca="1" si="24"/>
        <v>16.805555555555554</v>
      </c>
      <c r="AA83" s="10"/>
      <c r="AB83" s="357" t="str">
        <f>VLOOKUP($B83,'2007-2020 Metadata'!$A$4:$S$214,MATCH("Urban Area /Monitoring Zone",'2007-2020 Metadata'!$A$4:$S$4,0),FALSE)</f>
        <v>Napier</v>
      </c>
      <c r="AC83" s="87" t="str">
        <f>VLOOKUP(B83,'2007-2020 Metadata'!$A$6:$A$214,1,FALSE)</f>
        <v>NAP003</v>
      </c>
      <c r="AD83" s="230" t="str">
        <f>VLOOKUP($AC83,'2007-2020 Metadata'!$A$6:$S$214,9,FALSE)</f>
        <v>Napier</v>
      </c>
      <c r="AE83" s="248">
        <f>IF(ISBLANK(VLOOKUP($AC83,'2007-2020 Metadata'!$A$6:$S$214,19,FALSE)),"",VLOOKUP($AC83,'2007-2020 Metadata'!$A$6:$S$214,19,FALSE))</f>
        <v>3</v>
      </c>
      <c r="AF83" s="88" t="str">
        <f>VLOOKUP($B83,'2007-2020 Metadata'!$A$4:$S$214,MATCH("Site type",'2007-2020 Metadata'!$A$4:$S$4,0),FALSE)</f>
        <v>SH</v>
      </c>
      <c r="AG83" s="143">
        <f t="shared" si="33"/>
        <v>14.9</v>
      </c>
      <c r="AH83" s="143">
        <f t="shared" si="34"/>
        <v>33.5</v>
      </c>
      <c r="AI83" s="144">
        <f t="shared" ca="1" si="35"/>
        <v>16.805555555555554</v>
      </c>
    </row>
    <row r="84" spans="1:35" ht="12" customHeight="1" x14ac:dyDescent="0.15">
      <c r="A84" s="31"/>
      <c r="B84" s="40" t="s">
        <v>45</v>
      </c>
      <c r="C84" s="104">
        <f>IF(VLOOKUP($B84,'Monthly Summary 2011'!$B$7:$Q$222,14,FALSE)=0,"",VLOOKUP($B84,'Monthly Summary 2011'!$B$7:$Q$222,14,FALSE))</f>
        <v>19.100000000000001</v>
      </c>
      <c r="D84" s="36">
        <v>15.8</v>
      </c>
      <c r="E84" s="36">
        <v>21.4</v>
      </c>
      <c r="F84" s="36">
        <v>22.1</v>
      </c>
      <c r="G84" s="36">
        <v>22.3</v>
      </c>
      <c r="H84" s="36">
        <v>27</v>
      </c>
      <c r="I84" s="36">
        <v>24.9</v>
      </c>
      <c r="J84" s="36">
        <v>23.7</v>
      </c>
      <c r="K84" s="36">
        <v>22.4</v>
      </c>
      <c r="L84" s="36">
        <v>16.100000000000001</v>
      </c>
      <c r="M84" s="36">
        <v>11.5</v>
      </c>
      <c r="N84" s="36">
        <v>13.4</v>
      </c>
      <c r="O84" s="36">
        <v>7.4</v>
      </c>
      <c r="P84" s="37">
        <f t="shared" si="25"/>
        <v>19</v>
      </c>
      <c r="Q84" s="38">
        <f t="shared" si="26"/>
        <v>1</v>
      </c>
      <c r="R84" s="140">
        <f t="shared" si="27"/>
        <v>19.766666666666669</v>
      </c>
      <c r="S84" s="24">
        <f t="shared" si="28"/>
        <v>1</v>
      </c>
      <c r="T84" s="140">
        <f t="shared" si="29"/>
        <v>20.733333333333331</v>
      </c>
      <c r="U84" s="9">
        <f t="shared" si="30"/>
        <v>1</v>
      </c>
      <c r="V84" s="141">
        <f t="shared" si="31"/>
        <v>19</v>
      </c>
      <c r="W84" s="142">
        <f t="shared" si="32"/>
        <v>1</v>
      </c>
      <c r="X84" s="144">
        <f t="shared" ca="1" si="22"/>
        <v>14.433333333333334</v>
      </c>
      <c r="Y84" s="144">
        <f t="shared" ca="1" si="23"/>
        <v>15.266666666666666</v>
      </c>
      <c r="Z84" s="144">
        <f t="shared" ca="1" si="24"/>
        <v>14.6875</v>
      </c>
      <c r="AA84" s="10"/>
      <c r="AB84" s="357" t="str">
        <f>VLOOKUP($B84,'2007-2020 Metadata'!$A$4:$S$214,MATCH("Urban Area /Monitoring Zone",'2007-2020 Metadata'!$A$4:$S$4,0),FALSE)</f>
        <v>Hastings</v>
      </c>
      <c r="AC84" s="87" t="str">
        <f>VLOOKUP(B84,'2007-2020 Metadata'!$A$6:$A$214,1,FALSE)</f>
        <v>NAP004</v>
      </c>
      <c r="AD84" s="230" t="str">
        <f>VLOOKUP($AC84,'2007-2020 Metadata'!$A$6:$S$214,9,FALSE)</f>
        <v>Hastings</v>
      </c>
      <c r="AE84" s="248">
        <f>IF(ISBLANK(VLOOKUP($AC84,'2007-2020 Metadata'!$A$6:$S$214,19,FALSE)),"",VLOOKUP($AC84,'2007-2020 Metadata'!$A$6:$S$214,19,FALSE))</f>
        <v>3</v>
      </c>
      <c r="AF84" s="88" t="str">
        <f>VLOOKUP($B84,'2007-2020 Metadata'!$A$4:$S$214,MATCH("Site type",'2007-2020 Metadata'!$A$4:$S$4,0),FALSE)</f>
        <v>SH</v>
      </c>
      <c r="AG84" s="143">
        <f t="shared" si="33"/>
        <v>7.4</v>
      </c>
      <c r="AH84" s="143">
        <f t="shared" si="34"/>
        <v>27</v>
      </c>
      <c r="AI84" s="144">
        <f t="shared" ca="1" si="35"/>
        <v>14.6875</v>
      </c>
    </row>
    <row r="85" spans="1:35" ht="12" customHeight="1" x14ac:dyDescent="0.15">
      <c r="A85" s="31"/>
      <c r="B85" s="40" t="s">
        <v>107</v>
      </c>
      <c r="C85" s="104">
        <f>IF(VLOOKUP($B85,'Monthly Summary 2011'!$B$7:$Q$222,14,FALSE)=0,"",VLOOKUP($B85,'Monthly Summary 2011'!$B$7:$Q$222,14,FALSE))</f>
        <v>6.1</v>
      </c>
      <c r="D85" s="36">
        <v>7.4</v>
      </c>
      <c r="E85" s="36">
        <v>9.5</v>
      </c>
      <c r="F85" s="36">
        <v>10.4</v>
      </c>
      <c r="G85" s="36">
        <v>12.7</v>
      </c>
      <c r="H85" s="36">
        <v>18.399999999999999</v>
      </c>
      <c r="I85" s="36">
        <v>16</v>
      </c>
      <c r="J85" s="36">
        <v>11.5</v>
      </c>
      <c r="K85" s="36">
        <v>11.3</v>
      </c>
      <c r="L85" s="36">
        <v>6.6</v>
      </c>
      <c r="M85" s="36">
        <v>6.3</v>
      </c>
      <c r="N85" s="36">
        <v>7.4</v>
      </c>
      <c r="O85" s="36">
        <v>7</v>
      </c>
      <c r="P85" s="37">
        <f t="shared" si="25"/>
        <v>10.375</v>
      </c>
      <c r="Q85" s="38">
        <f t="shared" si="26"/>
        <v>1</v>
      </c>
      <c r="R85" s="140">
        <f t="shared" si="27"/>
        <v>9.1</v>
      </c>
      <c r="S85" s="24">
        <f t="shared" si="28"/>
        <v>1</v>
      </c>
      <c r="T85" s="140">
        <f t="shared" si="29"/>
        <v>9.7999999999999989</v>
      </c>
      <c r="U85" s="9">
        <f t="shared" si="30"/>
        <v>1</v>
      </c>
      <c r="V85" s="141">
        <f t="shared" si="31"/>
        <v>10.375</v>
      </c>
      <c r="W85" s="142">
        <f t="shared" si="32"/>
        <v>1</v>
      </c>
      <c r="X85" s="144">
        <f t="shared" ca="1" si="22"/>
        <v>14.433333333333334</v>
      </c>
      <c r="Y85" s="144">
        <f t="shared" ca="1" si="23"/>
        <v>15.266666666666666</v>
      </c>
      <c r="Z85" s="144">
        <f t="shared" ca="1" si="24"/>
        <v>14.6875</v>
      </c>
      <c r="AA85" s="10"/>
      <c r="AB85" s="357" t="str">
        <f>VLOOKUP($B85,'2007-2020 Metadata'!$A$4:$S$214,MATCH("Urban Area /Monitoring Zone",'2007-2020 Metadata'!$A$4:$S$4,0),FALSE)</f>
        <v>Hastings</v>
      </c>
      <c r="AC85" s="87" t="str">
        <f>VLOOKUP(B85,'2007-2020 Metadata'!$A$6:$A$214,1,FALSE)</f>
        <v>NAP005</v>
      </c>
      <c r="AD85" s="230" t="str">
        <f>VLOOKUP($AC85,'2007-2020 Metadata'!$A$6:$S$214,9,FALSE)</f>
        <v>Hastings</v>
      </c>
      <c r="AE85" s="248">
        <f>IF(ISBLANK(VLOOKUP($AC85,'2007-2020 Metadata'!$A$6:$S$214,19,FALSE)),"",VLOOKUP($AC85,'2007-2020 Metadata'!$A$6:$S$214,19,FALSE))</f>
        <v>2.7</v>
      </c>
      <c r="AF85" s="88" t="str">
        <f>VLOOKUP($B85,'2007-2020 Metadata'!$A$4:$S$214,MATCH("Site type",'2007-2020 Metadata'!$A$4:$S$4,0),FALSE)</f>
        <v>Background</v>
      </c>
      <c r="AG85" s="143">
        <f t="shared" si="33"/>
        <v>6.3</v>
      </c>
      <c r="AH85" s="143">
        <f t="shared" si="34"/>
        <v>18.399999999999999</v>
      </c>
      <c r="AI85" s="144">
        <f t="shared" ca="1" si="35"/>
        <v>14.6875</v>
      </c>
    </row>
    <row r="86" spans="1:35" ht="12" customHeight="1" x14ac:dyDescent="0.15">
      <c r="A86" s="31"/>
      <c r="B86" s="40" t="s">
        <v>108</v>
      </c>
      <c r="C86" s="104">
        <f>IF(VLOOKUP($B86,'Monthly Summary 2011'!$B$7:$Q$222,14,FALSE)=0,"",VLOOKUP($B86,'Monthly Summary 2011'!$B$7:$Q$222,14,FALSE))</f>
        <v>6.5</v>
      </c>
      <c r="D86" s="36">
        <v>5.8</v>
      </c>
      <c r="E86" s="36">
        <v>8</v>
      </c>
      <c r="F86" s="36">
        <v>8.6</v>
      </c>
      <c r="G86" s="36">
        <v>9.9</v>
      </c>
      <c r="H86" s="36">
        <v>14.3</v>
      </c>
      <c r="I86" s="36">
        <v>12.2</v>
      </c>
      <c r="J86" s="36">
        <v>10.5</v>
      </c>
      <c r="K86" s="36">
        <v>11.8</v>
      </c>
      <c r="L86" s="36">
        <v>7.3</v>
      </c>
      <c r="M86" s="36">
        <v>4.7</v>
      </c>
      <c r="N86" s="36">
        <v>7.8</v>
      </c>
      <c r="O86" s="36">
        <v>6.1</v>
      </c>
      <c r="P86" s="37">
        <f t="shared" si="25"/>
        <v>8.9166666666666661</v>
      </c>
      <c r="Q86" s="38">
        <f t="shared" si="26"/>
        <v>1</v>
      </c>
      <c r="R86" s="140">
        <f t="shared" si="27"/>
        <v>7.4666666666666659</v>
      </c>
      <c r="S86" s="24">
        <f t="shared" si="28"/>
        <v>1</v>
      </c>
      <c r="T86" s="140">
        <f t="shared" si="29"/>
        <v>9.8666666666666671</v>
      </c>
      <c r="U86" s="9">
        <f t="shared" si="30"/>
        <v>1</v>
      </c>
      <c r="V86" s="141">
        <f t="shared" si="31"/>
        <v>8.9166666666666661</v>
      </c>
      <c r="W86" s="142">
        <f t="shared" si="32"/>
        <v>1</v>
      </c>
      <c r="X86" s="144">
        <f t="shared" ca="1" si="22"/>
        <v>15.377777777777778</v>
      </c>
      <c r="Y86" s="144">
        <f t="shared" ca="1" si="23"/>
        <v>18.488888888888891</v>
      </c>
      <c r="Z86" s="144">
        <f t="shared" ca="1" si="24"/>
        <v>16.805555555555554</v>
      </c>
      <c r="AA86" s="10"/>
      <c r="AB86" s="357" t="str">
        <f>VLOOKUP($B86,'2007-2020 Metadata'!$A$4:$S$214,MATCH("Urban Area /Monitoring Zone",'2007-2020 Metadata'!$A$4:$S$4,0),FALSE)</f>
        <v>Napier</v>
      </c>
      <c r="AC86" s="87" t="str">
        <f>VLOOKUP(B86,'2007-2020 Metadata'!$A$6:$A$214,1,FALSE)</f>
        <v>NAP006</v>
      </c>
      <c r="AD86" s="230" t="str">
        <f>VLOOKUP($AC86,'2007-2020 Metadata'!$A$6:$S$214,9,FALSE)</f>
        <v>Napier</v>
      </c>
      <c r="AE86" s="248">
        <f>IF(ISBLANK(VLOOKUP($AC86,'2007-2020 Metadata'!$A$6:$S$214,19,FALSE)),"",VLOOKUP($AC86,'2007-2020 Metadata'!$A$6:$S$214,19,FALSE))</f>
        <v>3</v>
      </c>
      <c r="AF86" s="88" t="str">
        <f>VLOOKUP($B86,'2007-2020 Metadata'!$A$4:$S$214,MATCH("Site type",'2007-2020 Metadata'!$A$4:$S$4,0),FALSE)</f>
        <v>Background</v>
      </c>
      <c r="AG86" s="143">
        <f t="shared" si="33"/>
        <v>4.7</v>
      </c>
      <c r="AH86" s="143">
        <f t="shared" si="34"/>
        <v>14.3</v>
      </c>
      <c r="AI86" s="144">
        <f t="shared" ca="1" si="35"/>
        <v>16.805555555555554</v>
      </c>
    </row>
    <row r="87" spans="1:35" ht="12" customHeight="1" x14ac:dyDescent="0.15">
      <c r="A87" s="31"/>
      <c r="B87" s="40" t="s">
        <v>46</v>
      </c>
      <c r="C87" s="104">
        <f>IF(VLOOKUP($B87,'Monthly Summary 2011'!$B$7:$Q$222,14,FALSE)=0,"",VLOOKUP($B87,'Monthly Summary 2011'!$B$7:$Q$222,14,FALSE))</f>
        <v>19</v>
      </c>
      <c r="D87" s="36">
        <v>18.600000000000001</v>
      </c>
      <c r="E87" s="36">
        <v>21.9</v>
      </c>
      <c r="F87" s="36">
        <v>19.600000000000001</v>
      </c>
      <c r="G87" s="36"/>
      <c r="H87" s="36"/>
      <c r="I87" s="36"/>
      <c r="J87" s="36"/>
      <c r="K87" s="36"/>
      <c r="L87" s="36"/>
      <c r="M87" s="36"/>
      <c r="N87" s="36"/>
      <c r="O87" s="36"/>
      <c r="P87" s="37">
        <f t="shared" si="25"/>
        <v>20.033333333333335</v>
      </c>
      <c r="Q87" s="38">
        <f t="shared" si="26"/>
        <v>0.25</v>
      </c>
      <c r="R87" s="140">
        <f t="shared" si="27"/>
        <v>20.033333333333335</v>
      </c>
      <c r="S87" s="24">
        <f t="shared" si="28"/>
        <v>1</v>
      </c>
      <c r="T87" s="140" t="str">
        <f t="shared" si="29"/>
        <v/>
      </c>
      <c r="U87" s="9">
        <f t="shared" si="30"/>
        <v>0</v>
      </c>
      <c r="V87" s="141" t="str">
        <f t="shared" si="31"/>
        <v>-</v>
      </c>
      <c r="W87" s="142">
        <f t="shared" si="32"/>
        <v>0.25</v>
      </c>
      <c r="X87" s="144">
        <f t="shared" ca="1" si="22"/>
        <v>13.55</v>
      </c>
      <c r="Y87" s="144">
        <f t="shared" ca="1" si="23"/>
        <v>5.9333333333333336</v>
      </c>
      <c r="Z87" s="144">
        <f t="shared" ca="1" si="24"/>
        <v>6.833333333333333</v>
      </c>
      <c r="AA87" s="10"/>
      <c r="AB87" s="357" t="str">
        <f>VLOOKUP($B87,'2007-2020 Metadata'!$A$4:$S$214,MATCH("Urban Area /Monitoring Zone",'2007-2020 Metadata'!$A$4:$S$4,0),FALSE)</f>
        <v>New Plymouth</v>
      </c>
      <c r="AC87" s="87" t="str">
        <f>VLOOKUP(B87,'2007-2020 Metadata'!$A$6:$A$214,1,FALSE)</f>
        <v>WAN001</v>
      </c>
      <c r="AD87" s="230" t="str">
        <f>VLOOKUP($AC87,'2007-2020 Metadata'!$A$6:$S$214,9,FALSE)</f>
        <v>New Plymouth</v>
      </c>
      <c r="AE87" s="248">
        <f>IF(ISBLANK(VLOOKUP($AC87,'2007-2020 Metadata'!$A$6:$S$214,19,FALSE)),"",VLOOKUP($AC87,'2007-2020 Metadata'!$A$6:$S$214,19,FALSE))</f>
        <v>3</v>
      </c>
      <c r="AF87" s="88" t="str">
        <f>VLOOKUP($B87,'2007-2020 Metadata'!$A$4:$S$214,MATCH("Site type",'2007-2020 Metadata'!$A$4:$S$4,0),FALSE)</f>
        <v>SH</v>
      </c>
      <c r="AG87" s="143">
        <f t="shared" si="33"/>
        <v>18.600000000000001</v>
      </c>
      <c r="AH87" s="143">
        <f t="shared" si="34"/>
        <v>21.9</v>
      </c>
      <c r="AI87" s="144" t="str">
        <f t="shared" si="35"/>
        <v xml:space="preserve"> </v>
      </c>
    </row>
    <row r="88" spans="1:35" ht="12" customHeight="1" x14ac:dyDescent="0.15">
      <c r="A88" s="31"/>
      <c r="B88" s="40" t="s">
        <v>48</v>
      </c>
      <c r="C88" s="104">
        <f>IF(VLOOKUP($B88,'Monthly Summary 2011'!$B$7:$Q$222,14,FALSE)=0,"",VLOOKUP($B88,'Monthly Summary 2011'!$B$7:$Q$222,14,FALSE))</f>
        <v>15.3</v>
      </c>
      <c r="D88" s="36">
        <v>13.8</v>
      </c>
      <c r="E88" s="36">
        <v>21.4</v>
      </c>
      <c r="F88" s="36">
        <v>21.1</v>
      </c>
      <c r="G88" s="36">
        <v>26.1</v>
      </c>
      <c r="H88" s="36">
        <v>30.4</v>
      </c>
      <c r="I88" s="36">
        <v>27.6</v>
      </c>
      <c r="J88" s="36">
        <v>24.7</v>
      </c>
      <c r="K88" s="36">
        <v>26.7</v>
      </c>
      <c r="L88" s="36">
        <v>23.9</v>
      </c>
      <c r="M88" s="36">
        <v>14.9</v>
      </c>
      <c r="N88" s="36">
        <v>17</v>
      </c>
      <c r="O88" s="36">
        <v>10.7</v>
      </c>
      <c r="P88" s="37">
        <f t="shared" si="25"/>
        <v>21.525000000000002</v>
      </c>
      <c r="Q88" s="38">
        <f t="shared" si="26"/>
        <v>1</v>
      </c>
      <c r="R88" s="140">
        <f t="shared" si="27"/>
        <v>18.766666666666669</v>
      </c>
      <c r="S88" s="24">
        <f t="shared" si="28"/>
        <v>1</v>
      </c>
      <c r="T88" s="140">
        <f t="shared" si="29"/>
        <v>25.099999999999998</v>
      </c>
      <c r="U88" s="9">
        <f t="shared" si="30"/>
        <v>1</v>
      </c>
      <c r="V88" s="141">
        <f t="shared" si="31"/>
        <v>21.525000000000002</v>
      </c>
      <c r="W88" s="142">
        <f t="shared" si="32"/>
        <v>1</v>
      </c>
      <c r="X88" s="144">
        <f t="shared" ca="1" si="22"/>
        <v>15.343333333333334</v>
      </c>
      <c r="Y88" s="144">
        <f t="shared" ca="1" si="23"/>
        <v>20.179999999999996</v>
      </c>
      <c r="Z88" s="144">
        <f t="shared" ca="1" si="24"/>
        <v>17.589999999999996</v>
      </c>
      <c r="AA88" s="10"/>
      <c r="AB88" s="357" t="str">
        <f>VLOOKUP($B88,'2007-2020 Metadata'!$A$4:$S$214,MATCH("Urban Area /Monitoring Zone",'2007-2020 Metadata'!$A$4:$S$4,0),FALSE)</f>
        <v>Palmerston North</v>
      </c>
      <c r="AC88" s="87" t="str">
        <f>VLOOKUP(B88,'2007-2020 Metadata'!$A$6:$A$214,1,FALSE)</f>
        <v>WAN004</v>
      </c>
      <c r="AD88" s="230" t="str">
        <f>VLOOKUP($AC88,'2007-2020 Metadata'!$A$6:$S$214,9,FALSE)</f>
        <v>Palmerston North</v>
      </c>
      <c r="AE88" s="248">
        <f>IF(ISBLANK(VLOOKUP($AC88,'2007-2020 Metadata'!$A$6:$S$214,19,FALSE)),"",VLOOKUP($AC88,'2007-2020 Metadata'!$A$6:$S$214,19,FALSE))</f>
        <v>3</v>
      </c>
      <c r="AF88" s="88" t="str">
        <f>VLOOKUP($B88,'2007-2020 Metadata'!$A$4:$S$214,MATCH("Site type",'2007-2020 Metadata'!$A$4:$S$4,0),FALSE)</f>
        <v>SH</v>
      </c>
      <c r="AG88" s="143">
        <f t="shared" si="33"/>
        <v>10.7</v>
      </c>
      <c r="AH88" s="143">
        <f t="shared" si="34"/>
        <v>30.4</v>
      </c>
      <c r="AI88" s="144">
        <f t="shared" ca="1" si="35"/>
        <v>17.589999999999996</v>
      </c>
    </row>
    <row r="89" spans="1:35" ht="12" customHeight="1" x14ac:dyDescent="0.15">
      <c r="A89" s="31"/>
      <c r="B89" s="40" t="s">
        <v>109</v>
      </c>
      <c r="C89" s="104">
        <f>IF(VLOOKUP($B89,'Monthly Summary 2011'!$B$7:$Q$222,14,FALSE)=0,"",VLOOKUP($B89,'Monthly Summary 2011'!$B$7:$Q$222,14,FALSE))</f>
        <v>10.5</v>
      </c>
      <c r="D89" s="36">
        <v>6.8</v>
      </c>
      <c r="E89" s="36">
        <v>12.7</v>
      </c>
      <c r="F89" s="36">
        <v>12.5</v>
      </c>
      <c r="G89" s="36">
        <v>16.2</v>
      </c>
      <c r="H89" s="36">
        <v>18.2</v>
      </c>
      <c r="I89" s="36">
        <v>16.100000000000001</v>
      </c>
      <c r="J89" s="36">
        <v>16</v>
      </c>
      <c r="K89" s="36">
        <v>15.7</v>
      </c>
      <c r="L89" s="36">
        <v>11</v>
      </c>
      <c r="M89" s="36">
        <v>7.1</v>
      </c>
      <c r="N89" s="36">
        <v>7.5</v>
      </c>
      <c r="O89" s="36">
        <v>4.0999999999999996</v>
      </c>
      <c r="P89" s="37">
        <f t="shared" si="25"/>
        <v>11.991666666666667</v>
      </c>
      <c r="Q89" s="38">
        <f t="shared" si="26"/>
        <v>1</v>
      </c>
      <c r="R89" s="140">
        <f t="shared" si="27"/>
        <v>10.666666666666666</v>
      </c>
      <c r="S89" s="24">
        <f t="shared" si="28"/>
        <v>1</v>
      </c>
      <c r="T89" s="140">
        <f t="shared" si="29"/>
        <v>14.233333333333334</v>
      </c>
      <c r="U89" s="9">
        <f t="shared" si="30"/>
        <v>1</v>
      </c>
      <c r="V89" s="141">
        <f t="shared" si="31"/>
        <v>11.991666666666667</v>
      </c>
      <c r="W89" s="142">
        <f t="shared" si="32"/>
        <v>1</v>
      </c>
      <c r="X89" s="144">
        <f t="shared" ca="1" si="22"/>
        <v>15.343333333333334</v>
      </c>
      <c r="Y89" s="144">
        <f t="shared" ca="1" si="23"/>
        <v>20.179999999999996</v>
      </c>
      <c r="Z89" s="144">
        <f t="shared" ca="1" si="24"/>
        <v>17.589999999999996</v>
      </c>
      <c r="AA89" s="10"/>
      <c r="AB89" s="357" t="str">
        <f>VLOOKUP($B89,'2007-2020 Metadata'!$A$4:$S$214,MATCH("Urban Area /Monitoring Zone",'2007-2020 Metadata'!$A$4:$S$4,0),FALSE)</f>
        <v>Palmerston North</v>
      </c>
      <c r="AC89" s="87" t="str">
        <f>VLOOKUP(B89,'2007-2020 Metadata'!$A$6:$A$214,1,FALSE)</f>
        <v>WAN005</v>
      </c>
      <c r="AD89" s="230" t="str">
        <f>VLOOKUP($AC89,'2007-2020 Metadata'!$A$6:$S$214,9,FALSE)</f>
        <v>Palmerston North</v>
      </c>
      <c r="AE89" s="248">
        <f>IF(ISBLANK(VLOOKUP($AC89,'2007-2020 Metadata'!$A$6:$S$214,19,FALSE)),"",VLOOKUP($AC89,'2007-2020 Metadata'!$A$6:$S$214,19,FALSE))</f>
        <v>2.5</v>
      </c>
      <c r="AF89" s="88" t="str">
        <f>VLOOKUP($B89,'2007-2020 Metadata'!$A$4:$S$214,MATCH("Site type",'2007-2020 Metadata'!$A$4:$S$4,0),FALSE)</f>
        <v>SH</v>
      </c>
      <c r="AG89" s="143">
        <f t="shared" si="33"/>
        <v>4.0999999999999996</v>
      </c>
      <c r="AH89" s="143">
        <f t="shared" si="34"/>
        <v>18.2</v>
      </c>
      <c r="AI89" s="144">
        <f t="shared" ca="1" si="35"/>
        <v>17.589999999999996</v>
      </c>
    </row>
    <row r="90" spans="1:35" ht="12" customHeight="1" x14ac:dyDescent="0.15">
      <c r="A90" s="31"/>
      <c r="B90" s="40" t="s">
        <v>110</v>
      </c>
      <c r="C90" s="104">
        <f>IF(VLOOKUP($B90,'Monthly Summary 2011'!$B$7:$Q$222,14,FALSE)=0,"",VLOOKUP($B90,'Monthly Summary 2011'!$B$7:$Q$222,14,FALSE))</f>
        <v>22.1</v>
      </c>
      <c r="D90" s="36">
        <v>18.100000000000001</v>
      </c>
      <c r="E90" s="36"/>
      <c r="F90" s="36">
        <v>25</v>
      </c>
      <c r="G90" s="36">
        <v>28.2</v>
      </c>
      <c r="H90" s="36">
        <v>33.4</v>
      </c>
      <c r="I90" s="36">
        <v>31.2</v>
      </c>
      <c r="J90" s="36">
        <v>27.4</v>
      </c>
      <c r="K90" s="36">
        <v>27.3</v>
      </c>
      <c r="L90" s="36">
        <v>25.9</v>
      </c>
      <c r="M90" s="36">
        <v>17.899999999999999</v>
      </c>
      <c r="N90" s="36">
        <v>16.7</v>
      </c>
      <c r="O90" s="36">
        <v>10.7</v>
      </c>
      <c r="P90" s="37">
        <f t="shared" si="25"/>
        <v>23.8</v>
      </c>
      <c r="Q90" s="38">
        <f t="shared" si="26"/>
        <v>0.91666666666666663</v>
      </c>
      <c r="R90" s="140">
        <f t="shared" si="27"/>
        <v>21.55</v>
      </c>
      <c r="S90" s="24">
        <f t="shared" si="28"/>
        <v>0.66666666666666663</v>
      </c>
      <c r="T90" s="140">
        <f t="shared" si="29"/>
        <v>26.866666666666664</v>
      </c>
      <c r="U90" s="9">
        <f t="shared" si="30"/>
        <v>1</v>
      </c>
      <c r="V90" s="141">
        <f t="shared" si="31"/>
        <v>23.8</v>
      </c>
      <c r="W90" s="142">
        <f t="shared" si="32"/>
        <v>0.91666666666666663</v>
      </c>
      <c r="X90" s="144">
        <f t="shared" ca="1" si="22"/>
        <v>15.343333333333334</v>
      </c>
      <c r="Y90" s="144">
        <f t="shared" ca="1" si="23"/>
        <v>20.179999999999996</v>
      </c>
      <c r="Z90" s="144">
        <f t="shared" ca="1" si="24"/>
        <v>17.589999999999996</v>
      </c>
      <c r="AA90" s="10"/>
      <c r="AB90" s="357" t="str">
        <f>VLOOKUP($B90,'2007-2020 Metadata'!$A$4:$S$214,MATCH("Urban Area /Monitoring Zone",'2007-2020 Metadata'!$A$4:$S$4,0),FALSE)</f>
        <v>Palmerston North</v>
      </c>
      <c r="AC90" s="87" t="str">
        <f>VLOOKUP(B90,'2007-2020 Metadata'!$A$6:$A$214,1,FALSE)</f>
        <v>WAN006</v>
      </c>
      <c r="AD90" s="230" t="str">
        <f>VLOOKUP($AC90,'2007-2020 Metadata'!$A$6:$S$214,9,FALSE)</f>
        <v>Palmerston North</v>
      </c>
      <c r="AE90" s="248">
        <f>IF(ISBLANK(VLOOKUP($AC90,'2007-2020 Metadata'!$A$6:$S$214,19,FALSE)),"",VLOOKUP($AC90,'2007-2020 Metadata'!$A$6:$S$214,19,FALSE))</f>
        <v>2.5</v>
      </c>
      <c r="AF90" s="88" t="str">
        <f>VLOOKUP($B90,'2007-2020 Metadata'!$A$4:$S$214,MATCH("Site type",'2007-2020 Metadata'!$A$4:$S$4,0),FALSE)</f>
        <v>SH</v>
      </c>
      <c r="AG90" s="143">
        <f t="shared" si="33"/>
        <v>10.7</v>
      </c>
      <c r="AH90" s="143">
        <f t="shared" si="34"/>
        <v>33.4</v>
      </c>
      <c r="AI90" s="144">
        <f t="shared" ca="1" si="35"/>
        <v>17.589999999999996</v>
      </c>
    </row>
    <row r="91" spans="1:35" ht="12" customHeight="1" x14ac:dyDescent="0.15">
      <c r="A91" s="31"/>
      <c r="B91" s="40" t="s">
        <v>111</v>
      </c>
      <c r="C91" s="104">
        <f>IF(VLOOKUP($B91,'Monthly Summary 2011'!$B$7:$Q$222,14,FALSE)=0,"",VLOOKUP($B91,'Monthly Summary 2011'!$B$7:$Q$222,14,FALSE))</f>
        <v>12.5</v>
      </c>
      <c r="D91" s="36">
        <v>10.199999999999999</v>
      </c>
      <c r="E91" s="36">
        <v>14.4</v>
      </c>
      <c r="F91" s="36">
        <v>15.2</v>
      </c>
      <c r="G91" s="36">
        <v>18.399999999999999</v>
      </c>
      <c r="H91" s="36">
        <v>23.8</v>
      </c>
      <c r="I91" s="36">
        <v>23</v>
      </c>
      <c r="J91" s="36">
        <v>21.2</v>
      </c>
      <c r="K91" s="36">
        <v>19.3</v>
      </c>
      <c r="L91" s="36">
        <v>18.2</v>
      </c>
      <c r="M91" s="36">
        <v>10.9</v>
      </c>
      <c r="N91" s="36">
        <v>11.2</v>
      </c>
      <c r="O91" s="36">
        <v>6.3</v>
      </c>
      <c r="P91" s="37">
        <f t="shared" si="25"/>
        <v>16.008333333333333</v>
      </c>
      <c r="Q91" s="38">
        <f t="shared" si="26"/>
        <v>1</v>
      </c>
      <c r="R91" s="140">
        <f t="shared" si="27"/>
        <v>13.266666666666666</v>
      </c>
      <c r="S91" s="24">
        <f t="shared" si="28"/>
        <v>1</v>
      </c>
      <c r="T91" s="140">
        <f t="shared" si="29"/>
        <v>19.566666666666666</v>
      </c>
      <c r="U91" s="9">
        <f t="shared" si="30"/>
        <v>1</v>
      </c>
      <c r="V91" s="141">
        <f t="shared" si="31"/>
        <v>16.008333333333333</v>
      </c>
      <c r="W91" s="142">
        <f t="shared" si="32"/>
        <v>1</v>
      </c>
      <c r="X91" s="144">
        <f t="shared" ca="1" si="22"/>
        <v>15.343333333333334</v>
      </c>
      <c r="Y91" s="144">
        <f t="shared" ca="1" si="23"/>
        <v>20.179999999999996</v>
      </c>
      <c r="Z91" s="144">
        <f t="shared" ca="1" si="24"/>
        <v>17.589999999999996</v>
      </c>
      <c r="AA91" s="10"/>
      <c r="AB91" s="357" t="str">
        <f>VLOOKUP($B91,'2007-2020 Metadata'!$A$4:$S$214,MATCH("Urban Area /Monitoring Zone",'2007-2020 Metadata'!$A$4:$S$4,0),FALSE)</f>
        <v>Palmerston North</v>
      </c>
      <c r="AC91" s="87" t="str">
        <f>VLOOKUP(B91,'2007-2020 Metadata'!$A$6:$A$214,1,FALSE)</f>
        <v>WAN007</v>
      </c>
      <c r="AD91" s="230" t="str">
        <f>VLOOKUP($AC91,'2007-2020 Metadata'!$A$6:$S$214,9,FALSE)</f>
        <v>Palmerston North</v>
      </c>
      <c r="AE91" s="248">
        <f>IF(ISBLANK(VLOOKUP($AC91,'2007-2020 Metadata'!$A$6:$S$214,19,FALSE)),"",VLOOKUP($AC91,'2007-2020 Metadata'!$A$6:$S$214,19,FALSE))</f>
        <v>2.5</v>
      </c>
      <c r="AF91" s="88" t="str">
        <f>VLOOKUP($B91,'2007-2020 Metadata'!$A$4:$S$214,MATCH("Site type",'2007-2020 Metadata'!$A$4:$S$4,0),FALSE)</f>
        <v>Local</v>
      </c>
      <c r="AG91" s="143">
        <f t="shared" si="33"/>
        <v>6.3</v>
      </c>
      <c r="AH91" s="143">
        <f t="shared" si="34"/>
        <v>23.8</v>
      </c>
      <c r="AI91" s="144">
        <f t="shared" ca="1" si="35"/>
        <v>17.589999999999996</v>
      </c>
    </row>
    <row r="92" spans="1:35" ht="12" customHeight="1" x14ac:dyDescent="0.15">
      <c r="A92" s="31"/>
      <c r="B92" s="40" t="s">
        <v>112</v>
      </c>
      <c r="C92" s="104">
        <f>IF(VLOOKUP($B92,'Monthly Summary 2011'!$B$7:$Q$222,14,FALSE)=0,"",VLOOKUP($B92,'Monthly Summary 2011'!$B$7:$Q$222,14,FALSE))</f>
        <v>9.6</v>
      </c>
      <c r="D92" s="36">
        <v>11.3</v>
      </c>
      <c r="E92" s="36">
        <v>13.8</v>
      </c>
      <c r="F92" s="36">
        <v>12.3</v>
      </c>
      <c r="G92" s="36">
        <v>17.5</v>
      </c>
      <c r="H92" s="36">
        <v>19.8</v>
      </c>
      <c r="I92" s="36">
        <v>18.3</v>
      </c>
      <c r="J92" s="36">
        <v>15.7</v>
      </c>
      <c r="K92" s="36">
        <v>14.8</v>
      </c>
      <c r="L92" s="36">
        <v>14.9</v>
      </c>
      <c r="M92" s="36">
        <v>14.1</v>
      </c>
      <c r="N92" s="36">
        <v>13.8</v>
      </c>
      <c r="O92" s="36">
        <v>9.1999999999999993</v>
      </c>
      <c r="P92" s="37">
        <f t="shared" si="25"/>
        <v>14.625</v>
      </c>
      <c r="Q92" s="38">
        <f t="shared" si="26"/>
        <v>1</v>
      </c>
      <c r="R92" s="140">
        <f t="shared" si="27"/>
        <v>12.466666666666669</v>
      </c>
      <c r="S92" s="24">
        <f t="shared" si="28"/>
        <v>1</v>
      </c>
      <c r="T92" s="140">
        <f t="shared" si="29"/>
        <v>15.133333333333333</v>
      </c>
      <c r="U92" s="9">
        <f t="shared" si="30"/>
        <v>1</v>
      </c>
      <c r="V92" s="141">
        <f t="shared" si="31"/>
        <v>14.625</v>
      </c>
      <c r="W92" s="142">
        <f t="shared" si="32"/>
        <v>1</v>
      </c>
      <c r="X92" s="144">
        <f t="shared" ca="1" si="22"/>
        <v>15.343333333333334</v>
      </c>
      <c r="Y92" s="144">
        <f t="shared" ca="1" si="23"/>
        <v>20.179999999999996</v>
      </c>
      <c r="Z92" s="144">
        <f t="shared" ca="1" si="24"/>
        <v>17.589999999999996</v>
      </c>
      <c r="AA92" s="10"/>
      <c r="AB92" s="357" t="str">
        <f>VLOOKUP($B92,'2007-2020 Metadata'!$A$4:$S$214,MATCH("Urban Area /Monitoring Zone",'2007-2020 Metadata'!$A$4:$S$4,0),FALSE)</f>
        <v>Palmerston North</v>
      </c>
      <c r="AC92" s="87" t="str">
        <f>VLOOKUP(B92,'2007-2020 Metadata'!$A$6:$A$214,1,FALSE)</f>
        <v>WAN008</v>
      </c>
      <c r="AD92" s="230" t="str">
        <f>VLOOKUP($AC92,'2007-2020 Metadata'!$A$6:$S$214,9,FALSE)</f>
        <v>Palmerston North</v>
      </c>
      <c r="AE92" s="248">
        <f>IF(ISBLANK(VLOOKUP($AC92,'2007-2020 Metadata'!$A$6:$S$214,19,FALSE)),"",VLOOKUP($AC92,'2007-2020 Metadata'!$A$6:$S$214,19,FALSE))</f>
        <v>2.5</v>
      </c>
      <c r="AF92" s="88" t="str">
        <f>VLOOKUP($B92,'2007-2020 Metadata'!$A$4:$S$214,MATCH("Site type",'2007-2020 Metadata'!$A$4:$S$4,0),FALSE)</f>
        <v>Background</v>
      </c>
      <c r="AG92" s="143">
        <f t="shared" si="33"/>
        <v>9.1999999999999993</v>
      </c>
      <c r="AH92" s="143">
        <f t="shared" si="34"/>
        <v>19.8</v>
      </c>
      <c r="AI92" s="144">
        <f t="shared" ca="1" si="35"/>
        <v>17.589999999999996</v>
      </c>
    </row>
    <row r="93" spans="1:35" ht="12" customHeight="1" x14ac:dyDescent="0.15">
      <c r="A93" s="31"/>
      <c r="B93" s="40" t="s">
        <v>113</v>
      </c>
      <c r="C93" s="104">
        <f>IF(VLOOKUP($B93,'Monthly Summary 2011'!$B$7:$Q$222,14,FALSE)=0,"",VLOOKUP($B93,'Monthly Summary 2011'!$B$7:$Q$222,14,FALSE))</f>
        <v>6.9</v>
      </c>
      <c r="D93" s="36">
        <v>6.2</v>
      </c>
      <c r="E93" s="36">
        <v>7.6</v>
      </c>
      <c r="F93" s="36">
        <v>7.4</v>
      </c>
      <c r="G93" s="36">
        <v>9.1</v>
      </c>
      <c r="H93" s="36">
        <v>10.5</v>
      </c>
      <c r="I93" s="36">
        <v>8.3000000000000007</v>
      </c>
      <c r="J93" s="36">
        <v>8.4</v>
      </c>
      <c r="K93" s="36">
        <v>4.7</v>
      </c>
      <c r="L93" s="36">
        <v>4.7</v>
      </c>
      <c r="M93" s="36">
        <v>4</v>
      </c>
      <c r="N93" s="36">
        <v>5</v>
      </c>
      <c r="O93" s="36">
        <v>6.1</v>
      </c>
      <c r="P93" s="37">
        <f t="shared" si="25"/>
        <v>6.833333333333333</v>
      </c>
      <c r="Q93" s="38">
        <f t="shared" si="26"/>
        <v>1</v>
      </c>
      <c r="R93" s="140">
        <f t="shared" si="27"/>
        <v>7.0666666666666673</v>
      </c>
      <c r="S93" s="24">
        <f t="shared" si="28"/>
        <v>1</v>
      </c>
      <c r="T93" s="140">
        <f t="shared" si="29"/>
        <v>5.9333333333333336</v>
      </c>
      <c r="U93" s="9">
        <f t="shared" si="30"/>
        <v>1</v>
      </c>
      <c r="V93" s="141">
        <f t="shared" si="31"/>
        <v>6.833333333333333</v>
      </c>
      <c r="W93" s="142">
        <f t="shared" si="32"/>
        <v>1</v>
      </c>
      <c r="X93" s="144">
        <f t="shared" ca="1" si="22"/>
        <v>13.55</v>
      </c>
      <c r="Y93" s="144">
        <f t="shared" ca="1" si="23"/>
        <v>5.9333333333333336</v>
      </c>
      <c r="Z93" s="144">
        <f t="shared" ca="1" si="24"/>
        <v>6.833333333333333</v>
      </c>
      <c r="AA93" s="10"/>
      <c r="AB93" s="357" t="str">
        <f>VLOOKUP($B93,'2007-2020 Metadata'!$A$4:$S$214,MATCH("Urban Area /Monitoring Zone",'2007-2020 Metadata'!$A$4:$S$4,0),FALSE)</f>
        <v>New Plymouth</v>
      </c>
      <c r="AC93" s="87" t="str">
        <f>VLOOKUP(B93,'2007-2020 Metadata'!$A$6:$A$214,1,FALSE)</f>
        <v>WAN009</v>
      </c>
      <c r="AD93" s="230" t="str">
        <f>VLOOKUP($AC93,'2007-2020 Metadata'!$A$6:$S$214,9,FALSE)</f>
        <v>New Plymouth</v>
      </c>
      <c r="AE93" s="248">
        <f>IF(ISBLANK(VLOOKUP($AC93,'2007-2020 Metadata'!$A$6:$S$214,19,FALSE)),"",VLOOKUP($AC93,'2007-2020 Metadata'!$A$6:$S$214,19,FALSE))</f>
        <v>2.5</v>
      </c>
      <c r="AF93" s="88" t="str">
        <f>VLOOKUP($B93,'2007-2020 Metadata'!$A$4:$S$214,MATCH("Site type",'2007-2020 Metadata'!$A$4:$S$4,0),FALSE)</f>
        <v>Background</v>
      </c>
      <c r="AG93" s="143">
        <f t="shared" si="33"/>
        <v>4</v>
      </c>
      <c r="AH93" s="143">
        <f t="shared" si="34"/>
        <v>10.5</v>
      </c>
      <c r="AI93" s="144">
        <f t="shared" ca="1" si="35"/>
        <v>6.833333333333333</v>
      </c>
    </row>
    <row r="94" spans="1:35" ht="12" customHeight="1" x14ac:dyDescent="0.15">
      <c r="A94" s="31"/>
      <c r="B94" s="40" t="s">
        <v>114</v>
      </c>
      <c r="C94" s="104">
        <f>IF(VLOOKUP($B94,'Monthly Summary 2011'!$B$7:$Q$222,14,FALSE)=0,"",VLOOKUP($B94,'Monthly Summary 2011'!$B$7:$Q$222,14,FALSE))</f>
        <v>19.7</v>
      </c>
      <c r="D94" s="36">
        <v>15.5</v>
      </c>
      <c r="E94" s="36">
        <v>20.7</v>
      </c>
      <c r="F94" s="36">
        <v>22.1</v>
      </c>
      <c r="G94" s="36">
        <v>27.8</v>
      </c>
      <c r="H94" s="36">
        <v>26.2</v>
      </c>
      <c r="I94" s="36"/>
      <c r="J94" s="36"/>
      <c r="K94" s="36">
        <v>43.2</v>
      </c>
      <c r="L94" s="36">
        <v>24.4</v>
      </c>
      <c r="M94" s="36"/>
      <c r="N94" s="36"/>
      <c r="O94" s="36">
        <v>16.5</v>
      </c>
      <c r="P94" s="37">
        <f t="shared" si="25"/>
        <v>24.55</v>
      </c>
      <c r="Q94" s="38">
        <f t="shared" si="26"/>
        <v>0.66666666666666663</v>
      </c>
      <c r="R94" s="140">
        <f t="shared" si="27"/>
        <v>19.433333333333334</v>
      </c>
      <c r="S94" s="24">
        <f t="shared" si="28"/>
        <v>1</v>
      </c>
      <c r="T94" s="140">
        <f t="shared" si="29"/>
        <v>33.799999999999997</v>
      </c>
      <c r="U94" s="9">
        <f t="shared" si="30"/>
        <v>0.66666666666666663</v>
      </c>
      <c r="V94" s="141" t="str">
        <f t="shared" si="31"/>
        <v>-</v>
      </c>
      <c r="W94" s="142">
        <f t="shared" si="32"/>
        <v>0.66666666666666663</v>
      </c>
      <c r="X94" s="144">
        <f t="shared" ca="1" si="22"/>
        <v>19.433333333333334</v>
      </c>
      <c r="Y94" s="144">
        <f t="shared" ca="1" si="23"/>
        <v>33.799999999999997</v>
      </c>
      <c r="Z94" s="144" t="str">
        <f t="shared" ca="1" si="24"/>
        <v/>
      </c>
      <c r="AA94" s="10"/>
      <c r="AB94" s="357" t="str">
        <f>VLOOKUP($B94,'2007-2020 Metadata'!$A$4:$S$214,MATCH("Urban Area /Monitoring Zone",'2007-2020 Metadata'!$A$4:$S$4,0),FALSE)</f>
        <v>Whanganui</v>
      </c>
      <c r="AC94" s="87" t="str">
        <f>VLOOKUP(B94,'2007-2020 Metadata'!$A$6:$A$214,1,FALSE)</f>
        <v>WAN010</v>
      </c>
      <c r="AD94" s="230" t="str">
        <f>VLOOKUP($AC94,'2007-2020 Metadata'!$A$6:$S$214,9,FALSE)</f>
        <v>Whanganui</v>
      </c>
      <c r="AE94" s="248">
        <f>IF(ISBLANK(VLOOKUP($AC94,'2007-2020 Metadata'!$A$6:$S$214,19,FALSE)),"",VLOOKUP($AC94,'2007-2020 Metadata'!$A$6:$S$214,19,FALSE))</f>
        <v>3</v>
      </c>
      <c r="AF94" s="88" t="str">
        <f>VLOOKUP($B94,'2007-2020 Metadata'!$A$4:$S$214,MATCH("Site type",'2007-2020 Metadata'!$A$4:$S$4,0),FALSE)</f>
        <v>SH</v>
      </c>
      <c r="AG94" s="143">
        <f t="shared" si="33"/>
        <v>15.5</v>
      </c>
      <c r="AH94" s="143">
        <f t="shared" si="34"/>
        <v>43.2</v>
      </c>
      <c r="AI94" s="144" t="str">
        <f t="shared" si="35"/>
        <v xml:space="preserve"> </v>
      </c>
    </row>
    <row r="95" spans="1:35" ht="12" customHeight="1" x14ac:dyDescent="0.15">
      <c r="A95" s="31"/>
      <c r="B95" s="40" t="s">
        <v>49</v>
      </c>
      <c r="C95" s="104">
        <f>IF(VLOOKUP($B95,'Monthly Summary 2011'!$B$7:$Q$222,14,FALSE)=0,"",VLOOKUP($B95,'Monthly Summary 2011'!$B$7:$Q$222,14,FALSE))</f>
        <v>16.7</v>
      </c>
      <c r="D95" s="36">
        <v>17.100000000000001</v>
      </c>
      <c r="E95" s="36">
        <v>24.6</v>
      </c>
      <c r="F95" s="36">
        <v>24.1</v>
      </c>
      <c r="G95" s="36">
        <v>28.7</v>
      </c>
      <c r="H95" s="36">
        <v>32.6</v>
      </c>
      <c r="I95" s="36">
        <v>33.700000000000003</v>
      </c>
      <c r="J95" s="36"/>
      <c r="K95" s="36"/>
      <c r="L95" s="36">
        <v>17.8</v>
      </c>
      <c r="M95" s="36">
        <v>21.9</v>
      </c>
      <c r="N95" s="36">
        <v>23.4</v>
      </c>
      <c r="O95" s="36">
        <v>18.7</v>
      </c>
      <c r="P95" s="37">
        <f t="shared" si="25"/>
        <v>24.26</v>
      </c>
      <c r="Q95" s="38">
        <f t="shared" si="26"/>
        <v>0.83333333333333337</v>
      </c>
      <c r="R95" s="140">
        <f t="shared" si="27"/>
        <v>21.933333333333337</v>
      </c>
      <c r="S95" s="24">
        <f t="shared" si="28"/>
        <v>1</v>
      </c>
      <c r="T95" s="140" t="str">
        <f t="shared" si="29"/>
        <v>-</v>
      </c>
      <c r="U95" s="9">
        <f t="shared" si="30"/>
        <v>0.33333333333333331</v>
      </c>
      <c r="V95" s="141">
        <f t="shared" si="31"/>
        <v>24.26</v>
      </c>
      <c r="W95" s="142">
        <f t="shared" si="32"/>
        <v>0.83333333333333337</v>
      </c>
      <c r="X95" s="144">
        <f t="shared" ca="1" si="22"/>
        <v>16.316666666666666</v>
      </c>
      <c r="Y95" s="144">
        <f t="shared" ca="1" si="23"/>
        <v>16.483333333333331</v>
      </c>
      <c r="Z95" s="144">
        <f t="shared" ca="1" si="24"/>
        <v>17.437813852813854</v>
      </c>
      <c r="AA95" s="10"/>
      <c r="AB95" s="357" t="str">
        <f>VLOOKUP($B95,'2007-2020 Metadata'!$A$4:$S$214,MATCH("Urban Area /Monitoring Zone",'2007-2020 Metadata'!$A$4:$S$4,0),FALSE)</f>
        <v>Lower Hutt</v>
      </c>
      <c r="AC95" s="87" t="str">
        <f>VLOOKUP(B95,'2007-2020 Metadata'!$A$6:$A$214,1,FALSE)</f>
        <v>WEL002</v>
      </c>
      <c r="AD95" s="230" t="str">
        <f>VLOOKUP($AC95,'2007-2020 Metadata'!$A$6:$S$214,9,FALSE)</f>
        <v>Lower Hutt</v>
      </c>
      <c r="AE95" s="248">
        <f>IF(ISBLANK(VLOOKUP($AC95,'2007-2020 Metadata'!$A$6:$S$214,19,FALSE)),"",VLOOKUP($AC95,'2007-2020 Metadata'!$A$6:$S$214,19,FALSE))</f>
        <v>3.2</v>
      </c>
      <c r="AF95" s="88" t="str">
        <f>VLOOKUP($B95,'2007-2020 Metadata'!$A$4:$S$214,MATCH("Site type",'2007-2020 Metadata'!$A$4:$S$4,0),FALSE)</f>
        <v>SH</v>
      </c>
      <c r="AG95" s="143">
        <f t="shared" si="33"/>
        <v>17.100000000000001</v>
      </c>
      <c r="AH95" s="143">
        <f t="shared" si="34"/>
        <v>33.700000000000003</v>
      </c>
      <c r="AI95" s="144">
        <f t="shared" ca="1" si="35"/>
        <v>17.437813852813854</v>
      </c>
    </row>
    <row r="96" spans="1:35" ht="12" customHeight="1" x14ac:dyDescent="0.15">
      <c r="A96" s="31"/>
      <c r="B96" s="40" t="s">
        <v>50</v>
      </c>
      <c r="C96" s="104">
        <f>IF(VLOOKUP($B96,'Monthly Summary 2011'!$B$7:$Q$222,14,FALSE)=0,"",VLOOKUP($B96,'Monthly Summary 2011'!$B$7:$Q$222,14,FALSE))</f>
        <v>12.9</v>
      </c>
      <c r="D96" s="36"/>
      <c r="E96" s="36">
        <v>13.2</v>
      </c>
      <c r="F96" s="36">
        <v>16.100000000000001</v>
      </c>
      <c r="G96" s="36">
        <v>17.7</v>
      </c>
      <c r="H96" s="36">
        <v>24</v>
      </c>
      <c r="I96" s="36">
        <v>22.1</v>
      </c>
      <c r="J96" s="36">
        <v>14.1</v>
      </c>
      <c r="K96" s="36">
        <v>14.1</v>
      </c>
      <c r="L96" s="36"/>
      <c r="M96" s="36">
        <v>8.6</v>
      </c>
      <c r="N96" s="36">
        <v>9.5</v>
      </c>
      <c r="O96" s="36">
        <v>8.6999999999999993</v>
      </c>
      <c r="P96" s="37">
        <f t="shared" si="25"/>
        <v>14.809999999999997</v>
      </c>
      <c r="Q96" s="38">
        <f t="shared" si="26"/>
        <v>0.83333333333333337</v>
      </c>
      <c r="R96" s="140">
        <f t="shared" si="27"/>
        <v>14.65</v>
      </c>
      <c r="S96" s="24">
        <f t="shared" si="28"/>
        <v>0.66666666666666663</v>
      </c>
      <c r="T96" s="140">
        <f t="shared" si="29"/>
        <v>14.1</v>
      </c>
      <c r="U96" s="9">
        <f t="shared" si="30"/>
        <v>0.66666666666666663</v>
      </c>
      <c r="V96" s="141">
        <f t="shared" si="31"/>
        <v>14.809999999999997</v>
      </c>
      <c r="W96" s="142">
        <f t="shared" si="32"/>
        <v>0.83333333333333337</v>
      </c>
      <c r="X96" s="144">
        <f t="shared" ca="1" si="22"/>
        <v>16.316666666666666</v>
      </c>
      <c r="Y96" s="144">
        <f t="shared" ca="1" si="23"/>
        <v>16.483333333333331</v>
      </c>
      <c r="Z96" s="144">
        <f t="shared" ca="1" si="24"/>
        <v>17.437813852813854</v>
      </c>
      <c r="AA96" s="10"/>
      <c r="AB96" s="357" t="str">
        <f>VLOOKUP($B96,'2007-2020 Metadata'!$A$4:$S$214,MATCH("Urban Area /Monitoring Zone",'2007-2020 Metadata'!$A$4:$S$4,0),FALSE)</f>
        <v>Lower Hutt</v>
      </c>
      <c r="AC96" s="87" t="str">
        <f>VLOOKUP(B96,'2007-2020 Metadata'!$A$6:$A$214,1,FALSE)</f>
        <v>WEL003</v>
      </c>
      <c r="AD96" s="230" t="str">
        <f>VLOOKUP($AC96,'2007-2020 Metadata'!$A$6:$S$214,9,FALSE)</f>
        <v>Lower Hutt</v>
      </c>
      <c r="AE96" s="248">
        <f>IF(ISBLANK(VLOOKUP($AC96,'2007-2020 Metadata'!$A$6:$S$214,19,FALSE)),"",VLOOKUP($AC96,'2007-2020 Metadata'!$A$6:$S$214,19,FALSE))</f>
        <v>3.3</v>
      </c>
      <c r="AF96" s="88" t="str">
        <f>VLOOKUP($B96,'2007-2020 Metadata'!$A$4:$S$214,MATCH("Site type",'2007-2020 Metadata'!$A$4:$S$4,0),FALSE)</f>
        <v>SH</v>
      </c>
      <c r="AG96" s="143">
        <f t="shared" si="33"/>
        <v>8.6</v>
      </c>
      <c r="AH96" s="143">
        <f t="shared" si="34"/>
        <v>24</v>
      </c>
      <c r="AI96" s="144">
        <f t="shared" ca="1" si="35"/>
        <v>17.437813852813854</v>
      </c>
    </row>
    <row r="97" spans="1:36" ht="12" customHeight="1" x14ac:dyDescent="0.15">
      <c r="A97" s="31"/>
      <c r="B97" s="40" t="s">
        <v>52</v>
      </c>
      <c r="C97" s="104">
        <f>IF(VLOOKUP($B97,'Monthly Summary 2011'!$B$7:$Q$222,14,FALSE)=0,"",VLOOKUP($B97,'Monthly Summary 2011'!$B$7:$Q$222,14,FALSE))</f>
        <v>16.399999999999999</v>
      </c>
      <c r="D97" s="36">
        <v>15.9</v>
      </c>
      <c r="E97" s="36">
        <v>18.3</v>
      </c>
      <c r="F97" s="36">
        <v>18</v>
      </c>
      <c r="G97" s="36">
        <v>19.5</v>
      </c>
      <c r="H97" s="36">
        <v>24.6</v>
      </c>
      <c r="I97" s="36">
        <v>24.1</v>
      </c>
      <c r="J97" s="36">
        <v>16.899999999999999</v>
      </c>
      <c r="K97" s="36">
        <v>16.899999999999999</v>
      </c>
      <c r="L97" s="36">
        <v>17.399999999999999</v>
      </c>
      <c r="M97" s="36">
        <v>17.399999999999999</v>
      </c>
      <c r="N97" s="36">
        <v>18.5</v>
      </c>
      <c r="O97" s="36">
        <v>16.5</v>
      </c>
      <c r="P97" s="37">
        <f t="shared" si="25"/>
        <v>18.666666666666668</v>
      </c>
      <c r="Q97" s="38">
        <f t="shared" si="26"/>
        <v>1</v>
      </c>
      <c r="R97" s="140">
        <f t="shared" si="27"/>
        <v>17.400000000000002</v>
      </c>
      <c r="S97" s="24">
        <f t="shared" si="28"/>
        <v>1</v>
      </c>
      <c r="T97" s="140">
        <f t="shared" si="29"/>
        <v>17.066666666666666</v>
      </c>
      <c r="U97" s="9">
        <f t="shared" si="30"/>
        <v>1</v>
      </c>
      <c r="V97" s="141">
        <f t="shared" si="31"/>
        <v>18.666666666666668</v>
      </c>
      <c r="W97" s="142">
        <f t="shared" si="32"/>
        <v>1</v>
      </c>
      <c r="X97" s="144">
        <f t="shared" ca="1" si="22"/>
        <v>17.400000000000002</v>
      </c>
      <c r="Y97" s="144">
        <f t="shared" ca="1" si="23"/>
        <v>17.066666666666666</v>
      </c>
      <c r="Z97" s="144">
        <f t="shared" ca="1" si="24"/>
        <v>18.666666666666668</v>
      </c>
      <c r="AA97" s="10"/>
      <c r="AB97" s="357" t="str">
        <f>VLOOKUP($B97,'2007-2020 Metadata'!$A$4:$S$214,MATCH("Urban Area /Monitoring Zone",'2007-2020 Metadata'!$A$4:$S$4,0),FALSE)</f>
        <v>Porirua</v>
      </c>
      <c r="AC97" s="87" t="str">
        <f>VLOOKUP(B97,'2007-2020 Metadata'!$A$6:$A$214,1,FALSE)</f>
        <v>WEL005</v>
      </c>
      <c r="AD97" s="230" t="str">
        <f>VLOOKUP($AC97,'2007-2020 Metadata'!$A$6:$S$214,9,FALSE)</f>
        <v>Porirua</v>
      </c>
      <c r="AE97" s="248">
        <f>IF(ISBLANK(VLOOKUP($AC97,'2007-2020 Metadata'!$A$6:$S$214,19,FALSE)),"",VLOOKUP($AC97,'2007-2020 Metadata'!$A$6:$S$214,19,FALSE))</f>
        <v>3.2</v>
      </c>
      <c r="AF97" s="88" t="str">
        <f>VLOOKUP($B97,'2007-2020 Metadata'!$A$4:$S$214,MATCH("Site type",'2007-2020 Metadata'!$A$4:$S$4,0),FALSE)</f>
        <v>SH</v>
      </c>
      <c r="AG97" s="143">
        <f t="shared" si="33"/>
        <v>15.9</v>
      </c>
      <c r="AH97" s="143">
        <f t="shared" si="34"/>
        <v>24.6</v>
      </c>
      <c r="AI97" s="144">
        <f t="shared" ca="1" si="35"/>
        <v>18.666666666666668</v>
      </c>
    </row>
    <row r="98" spans="1:36" ht="12" customHeight="1" x14ac:dyDescent="0.15">
      <c r="A98" s="31"/>
      <c r="B98" s="40" t="s">
        <v>53</v>
      </c>
      <c r="C98" s="104">
        <f>IF(VLOOKUP($B98,'Monthly Summary 2011'!$B$7:$Q$222,14,FALSE)=0,"",VLOOKUP($B98,'Monthly Summary 2011'!$B$7:$Q$222,14,FALSE))</f>
        <v>16.2</v>
      </c>
      <c r="D98" s="36">
        <v>13.4</v>
      </c>
      <c r="E98" s="36">
        <v>18.600000000000001</v>
      </c>
      <c r="F98" s="36">
        <v>19.3</v>
      </c>
      <c r="G98" s="36">
        <v>21</v>
      </c>
      <c r="H98" s="36">
        <v>24.7</v>
      </c>
      <c r="I98" s="36">
        <v>22.6</v>
      </c>
      <c r="J98" s="36">
        <v>15.6</v>
      </c>
      <c r="K98" s="36">
        <v>15.6</v>
      </c>
      <c r="L98" s="36"/>
      <c r="M98" s="36">
        <v>13.7</v>
      </c>
      <c r="N98" s="36">
        <v>14.4</v>
      </c>
      <c r="O98" s="36">
        <v>12.4</v>
      </c>
      <c r="P98" s="37">
        <f t="shared" si="25"/>
        <v>17.390909090909091</v>
      </c>
      <c r="Q98" s="38">
        <f t="shared" si="26"/>
        <v>0.91666666666666663</v>
      </c>
      <c r="R98" s="140">
        <f t="shared" si="27"/>
        <v>17.099999999999998</v>
      </c>
      <c r="S98" s="24">
        <f t="shared" si="28"/>
        <v>1</v>
      </c>
      <c r="T98" s="140">
        <f t="shared" si="29"/>
        <v>15.6</v>
      </c>
      <c r="U98" s="9">
        <f t="shared" si="30"/>
        <v>0.66666666666666663</v>
      </c>
      <c r="V98" s="141">
        <f t="shared" si="31"/>
        <v>17.390909090909091</v>
      </c>
      <c r="W98" s="142">
        <f t="shared" si="32"/>
        <v>0.91666666666666663</v>
      </c>
      <c r="X98" s="144">
        <f t="shared" ca="1" si="22"/>
        <v>19.745454545454546</v>
      </c>
      <c r="Y98" s="144">
        <f t="shared" ca="1" si="23"/>
        <v>19.760606060606062</v>
      </c>
      <c r="Z98" s="144">
        <f t="shared" ca="1" si="24"/>
        <v>21.146556473829204</v>
      </c>
      <c r="AA98" s="10"/>
      <c r="AB98" s="357" t="str">
        <f>VLOOKUP($B98,'2007-2020 Metadata'!$A$4:$S$214,MATCH("Urban Area /Monitoring Zone",'2007-2020 Metadata'!$A$4:$S$4,0),FALSE)</f>
        <v>Wellington</v>
      </c>
      <c r="AC98" s="87" t="str">
        <f>VLOOKUP(B98,'2007-2020 Metadata'!$A$6:$A$214,1,FALSE)</f>
        <v>WEL007</v>
      </c>
      <c r="AD98" s="230" t="str">
        <f>VLOOKUP($AC98,'2007-2020 Metadata'!$A$6:$S$214,9,FALSE)</f>
        <v>Wellington</v>
      </c>
      <c r="AE98" s="248">
        <f>IF(ISBLANK(VLOOKUP($AC98,'2007-2020 Metadata'!$A$6:$S$214,19,FALSE)),"",VLOOKUP($AC98,'2007-2020 Metadata'!$A$6:$S$214,19,FALSE))</f>
        <v>1</v>
      </c>
      <c r="AF98" s="88" t="str">
        <f>VLOOKUP($B98,'2007-2020 Metadata'!$A$4:$S$214,MATCH("Site type",'2007-2020 Metadata'!$A$4:$S$4,0),FALSE)</f>
        <v>SH</v>
      </c>
      <c r="AG98" s="143">
        <f t="shared" si="33"/>
        <v>12.4</v>
      </c>
      <c r="AH98" s="143">
        <f t="shared" si="34"/>
        <v>24.7</v>
      </c>
      <c r="AI98" s="144">
        <f t="shared" ca="1" si="35"/>
        <v>21.146556473829204</v>
      </c>
    </row>
    <row r="99" spans="1:36" ht="12" customHeight="1" x14ac:dyDescent="0.15">
      <c r="A99" s="31"/>
      <c r="B99" s="40" t="s">
        <v>54</v>
      </c>
      <c r="C99" s="104">
        <f>IF(VLOOKUP($B99,'Monthly Summary 2011'!$B$7:$Q$222,14,FALSE)=0,"",VLOOKUP($B99,'Monthly Summary 2011'!$B$7:$Q$222,14,FALSE))</f>
        <v>25.2</v>
      </c>
      <c r="D99" s="36">
        <v>27.9</v>
      </c>
      <c r="E99" s="36">
        <v>30.1</v>
      </c>
      <c r="F99" s="36">
        <v>36.5</v>
      </c>
      <c r="G99" s="36">
        <v>35.200000000000003</v>
      </c>
      <c r="H99" s="36">
        <v>35.5</v>
      </c>
      <c r="I99" s="36">
        <v>44.4</v>
      </c>
      <c r="J99" s="36">
        <v>30</v>
      </c>
      <c r="K99" s="36">
        <v>30</v>
      </c>
      <c r="L99" s="36">
        <v>27.4</v>
      </c>
      <c r="M99" s="36">
        <v>35.1</v>
      </c>
      <c r="N99" s="36">
        <v>33.4</v>
      </c>
      <c r="O99" s="36">
        <v>26.3</v>
      </c>
      <c r="P99" s="37">
        <f t="shared" si="25"/>
        <v>32.65</v>
      </c>
      <c r="Q99" s="38">
        <f t="shared" si="26"/>
        <v>1</v>
      </c>
      <c r="R99" s="140">
        <f t="shared" si="27"/>
        <v>31.5</v>
      </c>
      <c r="S99" s="24">
        <f t="shared" si="28"/>
        <v>1</v>
      </c>
      <c r="T99" s="140">
        <f t="shared" si="29"/>
        <v>29.133333333333336</v>
      </c>
      <c r="U99" s="9">
        <f t="shared" si="30"/>
        <v>1</v>
      </c>
      <c r="V99" s="141">
        <f t="shared" si="31"/>
        <v>32.65</v>
      </c>
      <c r="W99" s="142">
        <f t="shared" si="32"/>
        <v>1</v>
      </c>
      <c r="X99" s="144">
        <f t="shared" ca="1" si="22"/>
        <v>19.745454545454546</v>
      </c>
      <c r="Y99" s="144">
        <f t="shared" ca="1" si="23"/>
        <v>19.760606060606062</v>
      </c>
      <c r="Z99" s="144">
        <f t="shared" ca="1" si="24"/>
        <v>21.146556473829204</v>
      </c>
      <c r="AA99" s="10"/>
      <c r="AB99" s="357" t="str">
        <f>VLOOKUP($B99,'2007-2020 Metadata'!$A$4:$S$214,MATCH("Urban Area /Monitoring Zone",'2007-2020 Metadata'!$A$4:$S$4,0),FALSE)</f>
        <v>Wellington</v>
      </c>
      <c r="AC99" s="87" t="str">
        <f>VLOOKUP(B99,'2007-2020 Metadata'!$A$6:$A$214,1,FALSE)</f>
        <v>WEL008</v>
      </c>
      <c r="AD99" s="230" t="str">
        <f>VLOOKUP($AC99,'2007-2020 Metadata'!$A$6:$S$214,9,FALSE)</f>
        <v>Wellington</v>
      </c>
      <c r="AE99" s="248">
        <f>IF(ISBLANK(VLOOKUP($AC99,'2007-2020 Metadata'!$A$6:$S$214,19,FALSE)),"",VLOOKUP($AC99,'2007-2020 Metadata'!$A$6:$S$214,19,FALSE))</f>
        <v>3.1</v>
      </c>
      <c r="AF99" s="88" t="str">
        <f>VLOOKUP($B99,'2007-2020 Metadata'!$A$4:$S$214,MATCH("Site type",'2007-2020 Metadata'!$A$4:$S$4,0),FALSE)</f>
        <v>SH</v>
      </c>
      <c r="AG99" s="143">
        <f t="shared" si="33"/>
        <v>26.3</v>
      </c>
      <c r="AH99" s="143">
        <f t="shared" si="34"/>
        <v>44.4</v>
      </c>
      <c r="AI99" s="144">
        <f t="shared" ca="1" si="35"/>
        <v>21.146556473829204</v>
      </c>
    </row>
    <row r="100" spans="1:36" ht="12" customHeight="1" x14ac:dyDescent="0.15">
      <c r="A100" s="31"/>
      <c r="B100" s="40" t="s">
        <v>55</v>
      </c>
      <c r="C100" s="104" t="str">
        <f>IF(VLOOKUP($B100,'Monthly Summary 2011'!$B$7:$Q$222,14,FALSE)=0,"",VLOOKUP($B100,'Monthly Summary 2011'!$B$7:$Q$222,14,FALSE))</f>
        <v/>
      </c>
      <c r="D100" s="36">
        <v>17.8</v>
      </c>
      <c r="E100" s="36"/>
      <c r="F100" s="36">
        <v>22.9</v>
      </c>
      <c r="G100" s="36">
        <v>27.7</v>
      </c>
      <c r="H100" s="36">
        <v>27.5</v>
      </c>
      <c r="I100" s="36">
        <v>28.2</v>
      </c>
      <c r="J100" s="36">
        <v>25.4</v>
      </c>
      <c r="K100" s="36">
        <v>16.8</v>
      </c>
      <c r="L100" s="36"/>
      <c r="M100" s="36">
        <v>18.899999999999999</v>
      </c>
      <c r="N100" s="36">
        <v>19.399999999999999</v>
      </c>
      <c r="O100" s="36"/>
      <c r="P100" s="37">
        <f t="shared" si="25"/>
        <v>22.733333333333334</v>
      </c>
      <c r="Q100" s="38">
        <f t="shared" si="26"/>
        <v>0.75</v>
      </c>
      <c r="R100" s="140">
        <f t="shared" si="27"/>
        <v>20.350000000000001</v>
      </c>
      <c r="S100" s="24">
        <f t="shared" si="28"/>
        <v>0.66666666666666663</v>
      </c>
      <c r="T100" s="140">
        <f t="shared" si="29"/>
        <v>21.1</v>
      </c>
      <c r="U100" s="9">
        <f t="shared" si="30"/>
        <v>0.66666666666666663</v>
      </c>
      <c r="V100" s="141">
        <f t="shared" si="31"/>
        <v>22.733333333333334</v>
      </c>
      <c r="W100" s="142">
        <f t="shared" si="32"/>
        <v>0.75</v>
      </c>
      <c r="X100" s="144">
        <f t="shared" ca="1" si="22"/>
        <v>15.705555555555557</v>
      </c>
      <c r="Y100" s="144">
        <f t="shared" ca="1" si="23"/>
        <v>18.611111111111111</v>
      </c>
      <c r="Z100" s="144">
        <f t="shared" ca="1" si="24"/>
        <v>18.369444444444444</v>
      </c>
      <c r="AA100" s="10"/>
      <c r="AB100" s="357" t="str">
        <f>VLOOKUP($B100,'2007-2020 Metadata'!$A$4:$S$214,MATCH("Urban Area /Monitoring Zone",'2007-2020 Metadata'!$A$4:$S$4,0),FALSE)</f>
        <v>Nelson</v>
      </c>
      <c r="AC100" s="87" t="str">
        <f>VLOOKUP(B100,'2007-2020 Metadata'!$A$6:$A$214,1,FALSE)</f>
        <v>WEL009</v>
      </c>
      <c r="AD100" s="230" t="str">
        <f>VLOOKUP($AC100,'2007-2020 Metadata'!$A$6:$S$214,9,FALSE)</f>
        <v>Nelson</v>
      </c>
      <c r="AE100" s="248">
        <f>IF(ISBLANK(VLOOKUP($AC100,'2007-2020 Metadata'!$A$6:$S$214,19,FALSE)),"",VLOOKUP($AC100,'2007-2020 Metadata'!$A$6:$S$214,19,FALSE))</f>
        <v>3</v>
      </c>
      <c r="AF100" s="88" t="str">
        <f>VLOOKUP($B100,'2007-2020 Metadata'!$A$4:$S$214,MATCH("Site type",'2007-2020 Metadata'!$A$4:$S$4,0),FALSE)</f>
        <v>SH</v>
      </c>
      <c r="AG100" s="143">
        <f t="shared" si="33"/>
        <v>16.8</v>
      </c>
      <c r="AH100" s="143">
        <f t="shared" si="34"/>
        <v>28.2</v>
      </c>
      <c r="AI100" s="144">
        <f t="shared" ca="1" si="35"/>
        <v>18.369444444444444</v>
      </c>
    </row>
    <row r="101" spans="1:36" ht="12" customHeight="1" x14ac:dyDescent="0.15">
      <c r="A101" s="31"/>
      <c r="B101" s="40" t="s">
        <v>56</v>
      </c>
      <c r="C101" s="104">
        <f>IF(VLOOKUP($B101,'Monthly Summary 2011'!$B$7:$Q$222,14,FALSE)=0,"",VLOOKUP($B101,'Monthly Summary 2011'!$B$7:$Q$222,14,FALSE))</f>
        <v>13</v>
      </c>
      <c r="D101" s="36">
        <v>15.4</v>
      </c>
      <c r="E101" s="36">
        <v>16.8</v>
      </c>
      <c r="F101" s="36">
        <v>18.7</v>
      </c>
      <c r="G101" s="36">
        <v>25</v>
      </c>
      <c r="H101" s="36">
        <v>29.1</v>
      </c>
      <c r="I101" s="36">
        <v>26.6</v>
      </c>
      <c r="J101" s="36">
        <v>27.9</v>
      </c>
      <c r="K101" s="36">
        <v>18.899999999999999</v>
      </c>
      <c r="L101" s="36">
        <v>17.2</v>
      </c>
      <c r="M101" s="36">
        <v>18.2</v>
      </c>
      <c r="N101" s="36">
        <v>17.8</v>
      </c>
      <c r="O101" s="36">
        <v>14.3</v>
      </c>
      <c r="P101" s="37">
        <f t="shared" si="25"/>
        <v>20.491666666666667</v>
      </c>
      <c r="Q101" s="38">
        <f t="shared" si="26"/>
        <v>1</v>
      </c>
      <c r="R101" s="140">
        <f t="shared" si="27"/>
        <v>16.966666666666669</v>
      </c>
      <c r="S101" s="24">
        <f t="shared" si="28"/>
        <v>1</v>
      </c>
      <c r="T101" s="140">
        <f t="shared" si="29"/>
        <v>21.333333333333332</v>
      </c>
      <c r="U101" s="9">
        <f t="shared" si="30"/>
        <v>1</v>
      </c>
      <c r="V101" s="141">
        <f t="shared" si="31"/>
        <v>20.491666666666667</v>
      </c>
      <c r="W101" s="142">
        <f t="shared" si="32"/>
        <v>1</v>
      </c>
      <c r="X101" s="144">
        <f t="shared" ca="1" si="22"/>
        <v>15.705555555555557</v>
      </c>
      <c r="Y101" s="144">
        <f t="shared" ca="1" si="23"/>
        <v>18.611111111111111</v>
      </c>
      <c r="Z101" s="144">
        <f t="shared" ca="1" si="24"/>
        <v>18.369444444444444</v>
      </c>
      <c r="AA101" s="10"/>
      <c r="AB101" s="357" t="str">
        <f>VLOOKUP($B101,'2007-2020 Metadata'!$A$4:$S$214,MATCH("Urban Area /Monitoring Zone",'2007-2020 Metadata'!$A$4:$S$4,0),FALSE)</f>
        <v>Nelson</v>
      </c>
      <c r="AC101" s="87" t="str">
        <f>VLOOKUP(B101,'2007-2020 Metadata'!$A$6:$A$214,1,FALSE)</f>
        <v>WEL010</v>
      </c>
      <c r="AD101" s="230" t="str">
        <f>VLOOKUP($AC101,'2007-2020 Metadata'!$A$6:$S$214,9,FALSE)</f>
        <v>Nelson</v>
      </c>
      <c r="AE101" s="248">
        <f>IF(ISBLANK(VLOOKUP($AC101,'2007-2020 Metadata'!$A$6:$S$214,19,FALSE)),"",VLOOKUP($AC101,'2007-2020 Metadata'!$A$6:$S$214,19,FALSE))</f>
        <v>2.4</v>
      </c>
      <c r="AF101" s="88" t="str">
        <f>VLOOKUP($B101,'2007-2020 Metadata'!$A$4:$S$214,MATCH("Site type",'2007-2020 Metadata'!$A$4:$S$4,0),FALSE)</f>
        <v>SH</v>
      </c>
      <c r="AG101" s="143">
        <f t="shared" si="33"/>
        <v>14.3</v>
      </c>
      <c r="AH101" s="143">
        <f t="shared" si="34"/>
        <v>29.1</v>
      </c>
      <c r="AI101" s="144">
        <f t="shared" ca="1" si="35"/>
        <v>18.369444444444444</v>
      </c>
    </row>
    <row r="102" spans="1:36" ht="12" customHeight="1" x14ac:dyDescent="0.15">
      <c r="A102" s="31"/>
      <c r="B102" s="40" t="s">
        <v>57</v>
      </c>
      <c r="C102" s="104">
        <f>IF(VLOOKUP($B102,'Monthly Summary 2011'!$B$7:$Q$222,14,FALSE)=0,"",VLOOKUP($B102,'Monthly Summary 2011'!$B$7:$Q$222,14,FALSE))</f>
        <v>12.5</v>
      </c>
      <c r="D102" s="36">
        <v>9.5</v>
      </c>
      <c r="E102" s="36">
        <v>14.5</v>
      </c>
      <c r="F102" s="36">
        <v>12.9</v>
      </c>
      <c r="G102" s="36">
        <v>18.100000000000001</v>
      </c>
      <c r="H102" s="36">
        <v>22.4</v>
      </c>
      <c r="I102" s="36">
        <v>22.5</v>
      </c>
      <c r="J102" s="36">
        <v>23</v>
      </c>
      <c r="K102" s="36">
        <v>16.5</v>
      </c>
      <c r="L102" s="36">
        <v>13</v>
      </c>
      <c r="M102" s="36"/>
      <c r="N102" s="36"/>
      <c r="O102" s="36">
        <v>6.7</v>
      </c>
      <c r="P102" s="37">
        <f t="shared" si="25"/>
        <v>15.91</v>
      </c>
      <c r="Q102" s="38">
        <f t="shared" si="26"/>
        <v>0.83333333333333337</v>
      </c>
      <c r="R102" s="140">
        <f t="shared" si="27"/>
        <v>12.299999999999999</v>
      </c>
      <c r="S102" s="24">
        <f t="shared" si="28"/>
        <v>1</v>
      </c>
      <c r="T102" s="140">
        <f t="shared" si="29"/>
        <v>17.5</v>
      </c>
      <c r="U102" s="9">
        <f t="shared" si="30"/>
        <v>1</v>
      </c>
      <c r="V102" s="141">
        <f t="shared" si="31"/>
        <v>15.91</v>
      </c>
      <c r="W102" s="142">
        <f t="shared" si="32"/>
        <v>0.83333333333333337</v>
      </c>
      <c r="X102" s="144">
        <f t="shared" ca="1" si="22"/>
        <v>12.299999999999999</v>
      </c>
      <c r="Y102" s="144">
        <f t="shared" ca="1" si="23"/>
        <v>17.5</v>
      </c>
      <c r="Z102" s="144">
        <f t="shared" ca="1" si="24"/>
        <v>15.91</v>
      </c>
      <c r="AA102" s="10"/>
      <c r="AB102" s="357" t="str">
        <f>VLOOKUP($B102,'2007-2020 Metadata'!$A$4:$S$214,MATCH("Urban Area /Monitoring Zone",'2007-2020 Metadata'!$A$4:$S$4,0),FALSE)</f>
        <v>Nelson</v>
      </c>
      <c r="AC102" s="87" t="str">
        <f>VLOOKUP(B102,'2007-2020 Metadata'!$A$6:$A$214,1,FALSE)</f>
        <v>WEL011</v>
      </c>
      <c r="AD102" s="230" t="str">
        <f>VLOOKUP($AC102,'2007-2020 Metadata'!$A$6:$S$214,9,FALSE)</f>
        <v>Tasman</v>
      </c>
      <c r="AE102" s="248">
        <f>IF(ISBLANK(VLOOKUP($AC102,'2007-2020 Metadata'!$A$6:$S$214,19,FALSE)),"",VLOOKUP($AC102,'2007-2020 Metadata'!$A$6:$S$214,19,FALSE))</f>
        <v>2.4</v>
      </c>
      <c r="AF102" s="88" t="str">
        <f>VLOOKUP($B102,'2007-2020 Metadata'!$A$4:$S$214,MATCH("Site type",'2007-2020 Metadata'!$A$4:$S$4,0),FALSE)</f>
        <v>SH</v>
      </c>
      <c r="AG102" s="143">
        <f t="shared" si="33"/>
        <v>6.7</v>
      </c>
      <c r="AH102" s="143">
        <f t="shared" si="34"/>
        <v>23</v>
      </c>
      <c r="AI102" s="144">
        <f t="shared" ca="1" si="35"/>
        <v>15.91</v>
      </c>
    </row>
    <row r="103" spans="1:36" ht="12" customHeight="1" x14ac:dyDescent="0.15">
      <c r="A103" s="31"/>
      <c r="B103" s="40" t="s">
        <v>58</v>
      </c>
      <c r="C103" s="104">
        <f>IF(VLOOKUP($B103,'Monthly Summary 2011'!$B$7:$Q$222,14,FALSE)=0,"",VLOOKUP($B103,'Monthly Summary 2011'!$B$7:$Q$222,14,FALSE))</f>
        <v>7.4</v>
      </c>
      <c r="D103" s="36">
        <v>10.6</v>
      </c>
      <c r="E103" s="36">
        <v>15.5</v>
      </c>
      <c r="F103" s="36">
        <v>13</v>
      </c>
      <c r="G103" s="36">
        <v>17.399999999999999</v>
      </c>
      <c r="H103" s="36">
        <v>21.1</v>
      </c>
      <c r="I103" s="36">
        <v>20.6</v>
      </c>
      <c r="J103" s="36">
        <v>17.8</v>
      </c>
      <c r="K103" s="36">
        <v>11.9</v>
      </c>
      <c r="L103" s="36"/>
      <c r="M103" s="36">
        <v>10.4</v>
      </c>
      <c r="N103" s="36">
        <v>11.3</v>
      </c>
      <c r="O103" s="36">
        <v>9.8000000000000007</v>
      </c>
      <c r="P103" s="37">
        <f t="shared" si="25"/>
        <v>14.490909090909092</v>
      </c>
      <c r="Q103" s="38">
        <f t="shared" si="26"/>
        <v>0.91666666666666663</v>
      </c>
      <c r="R103" s="140">
        <f t="shared" si="27"/>
        <v>13.033333333333333</v>
      </c>
      <c r="S103" s="24">
        <f t="shared" si="28"/>
        <v>1</v>
      </c>
      <c r="T103" s="140">
        <f t="shared" si="29"/>
        <v>14.850000000000001</v>
      </c>
      <c r="U103" s="9">
        <f t="shared" si="30"/>
        <v>0.66666666666666663</v>
      </c>
      <c r="V103" s="141">
        <f t="shared" si="31"/>
        <v>14.490909090909092</v>
      </c>
      <c r="W103" s="142">
        <f t="shared" si="32"/>
        <v>0.91666666666666663</v>
      </c>
      <c r="X103" s="144">
        <f t="shared" ref="X103:X134" ca="1" si="36">IF(VLOOKUP($B103,$AC$6:$AI$158,3,FALSE)="",$R103,IF(ISERROR(AVERAGEIF($AD$6:$AD$160,VLOOKUP($B103,$AC$6:$AI$158,2,FALSE),$R$6:$R$158)),"",AVERAGEIF($AD$6:$AD$160,VLOOKUP($B103,$AC$6:$AI$158,2,FALSE),$R$6:$R$158)))</f>
        <v>13.033333333333333</v>
      </c>
      <c r="Y103" s="144">
        <f t="shared" ref="Y103:Y134" ca="1" si="37">IF(VLOOKUP($B103,$AC$6:$AI$158,3,FALSE)="",$T103,IF(ISERROR(AVERAGEIF($AD$6:$AD$160,VLOOKUP($B103,$AC$6:$AI$158,2,FALSE),$T$6:$T$158)),"",AVERAGEIF($AD$6:$AD$160,VLOOKUP($B103,$AC$6:$AI$158,2,FALSE),$T$6:$T$158)))</f>
        <v>14.850000000000001</v>
      </c>
      <c r="Z103" s="144">
        <f t="shared" ref="Z103:Z134" ca="1" si="38">IF(VLOOKUP($B103,$AC$6:$AI$158,3,FALSE)="",$V103,IF(ISERROR(AVERAGEIF($AD$6:$AD$160,VLOOKUP($B103,$AC$6:$AI$158,2,FALSE),$V$6:$V$158)),"",AVERAGEIF($AD$6:$AD$160,VLOOKUP($B103,$AC$6:$AI$158,2,FALSE),$V$6:$V$158)))</f>
        <v>14.490909090909092</v>
      </c>
      <c r="AA103" s="10"/>
      <c r="AB103" s="357" t="str">
        <f>VLOOKUP($B103,'2007-2020 Metadata'!$A$4:$S$214,MATCH("Urban Area /Monitoring Zone",'2007-2020 Metadata'!$A$4:$S$4,0),FALSE)</f>
        <v>Blenheim</v>
      </c>
      <c r="AC103" s="87" t="str">
        <f>VLOOKUP(B103,'2007-2020 Metadata'!$A$6:$A$214,1,FALSE)</f>
        <v>WEL012</v>
      </c>
      <c r="AD103" s="230" t="str">
        <f>VLOOKUP($AC103,'2007-2020 Metadata'!$A$6:$S$214,9,FALSE)</f>
        <v>Blenheim</v>
      </c>
      <c r="AE103" s="248">
        <f>IF(ISBLANK(VLOOKUP($AC103,'2007-2020 Metadata'!$A$6:$S$214,19,FALSE)),"",VLOOKUP($AC103,'2007-2020 Metadata'!$A$6:$S$214,19,FALSE))</f>
        <v>4.2</v>
      </c>
      <c r="AF103" s="88" t="str">
        <f>VLOOKUP($B103,'2007-2020 Metadata'!$A$4:$S$214,MATCH("Site type",'2007-2020 Metadata'!$A$4:$S$4,0),FALSE)</f>
        <v>SH</v>
      </c>
      <c r="AG103" s="143">
        <f t="shared" si="33"/>
        <v>9.8000000000000007</v>
      </c>
      <c r="AH103" s="143">
        <f t="shared" si="34"/>
        <v>21.1</v>
      </c>
      <c r="AI103" s="144">
        <f t="shared" ca="1" si="35"/>
        <v>14.490909090909092</v>
      </c>
    </row>
    <row r="104" spans="1:36" ht="12" customHeight="1" x14ac:dyDescent="0.15">
      <c r="A104" s="31"/>
      <c r="B104" s="40" t="s">
        <v>119</v>
      </c>
      <c r="C104" s="104">
        <f>IF(VLOOKUP($B104,'Monthly Summary 2011'!$B$7:$Q$222,14,FALSE)=0,"",VLOOKUP($B104,'Monthly Summary 2011'!$B$7:$Q$222,14,FALSE))</f>
        <v>16.100000000000001</v>
      </c>
      <c r="D104" s="36">
        <v>20.5</v>
      </c>
      <c r="E104" s="36">
        <v>23.7</v>
      </c>
      <c r="F104" s="36">
        <v>27.2</v>
      </c>
      <c r="G104" s="36">
        <v>32.1</v>
      </c>
      <c r="H104" s="36">
        <v>34.799999999999997</v>
      </c>
      <c r="I104" s="36">
        <v>35.299999999999997</v>
      </c>
      <c r="J104" s="36">
        <v>31.8</v>
      </c>
      <c r="K104" s="36">
        <v>28.3</v>
      </c>
      <c r="L104" s="36">
        <v>18.5</v>
      </c>
      <c r="M104" s="36">
        <v>18.399999999999999</v>
      </c>
      <c r="N104" s="36">
        <v>22.2</v>
      </c>
      <c r="O104" s="36">
        <v>16.8</v>
      </c>
      <c r="P104" s="37">
        <f t="shared" si="25"/>
        <v>25.8</v>
      </c>
      <c r="Q104" s="38">
        <f t="shared" si="26"/>
        <v>1</v>
      </c>
      <c r="R104" s="260">
        <f t="shared" si="27"/>
        <v>23.8</v>
      </c>
      <c r="S104" s="264">
        <f t="shared" si="28"/>
        <v>1</v>
      </c>
      <c r="T104" s="260">
        <f t="shared" si="29"/>
        <v>26.2</v>
      </c>
      <c r="U104" s="265">
        <f t="shared" si="30"/>
        <v>1</v>
      </c>
      <c r="V104" s="262">
        <f t="shared" si="31"/>
        <v>25.8</v>
      </c>
      <c r="W104" s="261">
        <f t="shared" si="32"/>
        <v>1</v>
      </c>
      <c r="X104" s="177">
        <f t="shared" ca="1" si="36"/>
        <v>19.745454545454546</v>
      </c>
      <c r="Y104" s="177">
        <f t="shared" ca="1" si="37"/>
        <v>19.760606060606062</v>
      </c>
      <c r="Z104" s="177">
        <f t="shared" ca="1" si="38"/>
        <v>21.146556473829204</v>
      </c>
      <c r="AA104" s="10"/>
      <c r="AB104" s="357" t="str">
        <f>VLOOKUP($B104,'2007-2020 Metadata'!$A$4:$S$214,MATCH("Urban Area /Monitoring Zone",'2007-2020 Metadata'!$A$4:$S$4,0),FALSE)</f>
        <v>Wellington</v>
      </c>
      <c r="AC104" s="259" t="str">
        <f>VLOOKUP(B104,'2007-2020 Metadata'!$A$6:$A$214,1,FALSE)</f>
        <v>WEL031</v>
      </c>
      <c r="AD104" s="256" t="str">
        <f>VLOOKUP($AC104,'2007-2020 Metadata'!$A$6:$S$214,9,FALSE)</f>
        <v>Wellington</v>
      </c>
      <c r="AE104" s="263">
        <f>IF(ISBLANK(VLOOKUP($AC104,'2007-2020 Metadata'!$A$6:$S$214,19,FALSE)),"",VLOOKUP($AC104,'2007-2020 Metadata'!$A$6:$S$214,19,FALSE))</f>
        <v>5.3</v>
      </c>
      <c r="AF104" s="257" t="str">
        <f>VLOOKUP($B104,'2007-2020 Metadata'!$A$4:$S$214,MATCH("Site type",'2007-2020 Metadata'!$A$4:$S$4,0),FALSE)</f>
        <v>SH</v>
      </c>
      <c r="AG104" s="258">
        <f>MIN(AVERAGE(D$104:D$106),AVERAGE(E$104:E$106),AVERAGE(F$104:F$106),AVERAGE(G$104:G$106),AVERAGE(H$104:H$106),AVERAGE(I$104:I$106),AVERAGE(J$104:J$106),AVERAGE(K$104:K$106),AVERAGE(L$104:L$106),AVERAGE(M$104:M$106),AVERAGE(N$104:N$106),AVERAGE(O$104:O$106))</f>
        <v>14.9</v>
      </c>
      <c r="AH104" s="258">
        <f>MAX(AVERAGE(D$104:D$106),AVERAGE(E$104:E$106),AVERAGE(F$104:F$106),AVERAGE(G$104:G$106),AVERAGE(H$104:H$106),AVERAGE(I$104:I$106),AVERAGE(J$104:J$106),AVERAGE(K$104:K$106),AVERAGE(L$104:L$106),AVERAGE(M$104:M$106),AVERAGE(N$104:N$106),AVERAGE(O$104:O$106))</f>
        <v>36.93333333333333</v>
      </c>
      <c r="AI104" s="177">
        <f t="shared" ca="1" si="35"/>
        <v>21.146556473829204</v>
      </c>
    </row>
    <row r="105" spans="1:36" ht="12" customHeight="1" x14ac:dyDescent="0.15">
      <c r="A105" s="31"/>
      <c r="B105" s="40" t="s">
        <v>120</v>
      </c>
      <c r="C105" s="104">
        <f>IF(VLOOKUP($B105,'Monthly Summary 2011'!$B$7:$Q$222,14,FALSE)=0,"",VLOOKUP($B105,'Monthly Summary 2011'!$B$7:$Q$222,14,FALSE))</f>
        <v>19.3</v>
      </c>
      <c r="D105" s="36">
        <v>19.399999999999999</v>
      </c>
      <c r="E105" s="36">
        <v>24.2</v>
      </c>
      <c r="F105" s="36">
        <v>23.2</v>
      </c>
      <c r="G105" s="36">
        <v>30.9</v>
      </c>
      <c r="H105" s="36">
        <v>36.4</v>
      </c>
      <c r="I105" s="36">
        <v>38.9</v>
      </c>
      <c r="J105" s="36">
        <v>30.2</v>
      </c>
      <c r="K105" s="36">
        <v>24.1</v>
      </c>
      <c r="L105" s="36">
        <v>22.1</v>
      </c>
      <c r="M105" s="36">
        <v>17.8</v>
      </c>
      <c r="N105" s="36">
        <v>21.5</v>
      </c>
      <c r="O105" s="36">
        <v>16.600000000000001</v>
      </c>
      <c r="P105" s="37">
        <f t="shared" si="25"/>
        <v>25.441666666666666</v>
      </c>
      <c r="Q105" s="38">
        <f t="shared" si="26"/>
        <v>1</v>
      </c>
      <c r="R105" s="260">
        <f t="shared" si="27"/>
        <v>22.266666666666666</v>
      </c>
      <c r="S105" s="264">
        <f t="shared" si="28"/>
        <v>1</v>
      </c>
      <c r="T105" s="260">
        <f t="shared" si="29"/>
        <v>25.466666666666669</v>
      </c>
      <c r="U105" s="265">
        <f t="shared" si="30"/>
        <v>1</v>
      </c>
      <c r="V105" s="262">
        <f t="shared" si="31"/>
        <v>25.441666666666666</v>
      </c>
      <c r="W105" s="261">
        <f t="shared" si="32"/>
        <v>1</v>
      </c>
      <c r="X105" s="177">
        <f t="shared" ca="1" si="36"/>
        <v>19.745454545454546</v>
      </c>
      <c r="Y105" s="177">
        <f t="shared" ca="1" si="37"/>
        <v>19.760606060606062</v>
      </c>
      <c r="Z105" s="177">
        <f t="shared" ca="1" si="38"/>
        <v>21.146556473829204</v>
      </c>
      <c r="AA105" s="10"/>
      <c r="AB105" s="357" t="str">
        <f>VLOOKUP($B105,'2007-2020 Metadata'!$A$4:$S$214,MATCH("Urban Area /Monitoring Zone",'2007-2020 Metadata'!$A$4:$S$4,0),FALSE)</f>
        <v>Wellington</v>
      </c>
      <c r="AC105" s="259" t="str">
        <f>VLOOKUP(B105,'2007-2020 Metadata'!$A$6:$A$214,1,FALSE)</f>
        <v>WEL032</v>
      </c>
      <c r="AD105" s="256" t="str">
        <f>VLOOKUP($AC105,'2007-2020 Metadata'!$A$6:$S$214,9,FALSE)</f>
        <v>Wellington</v>
      </c>
      <c r="AE105" s="263">
        <f>IF(ISBLANK(VLOOKUP($AC105,'2007-2020 Metadata'!$A$6:$S$214,19,FALSE)),"",VLOOKUP($AC105,'2007-2020 Metadata'!$A$6:$S$214,19,FALSE))</f>
        <v>5.3</v>
      </c>
      <c r="AF105" s="257" t="str">
        <f>VLOOKUP($B105,'2007-2020 Metadata'!$A$4:$S$214,MATCH("Site type",'2007-2020 Metadata'!$A$4:$S$4,0),FALSE)</f>
        <v>SH</v>
      </c>
      <c r="AG105" s="258">
        <f>MIN(AVERAGE(D$104:D$106),AVERAGE(E$104:E$106),AVERAGE(F$104:F$106),AVERAGE(G$104:G$106),AVERAGE(H$104:H$106),AVERAGE(I$104:I$106),AVERAGE(J$104:J$106),AVERAGE(K$104:K$106),AVERAGE(L$104:L$106),AVERAGE(M$104:M$106),AVERAGE(N$104:N$106),AVERAGE(O$104:O$106))</f>
        <v>14.9</v>
      </c>
      <c r="AH105" s="258">
        <f t="shared" ref="AH105:AH106" si="39">MAX(AVERAGE(D$104:D$106),AVERAGE(E$104:E$106),AVERAGE(F$104:F$106),AVERAGE(G$104:G$106),AVERAGE(H$104:H$106),AVERAGE(I$104:I$106),AVERAGE(J$104:J$106),AVERAGE(K$104:K$106),AVERAGE(L$104:L$106),AVERAGE(M$104:M$106),AVERAGE(N$104:N$106),AVERAGE(O$104:O$106))</f>
        <v>36.93333333333333</v>
      </c>
      <c r="AI105" s="177">
        <f t="shared" ca="1" si="35"/>
        <v>21.146556473829204</v>
      </c>
    </row>
    <row r="106" spans="1:36" ht="12" customHeight="1" x14ac:dyDescent="0.15">
      <c r="A106" s="31"/>
      <c r="B106" s="40" t="s">
        <v>121</v>
      </c>
      <c r="C106" s="104">
        <f>IF(VLOOKUP($B106,'Monthly Summary 2011'!$B$7:$Q$222,14,FALSE)=0,"",VLOOKUP($B106,'Monthly Summary 2011'!$B$7:$Q$222,14,FALSE))</f>
        <v>20.9</v>
      </c>
      <c r="D106" s="36">
        <v>20.3</v>
      </c>
      <c r="E106" s="36">
        <v>24.3</v>
      </c>
      <c r="F106" s="36">
        <v>27.2</v>
      </c>
      <c r="G106" s="36">
        <v>30</v>
      </c>
      <c r="H106" s="36">
        <v>34.9</v>
      </c>
      <c r="I106" s="36">
        <v>36.6</v>
      </c>
      <c r="J106" s="36">
        <v>34.4</v>
      </c>
      <c r="K106" s="36">
        <v>27</v>
      </c>
      <c r="L106" s="36">
        <v>22.1</v>
      </c>
      <c r="M106" s="36">
        <v>19</v>
      </c>
      <c r="N106" s="36">
        <v>21.9</v>
      </c>
      <c r="O106" s="36">
        <v>11.3</v>
      </c>
      <c r="P106" s="37">
        <f t="shared" si="25"/>
        <v>25.75</v>
      </c>
      <c r="Q106" s="38">
        <f t="shared" si="26"/>
        <v>1</v>
      </c>
      <c r="R106" s="260">
        <f t="shared" si="27"/>
        <v>23.933333333333334</v>
      </c>
      <c r="S106" s="264">
        <f t="shared" si="28"/>
        <v>1</v>
      </c>
      <c r="T106" s="260">
        <f t="shared" si="29"/>
        <v>27.833333333333332</v>
      </c>
      <c r="U106" s="265">
        <f t="shared" si="30"/>
        <v>1</v>
      </c>
      <c r="V106" s="262">
        <f t="shared" si="31"/>
        <v>25.75</v>
      </c>
      <c r="W106" s="261">
        <f t="shared" si="32"/>
        <v>1</v>
      </c>
      <c r="X106" s="177">
        <f t="shared" ca="1" si="36"/>
        <v>19.745454545454546</v>
      </c>
      <c r="Y106" s="177">
        <f t="shared" ca="1" si="37"/>
        <v>19.760606060606062</v>
      </c>
      <c r="Z106" s="177">
        <f t="shared" ca="1" si="38"/>
        <v>21.146556473829204</v>
      </c>
      <c r="AA106" s="10"/>
      <c r="AB106" s="357" t="str">
        <f>VLOOKUP($B106,'2007-2020 Metadata'!$A$4:$S$214,MATCH("Urban Area /Monitoring Zone",'2007-2020 Metadata'!$A$4:$S$4,0),FALSE)</f>
        <v>Wellington</v>
      </c>
      <c r="AC106" s="259" t="str">
        <f>VLOOKUP(B106,'2007-2020 Metadata'!$A$6:$A$214,1,FALSE)</f>
        <v>WEL033</v>
      </c>
      <c r="AD106" s="256" t="str">
        <f>VLOOKUP($AC106,'2007-2020 Metadata'!$A$6:$S$214,9,FALSE)</f>
        <v>Wellington</v>
      </c>
      <c r="AE106" s="263">
        <f>IF(ISBLANK(VLOOKUP($AC106,'2007-2020 Metadata'!$A$6:$S$214,19,FALSE)),"",VLOOKUP($AC106,'2007-2020 Metadata'!$A$6:$S$214,19,FALSE))</f>
        <v>5.3</v>
      </c>
      <c r="AF106" s="257" t="str">
        <f>VLOOKUP($B106,'2007-2020 Metadata'!$A$4:$S$214,MATCH("Site type",'2007-2020 Metadata'!$A$4:$S$4,0),FALSE)</f>
        <v>SH</v>
      </c>
      <c r="AG106" s="258">
        <f>MIN(AVERAGE(D$104:D$106),AVERAGE(E$104:E$106),AVERAGE(F$104:F$106),AVERAGE(G$104:G$106),AVERAGE(H$104:H$106),AVERAGE(I$104:I$106),AVERAGE(J$104:J$106),AVERAGE(K$104:K$106),AVERAGE(L$104:L$106),AVERAGE(M$104:M$106),AVERAGE(N$104:N$106),AVERAGE(O$104:O$106))</f>
        <v>14.9</v>
      </c>
      <c r="AH106" s="258">
        <f t="shared" si="39"/>
        <v>36.93333333333333</v>
      </c>
      <c r="AI106" s="177">
        <f t="shared" ca="1" si="35"/>
        <v>21.146556473829204</v>
      </c>
    </row>
    <row r="107" spans="1:36" ht="12" customHeight="1" x14ac:dyDescent="0.15">
      <c r="A107" s="31"/>
      <c r="B107" s="40" t="s">
        <v>122</v>
      </c>
      <c r="C107" s="104">
        <f>IF(VLOOKUP($B107,'Monthly Summary 2011'!$B$7:$Q$222,14,FALSE)=0,"",VLOOKUP($B107,'Monthly Summary 2011'!$B$7:$Q$222,14,FALSE))</f>
        <v>9</v>
      </c>
      <c r="D107" s="36">
        <v>6.8</v>
      </c>
      <c r="E107" s="36">
        <v>9.6</v>
      </c>
      <c r="F107" s="36">
        <v>8.3000000000000007</v>
      </c>
      <c r="G107" s="36">
        <v>12.3</v>
      </c>
      <c r="H107" s="36">
        <v>14.4</v>
      </c>
      <c r="I107" s="36">
        <v>14.3</v>
      </c>
      <c r="J107" s="36">
        <v>13.8</v>
      </c>
      <c r="K107" s="36">
        <v>12.5</v>
      </c>
      <c r="L107" s="36">
        <v>6.4</v>
      </c>
      <c r="M107" s="36"/>
      <c r="N107" s="36">
        <v>8.3000000000000007</v>
      </c>
      <c r="O107" s="36"/>
      <c r="P107" s="37">
        <f t="shared" si="25"/>
        <v>10.67</v>
      </c>
      <c r="Q107" s="38">
        <f t="shared" si="26"/>
        <v>0.83333333333333337</v>
      </c>
      <c r="R107" s="260">
        <f t="shared" si="27"/>
        <v>8.2333333333333325</v>
      </c>
      <c r="S107" s="264">
        <f t="shared" si="28"/>
        <v>1</v>
      </c>
      <c r="T107" s="260">
        <f t="shared" si="29"/>
        <v>10.9</v>
      </c>
      <c r="U107" s="265">
        <f t="shared" si="30"/>
        <v>1</v>
      </c>
      <c r="V107" s="262">
        <f t="shared" si="31"/>
        <v>10.67</v>
      </c>
      <c r="W107" s="261">
        <f t="shared" si="32"/>
        <v>0.83333333333333337</v>
      </c>
      <c r="X107" s="177">
        <f t="shared" ca="1" si="36"/>
        <v>8.9222222222222225</v>
      </c>
      <c r="Y107" s="177">
        <f t="shared" ca="1" si="37"/>
        <v>10.355555555555554</v>
      </c>
      <c r="Z107" s="177">
        <f t="shared" ca="1" si="38"/>
        <v>10.786666666666667</v>
      </c>
      <c r="AA107" s="10"/>
      <c r="AB107" s="357" t="str">
        <f>VLOOKUP($B107,'2007-2020 Metadata'!$A$4:$S$214,MATCH("Urban Area /Monitoring Zone",'2007-2020 Metadata'!$A$4:$S$4,0),FALSE)</f>
        <v>Wellington</v>
      </c>
      <c r="AC107" s="259" t="str">
        <f>VLOOKUP(B107,'2007-2020 Metadata'!$A$6:$A$214,1,FALSE)</f>
        <v>WEL034</v>
      </c>
      <c r="AD107" s="256" t="str">
        <f>VLOOKUP($AC107,'2007-2020 Metadata'!$A$6:$S$214,9,FALSE)</f>
        <v>Tawa</v>
      </c>
      <c r="AE107" s="263">
        <f>IF(ISBLANK(VLOOKUP($AC107,'2007-2020 Metadata'!$A$6:$S$214,19,FALSE)),"",VLOOKUP($AC107,'2007-2020 Metadata'!$A$6:$S$214,19,FALSE))</f>
        <v>3.6</v>
      </c>
      <c r="AF107" s="257" t="str">
        <f>VLOOKUP($B107,'2007-2020 Metadata'!$A$4:$S$214,MATCH("Site type",'2007-2020 Metadata'!$A$4:$S$4,0),FALSE)</f>
        <v>Background</v>
      </c>
      <c r="AG107" s="258">
        <f>MIN(AVERAGE(D$107:D$109),AVERAGE(E$107:E$109),AVERAGE(F$107:F$109),AVERAGE(G$107:G$109),AVERAGE(H$107:H$109),AVERAGE(I$107:I$109),AVERAGE(J$107:J$109),AVERAGE(K$107:K$109),AVERAGE(L$107:L$109),AVERAGE(N$107:N$109))</f>
        <v>6.4333333333333336</v>
      </c>
      <c r="AH107" s="258">
        <f>MAX(AVERAGE(D$107:D$109),AVERAGE(E$107:E$109),AVERAGE(F$107:F$109),AVERAGE(G$107:G$109),AVERAGE(H$107:H$109),AVERAGE(I$107:I$109),AVERAGE(J$107:J$109),AVERAGE(K$107:K$109),AVERAGE(L$107:L$109),AVERAGE(N$107:N$109))</f>
        <v>14.766666666666666</v>
      </c>
      <c r="AI107" s="177">
        <f t="shared" ca="1" si="35"/>
        <v>10.786666666666667</v>
      </c>
      <c r="AJ107" s="39" t="s">
        <v>547</v>
      </c>
    </row>
    <row r="108" spans="1:36" ht="12" customHeight="1" x14ac:dyDescent="0.15">
      <c r="A108" s="31"/>
      <c r="B108" s="40" t="s">
        <v>123</v>
      </c>
      <c r="C108" s="104">
        <f>IF(VLOOKUP($B108,'Monthly Summary 2011'!$B$7:$Q$222,14,FALSE)=0,"",VLOOKUP($B108,'Monthly Summary 2011'!$B$7:$Q$222,14,FALSE))</f>
        <v>8</v>
      </c>
      <c r="D108" s="36">
        <v>6.2</v>
      </c>
      <c r="E108" s="36">
        <v>9.6</v>
      </c>
      <c r="F108" s="36">
        <v>10.5</v>
      </c>
      <c r="G108" s="36">
        <v>11.3</v>
      </c>
      <c r="H108" s="36">
        <v>15.2</v>
      </c>
      <c r="I108" s="36">
        <v>14.6</v>
      </c>
      <c r="J108" s="36">
        <v>11.7</v>
      </c>
      <c r="K108" s="36">
        <v>12</v>
      </c>
      <c r="L108" s="36">
        <v>6.7</v>
      </c>
      <c r="M108" s="36"/>
      <c r="N108" s="36">
        <v>9.5</v>
      </c>
      <c r="O108" s="36"/>
      <c r="P108" s="37">
        <f t="shared" si="25"/>
        <v>10.73</v>
      </c>
      <c r="Q108" s="38">
        <f t="shared" si="26"/>
        <v>0.83333333333333337</v>
      </c>
      <c r="R108" s="260">
        <f t="shared" si="27"/>
        <v>8.7666666666666675</v>
      </c>
      <c r="S108" s="264">
        <f t="shared" si="28"/>
        <v>1</v>
      </c>
      <c r="T108" s="260">
        <f t="shared" si="29"/>
        <v>10.133333333333333</v>
      </c>
      <c r="U108" s="265">
        <f t="shared" si="30"/>
        <v>1</v>
      </c>
      <c r="V108" s="262">
        <f t="shared" si="31"/>
        <v>10.73</v>
      </c>
      <c r="W108" s="261">
        <f t="shared" si="32"/>
        <v>0.83333333333333337</v>
      </c>
      <c r="X108" s="177">
        <f t="shared" ca="1" si="36"/>
        <v>8.9222222222222225</v>
      </c>
      <c r="Y108" s="177">
        <f t="shared" ca="1" si="37"/>
        <v>10.355555555555554</v>
      </c>
      <c r="Z108" s="177">
        <f t="shared" ca="1" si="38"/>
        <v>10.786666666666667</v>
      </c>
      <c r="AA108" s="10"/>
      <c r="AB108" s="357" t="str">
        <f>VLOOKUP($B108,'2007-2020 Metadata'!$A$4:$S$214,MATCH("Urban Area /Monitoring Zone",'2007-2020 Metadata'!$A$4:$S$4,0),FALSE)</f>
        <v>Wellington</v>
      </c>
      <c r="AC108" s="259" t="str">
        <f>VLOOKUP(B108,'2007-2020 Metadata'!$A$6:$A$214,1,FALSE)</f>
        <v>WEL035</v>
      </c>
      <c r="AD108" s="256" t="str">
        <f>VLOOKUP($AC108,'2007-2020 Metadata'!$A$6:$S$214,9,FALSE)</f>
        <v>Tawa</v>
      </c>
      <c r="AE108" s="263">
        <f>IF(ISBLANK(VLOOKUP($AC108,'2007-2020 Metadata'!$A$6:$S$214,19,FALSE)),"",VLOOKUP($AC108,'2007-2020 Metadata'!$A$6:$S$214,19,FALSE))</f>
        <v>3.6</v>
      </c>
      <c r="AF108" s="257" t="str">
        <f>VLOOKUP($B108,'2007-2020 Metadata'!$A$4:$S$214,MATCH("Site type",'2007-2020 Metadata'!$A$4:$S$4,0),FALSE)</f>
        <v>Background</v>
      </c>
      <c r="AG108" s="258">
        <f t="shared" ref="AG108:AG109" si="40">MIN(AVERAGE(D$107:D$109),AVERAGE(E$107:E$109),AVERAGE(F$107:F$109),AVERAGE(G$107:G$109),AVERAGE(H$107:H$109),AVERAGE(I$107:I$109),AVERAGE(J$107:J$109),AVERAGE(K$107:K$109),AVERAGE(L$107:L$109),AVERAGE(N$107:N$109))</f>
        <v>6.4333333333333336</v>
      </c>
      <c r="AH108" s="258">
        <f t="shared" ref="AH108:AH109" si="41">MAX(AVERAGE(D$107:D$109),AVERAGE(E$107:E$109),AVERAGE(F$107:F$109),AVERAGE(G$107:G$109),AVERAGE(H$107:H$109),AVERAGE(I$107:I$109),AVERAGE(J$107:J$109),AVERAGE(K$107:K$109),AVERAGE(L$107:L$109),AVERAGE(N$107:N$109))</f>
        <v>14.766666666666666</v>
      </c>
      <c r="AI108" s="177">
        <f t="shared" ca="1" si="35"/>
        <v>10.786666666666667</v>
      </c>
      <c r="AJ108" s="39" t="s">
        <v>547</v>
      </c>
    </row>
    <row r="109" spans="1:36" ht="12" customHeight="1" x14ac:dyDescent="0.15">
      <c r="A109" s="31"/>
      <c r="B109" s="40" t="s">
        <v>124</v>
      </c>
      <c r="C109" s="104">
        <f>IF(VLOOKUP($B109,'Monthly Summary 2011'!$B$7:$Q$222,14,FALSE)=0,"",VLOOKUP($B109,'Monthly Summary 2011'!$B$7:$Q$222,14,FALSE))</f>
        <v>8.6999999999999993</v>
      </c>
      <c r="D109" s="36">
        <v>7.2</v>
      </c>
      <c r="E109" s="36">
        <v>10.5</v>
      </c>
      <c r="F109" s="36">
        <v>11.6</v>
      </c>
      <c r="G109" s="36">
        <v>13.1</v>
      </c>
      <c r="H109" s="36">
        <v>14.7</v>
      </c>
      <c r="I109" s="36">
        <v>13.3</v>
      </c>
      <c r="J109" s="36">
        <v>12.9</v>
      </c>
      <c r="K109" s="36">
        <v>11</v>
      </c>
      <c r="L109" s="36">
        <v>6.2</v>
      </c>
      <c r="M109" s="36"/>
      <c r="N109" s="36">
        <v>9.1</v>
      </c>
      <c r="O109" s="36"/>
      <c r="P109" s="37">
        <f t="shared" si="25"/>
        <v>10.959999999999999</v>
      </c>
      <c r="Q109" s="38">
        <f t="shared" si="26"/>
        <v>0.83333333333333337</v>
      </c>
      <c r="R109" s="260">
        <f t="shared" si="27"/>
        <v>9.7666666666666657</v>
      </c>
      <c r="S109" s="264">
        <f t="shared" si="28"/>
        <v>1</v>
      </c>
      <c r="T109" s="260">
        <f t="shared" si="29"/>
        <v>10.033333333333333</v>
      </c>
      <c r="U109" s="265">
        <f t="shared" si="30"/>
        <v>1</v>
      </c>
      <c r="V109" s="262">
        <f t="shared" si="31"/>
        <v>10.959999999999999</v>
      </c>
      <c r="W109" s="261">
        <f t="shared" si="32"/>
        <v>0.83333333333333337</v>
      </c>
      <c r="X109" s="177">
        <f t="shared" ca="1" si="36"/>
        <v>8.9222222222222225</v>
      </c>
      <c r="Y109" s="177">
        <f t="shared" ca="1" si="37"/>
        <v>10.355555555555554</v>
      </c>
      <c r="Z109" s="177">
        <f t="shared" ca="1" si="38"/>
        <v>10.786666666666667</v>
      </c>
      <c r="AA109" s="10"/>
      <c r="AB109" s="357" t="str">
        <f>VLOOKUP($B109,'2007-2020 Metadata'!$A$4:$S$214,MATCH("Urban Area /Monitoring Zone",'2007-2020 Metadata'!$A$4:$S$4,0),FALSE)</f>
        <v>Wellington</v>
      </c>
      <c r="AC109" s="259" t="str">
        <f>VLOOKUP(B109,'2007-2020 Metadata'!$A$6:$A$214,1,FALSE)</f>
        <v>WEL036</v>
      </c>
      <c r="AD109" s="256" t="str">
        <f>VLOOKUP($AC109,'2007-2020 Metadata'!$A$6:$S$214,9,FALSE)</f>
        <v>Tawa</v>
      </c>
      <c r="AE109" s="263">
        <f>IF(ISBLANK(VLOOKUP($AC109,'2007-2020 Metadata'!$A$6:$S$214,19,FALSE)),"",VLOOKUP($AC109,'2007-2020 Metadata'!$A$6:$S$214,19,FALSE))</f>
        <v>3.6</v>
      </c>
      <c r="AF109" s="257" t="str">
        <f>VLOOKUP($B109,'2007-2020 Metadata'!$A$4:$S$214,MATCH("Site type",'2007-2020 Metadata'!$A$4:$S$4,0),FALSE)</f>
        <v>Background</v>
      </c>
      <c r="AG109" s="258">
        <f t="shared" si="40"/>
        <v>6.4333333333333336</v>
      </c>
      <c r="AH109" s="258">
        <f t="shared" si="41"/>
        <v>14.766666666666666</v>
      </c>
      <c r="AI109" s="177">
        <f t="shared" ca="1" si="35"/>
        <v>10.786666666666667</v>
      </c>
      <c r="AJ109" s="39" t="s">
        <v>547</v>
      </c>
    </row>
    <row r="110" spans="1:36" ht="12" customHeight="1" x14ac:dyDescent="0.15">
      <c r="A110" s="31"/>
      <c r="B110" s="40" t="s">
        <v>125</v>
      </c>
      <c r="C110" s="104">
        <f>IF(VLOOKUP($B110,'Monthly Summary 2011'!$B$7:$Q$222,14,FALSE)=0,"",VLOOKUP($B110,'Monthly Summary 2011'!$B$7:$Q$222,14,FALSE))</f>
        <v>8.6</v>
      </c>
      <c r="D110" s="36">
        <v>9.1</v>
      </c>
      <c r="E110" s="36">
        <v>10.4</v>
      </c>
      <c r="F110" s="36">
        <v>11.5</v>
      </c>
      <c r="G110" s="36">
        <v>12</v>
      </c>
      <c r="H110" s="36">
        <v>15.1</v>
      </c>
      <c r="I110" s="36">
        <v>15.2</v>
      </c>
      <c r="J110" s="36">
        <v>9.6999999999999993</v>
      </c>
      <c r="K110" s="36">
        <v>9.6999999999999993</v>
      </c>
      <c r="L110" s="36">
        <v>8.4</v>
      </c>
      <c r="M110" s="36"/>
      <c r="N110" s="36">
        <v>10.6</v>
      </c>
      <c r="O110" s="36">
        <v>8</v>
      </c>
      <c r="P110" s="37">
        <f t="shared" si="25"/>
        <v>10.881818181818183</v>
      </c>
      <c r="Q110" s="38">
        <f t="shared" si="26"/>
        <v>0.91666666666666663</v>
      </c>
      <c r="R110" s="140">
        <f t="shared" si="27"/>
        <v>10.333333333333334</v>
      </c>
      <c r="S110" s="24">
        <f t="shared" si="28"/>
        <v>1</v>
      </c>
      <c r="T110" s="140">
        <f t="shared" si="29"/>
        <v>9.2666666666666657</v>
      </c>
      <c r="U110" s="9">
        <f t="shared" si="30"/>
        <v>1</v>
      </c>
      <c r="V110" s="141">
        <f t="shared" si="31"/>
        <v>10.881818181818183</v>
      </c>
      <c r="W110" s="142">
        <f t="shared" si="32"/>
        <v>0.91666666666666663</v>
      </c>
      <c r="X110" s="144">
        <f t="shared" ca="1" si="36"/>
        <v>19.745454545454546</v>
      </c>
      <c r="Y110" s="144">
        <f t="shared" ca="1" si="37"/>
        <v>19.760606060606062</v>
      </c>
      <c r="Z110" s="144">
        <f t="shared" ca="1" si="38"/>
        <v>21.146556473829204</v>
      </c>
      <c r="AA110" s="10"/>
      <c r="AB110" s="357" t="str">
        <f>VLOOKUP($B110,'2007-2020 Metadata'!$A$4:$S$214,MATCH("Urban Area /Monitoring Zone",'2007-2020 Metadata'!$A$4:$S$4,0),FALSE)</f>
        <v>Wellington</v>
      </c>
      <c r="AC110" s="87" t="str">
        <f>VLOOKUP(B110,'2007-2020 Metadata'!$A$6:$A$214,1,FALSE)</f>
        <v>WEL047</v>
      </c>
      <c r="AD110" s="230" t="str">
        <f>VLOOKUP($AC110,'2007-2020 Metadata'!$A$6:$S$214,9,FALSE)</f>
        <v>Wellington</v>
      </c>
      <c r="AE110" s="248">
        <f>IF(ISBLANK(VLOOKUP($AC110,'2007-2020 Metadata'!$A$6:$S$214,19,FALSE)),"",VLOOKUP($AC110,'2007-2020 Metadata'!$A$6:$S$214,19,FALSE))</f>
        <v>3.5</v>
      </c>
      <c r="AF110" s="88" t="str">
        <f>VLOOKUP($B110,'2007-2020 Metadata'!$A$4:$S$214,MATCH("Site type",'2007-2020 Metadata'!$A$4:$S$4,0),FALSE)</f>
        <v>Local</v>
      </c>
      <c r="AG110" s="143">
        <f t="shared" si="33"/>
        <v>8</v>
      </c>
      <c r="AH110" s="143">
        <f t="shared" si="34"/>
        <v>15.2</v>
      </c>
      <c r="AI110" s="144">
        <f t="shared" ca="1" si="35"/>
        <v>21.146556473829204</v>
      </c>
    </row>
    <row r="111" spans="1:36" ht="12" customHeight="1" x14ac:dyDescent="0.15">
      <c r="A111" s="31"/>
      <c r="B111" s="40" t="s">
        <v>126</v>
      </c>
      <c r="C111" s="104">
        <f>IF(VLOOKUP($B111,'Monthly Summary 2011'!$B$7:$Q$222,14,FALSE)=0,"",VLOOKUP($B111,'Monthly Summary 2011'!$B$7:$Q$222,14,FALSE))</f>
        <v>7.6</v>
      </c>
      <c r="D111" s="36">
        <v>6.3</v>
      </c>
      <c r="E111" s="36">
        <v>7.7</v>
      </c>
      <c r="F111" s="36">
        <v>8.6</v>
      </c>
      <c r="G111" s="36">
        <v>9.9</v>
      </c>
      <c r="H111" s="36">
        <v>12.3</v>
      </c>
      <c r="I111" s="36">
        <v>14.2</v>
      </c>
      <c r="J111" s="36">
        <v>10.199999999999999</v>
      </c>
      <c r="K111" s="36">
        <v>10.199999999999999</v>
      </c>
      <c r="L111" s="36"/>
      <c r="M111" s="36">
        <v>7.7</v>
      </c>
      <c r="N111" s="36">
        <v>7.6</v>
      </c>
      <c r="O111" s="36">
        <v>7.3</v>
      </c>
      <c r="P111" s="37">
        <f t="shared" si="25"/>
        <v>9.2727272727272734</v>
      </c>
      <c r="Q111" s="38">
        <f t="shared" si="26"/>
        <v>0.91666666666666663</v>
      </c>
      <c r="R111" s="140">
        <f t="shared" si="27"/>
        <v>7.5333333333333341</v>
      </c>
      <c r="S111" s="24">
        <f t="shared" si="28"/>
        <v>1</v>
      </c>
      <c r="T111" s="140">
        <f t="shared" si="29"/>
        <v>10.199999999999999</v>
      </c>
      <c r="U111" s="9">
        <f t="shared" si="30"/>
        <v>0.66666666666666663</v>
      </c>
      <c r="V111" s="141">
        <f t="shared" si="31"/>
        <v>9.2727272727272734</v>
      </c>
      <c r="W111" s="142">
        <f t="shared" si="32"/>
        <v>0.91666666666666663</v>
      </c>
      <c r="X111" s="144">
        <f t="shared" ca="1" si="36"/>
        <v>19.745454545454546</v>
      </c>
      <c r="Y111" s="144">
        <f t="shared" ca="1" si="37"/>
        <v>19.760606060606062</v>
      </c>
      <c r="Z111" s="144">
        <f t="shared" ca="1" si="38"/>
        <v>21.146556473829204</v>
      </c>
      <c r="AA111" s="10"/>
      <c r="AB111" s="357" t="str">
        <f>VLOOKUP($B111,'2007-2020 Metadata'!$A$4:$S$214,MATCH("Urban Area /Monitoring Zone",'2007-2020 Metadata'!$A$4:$S$4,0),FALSE)</f>
        <v>Wellington</v>
      </c>
      <c r="AC111" s="87" t="str">
        <f>VLOOKUP(B111,'2007-2020 Metadata'!$A$6:$A$214,1,FALSE)</f>
        <v>WEL048</v>
      </c>
      <c r="AD111" s="230" t="str">
        <f>VLOOKUP($AC111,'2007-2020 Metadata'!$A$6:$S$214,9,FALSE)</f>
        <v>Wellington</v>
      </c>
      <c r="AE111" s="248">
        <f>IF(ISBLANK(VLOOKUP($AC111,'2007-2020 Metadata'!$A$6:$S$214,19,FALSE)),"",VLOOKUP($AC111,'2007-2020 Metadata'!$A$6:$S$214,19,FALSE))</f>
        <v>4</v>
      </c>
      <c r="AF111" s="88" t="str">
        <f>VLOOKUP($B111,'2007-2020 Metadata'!$A$4:$S$214,MATCH("Site type",'2007-2020 Metadata'!$A$4:$S$4,0),FALSE)</f>
        <v>Background</v>
      </c>
      <c r="AG111" s="143">
        <f t="shared" si="33"/>
        <v>6.3</v>
      </c>
      <c r="AH111" s="143">
        <f t="shared" si="34"/>
        <v>14.2</v>
      </c>
      <c r="AI111" s="144">
        <f t="shared" ca="1" si="35"/>
        <v>21.146556473829204</v>
      </c>
    </row>
    <row r="112" spans="1:36" ht="12" customHeight="1" x14ac:dyDescent="0.15">
      <c r="A112" s="31"/>
      <c r="B112" s="40" t="s">
        <v>127</v>
      </c>
      <c r="C112" s="104">
        <f>IF(VLOOKUP($B112,'Monthly Summary 2011'!$B$7:$Q$222,14,FALSE)=0,"",VLOOKUP($B112,'Monthly Summary 2011'!$B$7:$Q$222,14,FALSE))</f>
        <v>31.3</v>
      </c>
      <c r="D112" s="36">
        <v>24.9</v>
      </c>
      <c r="E112" s="36">
        <v>29.9</v>
      </c>
      <c r="F112" s="36">
        <v>35.5</v>
      </c>
      <c r="G112" s="36">
        <v>45</v>
      </c>
      <c r="H112" s="36">
        <v>42.8</v>
      </c>
      <c r="I112" s="36">
        <v>42.4</v>
      </c>
      <c r="J112" s="36">
        <v>22.8</v>
      </c>
      <c r="K112" s="36">
        <v>22.8</v>
      </c>
      <c r="L112" s="36">
        <v>26</v>
      </c>
      <c r="M112" s="36">
        <v>24.6</v>
      </c>
      <c r="N112" s="36">
        <v>29.3</v>
      </c>
      <c r="O112" s="36">
        <v>26.2</v>
      </c>
      <c r="P112" s="37">
        <f t="shared" si="25"/>
        <v>31.016666666666669</v>
      </c>
      <c r="Q112" s="38">
        <f t="shared" si="26"/>
        <v>1</v>
      </c>
      <c r="R112" s="140">
        <f t="shared" si="27"/>
        <v>30.099999999999998</v>
      </c>
      <c r="S112" s="24">
        <f t="shared" si="28"/>
        <v>1</v>
      </c>
      <c r="T112" s="140">
        <f t="shared" si="29"/>
        <v>23.866666666666664</v>
      </c>
      <c r="U112" s="9">
        <f t="shared" si="30"/>
        <v>1</v>
      </c>
      <c r="V112" s="141">
        <f t="shared" si="31"/>
        <v>31.016666666666669</v>
      </c>
      <c r="W112" s="142">
        <f t="shared" si="32"/>
        <v>1</v>
      </c>
      <c r="X112" s="144">
        <f t="shared" ca="1" si="36"/>
        <v>19.745454545454546</v>
      </c>
      <c r="Y112" s="144">
        <f t="shared" ca="1" si="37"/>
        <v>19.760606060606062</v>
      </c>
      <c r="Z112" s="144">
        <f t="shared" ca="1" si="38"/>
        <v>21.146556473829204</v>
      </c>
      <c r="AA112" s="10"/>
      <c r="AB112" s="357" t="str">
        <f>VLOOKUP($B112,'2007-2020 Metadata'!$A$4:$S$214,MATCH("Urban Area /Monitoring Zone",'2007-2020 Metadata'!$A$4:$S$4,0),FALSE)</f>
        <v>Wellington</v>
      </c>
      <c r="AC112" s="87" t="str">
        <f>VLOOKUP(B112,'2007-2020 Metadata'!$A$6:$A$214,1,FALSE)</f>
        <v>WEL049</v>
      </c>
      <c r="AD112" s="230" t="str">
        <f>VLOOKUP($AC112,'2007-2020 Metadata'!$A$6:$S$214,9,FALSE)</f>
        <v>Wellington</v>
      </c>
      <c r="AE112" s="248">
        <f>IF(ISBLANK(VLOOKUP($AC112,'2007-2020 Metadata'!$A$6:$S$214,19,FALSE)),"",VLOOKUP($AC112,'2007-2020 Metadata'!$A$6:$S$214,19,FALSE))</f>
        <v>4</v>
      </c>
      <c r="AF112" s="88" t="str">
        <f>VLOOKUP($B112,'2007-2020 Metadata'!$A$4:$S$214,MATCH("Site type",'2007-2020 Metadata'!$A$4:$S$4,0),FALSE)</f>
        <v>Local</v>
      </c>
      <c r="AG112" s="143">
        <f t="shared" si="33"/>
        <v>22.8</v>
      </c>
      <c r="AH112" s="143">
        <f t="shared" si="34"/>
        <v>45</v>
      </c>
      <c r="AI112" s="144">
        <f t="shared" ca="1" si="35"/>
        <v>21.146556473829204</v>
      </c>
    </row>
    <row r="113" spans="1:37" ht="12" customHeight="1" x14ac:dyDescent="0.15">
      <c r="A113" s="31"/>
      <c r="B113" s="40" t="s">
        <v>128</v>
      </c>
      <c r="C113" s="104">
        <f>IF(VLOOKUP($B113,'Monthly Summary 2011'!$B$7:$Q$222,14,FALSE)=0,"",VLOOKUP($B113,'Monthly Summary 2011'!$B$7:$Q$222,14,FALSE))</f>
        <v>17.5</v>
      </c>
      <c r="D113" s="36">
        <v>14.1</v>
      </c>
      <c r="E113" s="36">
        <v>19.2</v>
      </c>
      <c r="F113" s="36">
        <v>21.4</v>
      </c>
      <c r="G113" s="36">
        <v>22.8</v>
      </c>
      <c r="H113" s="36">
        <v>28.6</v>
      </c>
      <c r="I113" s="36">
        <v>27.2</v>
      </c>
      <c r="J113" s="36">
        <v>14.9</v>
      </c>
      <c r="K113" s="36">
        <v>14.9</v>
      </c>
      <c r="L113" s="36">
        <v>15.4</v>
      </c>
      <c r="M113" s="36">
        <v>17.5</v>
      </c>
      <c r="N113" s="36">
        <v>19.100000000000001</v>
      </c>
      <c r="O113" s="36">
        <v>15.6</v>
      </c>
      <c r="P113" s="37">
        <f t="shared" si="25"/>
        <v>19.224999999999998</v>
      </c>
      <c r="Q113" s="38">
        <f t="shared" si="26"/>
        <v>1</v>
      </c>
      <c r="R113" s="140">
        <f t="shared" si="27"/>
        <v>18.233333333333331</v>
      </c>
      <c r="S113" s="24">
        <f t="shared" si="28"/>
        <v>1</v>
      </c>
      <c r="T113" s="140">
        <f t="shared" si="29"/>
        <v>15.066666666666668</v>
      </c>
      <c r="U113" s="9">
        <f t="shared" si="30"/>
        <v>1</v>
      </c>
      <c r="V113" s="141">
        <f t="shared" si="31"/>
        <v>19.224999999999998</v>
      </c>
      <c r="W113" s="142">
        <f t="shared" si="32"/>
        <v>1</v>
      </c>
      <c r="X113" s="144">
        <f t="shared" ca="1" si="36"/>
        <v>19.745454545454546</v>
      </c>
      <c r="Y113" s="144">
        <f t="shared" ca="1" si="37"/>
        <v>19.760606060606062</v>
      </c>
      <c r="Z113" s="144">
        <f t="shared" ca="1" si="38"/>
        <v>21.146556473829204</v>
      </c>
      <c r="AA113" s="10"/>
      <c r="AB113" s="357" t="str">
        <f>VLOOKUP($B113,'2007-2020 Metadata'!$A$4:$S$214,MATCH("Urban Area /Monitoring Zone",'2007-2020 Metadata'!$A$4:$S$4,0),FALSE)</f>
        <v>Wellington</v>
      </c>
      <c r="AC113" s="87" t="str">
        <f>VLOOKUP(B113,'2007-2020 Metadata'!$A$6:$A$214,1,FALSE)</f>
        <v>WEL050</v>
      </c>
      <c r="AD113" s="230" t="str">
        <f>VLOOKUP($AC113,'2007-2020 Metadata'!$A$6:$S$214,9,FALSE)</f>
        <v>Wellington</v>
      </c>
      <c r="AE113" s="248">
        <f>IF(ISBLANK(VLOOKUP($AC113,'2007-2020 Metadata'!$A$6:$S$214,19,FALSE)),"",VLOOKUP($AC113,'2007-2020 Metadata'!$A$6:$S$214,19,FALSE))</f>
        <v>4</v>
      </c>
      <c r="AF113" s="88" t="str">
        <f>VLOOKUP($B113,'2007-2020 Metadata'!$A$4:$S$214,MATCH("Site type",'2007-2020 Metadata'!$A$4:$S$4,0),FALSE)</f>
        <v>SH</v>
      </c>
      <c r="AG113" s="143">
        <f t="shared" si="33"/>
        <v>14.1</v>
      </c>
      <c r="AH113" s="143">
        <f t="shared" si="34"/>
        <v>28.6</v>
      </c>
      <c r="AI113" s="144">
        <f t="shared" ca="1" si="35"/>
        <v>21.146556473829204</v>
      </c>
    </row>
    <row r="114" spans="1:37" ht="12" customHeight="1" x14ac:dyDescent="0.15">
      <c r="A114" s="31"/>
      <c r="B114" s="40" t="s">
        <v>129</v>
      </c>
      <c r="C114" s="104">
        <f>IF(VLOOKUP($B114,'Monthly Summary 2011'!$B$7:$Q$222,14,FALSE)=0,"",VLOOKUP($B114,'Monthly Summary 2011'!$B$7:$Q$222,14,FALSE))</f>
        <v>13.4</v>
      </c>
      <c r="D114" s="36">
        <v>11.1</v>
      </c>
      <c r="E114" s="36">
        <v>10.6</v>
      </c>
      <c r="F114" s="36">
        <v>12.7</v>
      </c>
      <c r="G114" s="36">
        <v>13.1</v>
      </c>
      <c r="H114" s="36">
        <v>19</v>
      </c>
      <c r="I114" s="36">
        <v>15.3</v>
      </c>
      <c r="J114" s="36">
        <v>13.6</v>
      </c>
      <c r="K114" s="36">
        <v>13.6</v>
      </c>
      <c r="L114" s="36">
        <v>10.1</v>
      </c>
      <c r="M114" s="36">
        <v>8.1999999999999993</v>
      </c>
      <c r="N114" s="36">
        <v>12.2</v>
      </c>
      <c r="O114" s="36">
        <v>11.9</v>
      </c>
      <c r="P114" s="37">
        <f t="shared" si="25"/>
        <v>12.616666666666665</v>
      </c>
      <c r="Q114" s="38">
        <f t="shared" si="26"/>
        <v>1</v>
      </c>
      <c r="R114" s="140">
        <f t="shared" si="27"/>
        <v>11.466666666666667</v>
      </c>
      <c r="S114" s="24">
        <f t="shared" si="28"/>
        <v>1</v>
      </c>
      <c r="T114" s="140">
        <f t="shared" si="29"/>
        <v>12.433333333333332</v>
      </c>
      <c r="U114" s="9">
        <f t="shared" si="30"/>
        <v>1</v>
      </c>
      <c r="V114" s="141">
        <f t="shared" si="31"/>
        <v>12.616666666666665</v>
      </c>
      <c r="W114" s="142">
        <f t="shared" si="32"/>
        <v>1</v>
      </c>
      <c r="X114" s="144">
        <f t="shared" ca="1" si="36"/>
        <v>19.745454545454546</v>
      </c>
      <c r="Y114" s="144">
        <f t="shared" ca="1" si="37"/>
        <v>19.760606060606062</v>
      </c>
      <c r="Z114" s="144">
        <f t="shared" ca="1" si="38"/>
        <v>21.146556473829204</v>
      </c>
      <c r="AA114" s="10"/>
      <c r="AB114" s="357" t="str">
        <f>VLOOKUP($B114,'2007-2020 Metadata'!$A$4:$S$214,MATCH("Urban Area /Monitoring Zone",'2007-2020 Metadata'!$A$4:$S$4,0),FALSE)</f>
        <v>Wellington</v>
      </c>
      <c r="AC114" s="87" t="str">
        <f>VLOOKUP(B114,'2007-2020 Metadata'!$A$6:$A$214,1,FALSE)</f>
        <v>WEL051</v>
      </c>
      <c r="AD114" s="230" t="str">
        <f>VLOOKUP($AC114,'2007-2020 Metadata'!$A$6:$S$214,9,FALSE)</f>
        <v>Wellington</v>
      </c>
      <c r="AE114" s="248">
        <f>IF(ISBLANK(VLOOKUP($AC114,'2007-2020 Metadata'!$A$6:$S$214,19,FALSE)),"",VLOOKUP($AC114,'2007-2020 Metadata'!$A$6:$S$214,19,FALSE))</f>
        <v>4</v>
      </c>
      <c r="AF114" s="88" t="str">
        <f>VLOOKUP($B114,'2007-2020 Metadata'!$A$4:$S$214,MATCH("Site type",'2007-2020 Metadata'!$A$4:$S$4,0),FALSE)</f>
        <v>Local</v>
      </c>
      <c r="AG114" s="143">
        <f t="shared" si="33"/>
        <v>8.1999999999999993</v>
      </c>
      <c r="AH114" s="143">
        <f t="shared" si="34"/>
        <v>19</v>
      </c>
      <c r="AI114" s="144">
        <f t="shared" ca="1" si="35"/>
        <v>21.146556473829204</v>
      </c>
    </row>
    <row r="115" spans="1:37" ht="12" customHeight="1" x14ac:dyDescent="0.15">
      <c r="A115" s="31"/>
      <c r="B115" s="40" t="s">
        <v>130</v>
      </c>
      <c r="C115" s="104">
        <f>IF(VLOOKUP($B115,'Monthly Summary 2011'!$B$7:$Q$222,14,FALSE)=0,"",VLOOKUP($B115,'Monthly Summary 2011'!$B$7:$Q$222,14,FALSE))</f>
        <v>18.3</v>
      </c>
      <c r="D115" s="36"/>
      <c r="E115" s="36">
        <v>15.7</v>
      </c>
      <c r="F115" s="36">
        <v>18.5</v>
      </c>
      <c r="G115" s="36">
        <v>26.6</v>
      </c>
      <c r="H115" s="36">
        <v>27.5</v>
      </c>
      <c r="I115" s="36">
        <v>29.8</v>
      </c>
      <c r="J115" s="36">
        <v>22.4</v>
      </c>
      <c r="K115" s="36">
        <v>22.4</v>
      </c>
      <c r="L115" s="36">
        <v>15.9</v>
      </c>
      <c r="M115" s="36">
        <v>15</v>
      </c>
      <c r="N115" s="36">
        <v>16.7</v>
      </c>
      <c r="O115" s="36">
        <v>15.4</v>
      </c>
      <c r="P115" s="37">
        <f t="shared" si="25"/>
        <v>20.536363636363635</v>
      </c>
      <c r="Q115" s="38">
        <f t="shared" si="26"/>
        <v>0.91666666666666663</v>
      </c>
      <c r="R115" s="140">
        <f t="shared" si="27"/>
        <v>17.100000000000001</v>
      </c>
      <c r="S115" s="24">
        <f t="shared" si="28"/>
        <v>0.66666666666666663</v>
      </c>
      <c r="T115" s="140">
        <f t="shared" si="29"/>
        <v>20.233333333333331</v>
      </c>
      <c r="U115" s="9">
        <f t="shared" si="30"/>
        <v>1</v>
      </c>
      <c r="V115" s="141">
        <f t="shared" si="31"/>
        <v>20.536363636363635</v>
      </c>
      <c r="W115" s="142">
        <f t="shared" si="32"/>
        <v>0.91666666666666663</v>
      </c>
      <c r="X115" s="144">
        <f t="shared" ca="1" si="36"/>
        <v>16.316666666666666</v>
      </c>
      <c r="Y115" s="144">
        <f t="shared" ca="1" si="37"/>
        <v>16.483333333333331</v>
      </c>
      <c r="Z115" s="144">
        <f t="shared" ca="1" si="38"/>
        <v>17.437813852813854</v>
      </c>
      <c r="AA115" s="10"/>
      <c r="AB115" s="357" t="str">
        <f>VLOOKUP($B115,'2007-2020 Metadata'!$A$4:$S$214,MATCH("Urban Area /Monitoring Zone",'2007-2020 Metadata'!$A$4:$S$4,0),FALSE)</f>
        <v>Lower Hutt</v>
      </c>
      <c r="AC115" s="87" t="str">
        <f>VLOOKUP(B115,'2007-2020 Metadata'!$A$6:$A$214,1,FALSE)</f>
        <v>WEL052</v>
      </c>
      <c r="AD115" s="230" t="str">
        <f>VLOOKUP($AC115,'2007-2020 Metadata'!$A$6:$S$214,9,FALSE)</f>
        <v>Lower Hutt</v>
      </c>
      <c r="AE115" s="248">
        <f>IF(ISBLANK(VLOOKUP($AC115,'2007-2020 Metadata'!$A$6:$S$214,19,FALSE)),"",VLOOKUP($AC115,'2007-2020 Metadata'!$A$6:$S$214,19,FALSE))</f>
        <v>4</v>
      </c>
      <c r="AF115" s="88" t="str">
        <f>VLOOKUP($B115,'2007-2020 Metadata'!$A$4:$S$214,MATCH("Site type",'2007-2020 Metadata'!$A$4:$S$4,0),FALSE)</f>
        <v>SH</v>
      </c>
      <c r="AG115" s="143">
        <f t="shared" si="33"/>
        <v>15</v>
      </c>
      <c r="AH115" s="143">
        <f t="shared" si="34"/>
        <v>29.8</v>
      </c>
      <c r="AI115" s="144">
        <f t="shared" ca="1" si="35"/>
        <v>17.437813852813854</v>
      </c>
    </row>
    <row r="116" spans="1:37" ht="12" customHeight="1" x14ac:dyDescent="0.15">
      <c r="A116" s="31"/>
      <c r="B116" s="40" t="s">
        <v>131</v>
      </c>
      <c r="C116" s="104" t="str">
        <f>IF(VLOOKUP($B116,'Monthly Summary 2011'!$B$7:$Q$222,14,FALSE)=0,"",VLOOKUP($B116,'Monthly Summary 2011'!$B$7:$Q$222,14,FALSE))</f>
        <v/>
      </c>
      <c r="D116" s="36">
        <v>36</v>
      </c>
      <c r="E116" s="36">
        <v>24.8</v>
      </c>
      <c r="F116" s="36">
        <v>27.7</v>
      </c>
      <c r="G116" s="36">
        <v>32.200000000000003</v>
      </c>
      <c r="H116" s="36">
        <v>30.4</v>
      </c>
      <c r="I116" s="36">
        <v>32.9</v>
      </c>
      <c r="J116" s="36">
        <v>27</v>
      </c>
      <c r="K116" s="36">
        <v>27</v>
      </c>
      <c r="L116" s="36">
        <v>25.5</v>
      </c>
      <c r="M116" s="36">
        <v>22.6</v>
      </c>
      <c r="N116" s="36">
        <v>24.2</v>
      </c>
      <c r="O116" s="36">
        <v>14.4</v>
      </c>
      <c r="P116" s="37">
        <f t="shared" si="25"/>
        <v>27.058333333333334</v>
      </c>
      <c r="Q116" s="38">
        <f t="shared" si="26"/>
        <v>1</v>
      </c>
      <c r="R116" s="140">
        <f t="shared" si="27"/>
        <v>29.5</v>
      </c>
      <c r="S116" s="24">
        <f t="shared" si="28"/>
        <v>1</v>
      </c>
      <c r="T116" s="140">
        <f t="shared" si="29"/>
        <v>26.5</v>
      </c>
      <c r="U116" s="9">
        <f t="shared" si="30"/>
        <v>1</v>
      </c>
      <c r="V116" s="141">
        <f t="shared" si="31"/>
        <v>27.058333333333334</v>
      </c>
      <c r="W116" s="142">
        <f t="shared" si="32"/>
        <v>1</v>
      </c>
      <c r="X116" s="144">
        <f t="shared" ca="1" si="36"/>
        <v>16.316666666666666</v>
      </c>
      <c r="Y116" s="144">
        <f t="shared" ca="1" si="37"/>
        <v>16.483333333333331</v>
      </c>
      <c r="Z116" s="144">
        <f t="shared" ca="1" si="38"/>
        <v>17.437813852813854</v>
      </c>
      <c r="AA116" s="10"/>
      <c r="AB116" s="357" t="str">
        <f>VLOOKUP($B116,'2007-2020 Metadata'!$A$4:$S$214,MATCH("Urban Area /Monitoring Zone",'2007-2020 Metadata'!$A$4:$S$4,0),FALSE)</f>
        <v>Lower Hutt</v>
      </c>
      <c r="AC116" s="87" t="str">
        <f>VLOOKUP(B116,'2007-2020 Metadata'!$A$6:$A$214,1,FALSE)</f>
        <v>WEL053</v>
      </c>
      <c r="AD116" s="230" t="str">
        <f>VLOOKUP($AC116,'2007-2020 Metadata'!$A$6:$S$214,9,FALSE)</f>
        <v>Lower Hutt</v>
      </c>
      <c r="AE116" s="248">
        <f>IF(ISBLANK(VLOOKUP($AC116,'2007-2020 Metadata'!$A$6:$S$214,19,FALSE)),"",VLOOKUP($AC116,'2007-2020 Metadata'!$A$6:$S$214,19,FALSE))</f>
        <v>4</v>
      </c>
      <c r="AF116" s="88" t="str">
        <f>VLOOKUP($B116,'2007-2020 Metadata'!$A$4:$S$214,MATCH("Site type",'2007-2020 Metadata'!$A$4:$S$4,0),FALSE)</f>
        <v>Local</v>
      </c>
      <c r="AG116" s="143">
        <f t="shared" si="33"/>
        <v>14.4</v>
      </c>
      <c r="AH116" s="143">
        <f t="shared" si="34"/>
        <v>36</v>
      </c>
      <c r="AI116" s="144">
        <f t="shared" ca="1" si="35"/>
        <v>17.437813852813854</v>
      </c>
    </row>
    <row r="117" spans="1:37" ht="12" customHeight="1" x14ac:dyDescent="0.15">
      <c r="A117" s="31"/>
      <c r="B117" s="40" t="s">
        <v>132</v>
      </c>
      <c r="C117" s="104">
        <f>IF(VLOOKUP($B117,'Monthly Summary 2011'!$B$7:$Q$222,14,FALSE)=0,"",VLOOKUP($B117,'Monthly Summary 2011'!$B$7:$Q$222,14,FALSE))</f>
        <v>11.5</v>
      </c>
      <c r="D117" s="36">
        <v>8</v>
      </c>
      <c r="E117" s="36">
        <v>11.9</v>
      </c>
      <c r="F117" s="36">
        <v>12</v>
      </c>
      <c r="G117" s="36">
        <v>17.600000000000001</v>
      </c>
      <c r="H117" s="36">
        <v>17.3</v>
      </c>
      <c r="I117" s="36">
        <v>17.5</v>
      </c>
      <c r="J117" s="36">
        <v>15.4</v>
      </c>
      <c r="K117" s="36">
        <v>13.9</v>
      </c>
      <c r="L117" s="36">
        <v>8.3000000000000007</v>
      </c>
      <c r="M117" s="36">
        <v>7.6</v>
      </c>
      <c r="N117" s="36">
        <v>8.4</v>
      </c>
      <c r="O117" s="36">
        <v>7.3</v>
      </c>
      <c r="P117" s="37">
        <f t="shared" si="25"/>
        <v>12.100000000000001</v>
      </c>
      <c r="Q117" s="38">
        <f t="shared" si="26"/>
        <v>1</v>
      </c>
      <c r="R117" s="260">
        <f t="shared" si="27"/>
        <v>10.633333333333333</v>
      </c>
      <c r="S117" s="264">
        <f t="shared" si="28"/>
        <v>1</v>
      </c>
      <c r="T117" s="260">
        <f t="shared" si="29"/>
        <v>12.533333333333333</v>
      </c>
      <c r="U117" s="265">
        <f t="shared" si="30"/>
        <v>1</v>
      </c>
      <c r="V117" s="262">
        <f t="shared" si="31"/>
        <v>12.100000000000001</v>
      </c>
      <c r="W117" s="261">
        <f t="shared" si="32"/>
        <v>1</v>
      </c>
      <c r="X117" s="177">
        <f t="shared" ca="1" si="36"/>
        <v>16.316666666666666</v>
      </c>
      <c r="Y117" s="177">
        <f t="shared" ca="1" si="37"/>
        <v>16.483333333333331</v>
      </c>
      <c r="Z117" s="177">
        <f t="shared" ca="1" si="38"/>
        <v>17.437813852813854</v>
      </c>
      <c r="AA117" s="10"/>
      <c r="AB117" s="357" t="str">
        <f>VLOOKUP($B117,'2007-2020 Metadata'!$A$4:$S$214,MATCH("Urban Area /Monitoring Zone",'2007-2020 Metadata'!$A$4:$S$4,0),FALSE)</f>
        <v>Lower Hutt</v>
      </c>
      <c r="AC117" s="259" t="str">
        <f>VLOOKUP(B117,'2007-2020 Metadata'!$A$6:$A$214,1,FALSE)</f>
        <v>WEL054</v>
      </c>
      <c r="AD117" s="256" t="str">
        <f>VLOOKUP($AC117,'2007-2020 Metadata'!$A$6:$S$214,9,FALSE)</f>
        <v>Lower Hutt</v>
      </c>
      <c r="AE117" s="263">
        <f>IF(ISBLANK(VLOOKUP($AC117,'2007-2020 Metadata'!$A$6:$S$214,19,FALSE)),"",VLOOKUP($AC117,'2007-2020 Metadata'!$A$6:$S$214,19,FALSE))</f>
        <v>3.5</v>
      </c>
      <c r="AF117" s="257" t="str">
        <f>VLOOKUP($B117,'2007-2020 Metadata'!$A$4:$S$214,MATCH("Site type",'2007-2020 Metadata'!$A$4:$S$4,0),FALSE)</f>
        <v>Background</v>
      </c>
      <c r="AG117" s="258">
        <f>MIN(AVERAGE(D$117:D$119),AVERAGE(E$117:E$119),AVERAGE(F$117:F$119),AVERAGE(G$117:G$119),AVERAGE(H$117:H$119),AVERAGE(I$117:I$119),AVERAGE(J$117:J$119),AVERAGE(K$117:K$119),AVERAGE(L$117:L$119),AVERAGE(M$117:M$119),AVERAGE(N$117:N$119),AVERAGE(O$117:O$119))</f>
        <v>6.2666666666666657</v>
      </c>
      <c r="AH117" s="258">
        <f>MAX(AVERAGE(D$117:D$119),AVERAGE(E$117:E$119),AVERAGE(F$117:F$119),AVERAGE(G$117:G$119),AVERAGE(H$117:H$119),AVERAGE(I$117:I$119),AVERAGE(J$117:J$119),AVERAGE(K$117:K$119),AVERAGE(L$117:L$119),AVERAGE(M$117:M$119),AVERAGE(N$117:N$119),AVERAGE(O$117:O$119))</f>
        <v>17.433333333333334</v>
      </c>
      <c r="AI117" s="177">
        <f t="shared" ca="1" si="35"/>
        <v>17.437813852813854</v>
      </c>
    </row>
    <row r="118" spans="1:37" ht="12" customHeight="1" x14ac:dyDescent="0.15">
      <c r="A118" s="31"/>
      <c r="B118" s="40" t="s">
        <v>133</v>
      </c>
      <c r="C118" s="104">
        <f>IF(VLOOKUP($B118,'Monthly Summary 2011'!$B$7:$Q$222,14,FALSE)=0,"",VLOOKUP($B118,'Monthly Summary 2011'!$B$7:$Q$222,14,FALSE))</f>
        <v>9</v>
      </c>
      <c r="D118" s="36">
        <v>8.3000000000000007</v>
      </c>
      <c r="E118" s="36">
        <v>11.3</v>
      </c>
      <c r="F118" s="36">
        <v>11.2</v>
      </c>
      <c r="G118" s="36">
        <v>16.2</v>
      </c>
      <c r="H118" s="36">
        <v>17.8</v>
      </c>
      <c r="I118" s="36">
        <v>18</v>
      </c>
      <c r="J118" s="36">
        <v>17.399999999999999</v>
      </c>
      <c r="K118" s="36">
        <v>13.1</v>
      </c>
      <c r="L118" s="36">
        <v>7.7</v>
      </c>
      <c r="M118" s="36">
        <v>6.9</v>
      </c>
      <c r="N118" s="36">
        <v>7.8</v>
      </c>
      <c r="O118" s="36">
        <v>4.4000000000000004</v>
      </c>
      <c r="P118" s="37">
        <f t="shared" si="25"/>
        <v>11.674999999999999</v>
      </c>
      <c r="Q118" s="38">
        <f t="shared" si="26"/>
        <v>1</v>
      </c>
      <c r="R118" s="260">
        <f t="shared" si="27"/>
        <v>10.266666666666667</v>
      </c>
      <c r="S118" s="264">
        <f t="shared" si="28"/>
        <v>1</v>
      </c>
      <c r="T118" s="260">
        <f t="shared" si="29"/>
        <v>12.733333333333334</v>
      </c>
      <c r="U118" s="265">
        <f t="shared" si="30"/>
        <v>1</v>
      </c>
      <c r="V118" s="262">
        <f t="shared" si="31"/>
        <v>11.674999999999999</v>
      </c>
      <c r="W118" s="261">
        <f t="shared" si="32"/>
        <v>1</v>
      </c>
      <c r="X118" s="177">
        <f t="shared" ca="1" si="36"/>
        <v>16.316666666666666</v>
      </c>
      <c r="Y118" s="177">
        <f t="shared" ca="1" si="37"/>
        <v>16.483333333333331</v>
      </c>
      <c r="Z118" s="177">
        <f t="shared" ca="1" si="38"/>
        <v>17.437813852813854</v>
      </c>
      <c r="AA118" s="10"/>
      <c r="AB118" s="357" t="str">
        <f>VLOOKUP($B118,'2007-2020 Metadata'!$A$4:$S$214,MATCH("Urban Area /Monitoring Zone",'2007-2020 Metadata'!$A$4:$S$4,0),FALSE)</f>
        <v>Lower Hutt</v>
      </c>
      <c r="AC118" s="259" t="str">
        <f>VLOOKUP(B118,'2007-2020 Metadata'!$A$6:$A$214,1,FALSE)</f>
        <v>WEL055</v>
      </c>
      <c r="AD118" s="256" t="str">
        <f>VLOOKUP($AC118,'2007-2020 Metadata'!$A$6:$S$214,9,FALSE)</f>
        <v>Lower Hutt</v>
      </c>
      <c r="AE118" s="263">
        <f>IF(ISBLANK(VLOOKUP($AC118,'2007-2020 Metadata'!$A$6:$S$214,19,FALSE)),"",VLOOKUP($AC118,'2007-2020 Metadata'!$A$6:$S$214,19,FALSE))</f>
        <v>3.5</v>
      </c>
      <c r="AF118" s="257" t="str">
        <f>VLOOKUP($B118,'2007-2020 Metadata'!$A$4:$S$214,MATCH("Site type",'2007-2020 Metadata'!$A$4:$S$4,0),FALSE)</f>
        <v>Background</v>
      </c>
      <c r="AG118" s="258">
        <f>MIN(AVERAGE(D$117:D$119),AVERAGE(E$117:E$119),AVERAGE(F$117:F$119),AVERAGE(G$117:G$119),AVERAGE(H$117:H$119),AVERAGE(I$117:I$119),AVERAGE(J$117:J$119),AVERAGE(K$117:K$119),AVERAGE(L$117:L$119),AVERAGE(M$117:M$119),AVERAGE(N$117:N$119),AVERAGE(O$117:O$119))</f>
        <v>6.2666666666666657</v>
      </c>
      <c r="AH118" s="258">
        <f t="shared" ref="AH118:AH119" si="42">MAX(AVERAGE(D$117:D$119),AVERAGE(E$117:E$119),AVERAGE(F$117:F$119),AVERAGE(G$117:G$119),AVERAGE(H$117:H$119),AVERAGE(I$117:I$119),AVERAGE(J$117:J$119),AVERAGE(K$117:K$119),AVERAGE(L$117:L$119),AVERAGE(M$117:M$119),AVERAGE(N$117:N$119),AVERAGE(O$117:O$119))</f>
        <v>17.433333333333334</v>
      </c>
      <c r="AI118" s="177">
        <f t="shared" ca="1" si="35"/>
        <v>17.437813852813854</v>
      </c>
    </row>
    <row r="119" spans="1:37" ht="12" customHeight="1" x14ac:dyDescent="0.15">
      <c r="A119" s="31"/>
      <c r="B119" s="40" t="s">
        <v>134</v>
      </c>
      <c r="C119" s="104">
        <f>IF(VLOOKUP($B119,'Monthly Summary 2011'!$B$7:$Q$222,14,FALSE)=0,"",VLOOKUP($B119,'Monthly Summary 2011'!$B$7:$Q$222,14,FALSE))</f>
        <v>9.1999999999999993</v>
      </c>
      <c r="D119" s="36">
        <v>7.4</v>
      </c>
      <c r="E119" s="36">
        <v>11.6</v>
      </c>
      <c r="F119" s="36">
        <v>11.4</v>
      </c>
      <c r="G119" s="36">
        <v>16.399999999999999</v>
      </c>
      <c r="H119" s="36">
        <v>17.2</v>
      </c>
      <c r="I119" s="36">
        <v>15.4</v>
      </c>
      <c r="J119" s="36">
        <v>17</v>
      </c>
      <c r="K119" s="36">
        <v>12.7</v>
      </c>
      <c r="L119" s="36">
        <v>8.6999999999999993</v>
      </c>
      <c r="M119" s="36">
        <v>6</v>
      </c>
      <c r="N119" s="36">
        <v>8.6</v>
      </c>
      <c r="O119" s="36">
        <v>7.1</v>
      </c>
      <c r="P119" s="37">
        <f t="shared" si="25"/>
        <v>11.625</v>
      </c>
      <c r="Q119" s="38">
        <f t="shared" si="26"/>
        <v>1</v>
      </c>
      <c r="R119" s="260">
        <f t="shared" si="27"/>
        <v>10.133333333333333</v>
      </c>
      <c r="S119" s="264">
        <f t="shared" si="28"/>
        <v>1</v>
      </c>
      <c r="T119" s="260">
        <f t="shared" si="29"/>
        <v>12.799999999999999</v>
      </c>
      <c r="U119" s="265">
        <f t="shared" si="30"/>
        <v>1</v>
      </c>
      <c r="V119" s="262">
        <f t="shared" si="31"/>
        <v>11.625</v>
      </c>
      <c r="W119" s="261">
        <f t="shared" si="32"/>
        <v>1</v>
      </c>
      <c r="X119" s="177">
        <f t="shared" ca="1" si="36"/>
        <v>16.316666666666666</v>
      </c>
      <c r="Y119" s="177">
        <f t="shared" ca="1" si="37"/>
        <v>16.483333333333331</v>
      </c>
      <c r="Z119" s="177">
        <f t="shared" ca="1" si="38"/>
        <v>17.437813852813854</v>
      </c>
      <c r="AA119" s="10"/>
      <c r="AB119" s="357" t="str">
        <f>VLOOKUP($B119,'2007-2020 Metadata'!$A$4:$S$214,MATCH("Urban Area /Monitoring Zone",'2007-2020 Metadata'!$A$4:$S$4,0),FALSE)</f>
        <v>Lower Hutt</v>
      </c>
      <c r="AC119" s="259" t="str">
        <f>VLOOKUP(B119,'2007-2020 Metadata'!$A$6:$A$214,1,FALSE)</f>
        <v>WEL056</v>
      </c>
      <c r="AD119" s="256" t="str">
        <f>VLOOKUP($AC119,'2007-2020 Metadata'!$A$6:$S$214,9,FALSE)</f>
        <v>Lower Hutt</v>
      </c>
      <c r="AE119" s="263">
        <f>IF(ISBLANK(VLOOKUP($AC119,'2007-2020 Metadata'!$A$6:$S$214,19,FALSE)),"",VLOOKUP($AC119,'2007-2020 Metadata'!$A$6:$S$214,19,FALSE))</f>
        <v>3.5</v>
      </c>
      <c r="AF119" s="257" t="str">
        <f>VLOOKUP($B119,'2007-2020 Metadata'!$A$4:$S$214,MATCH("Site type",'2007-2020 Metadata'!$A$4:$S$4,0),FALSE)</f>
        <v>Background</v>
      </c>
      <c r="AG119" s="258">
        <f>MIN(AVERAGE(D$117:D$119),AVERAGE(E$117:E$119),AVERAGE(F$117:F$119),AVERAGE(G$117:G$119),AVERAGE(H$117:H$119),AVERAGE(I$117:I$119),AVERAGE(J$117:J$119),AVERAGE(K$117:K$119),AVERAGE(L$117:L$119),AVERAGE(M$117:M$119),AVERAGE(N$117:N$119),AVERAGE(O$117:O$119))</f>
        <v>6.2666666666666657</v>
      </c>
      <c r="AH119" s="258">
        <f t="shared" si="42"/>
        <v>17.433333333333334</v>
      </c>
      <c r="AI119" s="177">
        <f t="shared" ca="1" si="35"/>
        <v>17.437813852813854</v>
      </c>
    </row>
    <row r="120" spans="1:37" ht="12" customHeight="1" x14ac:dyDescent="0.15">
      <c r="A120" s="31"/>
      <c r="B120" s="40" t="s">
        <v>135</v>
      </c>
      <c r="C120" s="104">
        <f>IF(VLOOKUP($B120,'Monthly Summary 2011'!$B$7:$Q$222,14,FALSE)=0,"",VLOOKUP($B120,'Monthly Summary 2011'!$B$7:$Q$222,14,FALSE))</f>
        <v>17.5</v>
      </c>
      <c r="D120" s="36">
        <v>15.4</v>
      </c>
      <c r="E120" s="36">
        <v>18.600000000000001</v>
      </c>
      <c r="F120" s="36">
        <v>16.399999999999999</v>
      </c>
      <c r="G120" s="36">
        <v>23.5</v>
      </c>
      <c r="H120" s="36">
        <v>24.6</v>
      </c>
      <c r="I120" s="36">
        <v>28.3</v>
      </c>
      <c r="J120" s="36">
        <v>16.899999999999999</v>
      </c>
      <c r="K120" s="36">
        <v>16.899999999999999</v>
      </c>
      <c r="L120" s="36">
        <v>16.600000000000001</v>
      </c>
      <c r="M120" s="36">
        <v>17.100000000000001</v>
      </c>
      <c r="N120" s="36">
        <v>17.7</v>
      </c>
      <c r="O120" s="36">
        <v>16</v>
      </c>
      <c r="P120" s="37">
        <f t="shared" si="25"/>
        <v>18.999999999999996</v>
      </c>
      <c r="Q120" s="38">
        <f t="shared" si="26"/>
        <v>1</v>
      </c>
      <c r="R120" s="140">
        <f t="shared" si="27"/>
        <v>16.8</v>
      </c>
      <c r="S120" s="24">
        <f t="shared" si="28"/>
        <v>1</v>
      </c>
      <c r="T120" s="140">
        <f t="shared" si="29"/>
        <v>16.8</v>
      </c>
      <c r="U120" s="9">
        <f t="shared" si="30"/>
        <v>1</v>
      </c>
      <c r="V120" s="141">
        <f t="shared" si="31"/>
        <v>18.999999999999996</v>
      </c>
      <c r="W120" s="142">
        <f t="shared" si="32"/>
        <v>1</v>
      </c>
      <c r="X120" s="144">
        <f t="shared" ca="1" si="36"/>
        <v>8.875</v>
      </c>
      <c r="Y120" s="144">
        <f t="shared" ca="1" si="37"/>
        <v>16.8</v>
      </c>
      <c r="Z120" s="144">
        <f t="shared" ca="1" si="38"/>
        <v>18.999999999999996</v>
      </c>
      <c r="AA120" s="10"/>
      <c r="AB120" s="357" t="str">
        <f>VLOOKUP($B120,'2007-2020 Metadata'!$A$4:$S$214,MATCH("Urban Area /Monitoring Zone",'2007-2020 Metadata'!$A$4:$S$4,0),FALSE)</f>
        <v>Upper Hutt</v>
      </c>
      <c r="AC120" s="87" t="str">
        <f>VLOOKUP(B120,'2007-2020 Metadata'!$A$6:$A$214,1,FALSE)</f>
        <v>WEL057</v>
      </c>
      <c r="AD120" s="230" t="str">
        <f>VLOOKUP($AC120,'2007-2020 Metadata'!$A$6:$S$214,9,FALSE)</f>
        <v>Upper Hutt</v>
      </c>
      <c r="AE120" s="248">
        <f>IF(ISBLANK(VLOOKUP($AC120,'2007-2020 Metadata'!$A$6:$S$214,19,FALSE)),"",VLOOKUP($AC120,'2007-2020 Metadata'!$A$6:$S$214,19,FALSE))</f>
        <v>4</v>
      </c>
      <c r="AF120" s="88" t="str">
        <f>VLOOKUP($B120,'2007-2020 Metadata'!$A$4:$S$214,MATCH("Site type",'2007-2020 Metadata'!$A$4:$S$4,0),FALSE)</f>
        <v>SH</v>
      </c>
      <c r="AG120" s="143">
        <f t="shared" ref="AG120" si="43">MIN($D120:$O120)</f>
        <v>15.4</v>
      </c>
      <c r="AH120" s="143">
        <f t="shared" ref="AH120" si="44">MAX($D120:$O120)</f>
        <v>28.3</v>
      </c>
      <c r="AI120" s="144">
        <f t="shared" ca="1" si="35"/>
        <v>18.999999999999996</v>
      </c>
    </row>
    <row r="121" spans="1:37" ht="12" customHeight="1" x14ac:dyDescent="0.15">
      <c r="A121" s="31"/>
      <c r="B121" s="40" t="s">
        <v>136</v>
      </c>
      <c r="C121" s="104">
        <f>IF(VLOOKUP($B121,'Monthly Summary 2011'!$B$7:$Q$222,14,FALSE)=0,"",VLOOKUP($B121,'Monthly Summary 2011'!$B$7:$Q$222,14,FALSE))</f>
        <v>5.7</v>
      </c>
      <c r="D121" s="36">
        <v>4.9000000000000004</v>
      </c>
      <c r="E121" s="36">
        <v>6.8</v>
      </c>
      <c r="F121" s="36">
        <v>7.2</v>
      </c>
      <c r="G121" s="36"/>
      <c r="H121" s="36"/>
      <c r="I121" s="36"/>
      <c r="J121" s="36"/>
      <c r="K121" s="36"/>
      <c r="L121" s="36">
        <v>4.5999999999999996</v>
      </c>
      <c r="M121" s="36"/>
      <c r="N121" s="36"/>
      <c r="O121" s="36"/>
      <c r="P121" s="37">
        <f t="shared" si="25"/>
        <v>5.875</v>
      </c>
      <c r="Q121" s="38">
        <f t="shared" si="26"/>
        <v>0.33333333333333331</v>
      </c>
      <c r="R121" s="260">
        <f t="shared" si="27"/>
        <v>6.3</v>
      </c>
      <c r="S121" s="264">
        <f t="shared" si="28"/>
        <v>1</v>
      </c>
      <c r="T121" s="260" t="str">
        <f t="shared" si="29"/>
        <v>-</v>
      </c>
      <c r="U121" s="9">
        <f t="shared" si="30"/>
        <v>0.33333333333333331</v>
      </c>
      <c r="V121" s="262" t="str">
        <f t="shared" si="31"/>
        <v>-</v>
      </c>
      <c r="W121" s="142">
        <f t="shared" si="32"/>
        <v>0.33333333333333331</v>
      </c>
      <c r="X121" s="177">
        <f t="shared" ca="1" si="36"/>
        <v>8.875</v>
      </c>
      <c r="Y121" s="177">
        <f t="shared" ca="1" si="37"/>
        <v>16.8</v>
      </c>
      <c r="Z121" s="177">
        <f t="shared" ca="1" si="38"/>
        <v>18.999999999999996</v>
      </c>
      <c r="AA121" s="10"/>
      <c r="AB121" s="357" t="str">
        <f>VLOOKUP($B121,'2007-2020 Metadata'!$A$4:$S$214,MATCH("Urban Area /Monitoring Zone",'2007-2020 Metadata'!$A$4:$S$4,0),FALSE)</f>
        <v>Upper Hutt</v>
      </c>
      <c r="AC121" s="259" t="str">
        <f>VLOOKUP(B121,'2007-2020 Metadata'!$A$6:$A$214,1,FALSE)</f>
        <v>WEL058</v>
      </c>
      <c r="AD121" s="256" t="str">
        <f>VLOOKUP($AC121,'2007-2020 Metadata'!$A$6:$S$214,9,FALSE)</f>
        <v>Upper Hutt</v>
      </c>
      <c r="AE121" s="263">
        <f>IF(ISBLANK(VLOOKUP($AC121,'2007-2020 Metadata'!$A$6:$S$214,19,FALSE)),"",VLOOKUP($AC121,'2007-2020 Metadata'!$A$6:$S$214,19,FALSE))</f>
        <v>4</v>
      </c>
      <c r="AF121" s="257" t="str">
        <f>VLOOKUP($B121,'2007-2020 Metadata'!$A$4:$S$214,MATCH("Site type",'2007-2020 Metadata'!$A$4:$S$4,0),FALSE)</f>
        <v>Background</v>
      </c>
      <c r="AG121" s="258">
        <f>MIN(AVERAGE(D$121:D$123),AVERAGE(E$121:E$123),AVERAGE(F$121:F$123),AVERAGE(L$121:L$123))</f>
        <v>4.7333333333333334</v>
      </c>
      <c r="AH121" s="258">
        <f>MAX(AVERAGE(D$121:D$123),AVERAGE(E$121:E$123),AVERAGE(F$121:F$123),AVERAGE(L$121:L$123))</f>
        <v>7.6333333333333329</v>
      </c>
      <c r="AI121" s="177" t="str">
        <f t="shared" si="35"/>
        <v xml:space="preserve"> </v>
      </c>
      <c r="AJ121" s="39" t="s">
        <v>548</v>
      </c>
      <c r="AK121" s="270"/>
    </row>
    <row r="122" spans="1:37" ht="12" customHeight="1" x14ac:dyDescent="0.15">
      <c r="A122" s="31"/>
      <c r="B122" s="40" t="s">
        <v>137</v>
      </c>
      <c r="C122" s="104">
        <f>IF(VLOOKUP($B122,'Monthly Summary 2011'!$B$7:$Q$222,14,FALSE)=0,"",VLOOKUP($B122,'Monthly Summary 2011'!$B$7:$Q$222,14,FALSE))</f>
        <v>5.7</v>
      </c>
      <c r="D122" s="36">
        <v>4.5</v>
      </c>
      <c r="E122" s="36">
        <v>6.8</v>
      </c>
      <c r="F122" s="36">
        <v>7.7</v>
      </c>
      <c r="G122" s="36"/>
      <c r="H122" s="36"/>
      <c r="I122" s="36"/>
      <c r="J122" s="36"/>
      <c r="K122" s="36"/>
      <c r="L122" s="36">
        <v>5.3</v>
      </c>
      <c r="M122" s="36"/>
      <c r="N122" s="36"/>
      <c r="O122" s="36"/>
      <c r="P122" s="37">
        <f t="shared" si="25"/>
        <v>6.0750000000000002</v>
      </c>
      <c r="Q122" s="38">
        <f t="shared" si="26"/>
        <v>0.33333333333333331</v>
      </c>
      <c r="R122" s="260">
        <f t="shared" si="27"/>
        <v>6.333333333333333</v>
      </c>
      <c r="S122" s="264">
        <f t="shared" si="28"/>
        <v>1</v>
      </c>
      <c r="T122" s="260" t="str">
        <f t="shared" si="29"/>
        <v>-</v>
      </c>
      <c r="U122" s="9">
        <f t="shared" si="30"/>
        <v>0.33333333333333331</v>
      </c>
      <c r="V122" s="262" t="str">
        <f t="shared" si="31"/>
        <v>-</v>
      </c>
      <c r="W122" s="142">
        <f t="shared" si="32"/>
        <v>0.33333333333333331</v>
      </c>
      <c r="X122" s="177">
        <f t="shared" ca="1" si="36"/>
        <v>8.875</v>
      </c>
      <c r="Y122" s="177">
        <f t="shared" ca="1" si="37"/>
        <v>16.8</v>
      </c>
      <c r="Z122" s="177">
        <f t="shared" ca="1" si="38"/>
        <v>18.999999999999996</v>
      </c>
      <c r="AA122" s="10"/>
      <c r="AB122" s="357" t="str">
        <f>VLOOKUP($B122,'2007-2020 Metadata'!$A$4:$S$214,MATCH("Urban Area /Monitoring Zone",'2007-2020 Metadata'!$A$4:$S$4,0),FALSE)</f>
        <v>Upper Hutt</v>
      </c>
      <c r="AC122" s="259" t="str">
        <f>VLOOKUP(B122,'2007-2020 Metadata'!$A$6:$A$214,1,FALSE)</f>
        <v>WEL059</v>
      </c>
      <c r="AD122" s="256" t="str">
        <f>VLOOKUP($AC122,'2007-2020 Metadata'!$A$6:$S$214,9,FALSE)</f>
        <v>Upper Hutt</v>
      </c>
      <c r="AE122" s="263">
        <f>IF(ISBLANK(VLOOKUP($AC122,'2007-2020 Metadata'!$A$6:$S$214,19,FALSE)),"",VLOOKUP($AC122,'2007-2020 Metadata'!$A$6:$S$214,19,FALSE))</f>
        <v>4</v>
      </c>
      <c r="AF122" s="257" t="str">
        <f>VLOOKUP($B122,'2007-2020 Metadata'!$A$4:$S$214,MATCH("Site type",'2007-2020 Metadata'!$A$4:$S$4,0),FALSE)</f>
        <v>Background</v>
      </c>
      <c r="AG122" s="258">
        <f t="shared" ref="AG122:AG123" si="45">MIN(AVERAGE(D$121:D$123),AVERAGE(E$121:E$123),AVERAGE(F$121:F$123),AVERAGE(L$121:L$123))</f>
        <v>4.7333333333333334</v>
      </c>
      <c r="AH122" s="258">
        <f t="shared" ref="AH122:AH123" si="46">MAX(AVERAGE(D$121:D$123),AVERAGE(E$121:E$123),AVERAGE(F$121:F$123),AVERAGE(L$121:L$123))</f>
        <v>7.6333333333333329</v>
      </c>
      <c r="AI122" s="177" t="str">
        <f t="shared" si="35"/>
        <v xml:space="preserve"> </v>
      </c>
      <c r="AJ122" s="39" t="s">
        <v>548</v>
      </c>
    </row>
    <row r="123" spans="1:37" ht="12" customHeight="1" x14ac:dyDescent="0.15">
      <c r="A123" s="31"/>
      <c r="B123" s="40" t="s">
        <v>138</v>
      </c>
      <c r="C123" s="104">
        <f>IF(VLOOKUP($B123,'Monthly Summary 2011'!$B$7:$Q$222,14,FALSE)=0,"",VLOOKUP($B123,'Monthly Summary 2011'!$B$7:$Q$222,14,FALSE))</f>
        <v>5.7</v>
      </c>
      <c r="D123" s="36">
        <v>4.8</v>
      </c>
      <c r="E123" s="36">
        <v>5.4</v>
      </c>
      <c r="F123" s="36">
        <v>8</v>
      </c>
      <c r="G123" s="36"/>
      <c r="H123" s="36"/>
      <c r="I123" s="36"/>
      <c r="J123" s="36"/>
      <c r="K123" s="36"/>
      <c r="L123" s="36">
        <v>5.5</v>
      </c>
      <c r="M123" s="36"/>
      <c r="N123" s="36"/>
      <c r="O123" s="36"/>
      <c r="P123" s="37">
        <f t="shared" si="25"/>
        <v>5.9249999999999998</v>
      </c>
      <c r="Q123" s="38">
        <f t="shared" si="26"/>
        <v>0.33333333333333331</v>
      </c>
      <c r="R123" s="260">
        <f t="shared" si="27"/>
        <v>6.0666666666666664</v>
      </c>
      <c r="S123" s="264">
        <f t="shared" si="28"/>
        <v>1</v>
      </c>
      <c r="T123" s="260" t="str">
        <f t="shared" si="29"/>
        <v>-</v>
      </c>
      <c r="U123" s="9">
        <f t="shared" si="30"/>
        <v>0.33333333333333331</v>
      </c>
      <c r="V123" s="262" t="str">
        <f t="shared" si="31"/>
        <v>-</v>
      </c>
      <c r="W123" s="142">
        <f t="shared" si="32"/>
        <v>0.33333333333333331</v>
      </c>
      <c r="X123" s="177">
        <f t="shared" ca="1" si="36"/>
        <v>8.875</v>
      </c>
      <c r="Y123" s="177">
        <f t="shared" ca="1" si="37"/>
        <v>16.8</v>
      </c>
      <c r="Z123" s="177">
        <f t="shared" ca="1" si="38"/>
        <v>18.999999999999996</v>
      </c>
      <c r="AA123" s="10"/>
      <c r="AB123" s="357" t="str">
        <f>VLOOKUP($B123,'2007-2020 Metadata'!$A$4:$S$214,MATCH("Urban Area /Monitoring Zone",'2007-2020 Metadata'!$A$4:$S$4,0),FALSE)</f>
        <v>Upper Hutt</v>
      </c>
      <c r="AC123" s="259" t="str">
        <f>VLOOKUP(B123,'2007-2020 Metadata'!$A$6:$A$214,1,FALSE)</f>
        <v>WEL060</v>
      </c>
      <c r="AD123" s="256" t="str">
        <f>VLOOKUP($AC123,'2007-2020 Metadata'!$A$6:$S$214,9,FALSE)</f>
        <v>Upper Hutt</v>
      </c>
      <c r="AE123" s="263">
        <f>IF(ISBLANK(VLOOKUP($AC123,'2007-2020 Metadata'!$A$6:$S$214,19,FALSE)),"",VLOOKUP($AC123,'2007-2020 Metadata'!$A$6:$S$214,19,FALSE))</f>
        <v>4</v>
      </c>
      <c r="AF123" s="257" t="str">
        <f>VLOOKUP($B123,'2007-2020 Metadata'!$A$4:$S$214,MATCH("Site type",'2007-2020 Metadata'!$A$4:$S$4,0),FALSE)</f>
        <v>Background</v>
      </c>
      <c r="AG123" s="258">
        <f t="shared" si="45"/>
        <v>4.7333333333333334</v>
      </c>
      <c r="AH123" s="258">
        <f t="shared" si="46"/>
        <v>7.6333333333333329</v>
      </c>
      <c r="AI123" s="177" t="str">
        <f t="shared" si="35"/>
        <v xml:space="preserve"> </v>
      </c>
      <c r="AJ123" s="39" t="s">
        <v>548</v>
      </c>
    </row>
    <row r="124" spans="1:37" ht="12" customHeight="1" x14ac:dyDescent="0.15">
      <c r="A124" s="31"/>
      <c r="B124" s="40" t="s">
        <v>139</v>
      </c>
      <c r="C124" s="104" t="str">
        <f>IF(VLOOKUP($B124,'Monthly Summary 2011'!$B$7:$Q$222,14,FALSE)=0,"",VLOOKUP($B124,'Monthly Summary 2011'!$B$7:$Q$222,14,FALSE))</f>
        <v/>
      </c>
      <c r="D124" s="36">
        <v>11.15</v>
      </c>
      <c r="E124" s="36">
        <v>14.5</v>
      </c>
      <c r="F124" s="36">
        <v>16.7</v>
      </c>
      <c r="G124" s="36">
        <v>19.100000000000001</v>
      </c>
      <c r="H124" s="36">
        <v>23.1</v>
      </c>
      <c r="I124" s="36">
        <v>19.2</v>
      </c>
      <c r="J124" s="36">
        <v>17.399999999999999</v>
      </c>
      <c r="K124" s="36">
        <v>17.399999999999999</v>
      </c>
      <c r="L124" s="36">
        <v>13.1</v>
      </c>
      <c r="M124" s="36">
        <v>12.9</v>
      </c>
      <c r="N124" s="36">
        <v>14</v>
      </c>
      <c r="O124" s="36">
        <v>13</v>
      </c>
      <c r="P124" s="37">
        <f t="shared" si="25"/>
        <v>15.9625</v>
      </c>
      <c r="Q124" s="38">
        <f t="shared" si="26"/>
        <v>1</v>
      </c>
      <c r="R124" s="140">
        <f t="shared" si="27"/>
        <v>14.116666666666665</v>
      </c>
      <c r="S124" s="24">
        <f t="shared" si="28"/>
        <v>1</v>
      </c>
      <c r="T124" s="140">
        <f t="shared" si="29"/>
        <v>15.966666666666667</v>
      </c>
      <c r="U124" s="9">
        <f t="shared" si="30"/>
        <v>1</v>
      </c>
      <c r="V124" s="141">
        <f t="shared" si="31"/>
        <v>15.9625</v>
      </c>
      <c r="W124" s="142">
        <f t="shared" si="32"/>
        <v>1</v>
      </c>
      <c r="X124" s="144">
        <f t="shared" ca="1" si="36"/>
        <v>13.808333333333334</v>
      </c>
      <c r="Y124" s="144">
        <f t="shared" ca="1" si="37"/>
        <v>14.466666666666667</v>
      </c>
      <c r="Z124" s="144">
        <f t="shared" ca="1" si="38"/>
        <v>15.164583333333333</v>
      </c>
      <c r="AA124" s="10"/>
      <c r="AB124" s="357" t="str">
        <f>VLOOKUP($B124,'2007-2020 Metadata'!$A$4:$S$214,MATCH("Urban Area /Monitoring Zone",'2007-2020 Metadata'!$A$4:$S$4,0),FALSE)</f>
        <v>Otaki</v>
      </c>
      <c r="AC124" s="87" t="str">
        <f>VLOOKUP(B124,'2007-2020 Metadata'!$A$6:$A$214,1,FALSE)</f>
        <v>WEL061</v>
      </c>
      <c r="AD124" s="230" t="str">
        <f>VLOOKUP($AC124,'2007-2020 Metadata'!$A$6:$S$214,9,FALSE)</f>
        <v>Kapiti Coast</v>
      </c>
      <c r="AE124" s="248">
        <f>IF(ISBLANK(VLOOKUP($AC124,'2007-2020 Metadata'!$A$6:$S$214,19,FALSE)),"",VLOOKUP($AC124,'2007-2020 Metadata'!$A$6:$S$214,19,FALSE))</f>
        <v>4</v>
      </c>
      <c r="AF124" s="88" t="str">
        <f>VLOOKUP($B124,'2007-2020 Metadata'!$A$4:$S$214,MATCH("Site type",'2007-2020 Metadata'!$A$4:$S$4,0),FALSE)</f>
        <v>SH</v>
      </c>
      <c r="AG124" s="143">
        <f t="shared" si="33"/>
        <v>11.15</v>
      </c>
      <c r="AH124" s="143">
        <f t="shared" si="34"/>
        <v>23.1</v>
      </c>
      <c r="AI124" s="144">
        <f t="shared" ca="1" si="35"/>
        <v>15.164583333333333</v>
      </c>
    </row>
    <row r="125" spans="1:37" ht="12" customHeight="1" x14ac:dyDescent="0.15">
      <c r="A125" s="31"/>
      <c r="B125" s="40" t="s">
        <v>140</v>
      </c>
      <c r="C125" s="104">
        <f>IF(VLOOKUP($B125,'Monthly Summary 2011'!$B$7:$Q$222,14,FALSE)=0,"",VLOOKUP($B125,'Monthly Summary 2011'!$B$7:$Q$222,14,FALSE))</f>
        <v>9.6999999999999993</v>
      </c>
      <c r="D125" s="36">
        <v>6.8</v>
      </c>
      <c r="E125" s="36">
        <v>10.3</v>
      </c>
      <c r="F125" s="36">
        <v>12.3</v>
      </c>
      <c r="G125" s="36">
        <v>15.6</v>
      </c>
      <c r="H125" s="36">
        <v>19.899999999999999</v>
      </c>
      <c r="I125" s="36">
        <v>16.8</v>
      </c>
      <c r="J125" s="36">
        <v>17.399999999999999</v>
      </c>
      <c r="K125" s="36">
        <v>14.8</v>
      </c>
      <c r="L125" s="36">
        <v>8</v>
      </c>
      <c r="M125" s="36">
        <v>6.4</v>
      </c>
      <c r="N125" s="36">
        <v>7.8</v>
      </c>
      <c r="O125" s="36">
        <v>6.5</v>
      </c>
      <c r="P125" s="37">
        <f t="shared" si="25"/>
        <v>11.883333333333333</v>
      </c>
      <c r="Q125" s="38">
        <f t="shared" si="26"/>
        <v>1</v>
      </c>
      <c r="R125" s="140">
        <f t="shared" si="27"/>
        <v>9.8000000000000007</v>
      </c>
      <c r="S125" s="24">
        <f t="shared" si="28"/>
        <v>1</v>
      </c>
      <c r="T125" s="140">
        <f t="shared" si="29"/>
        <v>13.4</v>
      </c>
      <c r="U125" s="9">
        <f t="shared" si="30"/>
        <v>1</v>
      </c>
      <c r="V125" s="141">
        <f t="shared" si="31"/>
        <v>11.883333333333333</v>
      </c>
      <c r="W125" s="142">
        <f t="shared" si="32"/>
        <v>1</v>
      </c>
      <c r="X125" s="144">
        <f t="shared" ca="1" si="36"/>
        <v>15.705555555555557</v>
      </c>
      <c r="Y125" s="144">
        <f t="shared" ca="1" si="37"/>
        <v>18.611111111111111</v>
      </c>
      <c r="Z125" s="144">
        <f t="shared" ca="1" si="38"/>
        <v>18.369444444444444</v>
      </c>
      <c r="AA125" s="10"/>
      <c r="AB125" s="357" t="str">
        <f>VLOOKUP($B125,'2007-2020 Metadata'!$A$4:$S$214,MATCH("Urban Area /Monitoring Zone",'2007-2020 Metadata'!$A$4:$S$4,0),FALSE)</f>
        <v>Nelson</v>
      </c>
      <c r="AC125" s="87" t="str">
        <f>VLOOKUP(B125,'2007-2020 Metadata'!$A$6:$A$214,1,FALSE)</f>
        <v>WEL062</v>
      </c>
      <c r="AD125" s="230" t="str">
        <f>VLOOKUP($AC125,'2007-2020 Metadata'!$A$6:$S$214,9,FALSE)</f>
        <v>Nelson</v>
      </c>
      <c r="AE125" s="248">
        <f>IF(ISBLANK(VLOOKUP($AC125,'2007-2020 Metadata'!$A$6:$S$214,19,FALSE)),"",VLOOKUP($AC125,'2007-2020 Metadata'!$A$6:$S$214,19,FALSE))</f>
        <v>2.2000000000000002</v>
      </c>
      <c r="AF125" s="88" t="str">
        <f>VLOOKUP($B125,'2007-2020 Metadata'!$A$4:$S$214,MATCH("Site type",'2007-2020 Metadata'!$A$4:$S$4,0),FALSE)</f>
        <v>Background</v>
      </c>
      <c r="AG125" s="143">
        <f t="shared" si="33"/>
        <v>6.4</v>
      </c>
      <c r="AH125" s="143">
        <f t="shared" si="34"/>
        <v>19.899999999999999</v>
      </c>
      <c r="AI125" s="144">
        <f t="shared" ca="1" si="35"/>
        <v>18.369444444444444</v>
      </c>
    </row>
    <row r="126" spans="1:37" ht="12" customHeight="1" x14ac:dyDescent="0.15">
      <c r="A126" s="31"/>
      <c r="B126" s="40" t="s">
        <v>141</v>
      </c>
      <c r="C126" s="104" t="str">
        <f>IF(VLOOKUP($B126,'Monthly Summary 2011'!$B$7:$Q$222,14,FALSE)=0,"",VLOOKUP($B126,'Monthly Summary 2011'!$B$7:$Q$222,14,FALSE))</f>
        <v/>
      </c>
      <c r="D126" s="36">
        <v>10.6</v>
      </c>
      <c r="E126" s="36">
        <v>14.6</v>
      </c>
      <c r="F126" s="36">
        <v>15.3</v>
      </c>
      <c r="G126" s="36">
        <v>17.8</v>
      </c>
      <c r="H126" s="36">
        <v>18</v>
      </c>
      <c r="I126" s="36">
        <v>16.2</v>
      </c>
      <c r="J126" s="36">
        <v>14</v>
      </c>
      <c r="K126" s="36">
        <v>14</v>
      </c>
      <c r="L126" s="36">
        <v>10.9</v>
      </c>
      <c r="M126" s="36">
        <v>12.5</v>
      </c>
      <c r="N126" s="36">
        <v>13.2</v>
      </c>
      <c r="O126" s="36">
        <v>15.3</v>
      </c>
      <c r="P126" s="37">
        <f t="shared" si="25"/>
        <v>14.366666666666667</v>
      </c>
      <c r="Q126" s="38">
        <f t="shared" si="26"/>
        <v>1</v>
      </c>
      <c r="R126" s="140">
        <f t="shared" si="27"/>
        <v>13.5</v>
      </c>
      <c r="S126" s="24">
        <f t="shared" si="28"/>
        <v>1</v>
      </c>
      <c r="T126" s="140">
        <f t="shared" si="29"/>
        <v>12.966666666666667</v>
      </c>
      <c r="U126" s="9">
        <f t="shared" si="30"/>
        <v>1</v>
      </c>
      <c r="V126" s="141">
        <f t="shared" si="31"/>
        <v>14.366666666666667</v>
      </c>
      <c r="W126" s="142">
        <f t="shared" si="32"/>
        <v>1</v>
      </c>
      <c r="X126" s="144">
        <f t="shared" ca="1" si="36"/>
        <v>13.808333333333334</v>
      </c>
      <c r="Y126" s="144">
        <f t="shared" ca="1" si="37"/>
        <v>14.466666666666667</v>
      </c>
      <c r="Z126" s="144">
        <f t="shared" ca="1" si="38"/>
        <v>15.164583333333333</v>
      </c>
      <c r="AA126" s="10"/>
      <c r="AB126" s="357" t="str">
        <f>VLOOKUP($B126,'2007-2020 Metadata'!$A$4:$S$214,MATCH("Urban Area /Monitoring Zone",'2007-2020 Metadata'!$A$4:$S$4,0),FALSE)</f>
        <v xml:space="preserve">Kapiti </v>
      </c>
      <c r="AC126" s="87" t="str">
        <f>VLOOKUP(B126,'2007-2020 Metadata'!$A$6:$A$214,1,FALSE)</f>
        <v>WEL063</v>
      </c>
      <c r="AD126" s="230" t="str">
        <f>VLOOKUP($AC126,'2007-2020 Metadata'!$A$6:$S$214,9,FALSE)</f>
        <v>Kapiti Coast</v>
      </c>
      <c r="AE126" s="248">
        <f>IF(ISBLANK(VLOOKUP($AC126,'2007-2020 Metadata'!$A$6:$S$214,19,FALSE)),"",VLOOKUP($AC126,'2007-2020 Metadata'!$A$6:$S$214,19,FALSE))</f>
        <v>3.5</v>
      </c>
      <c r="AF126" s="88" t="str">
        <f>VLOOKUP($B126,'2007-2020 Metadata'!$A$4:$S$214,MATCH("Site type",'2007-2020 Metadata'!$A$4:$S$4,0),FALSE)</f>
        <v>Local (ex SH)</v>
      </c>
      <c r="AG126" s="143">
        <f t="shared" si="33"/>
        <v>10.6</v>
      </c>
      <c r="AH126" s="143">
        <f t="shared" si="34"/>
        <v>18</v>
      </c>
      <c r="AI126" s="144">
        <f t="shared" ca="1" si="35"/>
        <v>15.164583333333333</v>
      </c>
    </row>
    <row r="127" spans="1:37" ht="12" customHeight="1" x14ac:dyDescent="0.15">
      <c r="A127" s="31"/>
      <c r="B127" s="40" t="s">
        <v>142</v>
      </c>
      <c r="C127" s="104">
        <f>IF(VLOOKUP($B127,'Monthly Summary 2011'!$B$7:$Q$222,14,FALSE)=0,"",VLOOKUP($B127,'Monthly Summary 2011'!$B$7:$Q$222,14,FALSE))</f>
        <v>19.8</v>
      </c>
      <c r="D127" s="36">
        <v>17.2</v>
      </c>
      <c r="E127" s="36">
        <v>22.2</v>
      </c>
      <c r="F127" s="36">
        <v>23.4</v>
      </c>
      <c r="G127" s="36">
        <v>25.4</v>
      </c>
      <c r="H127" s="36">
        <v>26.9</v>
      </c>
      <c r="I127" s="36">
        <v>30</v>
      </c>
      <c r="J127" s="36">
        <v>24.2</v>
      </c>
      <c r="K127" s="36">
        <v>24.2</v>
      </c>
      <c r="L127" s="36">
        <v>18.5</v>
      </c>
      <c r="M127" s="36">
        <v>19.399999999999999</v>
      </c>
      <c r="N127" s="36">
        <v>22.8</v>
      </c>
      <c r="O127" s="36">
        <v>16.600000000000001</v>
      </c>
      <c r="P127" s="37">
        <f t="shared" si="25"/>
        <v>22.566666666666666</v>
      </c>
      <c r="Q127" s="38">
        <f t="shared" si="26"/>
        <v>1</v>
      </c>
      <c r="R127" s="140">
        <f t="shared" si="27"/>
        <v>20.933333333333334</v>
      </c>
      <c r="S127" s="24">
        <f t="shared" si="28"/>
        <v>1</v>
      </c>
      <c r="T127" s="140">
        <f t="shared" si="29"/>
        <v>22.3</v>
      </c>
      <c r="U127" s="9">
        <f t="shared" si="30"/>
        <v>1</v>
      </c>
      <c r="V127" s="141">
        <f t="shared" si="31"/>
        <v>22.566666666666666</v>
      </c>
      <c r="W127" s="142">
        <f t="shared" si="32"/>
        <v>1</v>
      </c>
      <c r="X127" s="144">
        <f t="shared" ca="1" si="36"/>
        <v>19.745454545454546</v>
      </c>
      <c r="Y127" s="144">
        <f t="shared" ca="1" si="37"/>
        <v>19.760606060606062</v>
      </c>
      <c r="Z127" s="144">
        <f t="shared" ca="1" si="38"/>
        <v>21.146556473829204</v>
      </c>
      <c r="AA127" s="10"/>
      <c r="AB127" s="357" t="str">
        <f>VLOOKUP($B127,'2007-2020 Metadata'!$A$4:$S$214,MATCH("Urban Area /Monitoring Zone",'2007-2020 Metadata'!$A$4:$S$4,0),FALSE)</f>
        <v>Wellington</v>
      </c>
      <c r="AC127" s="87" t="str">
        <f>VLOOKUP(B127,'2007-2020 Metadata'!$A$6:$A$214,1,FALSE)</f>
        <v>WEL064</v>
      </c>
      <c r="AD127" s="230" t="str">
        <f>VLOOKUP($AC127,'2007-2020 Metadata'!$A$6:$S$214,9,FALSE)</f>
        <v>Wellington</v>
      </c>
      <c r="AE127" s="248">
        <f>IF(ISBLANK(VLOOKUP($AC127,'2007-2020 Metadata'!$A$6:$S$214,19,FALSE)),"",VLOOKUP($AC127,'2007-2020 Metadata'!$A$6:$S$214,19,FALSE))</f>
        <v>4</v>
      </c>
      <c r="AF127" s="88" t="str">
        <f>VLOOKUP($B127,'2007-2020 Metadata'!$A$4:$S$214,MATCH("Site type",'2007-2020 Metadata'!$A$4:$S$4,0),FALSE)</f>
        <v>SH</v>
      </c>
      <c r="AG127" s="143">
        <f t="shared" si="33"/>
        <v>16.600000000000001</v>
      </c>
      <c r="AH127" s="143">
        <f t="shared" si="34"/>
        <v>30</v>
      </c>
      <c r="AI127" s="144">
        <f t="shared" ca="1" si="35"/>
        <v>21.146556473829204</v>
      </c>
    </row>
    <row r="128" spans="1:37" ht="12" customHeight="1" x14ac:dyDescent="0.15">
      <c r="A128" s="31"/>
      <c r="B128" s="40" t="s">
        <v>21</v>
      </c>
      <c r="C128" s="104">
        <f>IF(VLOOKUP($B128,'Monthly Summary 2011'!$B$7:$Q$222,14,FALSE)=0,"",VLOOKUP($B128,'Monthly Summary 2011'!$B$7:$Q$222,14,FALSE))</f>
        <v>9.6999999999999993</v>
      </c>
      <c r="D128" s="36">
        <v>10</v>
      </c>
      <c r="E128" s="36">
        <v>10.3</v>
      </c>
      <c r="F128" s="36">
        <v>13.7</v>
      </c>
      <c r="G128" s="36">
        <v>15.7</v>
      </c>
      <c r="H128" s="36">
        <v>17.8</v>
      </c>
      <c r="I128" s="36">
        <v>15.7</v>
      </c>
      <c r="J128" s="36">
        <v>13.4</v>
      </c>
      <c r="K128" s="36">
        <v>14.8</v>
      </c>
      <c r="L128" s="36">
        <v>12.3</v>
      </c>
      <c r="M128" s="36">
        <v>11.5</v>
      </c>
      <c r="N128" s="36">
        <v>11</v>
      </c>
      <c r="O128" s="36">
        <v>9.9</v>
      </c>
      <c r="P128" s="37">
        <f t="shared" si="25"/>
        <v>13.008333333333333</v>
      </c>
      <c r="Q128" s="38">
        <f t="shared" si="26"/>
        <v>1</v>
      </c>
      <c r="R128" s="140">
        <f t="shared" si="27"/>
        <v>11.333333333333334</v>
      </c>
      <c r="S128" s="24">
        <f t="shared" si="28"/>
        <v>1</v>
      </c>
      <c r="T128" s="140">
        <f t="shared" si="29"/>
        <v>13.5</v>
      </c>
      <c r="U128" s="9">
        <f t="shared" si="30"/>
        <v>1</v>
      </c>
      <c r="V128" s="141">
        <f t="shared" si="31"/>
        <v>13.008333333333333</v>
      </c>
      <c r="W128" s="142">
        <f t="shared" si="32"/>
        <v>1</v>
      </c>
      <c r="X128" s="144">
        <f t="shared" ca="1" si="36"/>
        <v>11.333333333333334</v>
      </c>
      <c r="Y128" s="144">
        <f t="shared" ca="1" si="37"/>
        <v>13.5</v>
      </c>
      <c r="Z128" s="144">
        <f t="shared" ca="1" si="38"/>
        <v>13.008333333333333</v>
      </c>
      <c r="AA128" s="10"/>
      <c r="AB128" s="357" t="str">
        <f>VLOOKUP($B128,'2007-2020 Metadata'!$A$4:$S$214,MATCH("Urban Area /Monitoring Zone",'2007-2020 Metadata'!$A$4:$S$4,0),FALSE)</f>
        <v>Greymouth</v>
      </c>
      <c r="AC128" s="87" t="str">
        <f>VLOOKUP(B128,'2007-2020 Metadata'!$A$6:$A$214,1,FALSE)</f>
        <v>CHR001</v>
      </c>
      <c r="AD128" s="230" t="str">
        <f>VLOOKUP($AC128,'2007-2020 Metadata'!$A$6:$S$214,9,FALSE)</f>
        <v>Greymouth</v>
      </c>
      <c r="AE128" s="248">
        <f>IF(ISBLANK(VLOOKUP($AC128,'2007-2020 Metadata'!$A$6:$S$214,19,FALSE)),"",VLOOKUP($AC128,'2007-2020 Metadata'!$A$6:$S$214,19,FALSE))</f>
        <v>2.2999999999999998</v>
      </c>
      <c r="AF128" s="88" t="str">
        <f>VLOOKUP($B128,'2007-2020 Metadata'!$A$4:$S$214,MATCH("Site type",'2007-2020 Metadata'!$A$4:$S$4,0),FALSE)</f>
        <v>SH</v>
      </c>
      <c r="AG128" s="143">
        <f t="shared" si="33"/>
        <v>9.9</v>
      </c>
      <c r="AH128" s="143">
        <f t="shared" si="34"/>
        <v>17.8</v>
      </c>
      <c r="AI128" s="144">
        <f t="shared" ca="1" si="35"/>
        <v>13.008333333333333</v>
      </c>
    </row>
    <row r="129" spans="1:35" ht="12" customHeight="1" x14ac:dyDescent="0.15">
      <c r="A129" s="31"/>
      <c r="B129" s="40" t="s">
        <v>22</v>
      </c>
      <c r="C129" s="104">
        <f>IF(VLOOKUP($B129,'Monthly Summary 2011'!$B$7:$Q$222,14,FALSE)=0,"",VLOOKUP($B129,'Monthly Summary 2011'!$B$7:$Q$222,14,FALSE))</f>
        <v>21.2</v>
      </c>
      <c r="D129" s="36">
        <v>23.9</v>
      </c>
      <c r="E129" s="36">
        <v>26.4</v>
      </c>
      <c r="F129" s="36">
        <v>31.3</v>
      </c>
      <c r="G129" s="36">
        <v>36.5</v>
      </c>
      <c r="H129" s="36">
        <v>41.8</v>
      </c>
      <c r="I129" s="36">
        <v>38</v>
      </c>
      <c r="J129" s="36">
        <v>40.5</v>
      </c>
      <c r="K129" s="36">
        <v>30.1</v>
      </c>
      <c r="L129" s="36">
        <v>27.5</v>
      </c>
      <c r="M129" s="36">
        <v>20.8</v>
      </c>
      <c r="N129" s="36">
        <v>27.8</v>
      </c>
      <c r="O129" s="36">
        <v>23.4</v>
      </c>
      <c r="P129" s="37">
        <f t="shared" si="25"/>
        <v>30.666666666666668</v>
      </c>
      <c r="Q129" s="38">
        <f t="shared" si="26"/>
        <v>1</v>
      </c>
      <c r="R129" s="140">
        <f t="shared" si="27"/>
        <v>27.2</v>
      </c>
      <c r="S129" s="24">
        <f t="shared" si="28"/>
        <v>1</v>
      </c>
      <c r="T129" s="140">
        <f t="shared" si="29"/>
        <v>32.699999999999996</v>
      </c>
      <c r="U129" s="9">
        <f t="shared" si="30"/>
        <v>1</v>
      </c>
      <c r="V129" s="141">
        <f t="shared" si="31"/>
        <v>30.666666666666668</v>
      </c>
      <c r="W129" s="142">
        <f t="shared" si="32"/>
        <v>1</v>
      </c>
      <c r="X129" s="144">
        <f t="shared" ca="1" si="36"/>
        <v>25.21222222222222</v>
      </c>
      <c r="Y129" s="144">
        <f t="shared" ca="1" si="37"/>
        <v>30.306666666666661</v>
      </c>
      <c r="Z129" s="144">
        <f t="shared" ca="1" si="38"/>
        <v>27.927101010101008</v>
      </c>
      <c r="AA129" s="10"/>
      <c r="AB129" s="357" t="str">
        <f>VLOOKUP($B129,'2007-2020 Metadata'!$A$4:$S$214,MATCH("Urban Area /Monitoring Zone",'2007-2020 Metadata'!$A$4:$S$4,0),FALSE)</f>
        <v>Christchurch</v>
      </c>
      <c r="AC129" s="87" t="str">
        <f>VLOOKUP(B129,'2007-2020 Metadata'!$A$6:$A$214,1,FALSE)</f>
        <v>CHR002</v>
      </c>
      <c r="AD129" s="230" t="str">
        <f>VLOOKUP($AC129,'2007-2020 Metadata'!$A$6:$S$214,9,FALSE)</f>
        <v>Christchurch</v>
      </c>
      <c r="AE129" s="248">
        <f>IF(ISBLANK(VLOOKUP($AC129,'2007-2020 Metadata'!$A$6:$S$214,19,FALSE)),"",VLOOKUP($AC129,'2007-2020 Metadata'!$A$6:$S$214,19,FALSE))</f>
        <v>3.2</v>
      </c>
      <c r="AF129" s="88" t="str">
        <f>VLOOKUP($B129,'2007-2020 Metadata'!$A$4:$S$214,MATCH("Site type",'2007-2020 Metadata'!$A$4:$S$4,0),FALSE)</f>
        <v>SH</v>
      </c>
      <c r="AG129" s="143">
        <f t="shared" si="33"/>
        <v>20.8</v>
      </c>
      <c r="AH129" s="143">
        <f t="shared" si="34"/>
        <v>41.8</v>
      </c>
      <c r="AI129" s="144">
        <f t="shared" ca="1" si="35"/>
        <v>27.927101010101008</v>
      </c>
    </row>
    <row r="130" spans="1:35" ht="12" customHeight="1" x14ac:dyDescent="0.15">
      <c r="A130" s="31"/>
      <c r="B130" s="40" t="s">
        <v>23</v>
      </c>
      <c r="C130" s="104" t="str">
        <f>IF(VLOOKUP($B130,'Monthly Summary 2011'!$B$7:$Q$222,14,FALSE)=0,"",VLOOKUP($B130,'Monthly Summary 2011'!$B$7:$Q$222,14,FALSE))</f>
        <v/>
      </c>
      <c r="D130" s="36">
        <v>36.1</v>
      </c>
      <c r="E130" s="36">
        <v>20.399999999999999</v>
      </c>
      <c r="F130" s="36">
        <v>27.7</v>
      </c>
      <c r="G130" s="36"/>
      <c r="H130" s="36">
        <v>45.4</v>
      </c>
      <c r="I130" s="36">
        <v>47.1</v>
      </c>
      <c r="J130" s="36">
        <v>40.299999999999997</v>
      </c>
      <c r="K130" s="36">
        <v>27.6</v>
      </c>
      <c r="L130" s="36">
        <v>22.6</v>
      </c>
      <c r="M130" s="36">
        <v>21.8</v>
      </c>
      <c r="N130" s="36">
        <v>22.3</v>
      </c>
      <c r="O130" s="36">
        <v>16.600000000000001</v>
      </c>
      <c r="P130" s="37">
        <f t="shared" si="25"/>
        <v>29.809090909090912</v>
      </c>
      <c r="Q130" s="38">
        <f t="shared" si="26"/>
        <v>0.91666666666666663</v>
      </c>
      <c r="R130" s="140">
        <f t="shared" si="27"/>
        <v>28.066666666666666</v>
      </c>
      <c r="S130" s="24">
        <f t="shared" si="28"/>
        <v>1</v>
      </c>
      <c r="T130" s="140">
        <f t="shared" si="29"/>
        <v>30.166666666666668</v>
      </c>
      <c r="U130" s="9">
        <f t="shared" si="30"/>
        <v>1</v>
      </c>
      <c r="V130" s="141">
        <f t="shared" si="31"/>
        <v>29.809090909090912</v>
      </c>
      <c r="W130" s="142">
        <f t="shared" si="32"/>
        <v>0.91666666666666663</v>
      </c>
      <c r="X130" s="144">
        <f t="shared" ca="1" si="36"/>
        <v>25.21222222222222</v>
      </c>
      <c r="Y130" s="144">
        <f t="shared" ca="1" si="37"/>
        <v>30.306666666666661</v>
      </c>
      <c r="Z130" s="144">
        <f t="shared" ca="1" si="38"/>
        <v>27.927101010101008</v>
      </c>
      <c r="AA130" s="10"/>
      <c r="AB130" s="357" t="str">
        <f>VLOOKUP($B130,'2007-2020 Metadata'!$A$4:$S$214,MATCH("Urban Area /Monitoring Zone",'2007-2020 Metadata'!$A$4:$S$4,0),FALSE)</f>
        <v>Christchurch</v>
      </c>
      <c r="AC130" s="87" t="str">
        <f>VLOOKUP(B130,'2007-2020 Metadata'!$A$6:$A$214,1,FALSE)</f>
        <v>CHR003</v>
      </c>
      <c r="AD130" s="230" t="str">
        <f>VLOOKUP($AC130,'2007-2020 Metadata'!$A$6:$S$214,9,FALSE)</f>
        <v>Christchurch</v>
      </c>
      <c r="AE130" s="248">
        <f>IF(ISBLANK(VLOOKUP($AC130,'2007-2020 Metadata'!$A$6:$S$214,19,FALSE)),"",VLOOKUP($AC130,'2007-2020 Metadata'!$A$6:$S$214,19,FALSE))</f>
        <v>3.3</v>
      </c>
      <c r="AF130" s="88" t="str">
        <f>VLOOKUP($B130,'2007-2020 Metadata'!$A$4:$S$214,MATCH("Site type",'2007-2020 Metadata'!$A$4:$S$4,0),FALSE)</f>
        <v>SH</v>
      </c>
      <c r="AG130" s="143">
        <f t="shared" si="33"/>
        <v>16.600000000000001</v>
      </c>
      <c r="AH130" s="143">
        <f t="shared" si="34"/>
        <v>47.1</v>
      </c>
      <c r="AI130" s="144">
        <f t="shared" ca="1" si="35"/>
        <v>27.927101010101008</v>
      </c>
    </row>
    <row r="131" spans="1:35" ht="12" customHeight="1" x14ac:dyDescent="0.15">
      <c r="A131" s="31"/>
      <c r="B131" s="40" t="s">
        <v>24</v>
      </c>
      <c r="C131" s="104">
        <f>IF(VLOOKUP($B131,'Monthly Summary 2011'!$B$7:$Q$222,14,FALSE)=0,"",VLOOKUP($B131,'Monthly Summary 2011'!$B$7:$Q$222,14,FALSE))</f>
        <v>9.1</v>
      </c>
      <c r="D131" s="36">
        <v>10</v>
      </c>
      <c r="E131" s="36">
        <v>11.4</v>
      </c>
      <c r="F131" s="36">
        <v>15.7</v>
      </c>
      <c r="G131" s="36">
        <v>19.5</v>
      </c>
      <c r="H131" s="36">
        <v>25.5</v>
      </c>
      <c r="I131" s="36">
        <v>18.7</v>
      </c>
      <c r="J131" s="36">
        <v>22.4</v>
      </c>
      <c r="K131" s="36">
        <v>12.6</v>
      </c>
      <c r="L131" s="36">
        <v>11.6</v>
      </c>
      <c r="M131" s="36">
        <v>8.4</v>
      </c>
      <c r="N131" s="36">
        <v>9.3000000000000007</v>
      </c>
      <c r="O131" s="36">
        <v>7.5</v>
      </c>
      <c r="P131" s="37">
        <f t="shared" si="25"/>
        <v>14.383333333333333</v>
      </c>
      <c r="Q131" s="38">
        <f t="shared" si="26"/>
        <v>1</v>
      </c>
      <c r="R131" s="140">
        <f t="shared" si="27"/>
        <v>12.366666666666665</v>
      </c>
      <c r="S131" s="24">
        <f t="shared" si="28"/>
        <v>1</v>
      </c>
      <c r="T131" s="140">
        <f t="shared" si="29"/>
        <v>15.533333333333333</v>
      </c>
      <c r="U131" s="9">
        <f t="shared" si="30"/>
        <v>1</v>
      </c>
      <c r="V131" s="141">
        <f t="shared" si="31"/>
        <v>14.383333333333333</v>
      </c>
      <c r="W131" s="142">
        <f t="shared" si="32"/>
        <v>1</v>
      </c>
      <c r="X131" s="144">
        <f t="shared" ca="1" si="36"/>
        <v>25.21222222222222</v>
      </c>
      <c r="Y131" s="144">
        <f t="shared" ca="1" si="37"/>
        <v>30.306666666666661</v>
      </c>
      <c r="Z131" s="144">
        <f t="shared" ca="1" si="38"/>
        <v>27.927101010101008</v>
      </c>
      <c r="AA131" s="10"/>
      <c r="AB131" s="357" t="str">
        <f>VLOOKUP($B131,'2007-2020 Metadata'!$A$4:$S$214,MATCH("Urban Area /Monitoring Zone",'2007-2020 Metadata'!$A$4:$S$4,0),FALSE)</f>
        <v>Christchurch</v>
      </c>
      <c r="AC131" s="87" t="str">
        <f>VLOOKUP(B131,'2007-2020 Metadata'!$A$6:$A$214,1,FALSE)</f>
        <v>CHR004</v>
      </c>
      <c r="AD131" s="230" t="str">
        <f>VLOOKUP($AC131,'2007-2020 Metadata'!$A$6:$S$214,9,FALSE)</f>
        <v>Christchurch</v>
      </c>
      <c r="AE131" s="248">
        <f>IF(ISBLANK(VLOOKUP($AC131,'2007-2020 Metadata'!$A$6:$S$214,19,FALSE)),"",VLOOKUP($AC131,'2007-2020 Metadata'!$A$6:$S$214,19,FALSE))</f>
        <v>3.1</v>
      </c>
      <c r="AF131" s="88" t="str">
        <f>VLOOKUP($B131,'2007-2020 Metadata'!$A$4:$S$214,MATCH("Site type",'2007-2020 Metadata'!$A$4:$S$4,0),FALSE)</f>
        <v>Background</v>
      </c>
      <c r="AG131" s="143">
        <f t="shared" si="33"/>
        <v>7.5</v>
      </c>
      <c r="AH131" s="143">
        <f t="shared" si="34"/>
        <v>25.5</v>
      </c>
      <c r="AI131" s="144">
        <f t="shared" ca="1" si="35"/>
        <v>27.927101010101008</v>
      </c>
    </row>
    <row r="132" spans="1:35" ht="12" customHeight="1" x14ac:dyDescent="0.15">
      <c r="A132" s="31"/>
      <c r="B132" s="40" t="s">
        <v>25</v>
      </c>
      <c r="C132" s="104">
        <f>IF(VLOOKUP($B132,'Monthly Summary 2011'!$B$7:$Q$222,14,FALSE)=0,"",VLOOKUP($B132,'Monthly Summary 2011'!$B$7:$Q$222,14,FALSE))</f>
        <v>22.2</v>
      </c>
      <c r="D132" s="36"/>
      <c r="E132" s="36">
        <v>24.3</v>
      </c>
      <c r="F132" s="36"/>
      <c r="G132" s="36"/>
      <c r="H132" s="36">
        <v>43.8</v>
      </c>
      <c r="I132" s="36">
        <v>30</v>
      </c>
      <c r="J132" s="36"/>
      <c r="K132" s="36"/>
      <c r="L132" s="36">
        <v>19.100000000000001</v>
      </c>
      <c r="M132" s="36">
        <v>24.2</v>
      </c>
      <c r="N132" s="36">
        <v>27.9</v>
      </c>
      <c r="O132" s="36"/>
      <c r="P132" s="37">
        <f t="shared" si="25"/>
        <v>28.216666666666665</v>
      </c>
      <c r="Q132" s="38">
        <f t="shared" si="26"/>
        <v>0.5</v>
      </c>
      <c r="R132" s="140" t="str">
        <f t="shared" si="27"/>
        <v>-</v>
      </c>
      <c r="S132" s="24">
        <f t="shared" si="28"/>
        <v>0.33333333333333331</v>
      </c>
      <c r="T132" s="140" t="str">
        <f t="shared" si="29"/>
        <v>-</v>
      </c>
      <c r="U132" s="9">
        <f t="shared" si="30"/>
        <v>0.33333333333333331</v>
      </c>
      <c r="V132" s="141" t="str">
        <f t="shared" si="31"/>
        <v>-</v>
      </c>
      <c r="W132" s="142">
        <f t="shared" si="32"/>
        <v>0.5</v>
      </c>
      <c r="X132" s="144">
        <f t="shared" ca="1" si="36"/>
        <v>25.21222222222222</v>
      </c>
      <c r="Y132" s="144">
        <f t="shared" ca="1" si="37"/>
        <v>30.306666666666661</v>
      </c>
      <c r="Z132" s="144">
        <f t="shared" ca="1" si="38"/>
        <v>27.927101010101008</v>
      </c>
      <c r="AA132" s="10"/>
      <c r="AB132" s="357" t="str">
        <f>VLOOKUP($B132,'2007-2020 Metadata'!$A$4:$S$214,MATCH("Urban Area /Monitoring Zone",'2007-2020 Metadata'!$A$4:$S$4,0),FALSE)</f>
        <v>Christchurch</v>
      </c>
      <c r="AC132" s="87" t="str">
        <f>VLOOKUP(B132,'2007-2020 Metadata'!$A$6:$A$214,1,FALSE)</f>
        <v>CHR006</v>
      </c>
      <c r="AD132" s="230" t="str">
        <f>VLOOKUP($AC132,'2007-2020 Metadata'!$A$6:$S$214,9,FALSE)</f>
        <v>Christchurch</v>
      </c>
      <c r="AE132" s="248">
        <f>IF(ISBLANK(VLOOKUP($AC132,'2007-2020 Metadata'!$A$6:$S$214,19,FALSE)),"",VLOOKUP($AC132,'2007-2020 Metadata'!$A$6:$S$214,19,FALSE))</f>
        <v>3.4</v>
      </c>
      <c r="AF132" s="88" t="str">
        <f>VLOOKUP($B132,'2007-2020 Metadata'!$A$4:$S$214,MATCH("Site type",'2007-2020 Metadata'!$A$4:$S$4,0),FALSE)</f>
        <v>SH</v>
      </c>
      <c r="AG132" s="143">
        <f t="shared" si="33"/>
        <v>19.100000000000001</v>
      </c>
      <c r="AH132" s="143">
        <f t="shared" si="34"/>
        <v>43.8</v>
      </c>
      <c r="AI132" s="144" t="str">
        <f t="shared" si="35"/>
        <v xml:space="preserve"> </v>
      </c>
    </row>
    <row r="133" spans="1:35" ht="12" customHeight="1" x14ac:dyDescent="0.15">
      <c r="A133" s="31"/>
      <c r="B133" s="40" t="s">
        <v>143</v>
      </c>
      <c r="C133" s="104" t="str">
        <f>IF(VLOOKUP($B133,'Monthly Summary 2011'!$B$7:$Q$222,14,FALSE)=0,"",VLOOKUP($B133,'Monthly Summary 2011'!$B$7:$Q$222,14,FALSE))</f>
        <v/>
      </c>
      <c r="D133" s="36"/>
      <c r="E133" s="36">
        <v>25</v>
      </c>
      <c r="F133" s="36">
        <v>27.5</v>
      </c>
      <c r="G133" s="36">
        <v>33.4</v>
      </c>
      <c r="H133" s="36">
        <v>39</v>
      </c>
      <c r="I133" s="36">
        <v>39.9</v>
      </c>
      <c r="J133" s="36">
        <v>38.1</v>
      </c>
      <c r="K133" s="36">
        <v>28.8</v>
      </c>
      <c r="L133" s="36">
        <v>20.8</v>
      </c>
      <c r="M133" s="36">
        <v>20.8</v>
      </c>
      <c r="N133" s="36">
        <v>21.6</v>
      </c>
      <c r="O133" s="36">
        <v>16.8</v>
      </c>
      <c r="P133" s="37">
        <f t="shared" si="25"/>
        <v>28.33636363636364</v>
      </c>
      <c r="Q133" s="38">
        <f t="shared" si="26"/>
        <v>0.91666666666666663</v>
      </c>
      <c r="R133" s="140">
        <f t="shared" si="27"/>
        <v>26.25</v>
      </c>
      <c r="S133" s="24">
        <f t="shared" si="28"/>
        <v>0.66666666666666663</v>
      </c>
      <c r="T133" s="140">
        <f t="shared" si="29"/>
        <v>29.233333333333334</v>
      </c>
      <c r="U133" s="9">
        <f t="shared" si="30"/>
        <v>1</v>
      </c>
      <c r="V133" s="141">
        <f t="shared" si="31"/>
        <v>28.33636363636364</v>
      </c>
      <c r="W133" s="142">
        <f t="shared" si="32"/>
        <v>0.91666666666666663</v>
      </c>
      <c r="X133" s="144">
        <f t="shared" ca="1" si="36"/>
        <v>25.21222222222222</v>
      </c>
      <c r="Y133" s="144">
        <f t="shared" ca="1" si="37"/>
        <v>30.306666666666661</v>
      </c>
      <c r="Z133" s="144">
        <f t="shared" ca="1" si="38"/>
        <v>27.927101010101008</v>
      </c>
      <c r="AA133" s="10"/>
      <c r="AB133" s="357" t="str">
        <f>VLOOKUP($B133,'2007-2020 Metadata'!$A$4:$S$214,MATCH("Urban Area /Monitoring Zone",'2007-2020 Metadata'!$A$4:$S$4,0),FALSE)</f>
        <v>Christchurch</v>
      </c>
      <c r="AC133" s="87" t="str">
        <f>VLOOKUP(B133,'2007-2020 Metadata'!$A$6:$A$214,1,FALSE)</f>
        <v>CHR011</v>
      </c>
      <c r="AD133" s="230" t="str">
        <f>VLOOKUP($AC133,'2007-2020 Metadata'!$A$6:$S$214,9,FALSE)</f>
        <v>Christchurch</v>
      </c>
      <c r="AE133" s="248">
        <f>IF(ISBLANK(VLOOKUP($AC133,'2007-2020 Metadata'!$A$6:$S$214,19,FALSE)),"",VLOOKUP($AC133,'2007-2020 Metadata'!$A$6:$S$214,19,FALSE))</f>
        <v>2.85</v>
      </c>
      <c r="AF133" s="88" t="str">
        <f>VLOOKUP($B133,'2007-2020 Metadata'!$A$4:$S$214,MATCH("Site type",'2007-2020 Metadata'!$A$4:$S$4,0),FALSE)</f>
        <v>SH</v>
      </c>
      <c r="AG133" s="143">
        <f t="shared" si="33"/>
        <v>16.8</v>
      </c>
      <c r="AH133" s="143">
        <f t="shared" si="34"/>
        <v>39.9</v>
      </c>
      <c r="AI133" s="144">
        <f t="shared" ca="1" si="35"/>
        <v>27.927101010101008</v>
      </c>
    </row>
    <row r="134" spans="1:35" ht="12" customHeight="1" x14ac:dyDescent="0.15">
      <c r="A134" s="31"/>
      <c r="B134" s="40" t="s">
        <v>144</v>
      </c>
      <c r="C134" s="104">
        <f>IF(VLOOKUP($B134,'Monthly Summary 2011'!$B$7:$Q$222,14,FALSE)=0,"",VLOOKUP($B134,'Monthly Summary 2011'!$B$7:$Q$222,14,FALSE))</f>
        <v>20.7</v>
      </c>
      <c r="D134" s="36">
        <v>22</v>
      </c>
      <c r="E134" s="36">
        <v>26.3</v>
      </c>
      <c r="F134" s="36">
        <v>32.4</v>
      </c>
      <c r="G134" s="36">
        <v>35.1</v>
      </c>
      <c r="H134" s="36">
        <v>40.4</v>
      </c>
      <c r="I134" s="36">
        <v>34.9</v>
      </c>
      <c r="J134" s="36">
        <v>38.200000000000003</v>
      </c>
      <c r="K134" s="36">
        <v>28.8</v>
      </c>
      <c r="L134" s="36">
        <v>26.3</v>
      </c>
      <c r="M134" s="36">
        <v>24.9</v>
      </c>
      <c r="N134" s="36">
        <v>22.8</v>
      </c>
      <c r="O134" s="36">
        <v>12.5</v>
      </c>
      <c r="P134" s="37">
        <f t="shared" si="25"/>
        <v>28.716666666666669</v>
      </c>
      <c r="Q134" s="38">
        <f t="shared" si="26"/>
        <v>1</v>
      </c>
      <c r="R134" s="140">
        <f t="shared" si="27"/>
        <v>26.899999999999995</v>
      </c>
      <c r="S134" s="24">
        <f t="shared" si="28"/>
        <v>1</v>
      </c>
      <c r="T134" s="140">
        <f t="shared" si="29"/>
        <v>31.099999999999998</v>
      </c>
      <c r="U134" s="9">
        <f t="shared" si="30"/>
        <v>1</v>
      </c>
      <c r="V134" s="141">
        <f t="shared" si="31"/>
        <v>28.716666666666669</v>
      </c>
      <c r="W134" s="142">
        <f t="shared" si="32"/>
        <v>1</v>
      </c>
      <c r="X134" s="144">
        <f t="shared" ca="1" si="36"/>
        <v>25.21222222222222</v>
      </c>
      <c r="Y134" s="144">
        <f t="shared" ca="1" si="37"/>
        <v>30.306666666666661</v>
      </c>
      <c r="Z134" s="144">
        <f t="shared" ca="1" si="38"/>
        <v>27.927101010101008</v>
      </c>
      <c r="AA134" s="10"/>
      <c r="AB134" s="357" t="str">
        <f>VLOOKUP($B134,'2007-2020 Metadata'!$A$4:$S$214,MATCH("Urban Area /Monitoring Zone",'2007-2020 Metadata'!$A$4:$S$4,0),FALSE)</f>
        <v>Christchurch</v>
      </c>
      <c r="AC134" s="87" t="str">
        <f>VLOOKUP(B134,'2007-2020 Metadata'!$A$6:$A$214,1,FALSE)</f>
        <v>CHR012</v>
      </c>
      <c r="AD134" s="230" t="str">
        <f>VLOOKUP($AC134,'2007-2020 Metadata'!$A$6:$S$214,9,FALSE)</f>
        <v>Christchurch</v>
      </c>
      <c r="AE134" s="248">
        <f>IF(ISBLANK(VLOOKUP($AC134,'2007-2020 Metadata'!$A$6:$S$214,19,FALSE)),"",VLOOKUP($AC134,'2007-2020 Metadata'!$A$6:$S$214,19,FALSE))</f>
        <v>3</v>
      </c>
      <c r="AF134" s="88" t="str">
        <f>VLOOKUP($B134,'2007-2020 Metadata'!$A$4:$S$214,MATCH("Site type",'2007-2020 Metadata'!$A$4:$S$4,0),FALSE)</f>
        <v>Local</v>
      </c>
      <c r="AG134" s="143">
        <f t="shared" si="33"/>
        <v>12.5</v>
      </c>
      <c r="AH134" s="143">
        <f t="shared" si="34"/>
        <v>40.4</v>
      </c>
      <c r="AI134" s="144">
        <f t="shared" ca="1" si="35"/>
        <v>27.927101010101008</v>
      </c>
    </row>
    <row r="135" spans="1:35" ht="12" customHeight="1" x14ac:dyDescent="0.15">
      <c r="A135" s="31"/>
      <c r="B135" s="40" t="s">
        <v>145</v>
      </c>
      <c r="C135" s="104">
        <f>IF(VLOOKUP($B135,'Monthly Summary 2011'!$B$7:$Q$222,14,FALSE)=0,"",VLOOKUP($B135,'Monthly Summary 2011'!$B$7:$Q$222,14,FALSE))</f>
        <v>16.600000000000001</v>
      </c>
      <c r="D135" s="36">
        <v>21.1</v>
      </c>
      <c r="E135" s="36">
        <v>26.7</v>
      </c>
      <c r="F135" s="36">
        <v>27.8</v>
      </c>
      <c r="G135" s="36">
        <v>35.4</v>
      </c>
      <c r="H135" s="36">
        <v>45.8</v>
      </c>
      <c r="I135" s="36">
        <v>45.6</v>
      </c>
      <c r="J135" s="36">
        <v>38.1</v>
      </c>
      <c r="K135" s="36">
        <v>33.5</v>
      </c>
      <c r="L135" s="36">
        <v>29.3</v>
      </c>
      <c r="M135" s="36">
        <v>25.1</v>
      </c>
      <c r="N135" s="36">
        <v>23.1</v>
      </c>
      <c r="O135" s="36">
        <v>13.7</v>
      </c>
      <c r="P135" s="37">
        <f t="shared" si="25"/>
        <v>30.433333333333337</v>
      </c>
      <c r="Q135" s="38">
        <f t="shared" si="26"/>
        <v>1</v>
      </c>
      <c r="R135" s="140">
        <f t="shared" si="27"/>
        <v>25.2</v>
      </c>
      <c r="S135" s="24">
        <f t="shared" si="28"/>
        <v>1</v>
      </c>
      <c r="T135" s="140">
        <f t="shared" si="29"/>
        <v>33.633333333333333</v>
      </c>
      <c r="U135" s="9">
        <f t="shared" si="30"/>
        <v>1</v>
      </c>
      <c r="V135" s="141">
        <f t="shared" si="31"/>
        <v>30.433333333333337</v>
      </c>
      <c r="W135" s="142">
        <f t="shared" si="32"/>
        <v>1</v>
      </c>
      <c r="X135" s="144">
        <f t="shared" ref="X135:X154" ca="1" si="47">IF(VLOOKUP($B135,$AC$6:$AI$158,3,FALSE)="",$R135,IF(ISERROR(AVERAGEIF($AD$6:$AD$160,VLOOKUP($B135,$AC$6:$AI$158,2,FALSE),$R$6:$R$158)),"",AVERAGEIF($AD$6:$AD$160,VLOOKUP($B135,$AC$6:$AI$158,2,FALSE),$R$6:$R$158)))</f>
        <v>25.21222222222222</v>
      </c>
      <c r="Y135" s="144">
        <f t="shared" ref="Y135:Y154" ca="1" si="48">IF(VLOOKUP($B135,$AC$6:$AI$158,3,FALSE)="",$T135,IF(ISERROR(AVERAGEIF($AD$6:$AD$160,VLOOKUP($B135,$AC$6:$AI$158,2,FALSE),$T$6:$T$158)),"",AVERAGEIF($AD$6:$AD$160,VLOOKUP($B135,$AC$6:$AI$158,2,FALSE),$T$6:$T$158)))</f>
        <v>30.306666666666661</v>
      </c>
      <c r="Z135" s="144">
        <f t="shared" ref="Z135:Z154" ca="1" si="49">IF(VLOOKUP($B135,$AC$6:$AI$158,3,FALSE)="",$V135,IF(ISERROR(AVERAGEIF($AD$6:$AD$160,VLOOKUP($B135,$AC$6:$AI$158,2,FALSE),$V$6:$V$158)),"",AVERAGEIF($AD$6:$AD$160,VLOOKUP($B135,$AC$6:$AI$158,2,FALSE),$V$6:$V$158)))</f>
        <v>27.927101010101008</v>
      </c>
      <c r="AA135" s="10"/>
      <c r="AB135" s="357" t="str">
        <f>VLOOKUP($B135,'2007-2020 Metadata'!$A$4:$S$214,MATCH("Urban Area /Monitoring Zone",'2007-2020 Metadata'!$A$4:$S$4,0),FALSE)</f>
        <v>Christchurch</v>
      </c>
      <c r="AC135" s="87" t="str">
        <f>VLOOKUP(B135,'2007-2020 Metadata'!$A$6:$A$214,1,FALSE)</f>
        <v>CHR013</v>
      </c>
      <c r="AD135" s="230" t="str">
        <f>VLOOKUP($AC135,'2007-2020 Metadata'!$A$6:$S$214,9,FALSE)</f>
        <v>Christchurch</v>
      </c>
      <c r="AE135" s="248">
        <f>IF(ISBLANK(VLOOKUP($AC135,'2007-2020 Metadata'!$A$6:$S$214,19,FALSE)),"",VLOOKUP($AC135,'2007-2020 Metadata'!$A$6:$S$214,19,FALSE))</f>
        <v>3.15</v>
      </c>
      <c r="AF135" s="88" t="str">
        <f>VLOOKUP($B135,'2007-2020 Metadata'!$A$4:$S$214,MATCH("Site type",'2007-2020 Metadata'!$A$4:$S$4,0),FALSE)</f>
        <v>SH</v>
      </c>
      <c r="AG135" s="143">
        <f t="shared" si="33"/>
        <v>13.7</v>
      </c>
      <c r="AH135" s="143">
        <f t="shared" si="34"/>
        <v>45.8</v>
      </c>
      <c r="AI135" s="144">
        <f t="shared" ca="1" si="35"/>
        <v>27.927101010101008</v>
      </c>
    </row>
    <row r="136" spans="1:35" ht="12" customHeight="1" x14ac:dyDescent="0.15">
      <c r="A136" s="31"/>
      <c r="B136" s="40" t="s">
        <v>146</v>
      </c>
      <c r="C136" s="104">
        <f>IF(VLOOKUP($B136,'Monthly Summary 2011'!$B$7:$Q$222,14,FALSE)=0,"",VLOOKUP($B136,'Monthly Summary 2011'!$B$7:$Q$222,14,FALSE))</f>
        <v>22.2</v>
      </c>
      <c r="D136" s="36">
        <v>28.3</v>
      </c>
      <c r="E136" s="36">
        <v>31.1</v>
      </c>
      <c r="F136" s="36"/>
      <c r="G136" s="36"/>
      <c r="H136" s="36">
        <v>39.4</v>
      </c>
      <c r="I136" s="36">
        <v>35.299999999999997</v>
      </c>
      <c r="J136" s="36">
        <v>39.6</v>
      </c>
      <c r="K136" s="36">
        <v>36.799999999999997</v>
      </c>
      <c r="L136" s="36">
        <v>31.5</v>
      </c>
      <c r="M136" s="36">
        <v>25.1</v>
      </c>
      <c r="N136" s="36">
        <v>23.7</v>
      </c>
      <c r="O136" s="36">
        <v>15</v>
      </c>
      <c r="P136" s="37">
        <f t="shared" ref="P136:P154" si="50">(AVERAGE(D136:O136))</f>
        <v>30.580000000000002</v>
      </c>
      <c r="Q136" s="38">
        <f t="shared" ref="Q136:Q154" si="51">COUNT(D136:O136)/COUNT($D$6:$O$6)</f>
        <v>0.83333333333333337</v>
      </c>
      <c r="R136" s="140">
        <f t="shared" ref="R136:R154" si="52">IF($S136=0%,"",IF($S136&gt;66%,AVERAGE($D136:$F136),"-"))</f>
        <v>29.700000000000003</v>
      </c>
      <c r="S136" s="24">
        <f t="shared" ref="S136:S154" si="53">COUNT(D136:F136)/3</f>
        <v>0.66666666666666663</v>
      </c>
      <c r="T136" s="140">
        <f t="shared" ref="T136:T154" si="54">IF($U136=0%,"",IF($U136&gt;66%,AVERAGE($J136:$L136),"-"))</f>
        <v>35.966666666666669</v>
      </c>
      <c r="U136" s="9">
        <f t="shared" ref="U136:U154" si="55">COUNT(J136:L136)/3</f>
        <v>1</v>
      </c>
      <c r="V136" s="141">
        <f t="shared" ref="V136:V154" si="56">IF(AND(($S136&gt;33%),($U136&gt;33%),($W136&gt;=75%)),AVERAGE($D136:$O136),"-")</f>
        <v>30.580000000000002</v>
      </c>
      <c r="W136" s="142">
        <f t="shared" ref="W136:W149" si="57">Q136</f>
        <v>0.83333333333333337</v>
      </c>
      <c r="X136" s="144">
        <f t="shared" ca="1" si="47"/>
        <v>25.21222222222222</v>
      </c>
      <c r="Y136" s="144">
        <f t="shared" ca="1" si="48"/>
        <v>30.306666666666661</v>
      </c>
      <c r="Z136" s="144">
        <f t="shared" ca="1" si="49"/>
        <v>27.927101010101008</v>
      </c>
      <c r="AA136" s="10"/>
      <c r="AB136" s="357" t="str">
        <f>VLOOKUP($B136,'2007-2020 Metadata'!$A$4:$S$214,MATCH("Urban Area /Monitoring Zone",'2007-2020 Metadata'!$A$4:$S$4,0),FALSE)</f>
        <v>Christchurch</v>
      </c>
      <c r="AC136" s="87" t="str">
        <f>VLOOKUP(B136,'2007-2020 Metadata'!$A$6:$A$214,1,FALSE)</f>
        <v>CHR014</v>
      </c>
      <c r="AD136" s="230" t="str">
        <f>VLOOKUP($AC136,'2007-2020 Metadata'!$A$6:$S$214,9,FALSE)</f>
        <v>Christchurch</v>
      </c>
      <c r="AE136" s="248">
        <f>IF(ISBLANK(VLOOKUP($AC136,'2007-2020 Metadata'!$A$6:$S$214,19,FALSE)),"",VLOOKUP($AC136,'2007-2020 Metadata'!$A$6:$S$214,19,FALSE))</f>
        <v>2.9</v>
      </c>
      <c r="AF136" s="88" t="str">
        <f>VLOOKUP($B136,'2007-2020 Metadata'!$A$4:$S$214,MATCH("Site type",'2007-2020 Metadata'!$A$4:$S$4,0),FALSE)</f>
        <v>SH</v>
      </c>
      <c r="AG136" s="143">
        <f t="shared" ref="AG136:AG154" si="58">MIN($D136:$O136)</f>
        <v>15</v>
      </c>
      <c r="AH136" s="143">
        <f t="shared" ref="AH136:AH154" si="59">MAX($D136:$O136)</f>
        <v>39.6</v>
      </c>
      <c r="AI136" s="144">
        <f t="shared" ref="AI136:AI154" ca="1" si="60">IF($W136&gt;=75%,$Z136," ")</f>
        <v>27.927101010101008</v>
      </c>
    </row>
    <row r="137" spans="1:35" ht="12" customHeight="1" x14ac:dyDescent="0.15">
      <c r="A137" s="31"/>
      <c r="B137" s="40" t="s">
        <v>147</v>
      </c>
      <c r="C137" s="104">
        <f>IF(VLOOKUP($B137,'Monthly Summary 2011'!$B$7:$Q$222,14,FALSE)=0,"",VLOOKUP($B137,'Monthly Summary 2011'!$B$7:$Q$222,14,FALSE))</f>
        <v>19.100000000000001</v>
      </c>
      <c r="D137" s="36">
        <v>21</v>
      </c>
      <c r="E137" s="36">
        <v>23</v>
      </c>
      <c r="F137" s="36">
        <v>26.5</v>
      </c>
      <c r="G137" s="36">
        <v>32.4</v>
      </c>
      <c r="H137" s="36">
        <v>40.799999999999997</v>
      </c>
      <c r="I137" s="36">
        <v>31.9</v>
      </c>
      <c r="J137" s="36">
        <v>30.8</v>
      </c>
      <c r="K137" s="36">
        <v>28.2</v>
      </c>
      <c r="L137" s="36">
        <v>25.4</v>
      </c>
      <c r="M137" s="36">
        <v>27</v>
      </c>
      <c r="N137" s="36">
        <v>25.4</v>
      </c>
      <c r="O137" s="36">
        <v>16.8</v>
      </c>
      <c r="P137" s="37">
        <f t="shared" si="50"/>
        <v>27.433333333333334</v>
      </c>
      <c r="Q137" s="38">
        <f t="shared" si="51"/>
        <v>1</v>
      </c>
      <c r="R137" s="140">
        <f t="shared" si="52"/>
        <v>23.5</v>
      </c>
      <c r="S137" s="24">
        <f t="shared" si="53"/>
        <v>1</v>
      </c>
      <c r="T137" s="140">
        <f t="shared" si="54"/>
        <v>28.133333333333336</v>
      </c>
      <c r="U137" s="9">
        <f t="shared" si="55"/>
        <v>1</v>
      </c>
      <c r="V137" s="141">
        <f t="shared" si="56"/>
        <v>27.433333333333334</v>
      </c>
      <c r="W137" s="142">
        <f t="shared" si="57"/>
        <v>1</v>
      </c>
      <c r="X137" s="144">
        <f t="shared" ca="1" si="47"/>
        <v>25.21222222222222</v>
      </c>
      <c r="Y137" s="144">
        <f t="shared" ca="1" si="48"/>
        <v>30.306666666666661</v>
      </c>
      <c r="Z137" s="144">
        <f t="shared" ca="1" si="49"/>
        <v>27.927101010101008</v>
      </c>
      <c r="AA137" s="10"/>
      <c r="AB137" s="357" t="str">
        <f>VLOOKUP($B137,'2007-2020 Metadata'!$A$4:$S$214,MATCH("Urban Area /Monitoring Zone",'2007-2020 Metadata'!$A$4:$S$4,0),FALSE)</f>
        <v>Christchurch</v>
      </c>
      <c r="AC137" s="87" t="str">
        <f>VLOOKUP(B137,'2007-2020 Metadata'!$A$6:$A$214,1,FALSE)</f>
        <v>CHR015</v>
      </c>
      <c r="AD137" s="230" t="str">
        <f>VLOOKUP($AC137,'2007-2020 Metadata'!$A$6:$S$214,9,FALSE)</f>
        <v>Christchurch</v>
      </c>
      <c r="AE137" s="248">
        <f>IF(ISBLANK(VLOOKUP($AC137,'2007-2020 Metadata'!$A$6:$S$214,19,FALSE)),"",VLOOKUP($AC137,'2007-2020 Metadata'!$A$6:$S$214,19,FALSE))</f>
        <v>3.1</v>
      </c>
      <c r="AF137" s="88" t="str">
        <f>VLOOKUP($B137,'2007-2020 Metadata'!$A$4:$S$214,MATCH("Site type",'2007-2020 Metadata'!$A$4:$S$4,0),FALSE)</f>
        <v>Local</v>
      </c>
      <c r="AG137" s="143">
        <f t="shared" si="58"/>
        <v>16.8</v>
      </c>
      <c r="AH137" s="143">
        <f t="shared" si="59"/>
        <v>40.799999999999997</v>
      </c>
      <c r="AI137" s="144">
        <f t="shared" ca="1" si="60"/>
        <v>27.927101010101008</v>
      </c>
    </row>
    <row r="138" spans="1:35" ht="12" customHeight="1" x14ac:dyDescent="0.15">
      <c r="A138" s="31"/>
      <c r="B138" s="40" t="s">
        <v>148</v>
      </c>
      <c r="C138" s="104">
        <f>IF(VLOOKUP($B138,'Monthly Summary 2011'!$B$7:$Q$222,14,FALSE)=0,"",VLOOKUP($B138,'Monthly Summary 2011'!$B$7:$Q$222,14,FALSE))</f>
        <v>23.1</v>
      </c>
      <c r="D138" s="36">
        <v>22.2</v>
      </c>
      <c r="E138" s="36">
        <v>27.4</v>
      </c>
      <c r="F138" s="36">
        <v>34.700000000000003</v>
      </c>
      <c r="G138" s="36">
        <v>37.5</v>
      </c>
      <c r="H138" s="36">
        <v>49.9</v>
      </c>
      <c r="I138" s="36">
        <v>45.6</v>
      </c>
      <c r="J138" s="36">
        <v>41.9</v>
      </c>
      <c r="K138" s="36">
        <v>40.5</v>
      </c>
      <c r="L138" s="36">
        <v>30</v>
      </c>
      <c r="M138" s="36">
        <v>24</v>
      </c>
      <c r="N138" s="36">
        <v>30</v>
      </c>
      <c r="O138" s="36">
        <v>19.2</v>
      </c>
      <c r="P138" s="37">
        <f t="shared" si="50"/>
        <v>33.574999999999996</v>
      </c>
      <c r="Q138" s="38">
        <f t="shared" si="51"/>
        <v>1</v>
      </c>
      <c r="R138" s="140">
        <f t="shared" si="52"/>
        <v>28.099999999999998</v>
      </c>
      <c r="S138" s="24">
        <f t="shared" si="53"/>
        <v>1</v>
      </c>
      <c r="T138" s="140">
        <f t="shared" si="54"/>
        <v>37.466666666666669</v>
      </c>
      <c r="U138" s="9">
        <f t="shared" si="55"/>
        <v>1</v>
      </c>
      <c r="V138" s="141">
        <f t="shared" si="56"/>
        <v>33.574999999999996</v>
      </c>
      <c r="W138" s="142">
        <f t="shared" si="57"/>
        <v>1</v>
      </c>
      <c r="X138" s="144">
        <f t="shared" ca="1" si="47"/>
        <v>25.21222222222222</v>
      </c>
      <c r="Y138" s="144">
        <f t="shared" ca="1" si="48"/>
        <v>30.306666666666661</v>
      </c>
      <c r="Z138" s="144">
        <f t="shared" ca="1" si="49"/>
        <v>27.927101010101008</v>
      </c>
      <c r="AA138" s="10"/>
      <c r="AB138" s="357" t="str">
        <f>VLOOKUP($B138,'2007-2020 Metadata'!$A$4:$S$214,MATCH("Urban Area /Monitoring Zone",'2007-2020 Metadata'!$A$4:$S$4,0),FALSE)</f>
        <v>Christchurch</v>
      </c>
      <c r="AC138" s="87" t="str">
        <f>VLOOKUP(B138,'2007-2020 Metadata'!$A$6:$A$214,1,FALSE)</f>
        <v>CHR016</v>
      </c>
      <c r="AD138" s="230" t="str">
        <f>VLOOKUP($AC138,'2007-2020 Metadata'!$A$6:$S$214,9,FALSE)</f>
        <v>Christchurch</v>
      </c>
      <c r="AE138" s="248">
        <f>IF(ISBLANK(VLOOKUP($AC138,'2007-2020 Metadata'!$A$6:$S$214,19,FALSE)),"",VLOOKUP($AC138,'2007-2020 Metadata'!$A$6:$S$214,19,FALSE))</f>
        <v>3</v>
      </c>
      <c r="AF138" s="88" t="str">
        <f>VLOOKUP($B138,'2007-2020 Metadata'!$A$4:$S$214,MATCH("Site type",'2007-2020 Metadata'!$A$4:$S$4,0),FALSE)</f>
        <v>Local</v>
      </c>
      <c r="AG138" s="143">
        <f t="shared" si="58"/>
        <v>19.2</v>
      </c>
      <c r="AH138" s="143">
        <f t="shared" si="59"/>
        <v>49.9</v>
      </c>
      <c r="AI138" s="144">
        <f t="shared" ca="1" si="60"/>
        <v>27.927101010101008</v>
      </c>
    </row>
    <row r="139" spans="1:35" ht="12" customHeight="1" x14ac:dyDescent="0.15">
      <c r="A139" s="31"/>
      <c r="B139" s="40" t="s">
        <v>149</v>
      </c>
      <c r="C139" s="104" t="str">
        <f>IF(VLOOKUP($B139,'Monthly Summary 2011'!$B$7:$Q$222,14,FALSE)=0,"",VLOOKUP($B139,'Monthly Summary 2011'!$B$7:$Q$222,14,FALSE))</f>
        <v/>
      </c>
      <c r="D139" s="36">
        <v>34.799999999999997</v>
      </c>
      <c r="E139" s="36">
        <v>40.5</v>
      </c>
      <c r="F139" s="36">
        <v>43</v>
      </c>
      <c r="G139" s="36">
        <v>45</v>
      </c>
      <c r="H139" s="36">
        <v>46.9</v>
      </c>
      <c r="I139" s="36">
        <v>47.7</v>
      </c>
      <c r="J139" s="36">
        <v>52.8</v>
      </c>
      <c r="K139" s="36">
        <v>43</v>
      </c>
      <c r="L139" s="36">
        <v>39.4</v>
      </c>
      <c r="M139" s="36">
        <v>28.3</v>
      </c>
      <c r="N139" s="36">
        <v>40.4</v>
      </c>
      <c r="O139" s="36">
        <v>31.8</v>
      </c>
      <c r="P139" s="37">
        <f t="shared" si="50"/>
        <v>41.133333333333333</v>
      </c>
      <c r="Q139" s="38">
        <f t="shared" si="51"/>
        <v>1</v>
      </c>
      <c r="R139" s="260">
        <f t="shared" si="52"/>
        <v>39.43333333333333</v>
      </c>
      <c r="S139" s="264">
        <f t="shared" si="53"/>
        <v>1</v>
      </c>
      <c r="T139" s="260">
        <f t="shared" si="54"/>
        <v>45.066666666666663</v>
      </c>
      <c r="U139" s="265">
        <f t="shared" si="55"/>
        <v>1</v>
      </c>
      <c r="V139" s="262">
        <f t="shared" si="56"/>
        <v>41.133333333333333</v>
      </c>
      <c r="W139" s="261">
        <f t="shared" si="57"/>
        <v>1</v>
      </c>
      <c r="X139" s="177">
        <f t="shared" ca="1" si="47"/>
        <v>25.21222222222222</v>
      </c>
      <c r="Y139" s="177">
        <f t="shared" ca="1" si="48"/>
        <v>30.306666666666661</v>
      </c>
      <c r="Z139" s="177">
        <f t="shared" ca="1" si="49"/>
        <v>27.927101010101008</v>
      </c>
      <c r="AA139" s="10"/>
      <c r="AB139" s="357" t="str">
        <f>VLOOKUP($B139,'2007-2020 Metadata'!$A$4:$S$214,MATCH("Urban Area /Monitoring Zone",'2007-2020 Metadata'!$A$4:$S$4,0),FALSE)</f>
        <v>Christchurch</v>
      </c>
      <c r="AC139" s="259" t="str">
        <f>VLOOKUP(B139,'2007-2020 Metadata'!$A$6:$A$214,1,FALSE)</f>
        <v>CHR017</v>
      </c>
      <c r="AD139" s="256" t="str">
        <f>VLOOKUP($AC139,'2007-2020 Metadata'!$A$6:$S$214,9,FALSE)</f>
        <v>Christchurch</v>
      </c>
      <c r="AE139" s="263">
        <f>IF(ISBLANK(VLOOKUP($AC139,'2007-2020 Metadata'!$A$6:$S$214,19,FALSE)),"",VLOOKUP($AC139,'2007-2020 Metadata'!$A$6:$S$214,19,FALSE))</f>
        <v>3</v>
      </c>
      <c r="AF139" s="257" t="str">
        <f>VLOOKUP($B139,'2007-2020 Metadata'!$A$4:$S$214,MATCH("Site type",'2007-2020 Metadata'!$A$4:$S$4,0),FALSE)</f>
        <v>Local</v>
      </c>
      <c r="AG139" s="258">
        <f>MIN(AVERAGE(D$139:D$141),AVERAGE(E$139:E$141),AVERAGE(F$139:F$141),AVERAGE(G$139:G$141),AVERAGE(H$139:H$141),AVERAGE(I$139:I$141),AVERAGE(J$139:J$141),AVERAGE(K$139:K$141),AVERAGE(L$139:L$141),AVERAGE(M$139:M$141),AVERAGE(N$139:N$141),AVERAGE(O$139:O$141))</f>
        <v>29.900000000000002</v>
      </c>
      <c r="AH139" s="258">
        <f>MAX(AVERAGE(D$139:D$141),AVERAGE(E$139:E$141),AVERAGE(F$139:F$141),AVERAGE(G$139:G$141),AVERAGE(H$139:H$141),AVERAGE(I$139:I$141),AVERAGE(J$139:J$141),AVERAGE(K$139:K$141),AVERAGE(L$139:L$141),AVERAGE(M$139:M$141),AVERAGE(N$139:N$141),AVERAGE(O$139:O$141))</f>
        <v>52.199999999999996</v>
      </c>
      <c r="AI139" s="177">
        <f t="shared" ca="1" si="60"/>
        <v>27.927101010101008</v>
      </c>
    </row>
    <row r="140" spans="1:35" ht="12" customHeight="1" x14ac:dyDescent="0.15">
      <c r="A140" s="31"/>
      <c r="B140" s="40" t="s">
        <v>150</v>
      </c>
      <c r="C140" s="104" t="str">
        <f>IF(VLOOKUP($B140,'Monthly Summary 2011'!$B$7:$Q$222,14,FALSE)=0,"",VLOOKUP($B140,'Monthly Summary 2011'!$B$7:$Q$222,14,FALSE))</f>
        <v/>
      </c>
      <c r="D140" s="36">
        <v>35</v>
      </c>
      <c r="E140" s="36">
        <v>39.700000000000003</v>
      </c>
      <c r="F140" s="36">
        <v>42.7</v>
      </c>
      <c r="G140" s="36">
        <v>44.8</v>
      </c>
      <c r="H140" s="36">
        <v>48.5</v>
      </c>
      <c r="I140" s="36">
        <v>48.4</v>
      </c>
      <c r="J140" s="36">
        <v>50.7</v>
      </c>
      <c r="K140" s="36">
        <v>39.1</v>
      </c>
      <c r="L140" s="36">
        <v>40</v>
      </c>
      <c r="M140" s="36">
        <v>30.8</v>
      </c>
      <c r="N140" s="36">
        <v>41.7</v>
      </c>
      <c r="O140" s="36">
        <v>34.5</v>
      </c>
      <c r="P140" s="37">
        <f t="shared" si="50"/>
        <v>41.324999999999996</v>
      </c>
      <c r="Q140" s="38">
        <f t="shared" si="51"/>
        <v>1</v>
      </c>
      <c r="R140" s="260">
        <f t="shared" si="52"/>
        <v>39.133333333333333</v>
      </c>
      <c r="S140" s="264">
        <f t="shared" si="53"/>
        <v>1</v>
      </c>
      <c r="T140" s="260">
        <f t="shared" si="54"/>
        <v>43.266666666666673</v>
      </c>
      <c r="U140" s="265">
        <f t="shared" si="55"/>
        <v>1</v>
      </c>
      <c r="V140" s="262">
        <f t="shared" si="56"/>
        <v>41.324999999999996</v>
      </c>
      <c r="W140" s="261">
        <f t="shared" si="57"/>
        <v>1</v>
      </c>
      <c r="X140" s="177">
        <f t="shared" ca="1" si="47"/>
        <v>25.21222222222222</v>
      </c>
      <c r="Y140" s="177">
        <f t="shared" ca="1" si="48"/>
        <v>30.306666666666661</v>
      </c>
      <c r="Z140" s="177">
        <f t="shared" ca="1" si="49"/>
        <v>27.927101010101008</v>
      </c>
      <c r="AA140" s="10"/>
      <c r="AB140" s="357" t="str">
        <f>VLOOKUP($B140,'2007-2020 Metadata'!$A$4:$S$214,MATCH("Urban Area /Monitoring Zone",'2007-2020 Metadata'!$A$4:$S$4,0),FALSE)</f>
        <v>Christchurch</v>
      </c>
      <c r="AC140" s="259" t="str">
        <f>VLOOKUP(B140,'2007-2020 Metadata'!$A$6:$A$214,1,FALSE)</f>
        <v>CHR018</v>
      </c>
      <c r="AD140" s="256" t="str">
        <f>VLOOKUP($AC140,'2007-2020 Metadata'!$A$6:$S$214,9,FALSE)</f>
        <v>Christchurch</v>
      </c>
      <c r="AE140" s="263">
        <f>IF(ISBLANK(VLOOKUP($AC140,'2007-2020 Metadata'!$A$6:$S$214,19,FALSE)),"",VLOOKUP($AC140,'2007-2020 Metadata'!$A$6:$S$214,19,FALSE))</f>
        <v>3</v>
      </c>
      <c r="AF140" s="257" t="str">
        <f>VLOOKUP($B140,'2007-2020 Metadata'!$A$4:$S$214,MATCH("Site type",'2007-2020 Metadata'!$A$4:$S$4,0),FALSE)</f>
        <v>Local</v>
      </c>
      <c r="AG140" s="258">
        <f t="shared" ref="AG140:AG141" si="61">MIN(AVERAGE(D$139:D$141),AVERAGE(E$139:E$141),AVERAGE(F$139:F$141),AVERAGE(G$139:G$141),AVERAGE(H$139:H$141),AVERAGE(I$139:I$141),AVERAGE(J$139:J$141),AVERAGE(K$139:K$141),AVERAGE(L$139:L$141),AVERAGE(M$139:M$141),AVERAGE(N$139:N$141),AVERAGE(O$139:O$141))</f>
        <v>29.900000000000002</v>
      </c>
      <c r="AH140" s="258">
        <f t="shared" ref="AH140:AH141" si="62">MAX(AVERAGE(D$139:D$141),AVERAGE(E$139:E$141),AVERAGE(F$139:F$141),AVERAGE(G$139:G$141),AVERAGE(H$139:H$141),AVERAGE(I$139:I$141),AVERAGE(J$139:J$141),AVERAGE(K$139:K$141),AVERAGE(L$139:L$141),AVERAGE(M$139:M$141),AVERAGE(N$139:N$141),AVERAGE(O$139:O$141))</f>
        <v>52.199999999999996</v>
      </c>
      <c r="AI140" s="177">
        <f t="shared" ca="1" si="60"/>
        <v>27.927101010101008</v>
      </c>
    </row>
    <row r="141" spans="1:35" ht="12" customHeight="1" x14ac:dyDescent="0.15">
      <c r="A141" s="31"/>
      <c r="B141" s="40" t="s">
        <v>151</v>
      </c>
      <c r="C141" s="104" t="str">
        <f>IF(VLOOKUP($B141,'Monthly Summary 2011'!$B$7:$Q$222,14,FALSE)=0,"",VLOOKUP($B141,'Monthly Summary 2011'!$B$7:$Q$222,14,FALSE))</f>
        <v/>
      </c>
      <c r="D141" s="36">
        <v>33.799999999999997</v>
      </c>
      <c r="E141" s="36">
        <v>40.6</v>
      </c>
      <c r="F141" s="36">
        <v>43.9</v>
      </c>
      <c r="G141" s="36">
        <v>43.7</v>
      </c>
      <c r="H141" s="36">
        <v>47.6</v>
      </c>
      <c r="I141" s="36">
        <v>50.1</v>
      </c>
      <c r="J141" s="36">
        <v>53.1</v>
      </c>
      <c r="K141" s="36">
        <v>41.2</v>
      </c>
      <c r="L141" s="36">
        <v>41.4</v>
      </c>
      <c r="M141" s="36">
        <v>30.6</v>
      </c>
      <c r="N141" s="36">
        <v>39.799999999999997</v>
      </c>
      <c r="O141" s="36">
        <v>36</v>
      </c>
      <c r="P141" s="37">
        <f t="shared" si="50"/>
        <v>41.81666666666667</v>
      </c>
      <c r="Q141" s="38">
        <f t="shared" si="51"/>
        <v>1</v>
      </c>
      <c r="R141" s="260">
        <f t="shared" si="52"/>
        <v>39.433333333333337</v>
      </c>
      <c r="S141" s="264">
        <f t="shared" si="53"/>
        <v>1</v>
      </c>
      <c r="T141" s="260">
        <f t="shared" si="54"/>
        <v>45.233333333333341</v>
      </c>
      <c r="U141" s="265">
        <f t="shared" si="55"/>
        <v>1</v>
      </c>
      <c r="V141" s="262">
        <f t="shared" si="56"/>
        <v>41.81666666666667</v>
      </c>
      <c r="W141" s="261">
        <f t="shared" si="57"/>
        <v>1</v>
      </c>
      <c r="X141" s="177">
        <f t="shared" ca="1" si="47"/>
        <v>25.21222222222222</v>
      </c>
      <c r="Y141" s="177">
        <f t="shared" ca="1" si="48"/>
        <v>30.306666666666661</v>
      </c>
      <c r="Z141" s="177">
        <f t="shared" ca="1" si="49"/>
        <v>27.927101010101008</v>
      </c>
      <c r="AA141" s="10"/>
      <c r="AB141" s="357" t="str">
        <f>VLOOKUP($B141,'2007-2020 Metadata'!$A$4:$S$214,MATCH("Urban Area /Monitoring Zone",'2007-2020 Metadata'!$A$4:$S$4,0),FALSE)</f>
        <v>Christchurch</v>
      </c>
      <c r="AC141" s="259" t="str">
        <f>VLOOKUP(B141,'2007-2020 Metadata'!$A$6:$A$214,1,FALSE)</f>
        <v>CHR019</v>
      </c>
      <c r="AD141" s="256" t="str">
        <f>VLOOKUP($AC141,'2007-2020 Metadata'!$A$6:$S$214,9,FALSE)</f>
        <v>Christchurch</v>
      </c>
      <c r="AE141" s="263">
        <f>IF(ISBLANK(VLOOKUP($AC141,'2007-2020 Metadata'!$A$6:$S$214,19,FALSE)),"",VLOOKUP($AC141,'2007-2020 Metadata'!$A$6:$S$214,19,FALSE))</f>
        <v>3</v>
      </c>
      <c r="AF141" s="257" t="str">
        <f>VLOOKUP($B141,'2007-2020 Metadata'!$A$4:$S$214,MATCH("Site type",'2007-2020 Metadata'!$A$4:$S$4,0),FALSE)</f>
        <v>Local</v>
      </c>
      <c r="AG141" s="258">
        <f t="shared" si="61"/>
        <v>29.900000000000002</v>
      </c>
      <c r="AH141" s="258">
        <f t="shared" si="62"/>
        <v>52.199999999999996</v>
      </c>
      <c r="AI141" s="177">
        <f t="shared" ca="1" si="60"/>
        <v>27.927101010101008</v>
      </c>
    </row>
    <row r="142" spans="1:35" ht="12" customHeight="1" x14ac:dyDescent="0.15">
      <c r="A142" s="31"/>
      <c r="B142" s="40" t="s">
        <v>152</v>
      </c>
      <c r="C142" s="104" t="str">
        <f>IF(VLOOKUP($B142,'Monthly Summary 2011'!$B$7:$Q$222,14,FALSE)=0,"",VLOOKUP($B142,'Monthly Summary 2011'!$B$7:$Q$222,14,FALSE))</f>
        <v/>
      </c>
      <c r="D142" s="36">
        <v>8.9</v>
      </c>
      <c r="E142" s="36">
        <v>12</v>
      </c>
      <c r="F142" s="36">
        <v>13.3</v>
      </c>
      <c r="G142" s="36">
        <v>17</v>
      </c>
      <c r="H142" s="36">
        <v>23.7</v>
      </c>
      <c r="I142" s="36">
        <v>23.4</v>
      </c>
      <c r="J142" s="36">
        <v>23.2</v>
      </c>
      <c r="K142" s="36">
        <v>13</v>
      </c>
      <c r="L142" s="36">
        <v>10.6</v>
      </c>
      <c r="M142" s="36">
        <v>7</v>
      </c>
      <c r="N142" s="36">
        <v>9.5</v>
      </c>
      <c r="O142" s="36">
        <v>6.7</v>
      </c>
      <c r="P142" s="37">
        <f t="shared" si="50"/>
        <v>14.024999999999999</v>
      </c>
      <c r="Q142" s="38">
        <f t="shared" si="51"/>
        <v>1</v>
      </c>
      <c r="R142" s="260">
        <f t="shared" si="52"/>
        <v>11.4</v>
      </c>
      <c r="S142" s="264">
        <f t="shared" si="53"/>
        <v>1</v>
      </c>
      <c r="T142" s="260">
        <f t="shared" si="54"/>
        <v>15.600000000000001</v>
      </c>
      <c r="U142" s="265">
        <f t="shared" si="55"/>
        <v>1</v>
      </c>
      <c r="V142" s="262">
        <f t="shared" si="56"/>
        <v>14.024999999999999</v>
      </c>
      <c r="W142" s="261">
        <f t="shared" si="57"/>
        <v>1</v>
      </c>
      <c r="X142" s="177">
        <f t="shared" ca="1" si="47"/>
        <v>25.21222222222222</v>
      </c>
      <c r="Y142" s="177">
        <f t="shared" ca="1" si="48"/>
        <v>30.306666666666661</v>
      </c>
      <c r="Z142" s="177">
        <f t="shared" ca="1" si="49"/>
        <v>27.927101010101008</v>
      </c>
      <c r="AA142" s="10"/>
      <c r="AB142" s="357" t="str">
        <f>VLOOKUP($B142,'2007-2020 Metadata'!$A$4:$S$214,MATCH("Urban Area /Monitoring Zone",'2007-2020 Metadata'!$A$4:$S$4,0),FALSE)</f>
        <v>Christchurch</v>
      </c>
      <c r="AC142" s="259" t="str">
        <f>VLOOKUP(B142,'2007-2020 Metadata'!$A$6:$A$214,1,FALSE)</f>
        <v>CHR020</v>
      </c>
      <c r="AD142" s="256" t="str">
        <f>VLOOKUP($AC142,'2007-2020 Metadata'!$A$6:$S$214,9,FALSE)</f>
        <v>Christchurch</v>
      </c>
      <c r="AE142" s="263">
        <f>IF(ISBLANK(VLOOKUP($AC142,'2007-2020 Metadata'!$A$6:$S$214,19,FALSE)),"",VLOOKUP($AC142,'2007-2020 Metadata'!$A$6:$S$214,19,FALSE))</f>
        <v>3.5</v>
      </c>
      <c r="AF142" s="257" t="str">
        <f>VLOOKUP($B142,'2007-2020 Metadata'!$A$4:$S$214,MATCH("Site type",'2007-2020 Metadata'!$A$4:$S$4,0),FALSE)</f>
        <v>Background</v>
      </c>
      <c r="AG142" s="258">
        <f>MIN(AVERAGE(D$142:D$144),AVERAGE(E$142:E$144),AVERAGE(F$142:F$144),AVERAGE(G$142:G$144),AVERAGE(H$142:H$144),AVERAGE(I$142:I$144),AVERAGE(J$142:J$144),AVERAGE(K$142:K$144),AVERAGE(L$142:L$144),AVERAGE(M$142:M$144),AVERAGE(N$142:N$144),AVERAGE(O$142:O$144))</f>
        <v>6.8666666666666671</v>
      </c>
      <c r="AH142" s="258">
        <f>MAX(AVERAGE(D$142:D$144),AVERAGE(E$142:E$144),AVERAGE(F$142:F$144),AVERAGE(G$142:G$144),AVERAGE(H$142:H$144),AVERAGE(I$142:I$144),AVERAGE(J$142:J$144),AVERAGE(K$142:K$144),AVERAGE(L$142:L$144),AVERAGE(M$142:M$144),AVERAGE(N$142:N$144),AVERAGE(O$142:O$144))</f>
        <v>24.7</v>
      </c>
      <c r="AI142" s="177">
        <f t="shared" ca="1" si="60"/>
        <v>27.927101010101008</v>
      </c>
    </row>
    <row r="143" spans="1:35" ht="12" customHeight="1" x14ac:dyDescent="0.15">
      <c r="A143" s="31"/>
      <c r="B143" s="40" t="s">
        <v>153</v>
      </c>
      <c r="C143" s="104" t="str">
        <f>IF(VLOOKUP($B143,'Monthly Summary 2011'!$B$7:$Q$222,14,FALSE)=0,"",VLOOKUP($B143,'Monthly Summary 2011'!$B$7:$Q$222,14,FALSE))</f>
        <v/>
      </c>
      <c r="D143" s="36">
        <v>8.1999999999999993</v>
      </c>
      <c r="E143" s="36">
        <v>10.5</v>
      </c>
      <c r="F143" s="36">
        <v>14.4</v>
      </c>
      <c r="G143" s="36">
        <v>16</v>
      </c>
      <c r="H143" s="36"/>
      <c r="I143" s="36">
        <v>22.7</v>
      </c>
      <c r="J143" s="36">
        <v>23</v>
      </c>
      <c r="K143" s="36">
        <v>13.3</v>
      </c>
      <c r="L143" s="36">
        <v>10.1</v>
      </c>
      <c r="M143" s="36">
        <v>6.1</v>
      </c>
      <c r="N143" s="36">
        <v>9.3000000000000007</v>
      </c>
      <c r="O143" s="36">
        <v>6.9</v>
      </c>
      <c r="P143" s="37">
        <f t="shared" si="50"/>
        <v>12.772727272727273</v>
      </c>
      <c r="Q143" s="38">
        <f t="shared" si="51"/>
        <v>0.91666666666666663</v>
      </c>
      <c r="R143" s="260">
        <f t="shared" si="52"/>
        <v>11.033333333333333</v>
      </c>
      <c r="S143" s="264">
        <f t="shared" si="53"/>
        <v>1</v>
      </c>
      <c r="T143" s="260">
        <f t="shared" si="54"/>
        <v>15.466666666666667</v>
      </c>
      <c r="U143" s="265">
        <f t="shared" si="55"/>
        <v>1</v>
      </c>
      <c r="V143" s="262">
        <f t="shared" si="56"/>
        <v>12.772727272727273</v>
      </c>
      <c r="W143" s="261">
        <f t="shared" si="57"/>
        <v>0.91666666666666663</v>
      </c>
      <c r="X143" s="177">
        <f t="shared" ca="1" si="47"/>
        <v>25.21222222222222</v>
      </c>
      <c r="Y143" s="177">
        <f t="shared" ca="1" si="48"/>
        <v>30.306666666666661</v>
      </c>
      <c r="Z143" s="177">
        <f t="shared" ca="1" si="49"/>
        <v>27.927101010101008</v>
      </c>
      <c r="AA143" s="10"/>
      <c r="AB143" s="357" t="str">
        <f>VLOOKUP($B143,'2007-2020 Metadata'!$A$4:$S$214,MATCH("Urban Area /Monitoring Zone",'2007-2020 Metadata'!$A$4:$S$4,0),FALSE)</f>
        <v>Christchurch</v>
      </c>
      <c r="AC143" s="259" t="str">
        <f>VLOOKUP(B143,'2007-2020 Metadata'!$A$6:$A$214,1,FALSE)</f>
        <v>CHR021</v>
      </c>
      <c r="AD143" s="256" t="str">
        <f>VLOOKUP($AC143,'2007-2020 Metadata'!$A$6:$S$214,9,FALSE)</f>
        <v>Christchurch</v>
      </c>
      <c r="AE143" s="263">
        <f>IF(ISBLANK(VLOOKUP($AC143,'2007-2020 Metadata'!$A$6:$S$214,19,FALSE)),"",VLOOKUP($AC143,'2007-2020 Metadata'!$A$6:$S$214,19,FALSE))</f>
        <v>3.5</v>
      </c>
      <c r="AF143" s="257" t="str">
        <f>VLOOKUP($B143,'2007-2020 Metadata'!$A$4:$S$214,MATCH("Site type",'2007-2020 Metadata'!$A$4:$S$4,0),FALSE)</f>
        <v>Background</v>
      </c>
      <c r="AG143" s="258">
        <f>MIN(AVERAGE(D$142:D$144),AVERAGE(E$142:E$144),AVERAGE(F$142:F$144),AVERAGE(G$142:G$144),AVERAGE(H$142:H$144),AVERAGE(I$142:I$144),AVERAGE(J$142:J$144),AVERAGE(K$142:K$144),AVERAGE(L$142:L$144),AVERAGE(M$142:M$144),AVERAGE(N$142:N$144),AVERAGE(O$142:O$144))</f>
        <v>6.8666666666666671</v>
      </c>
      <c r="AH143" s="258">
        <f t="shared" ref="AH143:AH144" si="63">MAX(AVERAGE(D$142:D$144),AVERAGE(E$142:E$144),AVERAGE(F$142:F$144),AVERAGE(G$142:G$144),AVERAGE(H$142:H$144),AVERAGE(I$142:I$144),AVERAGE(J$142:J$144),AVERAGE(K$142:K$144),AVERAGE(L$142:L$144),AVERAGE(M$142:M$144),AVERAGE(N$142:N$144),AVERAGE(O$142:O$144))</f>
        <v>24.7</v>
      </c>
      <c r="AI143" s="177">
        <f t="shared" ca="1" si="60"/>
        <v>27.927101010101008</v>
      </c>
    </row>
    <row r="144" spans="1:35" ht="12" customHeight="1" x14ac:dyDescent="0.15">
      <c r="A144" s="31"/>
      <c r="B144" s="40" t="s">
        <v>154</v>
      </c>
      <c r="C144" s="104" t="str">
        <f>IF(VLOOKUP($B144,'Monthly Summary 2011'!$B$7:$Q$222,14,FALSE)=0,"",VLOOKUP($B144,'Monthly Summary 2011'!$B$7:$Q$222,14,FALSE))</f>
        <v/>
      </c>
      <c r="D144" s="36">
        <v>7.3</v>
      </c>
      <c r="E144" s="36">
        <v>10.8</v>
      </c>
      <c r="F144" s="36">
        <v>13.3</v>
      </c>
      <c r="G144" s="36">
        <v>16.3</v>
      </c>
      <c r="H144" s="36">
        <v>25.7</v>
      </c>
      <c r="I144" s="36">
        <v>22.3</v>
      </c>
      <c r="J144" s="36">
        <v>24.1</v>
      </c>
      <c r="K144" s="36">
        <v>13.2</v>
      </c>
      <c r="L144" s="36">
        <v>10.8</v>
      </c>
      <c r="M144" s="36">
        <v>7.5</v>
      </c>
      <c r="N144" s="36">
        <v>7.9</v>
      </c>
      <c r="O144" s="36">
        <v>7.6</v>
      </c>
      <c r="P144" s="37">
        <f t="shared" si="50"/>
        <v>13.9</v>
      </c>
      <c r="Q144" s="38">
        <f t="shared" si="51"/>
        <v>1</v>
      </c>
      <c r="R144" s="260">
        <f t="shared" si="52"/>
        <v>10.466666666666667</v>
      </c>
      <c r="S144" s="264">
        <f t="shared" si="53"/>
        <v>1</v>
      </c>
      <c r="T144" s="260">
        <f t="shared" si="54"/>
        <v>16.033333333333331</v>
      </c>
      <c r="U144" s="265">
        <f t="shared" si="55"/>
        <v>1</v>
      </c>
      <c r="V144" s="262">
        <f t="shared" si="56"/>
        <v>13.9</v>
      </c>
      <c r="W144" s="261">
        <f t="shared" si="57"/>
        <v>1</v>
      </c>
      <c r="X144" s="177">
        <f t="shared" ca="1" si="47"/>
        <v>25.21222222222222</v>
      </c>
      <c r="Y144" s="177">
        <f t="shared" ca="1" si="48"/>
        <v>30.306666666666661</v>
      </c>
      <c r="Z144" s="177">
        <f t="shared" ca="1" si="49"/>
        <v>27.927101010101008</v>
      </c>
      <c r="AA144" s="10"/>
      <c r="AB144" s="357" t="str">
        <f>VLOOKUP($B144,'2007-2020 Metadata'!$A$4:$S$214,MATCH("Urban Area /Monitoring Zone",'2007-2020 Metadata'!$A$4:$S$4,0),FALSE)</f>
        <v>Christchurch</v>
      </c>
      <c r="AC144" s="259" t="str">
        <f>VLOOKUP(B144,'2007-2020 Metadata'!$A$6:$A$214,1,FALSE)</f>
        <v>CHR022</v>
      </c>
      <c r="AD144" s="256" t="str">
        <f>VLOOKUP($AC144,'2007-2020 Metadata'!$A$6:$S$214,9,FALSE)</f>
        <v>Christchurch</v>
      </c>
      <c r="AE144" s="263">
        <f>IF(ISBLANK(VLOOKUP($AC144,'2007-2020 Metadata'!$A$6:$S$214,19,FALSE)),"",VLOOKUP($AC144,'2007-2020 Metadata'!$A$6:$S$214,19,FALSE))</f>
        <v>3.5</v>
      </c>
      <c r="AF144" s="257" t="str">
        <f>VLOOKUP($B144,'2007-2020 Metadata'!$A$4:$S$214,MATCH("Site type",'2007-2020 Metadata'!$A$4:$S$4,0),FALSE)</f>
        <v>Background</v>
      </c>
      <c r="AG144" s="258">
        <f>MIN(AVERAGE(D$142:D$144),AVERAGE(E$142:E$144),AVERAGE(F$142:F$144),AVERAGE(G$142:G$144),AVERAGE(H$142:H$144),AVERAGE(I$142:I$144),AVERAGE(J$142:J$144),AVERAGE(K$142:K$144),AVERAGE(L$142:L$144),AVERAGE(M$142:M$144),AVERAGE(N$142:N$144),AVERAGE(O$142:O$144))</f>
        <v>6.8666666666666671</v>
      </c>
      <c r="AH144" s="258">
        <f t="shared" si="63"/>
        <v>24.7</v>
      </c>
      <c r="AI144" s="177">
        <f t="shared" ca="1" si="60"/>
        <v>27.927101010101008</v>
      </c>
    </row>
    <row r="145" spans="1:35" ht="12" customHeight="1" x14ac:dyDescent="0.15">
      <c r="A145" s="31"/>
      <c r="B145" s="40" t="s">
        <v>26</v>
      </c>
      <c r="C145" s="104">
        <f>IF(VLOOKUP($B145,'Monthly Summary 2011'!$B$7:$Q$222,14,FALSE)=0,"",VLOOKUP($B145,'Monthly Summary 2011'!$B$7:$Q$222,14,FALSE))</f>
        <v>21.6</v>
      </c>
      <c r="D145" s="36">
        <v>19.600000000000001</v>
      </c>
      <c r="E145" s="36">
        <v>27</v>
      </c>
      <c r="F145" s="36">
        <v>33.200000000000003</v>
      </c>
      <c r="G145" s="36">
        <v>31.9</v>
      </c>
      <c r="H145" s="36">
        <v>38.9</v>
      </c>
      <c r="I145" s="36">
        <v>34.9</v>
      </c>
      <c r="J145" s="36">
        <v>36.799999999999997</v>
      </c>
      <c r="K145" s="36">
        <v>28.4</v>
      </c>
      <c r="L145" s="36">
        <v>27.6</v>
      </c>
      <c r="M145" s="36">
        <v>23.8</v>
      </c>
      <c r="N145" s="36">
        <v>20.100000000000001</v>
      </c>
      <c r="O145" s="36">
        <v>12.7</v>
      </c>
      <c r="P145" s="37">
        <f t="shared" si="50"/>
        <v>27.908333333333335</v>
      </c>
      <c r="Q145" s="38">
        <f t="shared" si="51"/>
        <v>1</v>
      </c>
      <c r="R145" s="140">
        <f t="shared" si="52"/>
        <v>26.600000000000005</v>
      </c>
      <c r="S145" s="24">
        <f t="shared" si="53"/>
        <v>1</v>
      </c>
      <c r="T145" s="140">
        <f t="shared" si="54"/>
        <v>30.933333333333326</v>
      </c>
      <c r="U145" s="9">
        <f t="shared" si="55"/>
        <v>1</v>
      </c>
      <c r="V145" s="141">
        <f t="shared" si="56"/>
        <v>27.908333333333335</v>
      </c>
      <c r="W145" s="142">
        <f t="shared" si="57"/>
        <v>1</v>
      </c>
      <c r="X145" s="144">
        <f t="shared" ca="1" si="47"/>
        <v>14.670833333333334</v>
      </c>
      <c r="Y145" s="144">
        <f t="shared" ca="1" si="48"/>
        <v>18.083333333333332</v>
      </c>
      <c r="Z145" s="144">
        <f t="shared" ca="1" si="49"/>
        <v>15.762500000000001</v>
      </c>
      <c r="AA145" s="10"/>
      <c r="AB145" s="357" t="str">
        <f>VLOOKUP($B145,'2007-2020 Metadata'!$A$4:$S$214,MATCH("Urban Area /Monitoring Zone",'2007-2020 Metadata'!$A$4:$S$4,0),FALSE)</f>
        <v>Dunedin</v>
      </c>
      <c r="AC145" s="87" t="str">
        <f>VLOOKUP(B145,'2007-2020 Metadata'!$A$6:$A$214,1,FALSE)</f>
        <v>DUN001</v>
      </c>
      <c r="AD145" s="230" t="str">
        <f>VLOOKUP($AC145,'2007-2020 Metadata'!$A$6:$S$214,9,FALSE)</f>
        <v>Dunedin</v>
      </c>
      <c r="AE145" s="248">
        <f>IF(ISBLANK(VLOOKUP($AC145,'2007-2020 Metadata'!$A$6:$S$214,19,FALSE)),"",VLOOKUP($AC145,'2007-2020 Metadata'!$A$6:$S$214,19,FALSE))</f>
        <v>3</v>
      </c>
      <c r="AF145" s="88" t="str">
        <f>VLOOKUP($B145,'2007-2020 Metadata'!$A$4:$S$214,MATCH("Site type",'2007-2020 Metadata'!$A$4:$S$4,0),FALSE)</f>
        <v>SH</v>
      </c>
      <c r="AG145" s="143">
        <f t="shared" si="58"/>
        <v>12.7</v>
      </c>
      <c r="AH145" s="143">
        <f t="shared" si="59"/>
        <v>38.9</v>
      </c>
      <c r="AI145" s="144">
        <f t="shared" ca="1" si="60"/>
        <v>15.762500000000001</v>
      </c>
    </row>
    <row r="146" spans="1:35" ht="12" customHeight="1" x14ac:dyDescent="0.15">
      <c r="A146" s="31"/>
      <c r="B146" s="40" t="s">
        <v>27</v>
      </c>
      <c r="C146" s="104">
        <f>IF(VLOOKUP($B146,'Monthly Summary 2011'!$B$7:$Q$222,14,FALSE)=0,"",VLOOKUP($B146,'Monthly Summary 2011'!$B$7:$Q$222,14,FALSE))</f>
        <v>8.8000000000000007</v>
      </c>
      <c r="D146" s="36">
        <v>12</v>
      </c>
      <c r="E146" s="36">
        <v>14.3</v>
      </c>
      <c r="F146" s="36">
        <v>16.2</v>
      </c>
      <c r="G146" s="36">
        <v>16.899999999999999</v>
      </c>
      <c r="H146" s="36">
        <v>17.3</v>
      </c>
      <c r="I146" s="36">
        <v>15.3</v>
      </c>
      <c r="J146" s="36">
        <v>21.7</v>
      </c>
      <c r="K146" s="36">
        <v>19</v>
      </c>
      <c r="L146" s="36">
        <v>13.7</v>
      </c>
      <c r="M146" s="36">
        <v>10.199999999999999</v>
      </c>
      <c r="N146" s="36">
        <v>12</v>
      </c>
      <c r="O146" s="36">
        <v>11</v>
      </c>
      <c r="P146" s="37">
        <f t="shared" si="50"/>
        <v>14.966666666666663</v>
      </c>
      <c r="Q146" s="38">
        <f t="shared" si="51"/>
        <v>1</v>
      </c>
      <c r="R146" s="140">
        <f t="shared" si="52"/>
        <v>14.166666666666666</v>
      </c>
      <c r="S146" s="24">
        <f t="shared" si="53"/>
        <v>1</v>
      </c>
      <c r="T146" s="140">
        <f t="shared" si="54"/>
        <v>18.133333333333336</v>
      </c>
      <c r="U146" s="9">
        <f t="shared" si="55"/>
        <v>1</v>
      </c>
      <c r="V146" s="141">
        <f t="shared" si="56"/>
        <v>14.966666666666663</v>
      </c>
      <c r="W146" s="142">
        <f t="shared" si="57"/>
        <v>1</v>
      </c>
      <c r="X146" s="144">
        <f t="shared" ca="1" si="47"/>
        <v>14.670833333333334</v>
      </c>
      <c r="Y146" s="144">
        <f t="shared" ca="1" si="48"/>
        <v>18.083333333333332</v>
      </c>
      <c r="Z146" s="144">
        <f t="shared" ca="1" si="49"/>
        <v>15.762500000000001</v>
      </c>
      <c r="AA146" s="10"/>
      <c r="AB146" s="357" t="str">
        <f>VLOOKUP($B146,'2007-2020 Metadata'!$A$4:$S$214,MATCH("Urban Area /Monitoring Zone",'2007-2020 Metadata'!$A$4:$S$4,0),FALSE)</f>
        <v>Dunedin</v>
      </c>
      <c r="AC146" s="87" t="str">
        <f>VLOOKUP(B146,'2007-2020 Metadata'!$A$6:$A$214,1,FALSE)</f>
        <v>DUN002</v>
      </c>
      <c r="AD146" s="230" t="str">
        <f>VLOOKUP($AC146,'2007-2020 Metadata'!$A$6:$S$214,9,FALSE)</f>
        <v>Dunedin</v>
      </c>
      <c r="AE146" s="248">
        <f>IF(ISBLANK(VLOOKUP($AC146,'2007-2020 Metadata'!$A$6:$S$214,19,FALSE)),"",VLOOKUP($AC146,'2007-2020 Metadata'!$A$6:$S$214,19,FALSE))</f>
        <v>3</v>
      </c>
      <c r="AF146" s="88" t="str">
        <f>VLOOKUP($B146,'2007-2020 Metadata'!$A$4:$S$214,MATCH("Site type",'2007-2020 Metadata'!$A$4:$S$4,0),FALSE)</f>
        <v>SH</v>
      </c>
      <c r="AG146" s="143">
        <f t="shared" si="58"/>
        <v>10.199999999999999</v>
      </c>
      <c r="AH146" s="143">
        <f t="shared" si="59"/>
        <v>21.7</v>
      </c>
      <c r="AI146" s="144">
        <f t="shared" ca="1" si="60"/>
        <v>15.762500000000001</v>
      </c>
    </row>
    <row r="147" spans="1:35" ht="12" customHeight="1" x14ac:dyDescent="0.15">
      <c r="A147" s="31"/>
      <c r="B147" s="40" t="s">
        <v>29</v>
      </c>
      <c r="C147" s="104">
        <f>IF(VLOOKUP($B147,'Monthly Summary 2011'!$B$7:$Q$222,14,FALSE)=0,"",VLOOKUP($B147,'Monthly Summary 2011'!$B$7:$Q$222,14,FALSE))</f>
        <v>17.2</v>
      </c>
      <c r="D147" s="54"/>
      <c r="E147" s="54"/>
      <c r="F147" s="36">
        <v>26.6</v>
      </c>
      <c r="G147" s="36">
        <v>29.7</v>
      </c>
      <c r="H147" s="36">
        <v>25.4</v>
      </c>
      <c r="I147" s="36">
        <v>23.8</v>
      </c>
      <c r="J147" s="36">
        <v>30.9</v>
      </c>
      <c r="K147" s="36">
        <v>25.7</v>
      </c>
      <c r="L147" s="36">
        <v>21.1</v>
      </c>
      <c r="M147" s="36">
        <v>7.8</v>
      </c>
      <c r="N147" s="36">
        <v>14.5</v>
      </c>
      <c r="O147" s="36">
        <v>11.4</v>
      </c>
      <c r="P147" s="37">
        <f t="shared" si="50"/>
        <v>21.689999999999998</v>
      </c>
      <c r="Q147" s="38">
        <f t="shared" si="51"/>
        <v>0.83333333333333337</v>
      </c>
      <c r="R147" s="140" t="str">
        <f t="shared" si="52"/>
        <v>-</v>
      </c>
      <c r="S147" s="24">
        <f t="shared" si="53"/>
        <v>0.33333333333333331</v>
      </c>
      <c r="T147" s="140">
        <f t="shared" si="54"/>
        <v>25.899999999999995</v>
      </c>
      <c r="U147" s="9">
        <f t="shared" si="55"/>
        <v>1</v>
      </c>
      <c r="V147" s="141">
        <f t="shared" si="56"/>
        <v>21.689999999999998</v>
      </c>
      <c r="W147" s="142">
        <f t="shared" si="57"/>
        <v>0.83333333333333337</v>
      </c>
      <c r="X147" s="144" t="str">
        <f t="shared" ca="1" si="47"/>
        <v/>
      </c>
      <c r="Y147" s="144">
        <f t="shared" ca="1" si="48"/>
        <v>25.899999999999995</v>
      </c>
      <c r="Z147" s="144">
        <f t="shared" ca="1" si="49"/>
        <v>21.689999999999998</v>
      </c>
      <c r="AA147" s="10"/>
      <c r="AB147" s="357" t="str">
        <f>VLOOKUP($B147,'2007-2020 Metadata'!$A$4:$S$214,MATCH("Urban Area /Monitoring Zone",'2007-2020 Metadata'!$A$4:$S$4,0),FALSE)</f>
        <v>Queenstown</v>
      </c>
      <c r="AC147" s="87" t="str">
        <f>VLOOKUP(B147,'2007-2020 Metadata'!$A$6:$A$214,1,FALSE)</f>
        <v>DUN004</v>
      </c>
      <c r="AD147" s="230" t="str">
        <f>VLOOKUP($AC147,'2007-2020 Metadata'!$A$6:$S$214,9,FALSE)</f>
        <v>Queenstown</v>
      </c>
      <c r="AE147" s="248">
        <f>IF(ISBLANK(VLOOKUP($AC147,'2007-2020 Metadata'!$A$6:$S$214,19,FALSE)),"",VLOOKUP($AC147,'2007-2020 Metadata'!$A$6:$S$214,19,FALSE))</f>
        <v>3</v>
      </c>
      <c r="AF147" s="88" t="str">
        <f>VLOOKUP($B147,'2007-2020 Metadata'!$A$4:$S$214,MATCH("Site type",'2007-2020 Metadata'!$A$4:$S$4,0),FALSE)</f>
        <v>SH</v>
      </c>
      <c r="AG147" s="143">
        <f t="shared" si="58"/>
        <v>7.8</v>
      </c>
      <c r="AH147" s="143">
        <f t="shared" si="59"/>
        <v>30.9</v>
      </c>
      <c r="AI147" s="144">
        <f t="shared" ca="1" si="60"/>
        <v>21.689999999999998</v>
      </c>
    </row>
    <row r="148" spans="1:35" ht="12" customHeight="1" x14ac:dyDescent="0.15">
      <c r="A148" s="31"/>
      <c r="B148" s="40" t="s">
        <v>30</v>
      </c>
      <c r="C148" s="104" t="str">
        <f>IF(VLOOKUP($B148,'Monthly Summary 2011'!$B$7:$Q$222,14,FALSE)=0,"",VLOOKUP($B148,'Monthly Summary 2011'!$B$7:$Q$222,14,FALSE))</f>
        <v/>
      </c>
      <c r="D148" s="36">
        <v>16.399999999999999</v>
      </c>
      <c r="E148" s="36">
        <v>24.7</v>
      </c>
      <c r="F148" s="36">
        <v>28.6</v>
      </c>
      <c r="G148" s="36">
        <v>31.9</v>
      </c>
      <c r="H148" s="36">
        <v>38.4</v>
      </c>
      <c r="I148" s="36">
        <v>35.299999999999997</v>
      </c>
      <c r="J148" s="36">
        <v>36.700000000000003</v>
      </c>
      <c r="K148" s="36">
        <v>28.4</v>
      </c>
      <c r="L148" s="36">
        <v>25.7</v>
      </c>
      <c r="M148" s="36">
        <v>22.8</v>
      </c>
      <c r="N148" s="36">
        <v>25.1</v>
      </c>
      <c r="O148" s="36"/>
      <c r="P148" s="37">
        <f t="shared" si="50"/>
        <v>28.54545454545455</v>
      </c>
      <c r="Q148" s="38">
        <f t="shared" si="51"/>
        <v>0.91666666666666663</v>
      </c>
      <c r="R148" s="140">
        <f t="shared" si="52"/>
        <v>23.233333333333331</v>
      </c>
      <c r="S148" s="24">
        <f t="shared" si="53"/>
        <v>1</v>
      </c>
      <c r="T148" s="140">
        <f t="shared" si="54"/>
        <v>30.266666666666666</v>
      </c>
      <c r="U148" s="9">
        <f t="shared" si="55"/>
        <v>1</v>
      </c>
      <c r="V148" s="141">
        <f t="shared" si="56"/>
        <v>28.54545454545455</v>
      </c>
      <c r="W148" s="142">
        <f t="shared" si="57"/>
        <v>0.91666666666666663</v>
      </c>
      <c r="X148" s="144">
        <f t="shared" ca="1" si="47"/>
        <v>23.233333333333331</v>
      </c>
      <c r="Y148" s="144">
        <f t="shared" ca="1" si="48"/>
        <v>30.266666666666666</v>
      </c>
      <c r="Z148" s="144">
        <f t="shared" ca="1" si="49"/>
        <v>28.54545454545455</v>
      </c>
      <c r="AA148" s="10"/>
      <c r="AB148" s="357" t="str">
        <f>VLOOKUP($B148,'2007-2020 Metadata'!$A$4:$S$214,MATCH("Urban Area /Monitoring Zone",'2007-2020 Metadata'!$A$4:$S$4,0),FALSE)</f>
        <v>Invercargill</v>
      </c>
      <c r="AC148" s="87" t="str">
        <f>VLOOKUP(B148,'2007-2020 Metadata'!$A$6:$A$214,1,FALSE)</f>
        <v>DUN005</v>
      </c>
      <c r="AD148" s="230" t="str">
        <f>VLOOKUP($AC148,'2007-2020 Metadata'!$A$6:$S$214,9,FALSE)</f>
        <v>Invercargill</v>
      </c>
      <c r="AE148" s="248">
        <f>IF(ISBLANK(VLOOKUP($AC148,'2007-2020 Metadata'!$A$6:$S$214,19,FALSE)),"",VLOOKUP($AC148,'2007-2020 Metadata'!$A$6:$S$214,19,FALSE))</f>
        <v>3</v>
      </c>
      <c r="AF148" s="88" t="str">
        <f>VLOOKUP($B148,'2007-2020 Metadata'!$A$4:$S$214,MATCH("Site type",'2007-2020 Metadata'!$A$4:$S$4,0),FALSE)</f>
        <v>SH</v>
      </c>
      <c r="AG148" s="143">
        <f t="shared" si="58"/>
        <v>16.399999999999999</v>
      </c>
      <c r="AH148" s="143">
        <f t="shared" si="59"/>
        <v>38.4</v>
      </c>
      <c r="AI148" s="144">
        <f t="shared" ca="1" si="60"/>
        <v>28.54545454545455</v>
      </c>
    </row>
    <row r="149" spans="1:35" ht="12" customHeight="1" x14ac:dyDescent="0.15">
      <c r="A149" s="31"/>
      <c r="B149" s="40" t="s">
        <v>155</v>
      </c>
      <c r="C149" s="104">
        <f>IF(VLOOKUP($B149,'Monthly Summary 2011'!$B$7:$Q$222,14,FALSE)=0,"",VLOOKUP($B149,'Monthly Summary 2011'!$B$7:$Q$222,14,FALSE))</f>
        <v>14</v>
      </c>
      <c r="D149" s="36">
        <v>12.2</v>
      </c>
      <c r="E149" s="36">
        <v>17.5</v>
      </c>
      <c r="F149" s="36">
        <v>21.9</v>
      </c>
      <c r="G149" s="36">
        <v>24.6</v>
      </c>
      <c r="H149" s="36">
        <v>27.2</v>
      </c>
      <c r="I149" s="36">
        <v>20.399999999999999</v>
      </c>
      <c r="J149" s="36">
        <v>27.5</v>
      </c>
      <c r="K149" s="36">
        <v>20.100000000000001</v>
      </c>
      <c r="L149" s="36">
        <v>18.899999999999999</v>
      </c>
      <c r="M149" s="36">
        <v>14.6</v>
      </c>
      <c r="N149" s="36">
        <v>14.6</v>
      </c>
      <c r="O149" s="36">
        <v>11.8</v>
      </c>
      <c r="P149" s="37">
        <f t="shared" si="50"/>
        <v>19.274999999999999</v>
      </c>
      <c r="Q149" s="38">
        <f t="shared" si="51"/>
        <v>1</v>
      </c>
      <c r="R149" s="140">
        <f t="shared" si="52"/>
        <v>17.2</v>
      </c>
      <c r="S149" s="24">
        <f t="shared" si="53"/>
        <v>1</v>
      </c>
      <c r="T149" s="140">
        <f t="shared" si="54"/>
        <v>22.166666666666668</v>
      </c>
      <c r="U149" s="9">
        <f t="shared" si="55"/>
        <v>1</v>
      </c>
      <c r="V149" s="141">
        <f t="shared" si="56"/>
        <v>19.274999999999999</v>
      </c>
      <c r="W149" s="142">
        <f t="shared" si="57"/>
        <v>1</v>
      </c>
      <c r="X149" s="144">
        <f t="shared" ca="1" si="47"/>
        <v>14.670833333333334</v>
      </c>
      <c r="Y149" s="144">
        <f t="shared" ca="1" si="48"/>
        <v>18.083333333333332</v>
      </c>
      <c r="Z149" s="144">
        <f t="shared" ca="1" si="49"/>
        <v>15.762500000000001</v>
      </c>
      <c r="AA149" s="10"/>
      <c r="AB149" s="357" t="str">
        <f>VLOOKUP($B149,'2007-2020 Metadata'!$A$4:$S$214,MATCH("Urban Area /Monitoring Zone",'2007-2020 Metadata'!$A$4:$S$4,0),FALSE)</f>
        <v>Dunedin</v>
      </c>
      <c r="AC149" s="87" t="str">
        <f>VLOOKUP(B149,'2007-2020 Metadata'!$A$6:$A$214,1,FALSE)</f>
        <v>DUN006</v>
      </c>
      <c r="AD149" s="230" t="str">
        <f>VLOOKUP($AC149,'2007-2020 Metadata'!$A$6:$S$214,9,FALSE)</f>
        <v>Dunedin</v>
      </c>
      <c r="AE149" s="248">
        <f>IF(ISBLANK(VLOOKUP($AC149,'2007-2020 Metadata'!$A$6:$S$214,19,FALSE)),"",VLOOKUP($AC149,'2007-2020 Metadata'!$A$6:$S$214,19,FALSE))</f>
        <v>3</v>
      </c>
      <c r="AF149" s="88" t="str">
        <f>VLOOKUP($B149,'2007-2020 Metadata'!$A$4:$S$214,MATCH("Site type",'2007-2020 Metadata'!$A$4:$S$4,0),FALSE)</f>
        <v>SH</v>
      </c>
      <c r="AG149" s="143">
        <f t="shared" si="58"/>
        <v>11.8</v>
      </c>
      <c r="AH149" s="143">
        <f t="shared" si="59"/>
        <v>27.5</v>
      </c>
      <c r="AI149" s="144">
        <f t="shared" ca="1" si="60"/>
        <v>15.762500000000001</v>
      </c>
    </row>
    <row r="150" spans="1:35" ht="12" customHeight="1" x14ac:dyDescent="0.15">
      <c r="A150" s="31"/>
      <c r="B150" s="40" t="s">
        <v>156</v>
      </c>
      <c r="C150" s="104">
        <f>IF(VLOOKUP($B150,'Monthly Summary 2011'!$B$7:$Q$222,14,FALSE)=0,"",VLOOKUP($B150,'Monthly Summary 2011'!$B$7:$Q$222,14,FALSE))</f>
        <v>8.9</v>
      </c>
      <c r="D150" s="36">
        <v>6.9</v>
      </c>
      <c r="E150" s="36">
        <v>10.8</v>
      </c>
      <c r="F150" s="36">
        <v>11.9</v>
      </c>
      <c r="G150" s="36">
        <v>15</v>
      </c>
      <c r="H150" s="36">
        <v>15.1</v>
      </c>
      <c r="I150" s="36">
        <v>9.5</v>
      </c>
      <c r="J150" s="36">
        <v>16.899999999999999</v>
      </c>
      <c r="K150" s="36">
        <v>14.2</v>
      </c>
      <c r="L150" s="36">
        <v>9.1999999999999993</v>
      </c>
      <c r="M150" s="36">
        <v>5.9</v>
      </c>
      <c r="N150" s="36">
        <v>8.5</v>
      </c>
      <c r="O150" s="36">
        <v>6.6</v>
      </c>
      <c r="P150" s="37">
        <f t="shared" si="50"/>
        <v>10.875</v>
      </c>
      <c r="Q150" s="38">
        <f t="shared" si="51"/>
        <v>1</v>
      </c>
      <c r="R150" s="140">
        <f t="shared" si="52"/>
        <v>9.8666666666666671</v>
      </c>
      <c r="S150" s="24">
        <f t="shared" si="53"/>
        <v>1</v>
      </c>
      <c r="T150" s="140">
        <f t="shared" si="54"/>
        <v>13.433333333333332</v>
      </c>
      <c r="U150" s="9">
        <f t="shared" si="55"/>
        <v>1</v>
      </c>
      <c r="V150" s="141">
        <f t="shared" si="56"/>
        <v>10.875</v>
      </c>
      <c r="W150" s="142">
        <f>Q150</f>
        <v>1</v>
      </c>
      <c r="X150" s="144">
        <f t="shared" ca="1" si="47"/>
        <v>14.670833333333334</v>
      </c>
      <c r="Y150" s="144">
        <f t="shared" ca="1" si="48"/>
        <v>18.083333333333332</v>
      </c>
      <c r="Z150" s="144">
        <f t="shared" ca="1" si="49"/>
        <v>15.762500000000001</v>
      </c>
      <c r="AA150" s="10"/>
      <c r="AB150" s="357" t="str">
        <f>VLOOKUP($B150,'2007-2020 Metadata'!$A$4:$S$214,MATCH("Urban Area /Monitoring Zone",'2007-2020 Metadata'!$A$4:$S$4,0),FALSE)</f>
        <v>Dunedin</v>
      </c>
      <c r="AC150" s="87" t="str">
        <f>VLOOKUP(B150,'2007-2020 Metadata'!$A$6:$A$214,1,FALSE)</f>
        <v>DUN007</v>
      </c>
      <c r="AD150" s="230" t="str">
        <f>VLOOKUP($AC150,'2007-2020 Metadata'!$A$6:$S$214,9,FALSE)</f>
        <v>Dunedin</v>
      </c>
      <c r="AE150" s="248">
        <f>IF(ISBLANK(VLOOKUP($AC150,'2007-2020 Metadata'!$A$6:$S$214,19,FALSE)),"",VLOOKUP($AC150,'2007-2020 Metadata'!$A$6:$S$214,19,FALSE))</f>
        <v>3</v>
      </c>
      <c r="AF150" s="88" t="str">
        <f>VLOOKUP($B150,'2007-2020 Metadata'!$A$4:$S$214,MATCH("Site type",'2007-2020 Metadata'!$A$4:$S$4,0),FALSE)</f>
        <v>Background</v>
      </c>
      <c r="AG150" s="143">
        <f t="shared" si="58"/>
        <v>5.9</v>
      </c>
      <c r="AH150" s="143">
        <f t="shared" si="59"/>
        <v>16.899999999999999</v>
      </c>
      <c r="AI150" s="144">
        <f t="shared" ca="1" si="60"/>
        <v>15.762500000000001</v>
      </c>
    </row>
    <row r="151" spans="1:35" ht="12" customHeight="1" x14ac:dyDescent="0.15">
      <c r="A151" s="31"/>
      <c r="B151" s="40" t="s">
        <v>157</v>
      </c>
      <c r="C151" s="104">
        <f>IF(VLOOKUP($B151,'Monthly Summary 2011'!$B$7:$Q$222,14,FALSE)=0,"",VLOOKUP($B151,'Monthly Summary 2011'!$B$7:$Q$222,14,FALSE))</f>
        <v>14.4</v>
      </c>
      <c r="D151" s="36">
        <v>10.3</v>
      </c>
      <c r="E151" s="36">
        <v>14.4</v>
      </c>
      <c r="F151" s="36">
        <v>16.899999999999999</v>
      </c>
      <c r="G151" s="36">
        <v>19.8</v>
      </c>
      <c r="H151" s="36">
        <v>20</v>
      </c>
      <c r="I151" s="36">
        <v>12.7</v>
      </c>
      <c r="J151" s="36">
        <v>21.1</v>
      </c>
      <c r="K151" s="36">
        <v>18.2</v>
      </c>
      <c r="L151" s="36">
        <v>14.4</v>
      </c>
      <c r="M151" s="36">
        <v>10.9</v>
      </c>
      <c r="N151" s="36">
        <v>13.5</v>
      </c>
      <c r="O151" s="36">
        <v>10.6</v>
      </c>
      <c r="P151" s="37">
        <f t="shared" si="50"/>
        <v>15.233333333333334</v>
      </c>
      <c r="Q151" s="38">
        <f t="shared" si="51"/>
        <v>1</v>
      </c>
      <c r="R151" s="140">
        <f t="shared" si="52"/>
        <v>13.866666666666667</v>
      </c>
      <c r="S151" s="24">
        <f t="shared" si="53"/>
        <v>1</v>
      </c>
      <c r="T151" s="140">
        <f t="shared" si="54"/>
        <v>17.899999999999999</v>
      </c>
      <c r="U151" s="9">
        <f t="shared" si="55"/>
        <v>1</v>
      </c>
      <c r="V151" s="141">
        <f t="shared" si="56"/>
        <v>15.233333333333334</v>
      </c>
      <c r="W151" s="142">
        <f>Q151</f>
        <v>1</v>
      </c>
      <c r="X151" s="144">
        <f t="shared" ca="1" si="47"/>
        <v>14.670833333333334</v>
      </c>
      <c r="Y151" s="144">
        <f t="shared" ca="1" si="48"/>
        <v>18.083333333333332</v>
      </c>
      <c r="Z151" s="144">
        <f t="shared" ca="1" si="49"/>
        <v>15.762500000000001</v>
      </c>
      <c r="AA151" s="10"/>
      <c r="AB151" s="357" t="str">
        <f>VLOOKUP($B151,'2007-2020 Metadata'!$A$4:$S$214,MATCH("Urban Area /Monitoring Zone",'2007-2020 Metadata'!$A$4:$S$4,0),FALSE)</f>
        <v>Dunedin</v>
      </c>
      <c r="AC151" s="87" t="str">
        <f>VLOOKUP(B151,'2007-2020 Metadata'!$A$6:$A$214,1,FALSE)</f>
        <v>DUN008</v>
      </c>
      <c r="AD151" s="230" t="str">
        <f>VLOOKUP($AC151,'2007-2020 Metadata'!$A$6:$S$214,9,FALSE)</f>
        <v>Dunedin</v>
      </c>
      <c r="AE151" s="248">
        <f>IF(ISBLANK(VLOOKUP($AC151,'2007-2020 Metadata'!$A$6:$S$214,19,FALSE)),"",VLOOKUP($AC151,'2007-2020 Metadata'!$A$6:$S$214,19,FALSE))</f>
        <v>3</v>
      </c>
      <c r="AF151" s="88" t="str">
        <f>VLOOKUP($B151,'2007-2020 Metadata'!$A$4:$S$214,MATCH("Site type",'2007-2020 Metadata'!$A$4:$S$4,0),FALSE)</f>
        <v>Local</v>
      </c>
      <c r="AG151" s="143">
        <f t="shared" si="58"/>
        <v>10.3</v>
      </c>
      <c r="AH151" s="143">
        <f t="shared" si="59"/>
        <v>21.1</v>
      </c>
      <c r="AI151" s="144">
        <f t="shared" ca="1" si="60"/>
        <v>15.762500000000001</v>
      </c>
    </row>
    <row r="152" spans="1:35" ht="12" customHeight="1" x14ac:dyDescent="0.15">
      <c r="A152" s="31"/>
      <c r="B152" s="40" t="s">
        <v>158</v>
      </c>
      <c r="C152" s="104">
        <f>IF(VLOOKUP($B152,'Monthly Summary 2011'!$B$7:$Q$222,14,FALSE)=0,"",VLOOKUP($B152,'Monthly Summary 2011'!$B$7:$Q$222,14,FALSE))</f>
        <v>12.7</v>
      </c>
      <c r="D152" s="36">
        <v>14.6</v>
      </c>
      <c r="E152" s="36">
        <v>15</v>
      </c>
      <c r="F152" s="36">
        <v>22.1</v>
      </c>
      <c r="G152" s="36">
        <v>24.2</v>
      </c>
      <c r="H152" s="36">
        <v>28.3</v>
      </c>
      <c r="I152" s="36">
        <v>22.4</v>
      </c>
      <c r="J152" s="36">
        <v>31</v>
      </c>
      <c r="K152" s="36">
        <v>18.899999999999999</v>
      </c>
      <c r="L152" s="36">
        <v>15.6</v>
      </c>
      <c r="M152" s="36">
        <v>11.9</v>
      </c>
      <c r="N152" s="36">
        <v>12</v>
      </c>
      <c r="O152" s="36">
        <v>11.1</v>
      </c>
      <c r="P152" s="37">
        <f t="shared" si="50"/>
        <v>18.925000000000001</v>
      </c>
      <c r="Q152" s="38">
        <f t="shared" si="51"/>
        <v>1</v>
      </c>
      <c r="R152" s="140">
        <f t="shared" si="52"/>
        <v>17.233333333333334</v>
      </c>
      <c r="S152" s="24">
        <f t="shared" si="53"/>
        <v>1</v>
      </c>
      <c r="T152" s="140">
        <f t="shared" si="54"/>
        <v>21.833333333333332</v>
      </c>
      <c r="U152" s="9">
        <f t="shared" si="55"/>
        <v>1</v>
      </c>
      <c r="V152" s="141">
        <f t="shared" si="56"/>
        <v>18.925000000000001</v>
      </c>
      <c r="W152" s="142">
        <f>Q152</f>
        <v>1</v>
      </c>
      <c r="X152" s="144">
        <f t="shared" ca="1" si="47"/>
        <v>14.670833333333334</v>
      </c>
      <c r="Y152" s="144">
        <f t="shared" ca="1" si="48"/>
        <v>18.083333333333332</v>
      </c>
      <c r="Z152" s="144">
        <f t="shared" ca="1" si="49"/>
        <v>15.762500000000001</v>
      </c>
      <c r="AA152" s="10"/>
      <c r="AB152" s="357" t="str">
        <f>VLOOKUP($B152,'2007-2020 Metadata'!$A$4:$S$214,MATCH("Urban Area /Monitoring Zone",'2007-2020 Metadata'!$A$4:$S$4,0),FALSE)</f>
        <v>Dunedin</v>
      </c>
      <c r="AC152" s="87" t="str">
        <f>VLOOKUP(B152,'2007-2020 Metadata'!$A$6:$A$214,1,FALSE)</f>
        <v>DUN009</v>
      </c>
      <c r="AD152" s="230" t="str">
        <f>VLOOKUP($AC150,'2007-2020 Metadata'!$A$6:$S$214,9,FALSE)</f>
        <v>Dunedin</v>
      </c>
      <c r="AE152" s="248">
        <f>IF(ISBLANK(VLOOKUP($AC150,'2007-2020 Metadata'!$A$6:$S$214,19,FALSE)),"",VLOOKUP($AC150,'2007-2020 Metadata'!$A$6:$S$214,19,FALSE))</f>
        <v>3</v>
      </c>
      <c r="AF152" s="88" t="str">
        <f>VLOOKUP($B152,'2007-2020 Metadata'!$A$4:$S$214,MATCH("Site type",'2007-2020 Metadata'!$A$4:$S$4,0),FALSE)</f>
        <v>Local</v>
      </c>
      <c r="AG152" s="143">
        <f t="shared" si="58"/>
        <v>11.1</v>
      </c>
      <c r="AH152" s="143">
        <f t="shared" si="59"/>
        <v>31</v>
      </c>
      <c r="AI152" s="144">
        <f t="shared" ca="1" si="60"/>
        <v>15.762500000000001</v>
      </c>
    </row>
    <row r="153" spans="1:35" ht="12" customHeight="1" x14ac:dyDescent="0.15">
      <c r="A153" s="31"/>
      <c r="B153" s="40" t="s">
        <v>31</v>
      </c>
      <c r="C153" s="104">
        <f>IF(VLOOKUP($B153,'Monthly Summary 2011'!$B$7:$Q$222,14,FALSE)=0,"",VLOOKUP($B153,'Monthly Summary 2011'!$B$7:$Q$222,14,FALSE))</f>
        <v>3.4</v>
      </c>
      <c r="D153" s="36">
        <v>5.0999999999999996</v>
      </c>
      <c r="E153" s="36">
        <v>7.6</v>
      </c>
      <c r="F153" s="36">
        <v>8.6</v>
      </c>
      <c r="G153" s="36">
        <v>8.6</v>
      </c>
      <c r="H153" s="36">
        <v>10.9</v>
      </c>
      <c r="I153" s="36">
        <v>10.5</v>
      </c>
      <c r="J153" s="36">
        <v>10</v>
      </c>
      <c r="K153" s="36">
        <v>8.3000000000000007</v>
      </c>
      <c r="L153" s="36">
        <v>4.5999999999999996</v>
      </c>
      <c r="M153" s="36">
        <v>3.3</v>
      </c>
      <c r="N153" s="36">
        <v>4</v>
      </c>
      <c r="O153" s="36">
        <v>4.2</v>
      </c>
      <c r="P153" s="37">
        <f t="shared" si="50"/>
        <v>7.1416666666666657</v>
      </c>
      <c r="Q153" s="38">
        <f t="shared" si="51"/>
        <v>1</v>
      </c>
      <c r="R153" s="140">
        <f t="shared" si="52"/>
        <v>7.0999999999999988</v>
      </c>
      <c r="S153" s="24">
        <f t="shared" si="53"/>
        <v>1</v>
      </c>
      <c r="T153" s="140">
        <f t="shared" si="54"/>
        <v>7.6333333333333329</v>
      </c>
      <c r="U153" s="9">
        <f t="shared" si="55"/>
        <v>1</v>
      </c>
      <c r="V153" s="141">
        <f t="shared" si="56"/>
        <v>7.1416666666666657</v>
      </c>
      <c r="W153" s="142">
        <f>Q153</f>
        <v>1</v>
      </c>
      <c r="X153" s="144">
        <f t="shared" ca="1" si="47"/>
        <v>14.670833333333334</v>
      </c>
      <c r="Y153" s="144">
        <f t="shared" ca="1" si="48"/>
        <v>18.083333333333332</v>
      </c>
      <c r="Z153" s="144">
        <f t="shared" ca="1" si="49"/>
        <v>15.762500000000001</v>
      </c>
      <c r="AA153" s="10"/>
      <c r="AB153" s="357" t="str">
        <f>VLOOKUP($B153,'2007-2020 Metadata'!$A$4:$S$214,MATCH("Urban Area /Monitoring Zone",'2007-2020 Metadata'!$A$4:$S$4,0),FALSE)</f>
        <v>Invercargill</v>
      </c>
      <c r="AC153" s="87" t="str">
        <f>VLOOKUP(B153,'2007-2020 Metadata'!$A$6:$A$214,1,FALSE)</f>
        <v>DUN010</v>
      </c>
      <c r="AD153" s="230" t="str">
        <f>VLOOKUP($AC151,'2007-2020 Metadata'!$A$6:$S$214,9,FALSE)</f>
        <v>Dunedin</v>
      </c>
      <c r="AE153" s="248">
        <f>IF(ISBLANK(VLOOKUP($AC151,'2007-2020 Metadata'!$A$6:$S$214,19,FALSE)),"",VLOOKUP($AC151,'2007-2020 Metadata'!$A$6:$S$214,19,FALSE))</f>
        <v>3</v>
      </c>
      <c r="AF153" s="88" t="str">
        <f>VLOOKUP($B153,'2007-2020 Metadata'!$A$4:$S$214,MATCH("Site type",'2007-2020 Metadata'!$A$4:$S$4,0),FALSE)</f>
        <v>Background</v>
      </c>
      <c r="AG153" s="143">
        <f t="shared" si="58"/>
        <v>3.3</v>
      </c>
      <c r="AH153" s="143">
        <f t="shared" si="59"/>
        <v>10.9</v>
      </c>
      <c r="AI153" s="144">
        <f t="shared" ca="1" si="60"/>
        <v>15.762500000000001</v>
      </c>
    </row>
    <row r="154" spans="1:35" ht="12" customHeight="1" x14ac:dyDescent="0.15">
      <c r="A154" s="31"/>
      <c r="B154" s="40" t="s">
        <v>468</v>
      </c>
      <c r="C154" s="104">
        <f>IF(VLOOKUP($B154,'Monthly Summary 2011'!$B$7:$Q$222,14,FALSE)=0,"",VLOOKUP($B154,'Monthly Summary 2011'!$B$7:$Q$222,14,FALSE))</f>
        <v>10.3</v>
      </c>
      <c r="D154" s="36">
        <v>8.6999999999999993</v>
      </c>
      <c r="E154" s="36">
        <v>12</v>
      </c>
      <c r="F154" s="36">
        <v>13.3</v>
      </c>
      <c r="G154" s="36">
        <v>15.3</v>
      </c>
      <c r="H154" s="36">
        <v>14.7</v>
      </c>
      <c r="I154" s="36">
        <v>13.2</v>
      </c>
      <c r="J154" s="36">
        <v>15.3</v>
      </c>
      <c r="K154" s="36">
        <v>11.8</v>
      </c>
      <c r="L154" s="36">
        <v>10.8</v>
      </c>
      <c r="M154" s="36">
        <v>8.1999999999999993</v>
      </c>
      <c r="N154" s="36">
        <v>10.199999999999999</v>
      </c>
      <c r="O154" s="36">
        <v>7.8</v>
      </c>
      <c r="P154" s="37">
        <f t="shared" si="50"/>
        <v>11.775</v>
      </c>
      <c r="Q154" s="38">
        <f t="shared" si="51"/>
        <v>1</v>
      </c>
      <c r="R154" s="140">
        <f t="shared" si="52"/>
        <v>11.333333333333334</v>
      </c>
      <c r="S154" s="24">
        <f t="shared" si="53"/>
        <v>1</v>
      </c>
      <c r="T154" s="140">
        <f t="shared" si="54"/>
        <v>12.633333333333335</v>
      </c>
      <c r="U154" s="9">
        <f t="shared" si="55"/>
        <v>1</v>
      </c>
      <c r="V154" s="141">
        <f t="shared" si="56"/>
        <v>11.775</v>
      </c>
      <c r="W154" s="142">
        <f>Q154</f>
        <v>1</v>
      </c>
      <c r="X154" s="144">
        <f t="shared" ca="1" si="47"/>
        <v>14.670833333333334</v>
      </c>
      <c r="Y154" s="144">
        <f t="shared" ca="1" si="48"/>
        <v>18.083333333333332</v>
      </c>
      <c r="Z154" s="144">
        <f t="shared" ca="1" si="49"/>
        <v>15.762500000000001</v>
      </c>
      <c r="AA154" s="10"/>
      <c r="AB154" s="357" t="str">
        <f>VLOOKUP($B154,'2007-2020 Metadata'!$A$4:$S$214,MATCH("Urban Area /Monitoring Zone",'2007-2020 Metadata'!$A$4:$S$4,0),FALSE)</f>
        <v>Dunedin</v>
      </c>
      <c r="AC154" s="87" t="str">
        <f>VLOOKUP(B154,'2007-2020 Metadata'!$A$6:$A$214,1,FALSE)</f>
        <v>DUN011</v>
      </c>
      <c r="AD154" s="230" t="str">
        <f>VLOOKUP($AC152,'2007-2020 Metadata'!$A$6:$S$214,9,FALSE)</f>
        <v>Dunedin</v>
      </c>
      <c r="AE154" s="248">
        <f>IF(ISBLANK(VLOOKUP($AC152,'2007-2020 Metadata'!$A$6:$S$214,19,FALSE)),"",VLOOKUP($AC152,'2007-2020 Metadata'!$A$6:$S$214,19,FALSE))</f>
        <v>3</v>
      </c>
      <c r="AF154" s="88" t="str">
        <f>VLOOKUP($B154,'2007-2020 Metadata'!$A$4:$S$214,MATCH("Site type",'2007-2020 Metadata'!$A$4:$S$4,0),FALSE)</f>
        <v>SH</v>
      </c>
      <c r="AG154" s="143">
        <f t="shared" si="58"/>
        <v>7.8</v>
      </c>
      <c r="AH154" s="143">
        <f t="shared" si="59"/>
        <v>15.3</v>
      </c>
      <c r="AI154" s="144">
        <f t="shared" ca="1" si="60"/>
        <v>15.762500000000001</v>
      </c>
    </row>
    <row r="155" spans="1:35" ht="6" customHeight="1" thickBot="1" x14ac:dyDescent="0.2">
      <c r="B155" s="41"/>
      <c r="C155" s="53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3"/>
      <c r="Q155" s="44"/>
      <c r="R155" s="161"/>
      <c r="S155" s="42"/>
      <c r="T155" s="43"/>
      <c r="U155" s="108"/>
      <c r="V155" s="90"/>
      <c r="W155" s="108"/>
      <c r="X155" s="108"/>
      <c r="Y155" s="108"/>
      <c r="Z155" s="108"/>
      <c r="AA155" s="45"/>
      <c r="AB155" s="101"/>
      <c r="AC155" s="90"/>
      <c r="AD155" s="90"/>
      <c r="AE155" s="90"/>
      <c r="AF155" s="92"/>
      <c r="AG155" s="91"/>
      <c r="AH155" s="91"/>
      <c r="AI155" s="92"/>
    </row>
    <row r="156" spans="1:35" ht="11.25" thickTop="1" x14ac:dyDescent="0.15">
      <c r="B156" s="32"/>
      <c r="C156" s="32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AA156" s="45"/>
      <c r="AC156" s="45"/>
      <c r="AG156" s="86"/>
      <c r="AH156" s="86"/>
    </row>
    <row r="157" spans="1:35" x14ac:dyDescent="0.15">
      <c r="D157" s="46" t="s">
        <v>455</v>
      </c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AA157" s="45"/>
      <c r="AC157" s="45"/>
      <c r="AG157" s="86"/>
      <c r="AH157" s="86"/>
    </row>
    <row r="158" spans="1:35" x14ac:dyDescent="0.15">
      <c r="D158" s="321"/>
      <c r="E158" s="301" t="s">
        <v>456</v>
      </c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AA158" s="45"/>
      <c r="AC158" s="45"/>
      <c r="AG158" s="86"/>
      <c r="AH158" s="86"/>
    </row>
    <row r="159" spans="1:35" x14ac:dyDescent="0.15">
      <c r="D159" s="371"/>
      <c r="E159" s="301" t="s">
        <v>1085</v>
      </c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AA159" s="45"/>
      <c r="AC159" s="45"/>
      <c r="AG159" s="86"/>
      <c r="AH159" s="86"/>
    </row>
    <row r="160" spans="1:35" x14ac:dyDescent="0.15">
      <c r="D160" s="47"/>
      <c r="E160" s="31" t="s">
        <v>469</v>
      </c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AA160" s="45"/>
      <c r="AC160" s="45"/>
      <c r="AG160" s="86"/>
      <c r="AH160" s="86"/>
    </row>
    <row r="161" spans="2:34" x14ac:dyDescent="0.15">
      <c r="D161" s="48"/>
      <c r="E161" s="31" t="s">
        <v>457</v>
      </c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AA161" s="45"/>
      <c r="AC161" s="45"/>
      <c r="AG161" s="86"/>
      <c r="AH161" s="86"/>
    </row>
    <row r="162" spans="2:34" x14ac:dyDescent="0.15">
      <c r="B162" s="32"/>
      <c r="D162" s="49"/>
      <c r="E162" s="31" t="s">
        <v>458</v>
      </c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AA162" s="45"/>
      <c r="AC162" s="45"/>
      <c r="AG162" s="86"/>
      <c r="AH162" s="86"/>
    </row>
    <row r="163" spans="2:34" x14ac:dyDescent="0.15">
      <c r="B163" s="32"/>
      <c r="C163" s="32"/>
      <c r="D163" s="176"/>
      <c r="E163" s="112" t="s">
        <v>510</v>
      </c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AA163" s="45"/>
      <c r="AC163" s="45"/>
      <c r="AG163" s="86"/>
      <c r="AH163" s="86"/>
    </row>
    <row r="164" spans="2:34" x14ac:dyDescent="0.15">
      <c r="B164" s="32"/>
      <c r="C164" s="32"/>
      <c r="D164" s="372"/>
      <c r="E164" s="10" t="s">
        <v>1086</v>
      </c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AA164" s="45"/>
      <c r="AC164" s="45"/>
      <c r="AG164" s="86"/>
      <c r="AH164" s="86"/>
    </row>
    <row r="165" spans="2:34" x14ac:dyDescent="0.15">
      <c r="B165" s="32"/>
      <c r="C165" s="32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AA165" s="45"/>
      <c r="AC165" s="45"/>
      <c r="AG165" s="86"/>
      <c r="AH165" s="86"/>
    </row>
    <row r="166" spans="2:34" x14ac:dyDescent="0.15">
      <c r="B166" s="32"/>
      <c r="C166" s="32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AA166" s="45"/>
      <c r="AC166" s="45"/>
      <c r="AG166" s="86"/>
      <c r="AH166" s="86"/>
    </row>
    <row r="167" spans="2:34" x14ac:dyDescent="0.15">
      <c r="B167" s="32"/>
      <c r="C167" s="32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AA167" s="45"/>
      <c r="AC167" s="45"/>
      <c r="AG167" s="86"/>
      <c r="AH167" s="86"/>
    </row>
    <row r="168" spans="2:34" x14ac:dyDescent="0.15">
      <c r="B168" s="32"/>
      <c r="C168" s="32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AA168" s="45"/>
      <c r="AC168" s="45"/>
      <c r="AG168" s="86"/>
      <c r="AH168" s="86"/>
    </row>
    <row r="169" spans="2:34" x14ac:dyDescent="0.15">
      <c r="B169" s="32"/>
      <c r="C169" s="32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AA169" s="45"/>
      <c r="AC169" s="45"/>
      <c r="AG169" s="86"/>
      <c r="AH169" s="86"/>
    </row>
    <row r="170" spans="2:34" x14ac:dyDescent="0.15">
      <c r="B170" s="32"/>
      <c r="C170" s="32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AA170" s="45"/>
      <c r="AC170" s="45"/>
      <c r="AG170" s="86"/>
      <c r="AH170" s="86"/>
    </row>
    <row r="171" spans="2:34" x14ac:dyDescent="0.15">
      <c r="B171" s="32"/>
      <c r="C171" s="32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AA171" s="45"/>
      <c r="AC171" s="45"/>
      <c r="AG171" s="86"/>
      <c r="AH171" s="86"/>
    </row>
    <row r="172" spans="2:34" x14ac:dyDescent="0.15">
      <c r="B172" s="32"/>
      <c r="C172" s="32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AA172" s="45"/>
      <c r="AC172" s="45"/>
      <c r="AG172" s="86"/>
      <c r="AH172" s="86"/>
    </row>
    <row r="173" spans="2:34" x14ac:dyDescent="0.15">
      <c r="B173" s="32"/>
      <c r="C173" s="32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AA173" s="45"/>
      <c r="AC173" s="45"/>
      <c r="AG173" s="86"/>
      <c r="AH173" s="86"/>
    </row>
    <row r="174" spans="2:34" x14ac:dyDescent="0.15">
      <c r="B174" s="32"/>
      <c r="C174" s="32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AA174" s="45"/>
      <c r="AC174" s="45"/>
      <c r="AG174" s="86"/>
      <c r="AH174" s="86"/>
    </row>
    <row r="175" spans="2:34" x14ac:dyDescent="0.15">
      <c r="B175" s="32"/>
      <c r="C175" s="32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AA175" s="45"/>
      <c r="AC175" s="45"/>
      <c r="AG175" s="86"/>
      <c r="AH175" s="86"/>
    </row>
    <row r="176" spans="2:34" x14ac:dyDescent="0.15">
      <c r="B176" s="32"/>
      <c r="C176" s="32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AA176" s="45"/>
      <c r="AC176" s="45"/>
      <c r="AG176" s="86"/>
      <c r="AH176" s="86"/>
    </row>
    <row r="177" spans="2:34" x14ac:dyDescent="0.15">
      <c r="B177" s="32"/>
      <c r="C177" s="32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AA177" s="45"/>
      <c r="AC177" s="45"/>
      <c r="AG177" s="86"/>
      <c r="AH177" s="86"/>
    </row>
    <row r="178" spans="2:34" x14ac:dyDescent="0.15">
      <c r="B178" s="32"/>
      <c r="C178" s="32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AA178" s="45"/>
      <c r="AC178" s="45"/>
      <c r="AG178" s="86"/>
      <c r="AH178" s="86"/>
    </row>
    <row r="179" spans="2:34" x14ac:dyDescent="0.15">
      <c r="B179" s="32"/>
      <c r="C179" s="32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45"/>
      <c r="Q179" s="45"/>
      <c r="R179" s="45"/>
      <c r="S179" s="45"/>
      <c r="T179" s="45"/>
      <c r="U179" s="45"/>
      <c r="AA179" s="45"/>
      <c r="AC179" s="45"/>
      <c r="AG179" s="86"/>
      <c r="AH179" s="86"/>
    </row>
    <row r="180" spans="2:34" x14ac:dyDescent="0.15">
      <c r="B180" s="32"/>
      <c r="C180" s="32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45"/>
      <c r="Q180" s="45"/>
      <c r="R180" s="45"/>
      <c r="S180" s="45"/>
      <c r="T180" s="45"/>
      <c r="U180" s="45"/>
      <c r="AA180" s="45"/>
      <c r="AC180" s="45"/>
      <c r="AG180" s="86"/>
      <c r="AH180" s="86"/>
    </row>
    <row r="181" spans="2:34" x14ac:dyDescent="0.15">
      <c r="B181" s="32"/>
      <c r="C181" s="32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45"/>
      <c r="Q181" s="45"/>
      <c r="R181" s="45"/>
      <c r="S181" s="45"/>
      <c r="T181" s="45"/>
      <c r="U181" s="45"/>
      <c r="AA181" s="45"/>
      <c r="AC181" s="45"/>
    </row>
    <row r="182" spans="2:34" x14ac:dyDescent="0.15">
      <c r="B182" s="32"/>
      <c r="C182" s="32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45"/>
      <c r="Q182" s="45"/>
      <c r="R182" s="45"/>
      <c r="S182" s="45"/>
      <c r="T182" s="45"/>
      <c r="U182" s="45"/>
      <c r="AA182" s="45"/>
      <c r="AC182" s="45"/>
    </row>
    <row r="183" spans="2:34" x14ac:dyDescent="0.15">
      <c r="B183" s="32"/>
      <c r="C183" s="32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45"/>
      <c r="Q183" s="45"/>
      <c r="R183" s="45"/>
      <c r="S183" s="45"/>
      <c r="T183" s="45"/>
      <c r="U183" s="45"/>
      <c r="AA183" s="45"/>
      <c r="AC183" s="45"/>
    </row>
    <row r="184" spans="2:34" x14ac:dyDescent="0.15">
      <c r="B184" s="32"/>
      <c r="C184" s="32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45"/>
      <c r="Q184" s="45"/>
      <c r="R184" s="25"/>
      <c r="S184" s="25"/>
    </row>
    <row r="185" spans="2:34" x14ac:dyDescent="0.15">
      <c r="B185" s="32"/>
      <c r="C185" s="32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45"/>
      <c r="Q185" s="45"/>
      <c r="R185" s="25"/>
      <c r="S185" s="25"/>
    </row>
    <row r="186" spans="2:34" x14ac:dyDescent="0.15">
      <c r="B186" s="32"/>
      <c r="C186" s="32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45"/>
      <c r="Q186" s="45"/>
      <c r="R186" s="25"/>
      <c r="S186" s="25"/>
    </row>
    <row r="187" spans="2:34" x14ac:dyDescent="0.15">
      <c r="B187" s="32"/>
      <c r="C187" s="32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45"/>
      <c r="Q187" s="45"/>
      <c r="R187" s="25"/>
      <c r="S187" s="25"/>
    </row>
    <row r="188" spans="2:34" x14ac:dyDescent="0.15">
      <c r="B188" s="32"/>
      <c r="C188" s="32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45"/>
      <c r="Q188" s="45"/>
      <c r="R188" s="25"/>
      <c r="S188" s="25"/>
    </row>
    <row r="189" spans="2:34" x14ac:dyDescent="0.15">
      <c r="B189" s="32"/>
      <c r="C189" s="32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45"/>
      <c r="Q189" s="45"/>
      <c r="R189" s="25"/>
      <c r="S189" s="25"/>
    </row>
    <row r="190" spans="2:34" x14ac:dyDescent="0.15">
      <c r="B190" s="32"/>
      <c r="C190" s="32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45"/>
      <c r="Q190" s="45"/>
      <c r="R190" s="25"/>
      <c r="S190" s="25"/>
    </row>
    <row r="191" spans="2:34" x14ac:dyDescent="0.15">
      <c r="B191" s="32"/>
      <c r="C191" s="32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45"/>
      <c r="Q191" s="45"/>
      <c r="R191" s="25"/>
      <c r="S191" s="25"/>
    </row>
    <row r="192" spans="2:34" x14ac:dyDescent="0.15">
      <c r="B192" s="32"/>
      <c r="C192" s="32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45"/>
      <c r="Q192" s="45"/>
      <c r="R192" s="25"/>
      <c r="S192" s="25"/>
    </row>
    <row r="193" spans="2:19" x14ac:dyDescent="0.15">
      <c r="B193" s="32"/>
      <c r="C193" s="32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45"/>
      <c r="Q193" s="45"/>
      <c r="R193" s="25"/>
      <c r="S193" s="25"/>
    </row>
    <row r="194" spans="2:19" x14ac:dyDescent="0.15">
      <c r="B194" s="32"/>
      <c r="C194" s="32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45"/>
      <c r="Q194" s="45"/>
      <c r="R194" s="25"/>
      <c r="S194" s="25"/>
    </row>
    <row r="195" spans="2:19" x14ac:dyDescent="0.15">
      <c r="B195" s="32"/>
      <c r="C195" s="32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45"/>
      <c r="Q195" s="45"/>
      <c r="R195" s="25"/>
      <c r="S195" s="25"/>
    </row>
    <row r="196" spans="2:19" x14ac:dyDescent="0.15">
      <c r="B196" s="32"/>
      <c r="C196" s="32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45"/>
      <c r="Q196" s="45"/>
      <c r="R196" s="25"/>
      <c r="S196" s="25"/>
    </row>
    <row r="197" spans="2:19" x14ac:dyDescent="0.15">
      <c r="B197" s="32"/>
      <c r="C197" s="32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45"/>
      <c r="Q197" s="45"/>
      <c r="R197" s="25"/>
      <c r="S197" s="25"/>
    </row>
    <row r="198" spans="2:19" x14ac:dyDescent="0.15">
      <c r="B198" s="32"/>
      <c r="C198" s="32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45"/>
      <c r="Q198" s="45"/>
      <c r="R198" s="25"/>
      <c r="S198" s="25"/>
    </row>
    <row r="199" spans="2:19" x14ac:dyDescent="0.15">
      <c r="B199" s="32"/>
      <c r="C199" s="32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45"/>
      <c r="Q199" s="45"/>
      <c r="R199" s="25"/>
      <c r="S199" s="25"/>
    </row>
    <row r="200" spans="2:19" x14ac:dyDescent="0.15">
      <c r="B200" s="32"/>
      <c r="C200" s="32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45"/>
      <c r="Q200" s="45"/>
      <c r="R200" s="25"/>
      <c r="S200" s="25"/>
    </row>
    <row r="201" spans="2:19" x14ac:dyDescent="0.15">
      <c r="B201" s="32"/>
      <c r="C201" s="32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45"/>
      <c r="Q201" s="45"/>
      <c r="R201" s="25"/>
      <c r="S201" s="25"/>
    </row>
    <row r="202" spans="2:19" x14ac:dyDescent="0.15">
      <c r="B202" s="32"/>
      <c r="C202" s="32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45"/>
      <c r="Q202" s="45"/>
      <c r="R202" s="25"/>
      <c r="S202" s="25"/>
    </row>
    <row r="203" spans="2:19" x14ac:dyDescent="0.15">
      <c r="B203" s="32"/>
      <c r="C203" s="32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45"/>
      <c r="Q203" s="45"/>
      <c r="R203" s="25"/>
      <c r="S203" s="25"/>
    </row>
    <row r="204" spans="2:19" x14ac:dyDescent="0.15">
      <c r="B204" s="32"/>
      <c r="C204" s="32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45"/>
      <c r="Q204" s="45"/>
      <c r="R204" s="25"/>
      <c r="S204" s="25"/>
    </row>
    <row r="205" spans="2:19" x14ac:dyDescent="0.15">
      <c r="B205" s="32"/>
      <c r="C205" s="32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45"/>
      <c r="Q205" s="45"/>
      <c r="R205" s="25"/>
      <c r="S205" s="25"/>
    </row>
    <row r="206" spans="2:19" x14ac:dyDescent="0.15">
      <c r="B206" s="32"/>
      <c r="C206" s="32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45"/>
      <c r="Q206" s="45"/>
      <c r="R206" s="25"/>
      <c r="S206" s="25"/>
    </row>
    <row r="207" spans="2:19" x14ac:dyDescent="0.15">
      <c r="B207" s="32"/>
      <c r="C207" s="32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45"/>
      <c r="Q207" s="45"/>
      <c r="R207" s="25"/>
      <c r="S207" s="25"/>
    </row>
    <row r="208" spans="2:19" x14ac:dyDescent="0.15">
      <c r="B208" s="32"/>
      <c r="C208" s="32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45"/>
      <c r="Q208" s="45"/>
      <c r="R208" s="25"/>
      <c r="S208" s="25"/>
    </row>
    <row r="209" spans="2:19" x14ac:dyDescent="0.15">
      <c r="B209" s="32"/>
      <c r="C209" s="32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45"/>
      <c r="Q209" s="45"/>
      <c r="R209" s="25"/>
      <c r="S209" s="25"/>
    </row>
    <row r="210" spans="2:19" x14ac:dyDescent="0.15">
      <c r="B210" s="32"/>
      <c r="C210" s="32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45"/>
      <c r="Q210" s="45"/>
      <c r="R210" s="25"/>
      <c r="S210" s="25"/>
    </row>
    <row r="211" spans="2:19" x14ac:dyDescent="0.15">
      <c r="B211" s="32"/>
      <c r="C211" s="32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45"/>
      <c r="Q211" s="45"/>
      <c r="R211" s="25"/>
      <c r="S211" s="25"/>
    </row>
    <row r="212" spans="2:19" x14ac:dyDescent="0.15">
      <c r="B212" s="32"/>
      <c r="C212" s="32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45"/>
      <c r="Q212" s="45"/>
      <c r="R212" s="25"/>
      <c r="S212" s="25"/>
    </row>
    <row r="213" spans="2:19" x14ac:dyDescent="0.15">
      <c r="B213" s="32"/>
      <c r="C213" s="32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45"/>
      <c r="Q213" s="45"/>
      <c r="R213" s="25"/>
      <c r="S213" s="25"/>
    </row>
    <row r="214" spans="2:19" x14ac:dyDescent="0.15">
      <c r="B214" s="32"/>
      <c r="C214" s="32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45"/>
      <c r="Q214" s="45"/>
      <c r="R214" s="25"/>
      <c r="S214" s="25"/>
    </row>
    <row r="215" spans="2:19" x14ac:dyDescent="0.15">
      <c r="B215" s="32"/>
      <c r="C215" s="32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45"/>
      <c r="Q215" s="45"/>
      <c r="R215" s="25"/>
      <c r="S215" s="25"/>
    </row>
    <row r="216" spans="2:19" x14ac:dyDescent="0.15">
      <c r="B216" s="32"/>
      <c r="C216" s="32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45"/>
      <c r="Q216" s="45"/>
      <c r="R216" s="25"/>
      <c r="S216" s="25"/>
    </row>
    <row r="217" spans="2:19" x14ac:dyDescent="0.15">
      <c r="B217" s="32"/>
      <c r="C217" s="32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45"/>
      <c r="Q217" s="45"/>
      <c r="R217" s="25"/>
      <c r="S217" s="25"/>
    </row>
    <row r="218" spans="2:19" x14ac:dyDescent="0.15">
      <c r="B218" s="32"/>
      <c r="C218" s="32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45"/>
      <c r="Q218" s="45"/>
      <c r="R218" s="25"/>
      <c r="S218" s="25"/>
    </row>
    <row r="219" spans="2:19" x14ac:dyDescent="0.15">
      <c r="B219" s="32"/>
      <c r="C219" s="32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45"/>
      <c r="Q219" s="45"/>
      <c r="R219" s="25"/>
      <c r="S219" s="25"/>
    </row>
    <row r="220" spans="2:19" x14ac:dyDescent="0.15">
      <c r="B220" s="32"/>
      <c r="C220" s="32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45"/>
      <c r="Q220" s="45"/>
      <c r="R220" s="25"/>
      <c r="S220" s="25"/>
    </row>
    <row r="221" spans="2:19" x14ac:dyDescent="0.15">
      <c r="B221" s="32"/>
      <c r="C221" s="32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45"/>
      <c r="Q221" s="45"/>
      <c r="R221" s="25"/>
      <c r="S221" s="25"/>
    </row>
    <row r="222" spans="2:19" x14ac:dyDescent="0.15">
      <c r="B222" s="32"/>
      <c r="C222" s="32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45"/>
      <c r="Q222" s="45"/>
      <c r="R222" s="25"/>
      <c r="S222" s="25"/>
    </row>
    <row r="223" spans="2:19" x14ac:dyDescent="0.15">
      <c r="B223" s="32"/>
      <c r="C223" s="32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45"/>
      <c r="Q223" s="45"/>
      <c r="R223" s="25"/>
      <c r="S223" s="25"/>
    </row>
    <row r="224" spans="2:19" x14ac:dyDescent="0.15">
      <c r="B224" s="32"/>
      <c r="C224" s="32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45"/>
      <c r="Q224" s="45"/>
      <c r="R224" s="25"/>
      <c r="S224" s="25"/>
    </row>
    <row r="225" spans="2:19" x14ac:dyDescent="0.15">
      <c r="B225" s="32"/>
      <c r="C225" s="32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45"/>
      <c r="Q225" s="45"/>
      <c r="R225" s="25"/>
      <c r="S225" s="25"/>
    </row>
    <row r="226" spans="2:19" x14ac:dyDescent="0.15">
      <c r="B226" s="32"/>
      <c r="C226" s="32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45"/>
      <c r="Q226" s="45"/>
      <c r="R226" s="25"/>
      <c r="S226" s="25"/>
    </row>
    <row r="227" spans="2:19" x14ac:dyDescent="0.15">
      <c r="B227" s="32"/>
      <c r="C227" s="32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45"/>
      <c r="Q227" s="45"/>
      <c r="R227" s="25"/>
      <c r="S227" s="25"/>
    </row>
    <row r="228" spans="2:19" x14ac:dyDescent="0.15">
      <c r="B228" s="32"/>
      <c r="C228" s="32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45"/>
      <c r="Q228" s="45"/>
      <c r="R228" s="25"/>
      <c r="S228" s="25"/>
    </row>
    <row r="229" spans="2:19" x14ac:dyDescent="0.15">
      <c r="B229" s="32"/>
      <c r="C229" s="32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45"/>
      <c r="Q229" s="45"/>
      <c r="R229" s="25"/>
      <c r="S229" s="25"/>
    </row>
    <row r="230" spans="2:19" x14ac:dyDescent="0.15">
      <c r="B230" s="32"/>
      <c r="C230" s="32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45"/>
      <c r="Q230" s="45"/>
      <c r="R230" s="25"/>
      <c r="S230" s="25"/>
    </row>
    <row r="231" spans="2:19" x14ac:dyDescent="0.15">
      <c r="B231" s="32"/>
      <c r="C231" s="32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45"/>
      <c r="Q231" s="45"/>
      <c r="R231" s="25"/>
      <c r="S231" s="25"/>
    </row>
    <row r="232" spans="2:19" x14ac:dyDescent="0.15">
      <c r="B232" s="32"/>
      <c r="C232" s="32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45"/>
      <c r="Q232" s="45"/>
      <c r="R232" s="25"/>
      <c r="S232" s="25"/>
    </row>
    <row r="233" spans="2:19" x14ac:dyDescent="0.15">
      <c r="B233" s="32"/>
      <c r="C233" s="32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45"/>
      <c r="Q233" s="45"/>
      <c r="R233" s="25"/>
      <c r="S233" s="25"/>
    </row>
    <row r="234" spans="2:19" x14ac:dyDescent="0.15">
      <c r="B234" s="32"/>
      <c r="C234" s="32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45"/>
      <c r="Q234" s="45"/>
      <c r="R234" s="25"/>
      <c r="S234" s="25"/>
    </row>
    <row r="235" spans="2:19" x14ac:dyDescent="0.15">
      <c r="B235" s="32"/>
      <c r="C235" s="32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45"/>
      <c r="Q235" s="45"/>
      <c r="R235" s="25"/>
      <c r="S235" s="25"/>
    </row>
    <row r="236" spans="2:19" x14ac:dyDescent="0.15">
      <c r="B236" s="32"/>
      <c r="C236" s="32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45"/>
      <c r="Q236" s="45"/>
      <c r="R236" s="25"/>
      <c r="S236" s="25"/>
    </row>
    <row r="237" spans="2:19" x14ac:dyDescent="0.15">
      <c r="B237" s="32"/>
      <c r="C237" s="32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45"/>
      <c r="Q237" s="45"/>
      <c r="R237" s="25"/>
      <c r="S237" s="25"/>
    </row>
    <row r="238" spans="2:19" x14ac:dyDescent="0.15">
      <c r="B238" s="32"/>
      <c r="C238" s="32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45"/>
      <c r="Q238" s="45"/>
      <c r="R238" s="25"/>
      <c r="S238" s="25"/>
    </row>
    <row r="239" spans="2:19" x14ac:dyDescent="0.15">
      <c r="B239" s="32"/>
      <c r="C239" s="32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45"/>
      <c r="Q239" s="45"/>
      <c r="R239" s="25"/>
      <c r="S239" s="25"/>
    </row>
    <row r="240" spans="2:19" x14ac:dyDescent="0.15">
      <c r="B240" s="32"/>
      <c r="C240" s="32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45"/>
      <c r="Q240" s="45"/>
      <c r="R240" s="25"/>
      <c r="S240" s="25"/>
    </row>
    <row r="241" spans="2:19" x14ac:dyDescent="0.15">
      <c r="B241" s="32"/>
      <c r="C241" s="32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45"/>
      <c r="Q241" s="45"/>
      <c r="R241" s="25"/>
      <c r="S241" s="25"/>
    </row>
    <row r="242" spans="2:19" x14ac:dyDescent="0.15">
      <c r="B242" s="32"/>
      <c r="C242" s="32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45"/>
      <c r="Q242" s="45"/>
      <c r="R242" s="25"/>
      <c r="S242" s="25"/>
    </row>
    <row r="243" spans="2:19" x14ac:dyDescent="0.15">
      <c r="B243" s="32"/>
      <c r="C243" s="32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45"/>
      <c r="Q243" s="45"/>
      <c r="R243" s="25"/>
      <c r="S243" s="25"/>
    </row>
    <row r="244" spans="2:19" x14ac:dyDescent="0.15">
      <c r="B244" s="32"/>
      <c r="C244" s="32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45"/>
      <c r="Q244" s="45"/>
      <c r="R244" s="25"/>
      <c r="S244" s="25"/>
    </row>
    <row r="245" spans="2:19" x14ac:dyDescent="0.15">
      <c r="B245" s="32"/>
      <c r="C245" s="32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45"/>
      <c r="Q245" s="45"/>
      <c r="R245" s="25"/>
      <c r="S245" s="25"/>
    </row>
    <row r="246" spans="2:19" x14ac:dyDescent="0.15">
      <c r="B246" s="32"/>
      <c r="C246" s="32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45"/>
      <c r="Q246" s="45"/>
      <c r="R246" s="25"/>
      <c r="S246" s="25"/>
    </row>
    <row r="247" spans="2:19" x14ac:dyDescent="0.15">
      <c r="B247" s="32"/>
      <c r="C247" s="32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45"/>
      <c r="Q247" s="45"/>
      <c r="R247" s="25"/>
      <c r="S247" s="25"/>
    </row>
    <row r="248" spans="2:19" x14ac:dyDescent="0.15">
      <c r="B248" s="32"/>
      <c r="C248" s="32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45"/>
      <c r="Q248" s="45"/>
      <c r="R248" s="25"/>
      <c r="S248" s="25"/>
    </row>
    <row r="249" spans="2:19" x14ac:dyDescent="0.15">
      <c r="B249" s="32"/>
      <c r="C249" s="32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45"/>
      <c r="Q249" s="45"/>
      <c r="R249" s="25"/>
      <c r="S249" s="25"/>
    </row>
    <row r="250" spans="2:19" x14ac:dyDescent="0.15">
      <c r="B250" s="32"/>
      <c r="C250" s="32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45"/>
      <c r="Q250" s="45"/>
      <c r="R250" s="25"/>
      <c r="S250" s="25"/>
    </row>
    <row r="251" spans="2:19" x14ac:dyDescent="0.15">
      <c r="B251" s="32"/>
      <c r="C251" s="32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45"/>
      <c r="Q251" s="45"/>
      <c r="R251" s="25"/>
      <c r="S251" s="25"/>
    </row>
    <row r="252" spans="2:19" x14ac:dyDescent="0.15">
      <c r="B252" s="32"/>
      <c r="C252" s="32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45"/>
      <c r="Q252" s="45"/>
      <c r="R252" s="25"/>
      <c r="S252" s="25"/>
    </row>
    <row r="253" spans="2:19" x14ac:dyDescent="0.15">
      <c r="B253" s="32"/>
      <c r="C253" s="32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45"/>
      <c r="Q253" s="45"/>
      <c r="R253" s="25"/>
      <c r="S253" s="25"/>
    </row>
    <row r="254" spans="2:19" x14ac:dyDescent="0.15">
      <c r="B254" s="32"/>
      <c r="C254" s="32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45"/>
      <c r="Q254" s="45"/>
      <c r="R254" s="25"/>
      <c r="S254" s="25"/>
    </row>
    <row r="255" spans="2:19" x14ac:dyDescent="0.15">
      <c r="B255" s="32"/>
      <c r="C255" s="32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45"/>
      <c r="Q255" s="45"/>
      <c r="R255" s="25"/>
      <c r="S255" s="25"/>
    </row>
    <row r="256" spans="2:19" x14ac:dyDescent="0.15">
      <c r="B256" s="32"/>
      <c r="C256" s="32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45"/>
      <c r="Q256" s="45"/>
      <c r="R256" s="25"/>
      <c r="S256" s="25"/>
    </row>
    <row r="257" spans="2:19" x14ac:dyDescent="0.15">
      <c r="B257" s="32"/>
      <c r="C257" s="32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45"/>
      <c r="Q257" s="45"/>
      <c r="R257" s="25"/>
      <c r="S257" s="25"/>
    </row>
    <row r="258" spans="2:19" x14ac:dyDescent="0.15">
      <c r="B258" s="32"/>
      <c r="C258" s="32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45"/>
      <c r="Q258" s="45"/>
      <c r="R258" s="25"/>
      <c r="S258" s="25"/>
    </row>
    <row r="259" spans="2:19" x14ac:dyDescent="0.15">
      <c r="B259" s="32"/>
      <c r="C259" s="32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45"/>
      <c r="Q259" s="45"/>
      <c r="R259" s="25"/>
      <c r="S259" s="25"/>
    </row>
    <row r="260" spans="2:19" x14ac:dyDescent="0.15">
      <c r="B260" s="32"/>
      <c r="C260" s="32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45"/>
      <c r="Q260" s="45"/>
      <c r="R260" s="25"/>
      <c r="S260" s="25"/>
    </row>
    <row r="261" spans="2:19" x14ac:dyDescent="0.15">
      <c r="B261" s="32"/>
      <c r="C261" s="32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45"/>
      <c r="Q261" s="45"/>
      <c r="R261" s="25"/>
      <c r="S261" s="25"/>
    </row>
    <row r="262" spans="2:19" x14ac:dyDescent="0.15">
      <c r="B262" s="32"/>
      <c r="C262" s="32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45"/>
      <c r="Q262" s="45"/>
      <c r="R262" s="25"/>
      <c r="S262" s="25"/>
    </row>
    <row r="263" spans="2:19" x14ac:dyDescent="0.15">
      <c r="B263" s="32"/>
      <c r="C263" s="32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45"/>
      <c r="Q263" s="45"/>
      <c r="R263" s="25"/>
      <c r="S263" s="25"/>
    </row>
    <row r="264" spans="2:19" x14ac:dyDescent="0.15">
      <c r="B264" s="32"/>
      <c r="C264" s="32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45"/>
      <c r="Q264" s="45"/>
      <c r="R264" s="25"/>
      <c r="S264" s="25"/>
    </row>
    <row r="265" spans="2:19" x14ac:dyDescent="0.15">
      <c r="B265" s="32"/>
      <c r="C265" s="32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45"/>
      <c r="Q265" s="45"/>
      <c r="R265" s="25"/>
      <c r="S265" s="25"/>
    </row>
    <row r="266" spans="2:19" x14ac:dyDescent="0.15">
      <c r="B266" s="32"/>
      <c r="C266" s="32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45"/>
      <c r="Q266" s="45"/>
      <c r="R266" s="25"/>
      <c r="S266" s="25"/>
    </row>
    <row r="267" spans="2:19" x14ac:dyDescent="0.15">
      <c r="B267" s="32"/>
      <c r="C267" s="32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45"/>
      <c r="Q267" s="45"/>
      <c r="R267" s="25"/>
      <c r="S267" s="25"/>
    </row>
    <row r="268" spans="2:19" x14ac:dyDescent="0.15">
      <c r="B268" s="32"/>
      <c r="C268" s="32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45"/>
      <c r="Q268" s="45"/>
      <c r="R268" s="25"/>
      <c r="S268" s="25"/>
    </row>
    <row r="269" spans="2:19" x14ac:dyDescent="0.15">
      <c r="B269" s="32"/>
      <c r="C269" s="32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45"/>
      <c r="Q269" s="45"/>
      <c r="R269" s="25"/>
      <c r="S269" s="25"/>
    </row>
    <row r="270" spans="2:19" x14ac:dyDescent="0.15">
      <c r="B270" s="32"/>
      <c r="C270" s="32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45"/>
      <c r="Q270" s="45"/>
      <c r="R270" s="25"/>
      <c r="S270" s="25"/>
    </row>
    <row r="271" spans="2:19" x14ac:dyDescent="0.15">
      <c r="B271" s="32"/>
      <c r="C271" s="32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45"/>
      <c r="Q271" s="45"/>
      <c r="R271" s="25"/>
      <c r="S271" s="25"/>
    </row>
    <row r="272" spans="2:19" x14ac:dyDescent="0.15">
      <c r="B272" s="32"/>
      <c r="C272" s="32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45"/>
      <c r="Q272" s="45"/>
      <c r="R272" s="25"/>
      <c r="S272" s="25"/>
    </row>
    <row r="273" spans="2:19" x14ac:dyDescent="0.15">
      <c r="B273" s="32"/>
      <c r="C273" s="32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45"/>
      <c r="Q273" s="45"/>
      <c r="R273" s="25"/>
      <c r="S273" s="25"/>
    </row>
    <row r="274" spans="2:19" x14ac:dyDescent="0.15">
      <c r="B274" s="32"/>
      <c r="C274" s="32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45"/>
      <c r="Q274" s="45"/>
      <c r="R274" s="25"/>
      <c r="S274" s="25"/>
    </row>
    <row r="275" spans="2:19" x14ac:dyDescent="0.15">
      <c r="B275" s="32"/>
      <c r="C275" s="32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45"/>
      <c r="Q275" s="45"/>
      <c r="R275" s="25"/>
      <c r="S275" s="25"/>
    </row>
    <row r="276" spans="2:19" x14ac:dyDescent="0.15">
      <c r="B276" s="32"/>
      <c r="C276" s="32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45"/>
      <c r="Q276" s="45"/>
      <c r="R276" s="25"/>
      <c r="S276" s="25"/>
    </row>
    <row r="277" spans="2:19" x14ac:dyDescent="0.15">
      <c r="B277" s="32"/>
      <c r="C277" s="32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45"/>
      <c r="Q277" s="45"/>
      <c r="R277" s="25"/>
      <c r="S277" s="25"/>
    </row>
    <row r="278" spans="2:19" x14ac:dyDescent="0.15">
      <c r="B278" s="32"/>
      <c r="C278" s="32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45"/>
      <c r="Q278" s="45"/>
      <c r="R278" s="25"/>
      <c r="S278" s="25"/>
    </row>
    <row r="279" spans="2:19" x14ac:dyDescent="0.15">
      <c r="B279" s="32"/>
      <c r="C279" s="32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45"/>
      <c r="Q279" s="45"/>
      <c r="R279" s="25"/>
      <c r="S279" s="25"/>
    </row>
    <row r="280" spans="2:19" x14ac:dyDescent="0.15">
      <c r="B280" s="32"/>
      <c r="C280" s="32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45"/>
      <c r="Q280" s="45"/>
      <c r="R280" s="25"/>
      <c r="S280" s="25"/>
    </row>
    <row r="281" spans="2:19" x14ac:dyDescent="0.15">
      <c r="B281" s="32"/>
      <c r="C281" s="32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45"/>
      <c r="Q281" s="45"/>
      <c r="R281" s="25"/>
      <c r="S281" s="25"/>
    </row>
    <row r="282" spans="2:19" x14ac:dyDescent="0.15">
      <c r="B282" s="32"/>
      <c r="C282" s="32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45"/>
      <c r="Q282" s="45"/>
      <c r="R282" s="25"/>
      <c r="S282" s="25"/>
    </row>
    <row r="283" spans="2:19" x14ac:dyDescent="0.15">
      <c r="B283" s="32"/>
      <c r="C283" s="32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45"/>
      <c r="Q283" s="45"/>
      <c r="R283" s="25"/>
      <c r="S283" s="25"/>
    </row>
    <row r="284" spans="2:19" x14ac:dyDescent="0.15">
      <c r="B284" s="32"/>
      <c r="C284" s="32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45"/>
      <c r="Q284" s="45"/>
      <c r="R284" s="25"/>
      <c r="S284" s="25"/>
    </row>
    <row r="285" spans="2:19" x14ac:dyDescent="0.15">
      <c r="B285" s="32"/>
      <c r="C285" s="32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45"/>
      <c r="Q285" s="45"/>
      <c r="R285" s="25"/>
      <c r="S285" s="25"/>
    </row>
    <row r="286" spans="2:19" x14ac:dyDescent="0.15">
      <c r="B286" s="32"/>
      <c r="C286" s="32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45"/>
      <c r="Q286" s="45"/>
      <c r="R286" s="25"/>
      <c r="S286" s="25"/>
    </row>
    <row r="287" spans="2:19" x14ac:dyDescent="0.15">
      <c r="B287" s="32"/>
      <c r="C287" s="32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45"/>
      <c r="Q287" s="45"/>
      <c r="R287" s="25"/>
      <c r="S287" s="25"/>
    </row>
    <row r="288" spans="2:19" x14ac:dyDescent="0.15">
      <c r="B288" s="32"/>
      <c r="C288" s="32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45"/>
      <c r="Q288" s="45"/>
      <c r="R288" s="25"/>
      <c r="S288" s="25"/>
    </row>
    <row r="289" spans="2:31" x14ac:dyDescent="0.15">
      <c r="B289" s="32"/>
      <c r="C289" s="32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45"/>
      <c r="Q289" s="45"/>
      <c r="R289" s="25"/>
      <c r="S289" s="25"/>
    </row>
    <row r="290" spans="2:31" x14ac:dyDescent="0.15">
      <c r="B290" s="32"/>
      <c r="C290" s="32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45"/>
      <c r="Q290" s="45"/>
      <c r="R290" s="25"/>
      <c r="S290" s="25"/>
    </row>
    <row r="291" spans="2:31" x14ac:dyDescent="0.15">
      <c r="B291" s="32"/>
      <c r="C291" s="32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45"/>
      <c r="Q291" s="45"/>
      <c r="R291" s="25"/>
      <c r="S291" s="25"/>
    </row>
    <row r="292" spans="2:31" x14ac:dyDescent="0.15">
      <c r="B292" s="32"/>
      <c r="C292" s="32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45"/>
      <c r="Q292" s="45"/>
      <c r="R292" s="25"/>
      <c r="S292" s="25"/>
    </row>
    <row r="293" spans="2:31" x14ac:dyDescent="0.15">
      <c r="B293" s="32"/>
      <c r="C293" s="32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45"/>
      <c r="Q293" s="45"/>
      <c r="R293" s="25"/>
      <c r="S293" s="25"/>
    </row>
    <row r="294" spans="2:31" x14ac:dyDescent="0.15">
      <c r="B294" s="32"/>
      <c r="C294" s="32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R294" s="25"/>
      <c r="S294" s="25"/>
    </row>
    <row r="295" spans="2:31" x14ac:dyDescent="0.15">
      <c r="B295" s="32"/>
      <c r="C295" s="32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R295" s="25"/>
      <c r="S295" s="25"/>
    </row>
    <row r="296" spans="2:31" x14ac:dyDescent="0.15">
      <c r="B296" s="32"/>
      <c r="C296" s="32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R296" s="25"/>
      <c r="S296" s="25"/>
    </row>
    <row r="297" spans="2:31" x14ac:dyDescent="0.15">
      <c r="B297" s="32"/>
      <c r="C297" s="32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R297" s="25"/>
      <c r="S297" s="25"/>
      <c r="Z297" s="50"/>
    </row>
    <row r="298" spans="2:31" x14ac:dyDescent="0.15">
      <c r="B298" s="32"/>
      <c r="C298" s="32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R298" s="25"/>
      <c r="S298" s="25"/>
      <c r="Z298" s="50"/>
    </row>
    <row r="299" spans="2:31" x14ac:dyDescent="0.15">
      <c r="B299" s="32"/>
      <c r="C299" s="32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R299" s="25"/>
      <c r="S299" s="25"/>
      <c r="Z299" s="50"/>
    </row>
    <row r="300" spans="2:31" x14ac:dyDescent="0.15">
      <c r="B300" s="32"/>
      <c r="C300" s="32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R300" s="25"/>
      <c r="S300" s="25"/>
      <c r="Z300" s="50"/>
    </row>
    <row r="301" spans="2:31" x14ac:dyDescent="0.15">
      <c r="B301" s="32"/>
      <c r="C301" s="32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R301" s="25"/>
      <c r="S301" s="25"/>
      <c r="Z301" s="50"/>
    </row>
    <row r="302" spans="2:31" x14ac:dyDescent="0.15">
      <c r="B302" s="32"/>
      <c r="C302" s="32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R302" s="25"/>
      <c r="S302" s="25"/>
      <c r="Z302" s="50"/>
    </row>
    <row r="303" spans="2:31" s="50" customFormat="1" x14ac:dyDescent="0.15">
      <c r="B303" s="32"/>
      <c r="C303" s="32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R303" s="25"/>
      <c r="S303" s="25"/>
      <c r="T303" s="21"/>
      <c r="U303" s="10"/>
      <c r="V303" s="10"/>
      <c r="W303" s="10"/>
      <c r="X303" s="10"/>
      <c r="Y303" s="10"/>
      <c r="AD303" s="230"/>
      <c r="AE303" s="230"/>
    </row>
    <row r="304" spans="2:31" s="50" customFormat="1" x14ac:dyDescent="0.15">
      <c r="B304" s="32"/>
      <c r="C304" s="32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R304" s="25"/>
      <c r="S304" s="25"/>
      <c r="T304" s="21"/>
      <c r="U304" s="10"/>
      <c r="V304" s="10"/>
      <c r="W304" s="10"/>
      <c r="X304" s="10"/>
      <c r="Y304" s="10"/>
      <c r="AD304" s="230"/>
      <c r="AE304" s="230"/>
    </row>
    <row r="305" spans="2:31" s="50" customFormat="1" x14ac:dyDescent="0.15">
      <c r="B305" s="32"/>
      <c r="C305" s="32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R305" s="25"/>
      <c r="S305" s="25"/>
      <c r="T305" s="21"/>
      <c r="U305" s="10"/>
      <c r="V305" s="10"/>
      <c r="W305" s="10"/>
      <c r="X305" s="10"/>
      <c r="Y305" s="10"/>
      <c r="AD305" s="230"/>
      <c r="AE305" s="230"/>
    </row>
    <row r="306" spans="2:31" s="50" customFormat="1" x14ac:dyDescent="0.15">
      <c r="B306" s="32"/>
      <c r="C306" s="32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R306" s="25"/>
      <c r="S306" s="25"/>
      <c r="T306" s="21"/>
      <c r="U306" s="10"/>
      <c r="V306" s="10"/>
      <c r="W306" s="10"/>
      <c r="X306" s="10"/>
      <c r="Y306" s="10"/>
      <c r="AD306" s="230"/>
      <c r="AE306" s="230"/>
    </row>
    <row r="307" spans="2:31" s="50" customFormat="1" x14ac:dyDescent="0.15">
      <c r="B307" s="32"/>
      <c r="C307" s="32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R307" s="25"/>
      <c r="S307" s="25"/>
      <c r="T307" s="21"/>
      <c r="U307" s="10"/>
      <c r="V307" s="10"/>
      <c r="W307" s="10"/>
      <c r="X307" s="10"/>
      <c r="Y307" s="10"/>
      <c r="AD307" s="247"/>
      <c r="AE307" s="247"/>
    </row>
    <row r="308" spans="2:31" s="50" customFormat="1" x14ac:dyDescent="0.15">
      <c r="B308" s="32"/>
      <c r="C308" s="32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R308" s="25"/>
      <c r="S308" s="25"/>
      <c r="T308" s="21"/>
      <c r="U308" s="10"/>
      <c r="V308" s="10"/>
      <c r="W308" s="10"/>
      <c r="X308" s="10"/>
      <c r="Y308" s="10"/>
      <c r="AD308" s="247"/>
      <c r="AE308" s="247"/>
    </row>
    <row r="309" spans="2:31" s="50" customFormat="1" x14ac:dyDescent="0.15">
      <c r="B309" s="32"/>
      <c r="C309" s="32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R309" s="25"/>
      <c r="S309" s="25"/>
      <c r="T309" s="21"/>
      <c r="U309" s="10"/>
      <c r="V309" s="10"/>
      <c r="W309" s="10"/>
      <c r="X309" s="10"/>
      <c r="Y309" s="10"/>
      <c r="AD309" s="247"/>
      <c r="AE309" s="247"/>
    </row>
    <row r="310" spans="2:31" s="50" customFormat="1" x14ac:dyDescent="0.15">
      <c r="B310" s="32"/>
      <c r="C310" s="32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R310" s="25"/>
      <c r="S310" s="25"/>
      <c r="T310" s="21"/>
      <c r="U310" s="10"/>
      <c r="V310" s="10"/>
      <c r="W310" s="10"/>
      <c r="X310" s="10"/>
      <c r="Y310" s="10"/>
      <c r="AD310" s="247"/>
      <c r="AE310" s="247"/>
    </row>
    <row r="311" spans="2:31" s="50" customFormat="1" x14ac:dyDescent="0.15">
      <c r="B311" s="32"/>
      <c r="C311" s="32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R311" s="25"/>
      <c r="S311" s="25"/>
      <c r="T311" s="21"/>
      <c r="U311" s="10"/>
      <c r="V311" s="10"/>
      <c r="W311" s="10"/>
      <c r="X311" s="10"/>
      <c r="Y311" s="10"/>
      <c r="AD311" s="247"/>
      <c r="AE311" s="247"/>
    </row>
    <row r="312" spans="2:31" s="50" customFormat="1" x14ac:dyDescent="0.15">
      <c r="B312" s="32"/>
      <c r="C312" s="32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R312" s="25"/>
      <c r="S312" s="25"/>
      <c r="T312" s="21"/>
      <c r="U312" s="10"/>
      <c r="V312" s="10"/>
      <c r="W312" s="10"/>
      <c r="X312" s="10"/>
      <c r="Y312" s="10"/>
      <c r="AD312" s="247"/>
      <c r="AE312" s="247"/>
    </row>
    <row r="313" spans="2:31" s="50" customFormat="1" x14ac:dyDescent="0.15">
      <c r="B313" s="32"/>
      <c r="C313" s="32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R313" s="25"/>
      <c r="S313" s="25"/>
      <c r="T313" s="21"/>
      <c r="U313" s="10"/>
      <c r="V313" s="10"/>
      <c r="W313" s="10"/>
      <c r="X313" s="10"/>
      <c r="Y313" s="10"/>
      <c r="AD313" s="247"/>
      <c r="AE313" s="247"/>
    </row>
    <row r="314" spans="2:31" s="50" customFormat="1" x14ac:dyDescent="0.15">
      <c r="B314" s="32"/>
      <c r="C314" s="32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R314" s="25"/>
      <c r="S314" s="25"/>
      <c r="T314" s="21"/>
      <c r="U314" s="10"/>
      <c r="V314" s="10"/>
      <c r="W314" s="10"/>
      <c r="X314" s="10"/>
      <c r="Y314" s="10"/>
      <c r="AD314" s="247"/>
      <c r="AE314" s="247"/>
    </row>
    <row r="315" spans="2:31" s="50" customFormat="1" x14ac:dyDescent="0.15">
      <c r="B315" s="32"/>
      <c r="C315" s="32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R315" s="25"/>
      <c r="S315" s="25"/>
      <c r="T315" s="21"/>
      <c r="U315" s="10"/>
      <c r="V315" s="10"/>
      <c r="W315" s="10"/>
      <c r="X315" s="10"/>
      <c r="Y315" s="10"/>
      <c r="AD315" s="247"/>
      <c r="AE315" s="247"/>
    </row>
    <row r="316" spans="2:31" s="50" customFormat="1" x14ac:dyDescent="0.15">
      <c r="B316" s="32"/>
      <c r="C316" s="32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R316" s="25"/>
      <c r="S316" s="25"/>
      <c r="T316" s="21"/>
      <c r="U316" s="10"/>
      <c r="V316" s="10"/>
      <c r="W316" s="10"/>
      <c r="X316" s="10"/>
      <c r="Y316" s="10"/>
      <c r="AD316" s="247"/>
      <c r="AE316" s="247"/>
    </row>
    <row r="317" spans="2:31" s="50" customFormat="1" x14ac:dyDescent="0.15">
      <c r="B317" s="32"/>
      <c r="C317" s="32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R317" s="25"/>
      <c r="S317" s="25"/>
      <c r="T317" s="21"/>
      <c r="U317" s="10"/>
      <c r="V317" s="10"/>
      <c r="W317" s="10"/>
      <c r="X317" s="10"/>
      <c r="Y317" s="10"/>
      <c r="AD317" s="247"/>
      <c r="AE317" s="247"/>
    </row>
    <row r="318" spans="2:31" s="50" customFormat="1" x14ac:dyDescent="0.15">
      <c r="B318" s="32"/>
      <c r="C318" s="32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R318" s="25"/>
      <c r="S318" s="25"/>
      <c r="T318" s="21"/>
      <c r="U318" s="10"/>
      <c r="V318" s="10"/>
      <c r="W318" s="10"/>
      <c r="X318" s="10"/>
      <c r="Y318" s="10"/>
      <c r="AD318" s="247"/>
      <c r="AE318" s="247"/>
    </row>
    <row r="319" spans="2:31" s="50" customFormat="1" x14ac:dyDescent="0.15">
      <c r="B319" s="32"/>
      <c r="C319" s="32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R319" s="25"/>
      <c r="S319" s="25"/>
      <c r="T319" s="21"/>
      <c r="U319" s="10"/>
      <c r="V319" s="10"/>
      <c r="W319" s="10"/>
      <c r="X319" s="10"/>
      <c r="Y319" s="10"/>
      <c r="AD319" s="247"/>
      <c r="AE319" s="247"/>
    </row>
    <row r="320" spans="2:31" s="50" customFormat="1" x14ac:dyDescent="0.15">
      <c r="B320" s="32"/>
      <c r="C320" s="32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R320" s="25"/>
      <c r="S320" s="25"/>
      <c r="T320" s="21"/>
      <c r="U320" s="10"/>
      <c r="V320" s="10"/>
      <c r="W320" s="10"/>
      <c r="X320" s="10"/>
      <c r="Y320" s="10"/>
      <c r="AD320" s="247"/>
      <c r="AE320" s="247"/>
    </row>
    <row r="321" spans="2:31" s="50" customFormat="1" x14ac:dyDescent="0.15">
      <c r="B321" s="32"/>
      <c r="C321" s="32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R321" s="25"/>
      <c r="S321" s="25"/>
      <c r="T321" s="21"/>
      <c r="U321" s="10"/>
      <c r="V321" s="10"/>
      <c r="W321" s="10"/>
      <c r="X321" s="10"/>
      <c r="Y321" s="10"/>
      <c r="AD321" s="247"/>
      <c r="AE321" s="247"/>
    </row>
    <row r="322" spans="2:31" s="50" customFormat="1" x14ac:dyDescent="0.15">
      <c r="B322" s="32"/>
      <c r="C322" s="32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R322" s="26"/>
      <c r="S322" s="26"/>
      <c r="T322" s="21"/>
      <c r="U322" s="10"/>
      <c r="V322" s="10"/>
      <c r="W322" s="10"/>
      <c r="X322" s="10"/>
      <c r="Y322" s="10"/>
      <c r="AD322" s="247"/>
      <c r="AE322" s="247"/>
    </row>
    <row r="323" spans="2:31" s="50" customFormat="1" x14ac:dyDescent="0.15">
      <c r="B323" s="32"/>
      <c r="C323" s="32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R323" s="26"/>
      <c r="S323" s="26"/>
      <c r="T323" s="21"/>
      <c r="U323" s="10"/>
      <c r="V323" s="10"/>
      <c r="W323" s="10"/>
      <c r="X323" s="10"/>
      <c r="Y323" s="10"/>
      <c r="AD323" s="247"/>
      <c r="AE323" s="247"/>
    </row>
    <row r="324" spans="2:31" s="50" customFormat="1" x14ac:dyDescent="0.15">
      <c r="B324" s="32"/>
      <c r="C324" s="32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R324" s="26"/>
      <c r="S324" s="26"/>
      <c r="T324" s="21"/>
      <c r="U324" s="10"/>
      <c r="V324" s="10"/>
      <c r="W324" s="10"/>
      <c r="X324" s="10"/>
      <c r="Y324" s="10"/>
      <c r="AD324" s="247"/>
      <c r="AE324" s="247"/>
    </row>
    <row r="325" spans="2:31" s="50" customFormat="1" x14ac:dyDescent="0.15">
      <c r="B325" s="32"/>
      <c r="C325" s="32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R325" s="26"/>
      <c r="S325" s="26"/>
      <c r="T325" s="21"/>
      <c r="U325" s="10"/>
      <c r="V325" s="10"/>
      <c r="W325" s="10"/>
      <c r="X325" s="10"/>
      <c r="Y325" s="10"/>
      <c r="AD325" s="247"/>
      <c r="AE325" s="247"/>
    </row>
    <row r="326" spans="2:31" s="50" customFormat="1" x14ac:dyDescent="0.15">
      <c r="B326" s="32"/>
      <c r="C326" s="32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R326" s="26"/>
      <c r="S326" s="26"/>
      <c r="T326" s="21"/>
      <c r="U326" s="10"/>
      <c r="V326" s="20"/>
      <c r="W326" s="20"/>
      <c r="X326" s="20"/>
      <c r="Y326" s="20"/>
      <c r="AD326" s="247"/>
      <c r="AE326" s="247"/>
    </row>
    <row r="327" spans="2:31" s="50" customFormat="1" x14ac:dyDescent="0.15">
      <c r="B327" s="32"/>
      <c r="C327" s="32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R327" s="26"/>
      <c r="S327" s="26"/>
      <c r="T327" s="21"/>
      <c r="U327" s="10"/>
      <c r="V327" s="20"/>
      <c r="W327" s="20"/>
      <c r="X327" s="20"/>
      <c r="Y327" s="20"/>
      <c r="AD327" s="247"/>
      <c r="AE327" s="247"/>
    </row>
    <row r="328" spans="2:31" s="50" customFormat="1" x14ac:dyDescent="0.15">
      <c r="B328" s="32"/>
      <c r="C328" s="32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R328" s="26"/>
      <c r="S328" s="26"/>
      <c r="T328" s="21"/>
      <c r="U328" s="10"/>
      <c r="V328" s="20"/>
      <c r="W328" s="20"/>
      <c r="X328" s="20"/>
      <c r="Y328" s="20"/>
      <c r="AD328" s="247"/>
      <c r="AE328" s="247"/>
    </row>
    <row r="329" spans="2:31" s="50" customFormat="1" x14ac:dyDescent="0.15">
      <c r="B329" s="32"/>
      <c r="C329" s="32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R329" s="26"/>
      <c r="S329" s="26"/>
      <c r="T329" s="21"/>
      <c r="U329" s="10"/>
      <c r="V329" s="20"/>
      <c r="W329" s="20"/>
      <c r="X329" s="20"/>
      <c r="Y329" s="20"/>
      <c r="AD329" s="247"/>
      <c r="AE329" s="247"/>
    </row>
    <row r="330" spans="2:31" s="50" customFormat="1" x14ac:dyDescent="0.15">
      <c r="B330" s="32"/>
      <c r="C330" s="32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R330" s="26"/>
      <c r="S330" s="26"/>
      <c r="T330" s="21"/>
      <c r="U330" s="10"/>
      <c r="V330" s="20"/>
      <c r="W330" s="20"/>
      <c r="X330" s="20"/>
      <c r="Y330" s="20"/>
      <c r="AD330" s="247"/>
      <c r="AE330" s="247"/>
    </row>
    <row r="331" spans="2:31" s="50" customFormat="1" x14ac:dyDescent="0.15">
      <c r="B331" s="32"/>
      <c r="C331" s="32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R331" s="26"/>
      <c r="S331" s="26"/>
      <c r="T331" s="21"/>
      <c r="U331" s="20"/>
      <c r="V331" s="20"/>
      <c r="W331" s="20"/>
      <c r="X331" s="20"/>
      <c r="Y331" s="20"/>
      <c r="AD331" s="247"/>
      <c r="AE331" s="247"/>
    </row>
    <row r="332" spans="2:31" s="50" customFormat="1" x14ac:dyDescent="0.15">
      <c r="B332" s="32"/>
      <c r="C332" s="32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R332" s="26"/>
      <c r="S332" s="26"/>
      <c r="T332" s="21"/>
      <c r="U332" s="20"/>
      <c r="V332" s="20"/>
      <c r="W332" s="20"/>
      <c r="X332" s="20"/>
      <c r="Y332" s="20"/>
      <c r="AD332" s="247"/>
      <c r="AE332" s="247"/>
    </row>
    <row r="333" spans="2:31" s="50" customFormat="1" x14ac:dyDescent="0.15">
      <c r="B333" s="32"/>
      <c r="C333" s="32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R333" s="26"/>
      <c r="S333" s="26"/>
      <c r="T333" s="21"/>
      <c r="U333" s="20"/>
      <c r="V333" s="20"/>
      <c r="W333" s="20"/>
      <c r="X333" s="20"/>
      <c r="Y333" s="20"/>
      <c r="AD333" s="247"/>
      <c r="AE333" s="247"/>
    </row>
    <row r="334" spans="2:31" s="50" customFormat="1" x14ac:dyDescent="0.15">
      <c r="B334" s="32"/>
      <c r="C334" s="32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R334" s="26"/>
      <c r="S334" s="26"/>
      <c r="T334" s="21"/>
      <c r="U334" s="20"/>
      <c r="V334" s="20"/>
      <c r="W334" s="20"/>
      <c r="X334" s="20"/>
      <c r="Y334" s="20"/>
      <c r="AD334" s="247"/>
      <c r="AE334" s="247"/>
    </row>
    <row r="335" spans="2:31" s="50" customFormat="1" x14ac:dyDescent="0.15">
      <c r="B335" s="32"/>
      <c r="C335" s="32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R335" s="26"/>
      <c r="S335" s="26"/>
      <c r="T335" s="21"/>
      <c r="U335" s="20"/>
      <c r="V335" s="20"/>
      <c r="W335" s="20"/>
      <c r="X335" s="20"/>
      <c r="Y335" s="20"/>
      <c r="AD335" s="247"/>
      <c r="AE335" s="247"/>
    </row>
    <row r="336" spans="2:31" s="50" customFormat="1" x14ac:dyDescent="0.15">
      <c r="B336" s="32"/>
      <c r="C336" s="32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R336" s="26"/>
      <c r="S336" s="26"/>
      <c r="T336" s="21"/>
      <c r="U336" s="20"/>
      <c r="V336" s="20"/>
      <c r="W336" s="20"/>
      <c r="X336" s="20"/>
      <c r="Y336" s="20"/>
      <c r="AD336" s="247"/>
      <c r="AE336" s="247"/>
    </row>
    <row r="337" spans="2:31" s="50" customFormat="1" x14ac:dyDescent="0.15">
      <c r="B337" s="32"/>
      <c r="C337" s="32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R337" s="26"/>
      <c r="S337" s="26"/>
      <c r="T337" s="21"/>
      <c r="U337" s="20"/>
      <c r="V337" s="20"/>
      <c r="W337" s="20"/>
      <c r="X337" s="20"/>
      <c r="Y337" s="20"/>
      <c r="AD337" s="247"/>
      <c r="AE337" s="247"/>
    </row>
    <row r="338" spans="2:31" s="50" customFormat="1" x14ac:dyDescent="0.15">
      <c r="B338" s="32"/>
      <c r="C338" s="32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R338" s="26"/>
      <c r="S338" s="26"/>
      <c r="T338" s="21"/>
      <c r="U338" s="20"/>
      <c r="V338" s="20"/>
      <c r="W338" s="20"/>
      <c r="X338" s="20"/>
      <c r="Y338" s="20"/>
      <c r="AD338" s="247"/>
      <c r="AE338" s="247"/>
    </row>
    <row r="339" spans="2:31" s="50" customFormat="1" x14ac:dyDescent="0.15">
      <c r="B339" s="32"/>
      <c r="C339" s="32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R339" s="26"/>
      <c r="S339" s="26"/>
      <c r="T339" s="21"/>
      <c r="U339" s="20"/>
      <c r="V339" s="20"/>
      <c r="W339" s="20"/>
      <c r="X339" s="20"/>
      <c r="Y339" s="20"/>
      <c r="AD339" s="247"/>
      <c r="AE339" s="247"/>
    </row>
    <row r="340" spans="2:31" s="50" customFormat="1" x14ac:dyDescent="0.15">
      <c r="B340" s="32"/>
      <c r="C340" s="32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R340" s="26"/>
      <c r="S340" s="26"/>
      <c r="T340" s="21"/>
      <c r="U340" s="20"/>
      <c r="V340" s="20"/>
      <c r="W340" s="20"/>
      <c r="X340" s="20"/>
      <c r="Y340" s="20"/>
      <c r="AD340" s="247"/>
      <c r="AE340" s="247"/>
    </row>
    <row r="341" spans="2:31" s="50" customFormat="1" x14ac:dyDescent="0.15">
      <c r="B341" s="32"/>
      <c r="C341" s="32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R341" s="26"/>
      <c r="S341" s="26"/>
      <c r="T341" s="21"/>
      <c r="U341" s="20"/>
      <c r="V341" s="20"/>
      <c r="W341" s="20"/>
      <c r="X341" s="20"/>
      <c r="Y341" s="20"/>
      <c r="AD341" s="247"/>
      <c r="AE341" s="247"/>
    </row>
    <row r="342" spans="2:31" s="50" customFormat="1" x14ac:dyDescent="0.15">
      <c r="B342" s="32"/>
      <c r="C342" s="32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R342" s="26"/>
      <c r="S342" s="26"/>
      <c r="T342" s="21"/>
      <c r="U342" s="20"/>
      <c r="V342" s="20"/>
      <c r="W342" s="20"/>
      <c r="X342" s="20"/>
      <c r="Y342" s="20"/>
      <c r="AD342" s="247"/>
      <c r="AE342" s="247"/>
    </row>
    <row r="343" spans="2:31" s="50" customFormat="1" x14ac:dyDescent="0.15">
      <c r="B343" s="32"/>
      <c r="C343" s="32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R343" s="26"/>
      <c r="S343" s="26"/>
      <c r="T343" s="21"/>
      <c r="U343" s="20"/>
      <c r="V343" s="20"/>
      <c r="W343" s="20"/>
      <c r="X343" s="20"/>
      <c r="Y343" s="20"/>
      <c r="AD343" s="247"/>
      <c r="AE343" s="247"/>
    </row>
    <row r="344" spans="2:31" s="50" customFormat="1" x14ac:dyDescent="0.15">
      <c r="B344" s="32"/>
      <c r="C344" s="32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R344" s="26"/>
      <c r="S344" s="26"/>
      <c r="T344" s="21"/>
      <c r="U344" s="20"/>
      <c r="V344" s="20"/>
      <c r="W344" s="20"/>
      <c r="X344" s="20"/>
      <c r="Y344" s="20"/>
      <c r="AD344" s="247"/>
      <c r="AE344" s="247"/>
    </row>
    <row r="345" spans="2:31" s="50" customFormat="1" x14ac:dyDescent="0.15">
      <c r="B345" s="32"/>
      <c r="C345" s="32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R345" s="26"/>
      <c r="S345" s="26"/>
      <c r="T345" s="21"/>
      <c r="U345" s="20"/>
      <c r="V345" s="20"/>
      <c r="W345" s="20"/>
      <c r="X345" s="20"/>
      <c r="Y345" s="20"/>
      <c r="AD345" s="247"/>
      <c r="AE345" s="247"/>
    </row>
    <row r="346" spans="2:31" s="50" customFormat="1" x14ac:dyDescent="0.15">
      <c r="B346" s="32"/>
      <c r="C346" s="32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R346" s="26"/>
      <c r="S346" s="26"/>
      <c r="T346" s="21"/>
      <c r="U346" s="20"/>
      <c r="V346" s="20"/>
      <c r="W346" s="20"/>
      <c r="X346" s="20"/>
      <c r="Y346" s="20"/>
      <c r="AD346" s="247"/>
      <c r="AE346" s="247"/>
    </row>
    <row r="347" spans="2:31" s="50" customFormat="1" x14ac:dyDescent="0.15">
      <c r="B347" s="32"/>
      <c r="C347" s="32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R347" s="26"/>
      <c r="S347" s="26"/>
      <c r="T347" s="21"/>
      <c r="U347" s="20"/>
      <c r="V347" s="20"/>
      <c r="W347" s="20"/>
      <c r="X347" s="20"/>
      <c r="Y347" s="20"/>
      <c r="AD347" s="247"/>
      <c r="AE347" s="247"/>
    </row>
    <row r="348" spans="2:31" s="50" customFormat="1" x14ac:dyDescent="0.15">
      <c r="B348" s="32"/>
      <c r="C348" s="32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R348" s="26"/>
      <c r="S348" s="26"/>
      <c r="T348" s="21"/>
      <c r="U348" s="20"/>
      <c r="V348" s="20"/>
      <c r="W348" s="20"/>
      <c r="X348" s="20"/>
      <c r="Y348" s="20"/>
      <c r="AD348" s="247"/>
      <c r="AE348" s="247"/>
    </row>
    <row r="349" spans="2:31" s="50" customFormat="1" x14ac:dyDescent="0.15">
      <c r="B349" s="32"/>
      <c r="C349" s="32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R349" s="26"/>
      <c r="S349" s="26"/>
      <c r="T349" s="21"/>
      <c r="U349" s="20"/>
      <c r="V349" s="20"/>
      <c r="W349" s="20"/>
      <c r="X349" s="20"/>
      <c r="Y349" s="20"/>
      <c r="AD349" s="247"/>
      <c r="AE349" s="247"/>
    </row>
    <row r="350" spans="2:31" s="50" customFormat="1" x14ac:dyDescent="0.15">
      <c r="B350" s="32"/>
      <c r="C350" s="32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R350" s="26"/>
      <c r="S350" s="26"/>
      <c r="T350" s="21"/>
      <c r="U350" s="20"/>
      <c r="V350" s="20"/>
      <c r="W350" s="20"/>
      <c r="X350" s="20"/>
      <c r="Y350" s="20"/>
      <c r="AD350" s="247"/>
      <c r="AE350" s="247"/>
    </row>
    <row r="351" spans="2:31" s="50" customFormat="1" x14ac:dyDescent="0.15">
      <c r="B351" s="32"/>
      <c r="C351" s="32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R351" s="26"/>
      <c r="S351" s="26"/>
      <c r="T351" s="21"/>
      <c r="U351" s="20"/>
      <c r="V351" s="20"/>
      <c r="W351" s="20"/>
      <c r="X351" s="20"/>
      <c r="Y351" s="20"/>
      <c r="AD351" s="247"/>
      <c r="AE351" s="247"/>
    </row>
    <row r="352" spans="2:31" s="50" customFormat="1" x14ac:dyDescent="0.15">
      <c r="B352" s="32"/>
      <c r="C352" s="32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R352" s="26"/>
      <c r="S352" s="26"/>
      <c r="T352" s="21"/>
      <c r="U352" s="20"/>
      <c r="V352" s="20"/>
      <c r="W352" s="20"/>
      <c r="X352" s="20"/>
      <c r="Y352" s="20"/>
      <c r="AD352" s="247"/>
      <c r="AE352" s="247"/>
    </row>
    <row r="353" spans="2:31" s="50" customFormat="1" x14ac:dyDescent="0.15">
      <c r="B353" s="32"/>
      <c r="C353" s="32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R353" s="26"/>
      <c r="S353" s="26"/>
      <c r="T353" s="21"/>
      <c r="U353" s="20"/>
      <c r="V353" s="20"/>
      <c r="W353" s="20"/>
      <c r="X353" s="20"/>
      <c r="Y353" s="20"/>
      <c r="AD353" s="247"/>
      <c r="AE353" s="247"/>
    </row>
    <row r="354" spans="2:31" s="50" customFormat="1" x14ac:dyDescent="0.15">
      <c r="B354" s="32"/>
      <c r="C354" s="32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R354" s="26"/>
      <c r="S354" s="26"/>
      <c r="T354" s="21"/>
      <c r="U354" s="20"/>
      <c r="V354" s="20"/>
      <c r="W354" s="20"/>
      <c r="X354" s="20"/>
      <c r="Y354" s="20"/>
      <c r="AD354" s="247"/>
      <c r="AE354" s="247"/>
    </row>
    <row r="355" spans="2:31" s="50" customFormat="1" x14ac:dyDescent="0.15">
      <c r="B355" s="32"/>
      <c r="C355" s="32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R355" s="26"/>
      <c r="S355" s="26"/>
      <c r="T355" s="21"/>
      <c r="U355" s="20"/>
      <c r="V355" s="20"/>
      <c r="W355" s="20"/>
      <c r="X355" s="20"/>
      <c r="Y355" s="20"/>
      <c r="AD355" s="247"/>
      <c r="AE355" s="247"/>
    </row>
    <row r="356" spans="2:31" s="50" customFormat="1" x14ac:dyDescent="0.15">
      <c r="B356" s="32"/>
      <c r="C356" s="32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R356" s="26"/>
      <c r="S356" s="26"/>
      <c r="T356" s="21"/>
      <c r="U356" s="20"/>
      <c r="V356" s="20"/>
      <c r="W356" s="20"/>
      <c r="X356" s="20"/>
      <c r="Y356" s="20"/>
      <c r="AD356" s="247"/>
      <c r="AE356" s="247"/>
    </row>
    <row r="357" spans="2:31" s="50" customFormat="1" x14ac:dyDescent="0.15">
      <c r="B357" s="32"/>
      <c r="C357" s="32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R357" s="26"/>
      <c r="S357" s="26"/>
      <c r="T357" s="21"/>
      <c r="U357" s="20"/>
      <c r="V357" s="20"/>
      <c r="W357" s="20"/>
      <c r="X357" s="20"/>
      <c r="Y357" s="20"/>
      <c r="AD357" s="247"/>
      <c r="AE357" s="247"/>
    </row>
    <row r="358" spans="2:31" s="50" customFormat="1" x14ac:dyDescent="0.15">
      <c r="B358" s="32"/>
      <c r="C358" s="32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R358" s="26"/>
      <c r="S358" s="26"/>
      <c r="T358" s="21"/>
      <c r="U358" s="20"/>
      <c r="V358" s="20"/>
      <c r="W358" s="20"/>
      <c r="X358" s="20"/>
      <c r="Y358" s="20"/>
      <c r="AD358" s="247"/>
      <c r="AE358" s="247"/>
    </row>
    <row r="359" spans="2:31" s="50" customFormat="1" x14ac:dyDescent="0.15">
      <c r="B359" s="32"/>
      <c r="C359" s="32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R359" s="26"/>
      <c r="S359" s="26"/>
      <c r="T359" s="21"/>
      <c r="U359" s="20"/>
      <c r="V359" s="20"/>
      <c r="W359" s="20"/>
      <c r="X359" s="20"/>
      <c r="Y359" s="20"/>
      <c r="AD359" s="247"/>
      <c r="AE359" s="247"/>
    </row>
    <row r="360" spans="2:31" s="50" customFormat="1" x14ac:dyDescent="0.15">
      <c r="B360" s="32"/>
      <c r="C360" s="32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R360" s="26"/>
      <c r="S360" s="26"/>
      <c r="T360" s="21"/>
      <c r="U360" s="20"/>
      <c r="V360" s="20"/>
      <c r="W360" s="20"/>
      <c r="X360" s="20"/>
      <c r="Y360" s="20"/>
      <c r="AD360" s="247"/>
      <c r="AE360" s="247"/>
    </row>
    <row r="361" spans="2:31" s="50" customFormat="1" x14ac:dyDescent="0.15">
      <c r="B361" s="32"/>
      <c r="C361" s="32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R361" s="26"/>
      <c r="S361" s="26"/>
      <c r="T361" s="21"/>
      <c r="U361" s="20"/>
      <c r="V361" s="20"/>
      <c r="W361" s="20"/>
      <c r="X361" s="20"/>
      <c r="Y361" s="20"/>
      <c r="AD361" s="247"/>
      <c r="AE361" s="247"/>
    </row>
    <row r="362" spans="2:31" s="50" customFormat="1" x14ac:dyDescent="0.15">
      <c r="B362" s="32"/>
      <c r="C362" s="32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R362" s="26"/>
      <c r="S362" s="26"/>
      <c r="T362" s="21"/>
      <c r="U362" s="20"/>
      <c r="V362" s="20"/>
      <c r="W362" s="20"/>
      <c r="X362" s="20"/>
      <c r="Y362" s="20"/>
      <c r="AD362" s="247"/>
      <c r="AE362" s="247"/>
    </row>
    <row r="363" spans="2:31" s="50" customFormat="1" x14ac:dyDescent="0.15">
      <c r="B363" s="32"/>
      <c r="C363" s="32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R363" s="26"/>
      <c r="S363" s="26"/>
      <c r="T363" s="21"/>
      <c r="U363" s="20"/>
      <c r="V363" s="20"/>
      <c r="W363" s="20"/>
      <c r="X363" s="20"/>
      <c r="Y363" s="20"/>
      <c r="AD363" s="247"/>
      <c r="AE363" s="247"/>
    </row>
    <row r="364" spans="2:31" s="50" customFormat="1" x14ac:dyDescent="0.15">
      <c r="B364" s="32"/>
      <c r="C364" s="32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R364" s="26"/>
      <c r="S364" s="26"/>
      <c r="T364" s="21"/>
      <c r="U364" s="20"/>
      <c r="V364" s="20"/>
      <c r="W364" s="20"/>
      <c r="X364" s="20"/>
      <c r="Y364" s="20"/>
      <c r="AD364" s="247"/>
      <c r="AE364" s="247"/>
    </row>
    <row r="365" spans="2:31" s="50" customFormat="1" x14ac:dyDescent="0.15">
      <c r="B365" s="32"/>
      <c r="C365" s="32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R365" s="26"/>
      <c r="S365" s="26"/>
      <c r="T365" s="21"/>
      <c r="U365" s="20"/>
      <c r="V365" s="20"/>
      <c r="W365" s="20"/>
      <c r="X365" s="20"/>
      <c r="Y365" s="20"/>
      <c r="AD365" s="247"/>
      <c r="AE365" s="247"/>
    </row>
    <row r="366" spans="2:31" s="50" customFormat="1" x14ac:dyDescent="0.15">
      <c r="B366" s="32"/>
      <c r="C366" s="32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R366" s="26"/>
      <c r="S366" s="26"/>
      <c r="T366" s="21"/>
      <c r="U366" s="20"/>
      <c r="V366" s="20"/>
      <c r="W366" s="20"/>
      <c r="X366" s="20"/>
      <c r="Y366" s="20"/>
      <c r="AD366" s="247"/>
      <c r="AE366" s="247"/>
    </row>
    <row r="367" spans="2:31" s="50" customFormat="1" x14ac:dyDescent="0.15">
      <c r="B367" s="32"/>
      <c r="C367" s="32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R367" s="26"/>
      <c r="S367" s="26"/>
      <c r="T367" s="21"/>
      <c r="U367" s="20"/>
      <c r="V367" s="20"/>
      <c r="W367" s="20"/>
      <c r="X367" s="20"/>
      <c r="Y367" s="20"/>
      <c r="AD367" s="247"/>
      <c r="AE367" s="247"/>
    </row>
    <row r="368" spans="2:31" s="50" customFormat="1" x14ac:dyDescent="0.15">
      <c r="B368" s="32"/>
      <c r="C368" s="32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R368" s="26"/>
      <c r="S368" s="26"/>
      <c r="T368" s="21"/>
      <c r="U368" s="20"/>
      <c r="V368" s="20"/>
      <c r="W368" s="20"/>
      <c r="X368" s="20"/>
      <c r="Y368" s="20"/>
      <c r="AD368" s="247"/>
      <c r="AE368" s="247"/>
    </row>
    <row r="369" spans="2:31" s="50" customFormat="1" x14ac:dyDescent="0.15">
      <c r="B369" s="32"/>
      <c r="C369" s="32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R369" s="26"/>
      <c r="S369" s="26"/>
      <c r="T369" s="21"/>
      <c r="U369" s="20"/>
      <c r="V369" s="20"/>
      <c r="W369" s="20"/>
      <c r="X369" s="20"/>
      <c r="Y369" s="20"/>
      <c r="AD369" s="247"/>
      <c r="AE369" s="247"/>
    </row>
    <row r="370" spans="2:31" s="50" customFormat="1" x14ac:dyDescent="0.15">
      <c r="B370" s="32"/>
      <c r="C370" s="32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R370" s="26"/>
      <c r="S370" s="26"/>
      <c r="T370" s="21"/>
      <c r="U370" s="20"/>
      <c r="V370" s="20"/>
      <c r="W370" s="20"/>
      <c r="X370" s="20"/>
      <c r="Y370" s="20"/>
      <c r="AD370" s="247"/>
      <c r="AE370" s="247"/>
    </row>
    <row r="371" spans="2:31" s="50" customFormat="1" x14ac:dyDescent="0.15">
      <c r="B371" s="32"/>
      <c r="C371" s="32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R371" s="26"/>
      <c r="S371" s="26"/>
      <c r="T371" s="21"/>
      <c r="U371" s="20"/>
      <c r="V371" s="20"/>
      <c r="W371" s="20"/>
      <c r="X371" s="20"/>
      <c r="Y371" s="20"/>
      <c r="AD371" s="247"/>
      <c r="AE371" s="247"/>
    </row>
    <row r="372" spans="2:31" s="50" customFormat="1" x14ac:dyDescent="0.15">
      <c r="B372" s="32"/>
      <c r="C372" s="32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R372" s="26"/>
      <c r="S372" s="26"/>
      <c r="T372" s="21"/>
      <c r="U372" s="20"/>
      <c r="V372" s="20"/>
      <c r="W372" s="20"/>
      <c r="X372" s="20"/>
      <c r="Y372" s="20"/>
      <c r="AD372" s="247"/>
      <c r="AE372" s="247"/>
    </row>
    <row r="373" spans="2:31" s="50" customFormat="1" x14ac:dyDescent="0.15">
      <c r="B373" s="32"/>
      <c r="C373" s="32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R373" s="26"/>
      <c r="S373" s="26"/>
      <c r="T373" s="21"/>
      <c r="U373" s="20"/>
      <c r="V373" s="20"/>
      <c r="W373" s="20"/>
      <c r="X373" s="20"/>
      <c r="Y373" s="20"/>
      <c r="AD373" s="247"/>
      <c r="AE373" s="247"/>
    </row>
    <row r="374" spans="2:31" s="50" customFormat="1" x14ac:dyDescent="0.15">
      <c r="B374" s="32"/>
      <c r="C374" s="32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R374" s="26"/>
      <c r="S374" s="26"/>
      <c r="T374" s="21"/>
      <c r="U374" s="20"/>
      <c r="V374" s="20"/>
      <c r="W374" s="20"/>
      <c r="X374" s="20"/>
      <c r="Y374" s="20"/>
      <c r="AD374" s="247"/>
      <c r="AE374" s="247"/>
    </row>
    <row r="375" spans="2:31" s="50" customFormat="1" x14ac:dyDescent="0.15">
      <c r="B375" s="32"/>
      <c r="C375" s="32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R375" s="26"/>
      <c r="S375" s="26"/>
      <c r="T375" s="21"/>
      <c r="U375" s="20"/>
      <c r="V375" s="20"/>
      <c r="W375" s="20"/>
      <c r="X375" s="20"/>
      <c r="Y375" s="20"/>
      <c r="AD375" s="247"/>
      <c r="AE375" s="247"/>
    </row>
    <row r="376" spans="2:31" s="50" customFormat="1" x14ac:dyDescent="0.15">
      <c r="B376" s="32"/>
      <c r="C376" s="32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R376" s="26"/>
      <c r="S376" s="26"/>
      <c r="T376" s="21"/>
      <c r="U376" s="20"/>
      <c r="V376" s="20"/>
      <c r="W376" s="20"/>
      <c r="X376" s="20"/>
      <c r="Y376" s="20"/>
      <c r="AD376" s="247"/>
      <c r="AE376" s="247"/>
    </row>
    <row r="377" spans="2:31" s="50" customFormat="1" x14ac:dyDescent="0.15">
      <c r="B377" s="32"/>
      <c r="C377" s="32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R377" s="26"/>
      <c r="S377" s="26"/>
      <c r="T377" s="21"/>
      <c r="U377" s="20"/>
      <c r="V377" s="20"/>
      <c r="W377" s="20"/>
      <c r="X377" s="20"/>
      <c r="Y377" s="20"/>
      <c r="AD377" s="247"/>
      <c r="AE377" s="247"/>
    </row>
    <row r="378" spans="2:31" s="50" customFormat="1" x14ac:dyDescent="0.15">
      <c r="B378" s="32"/>
      <c r="C378" s="32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R378" s="26"/>
      <c r="S378" s="26"/>
      <c r="T378" s="21"/>
      <c r="U378" s="20"/>
      <c r="V378" s="20"/>
      <c r="W378" s="20"/>
      <c r="X378" s="20"/>
      <c r="Y378" s="20"/>
      <c r="AD378" s="247"/>
      <c r="AE378" s="247"/>
    </row>
    <row r="379" spans="2:31" s="50" customFormat="1" x14ac:dyDescent="0.15">
      <c r="B379" s="32"/>
      <c r="C379" s="32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R379" s="26"/>
      <c r="S379" s="26"/>
      <c r="T379" s="21"/>
      <c r="U379" s="20"/>
      <c r="V379" s="20"/>
      <c r="W379" s="20"/>
      <c r="X379" s="20"/>
      <c r="Y379" s="20"/>
      <c r="AD379" s="247"/>
      <c r="AE379" s="247"/>
    </row>
    <row r="380" spans="2:31" s="50" customFormat="1" x14ac:dyDescent="0.15">
      <c r="B380" s="32"/>
      <c r="C380" s="32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R380" s="26"/>
      <c r="S380" s="26"/>
      <c r="T380" s="21"/>
      <c r="U380" s="20"/>
      <c r="V380" s="20"/>
      <c r="W380" s="20"/>
      <c r="X380" s="20"/>
      <c r="Y380" s="20"/>
      <c r="AD380" s="247"/>
      <c r="AE380" s="247"/>
    </row>
    <row r="381" spans="2:31" s="50" customFormat="1" x14ac:dyDescent="0.15">
      <c r="B381" s="32"/>
      <c r="C381" s="32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R381" s="26"/>
      <c r="S381" s="26"/>
      <c r="T381" s="21"/>
      <c r="U381" s="20"/>
      <c r="V381" s="20"/>
      <c r="W381" s="20"/>
      <c r="X381" s="20"/>
      <c r="Y381" s="20"/>
      <c r="AD381" s="247"/>
      <c r="AE381" s="247"/>
    </row>
    <row r="382" spans="2:31" s="50" customFormat="1" x14ac:dyDescent="0.15">
      <c r="B382" s="32"/>
      <c r="C382" s="32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R382" s="26"/>
      <c r="S382" s="26"/>
      <c r="T382" s="21"/>
      <c r="U382" s="20"/>
      <c r="V382" s="20"/>
      <c r="W382" s="20"/>
      <c r="X382" s="20"/>
      <c r="Y382" s="20"/>
      <c r="AD382" s="247"/>
      <c r="AE382" s="247"/>
    </row>
    <row r="383" spans="2:31" s="50" customFormat="1" x14ac:dyDescent="0.15">
      <c r="B383" s="32"/>
      <c r="C383" s="32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R383" s="26"/>
      <c r="S383" s="26"/>
      <c r="T383" s="21"/>
      <c r="U383" s="20"/>
      <c r="V383" s="20"/>
      <c r="W383" s="20"/>
      <c r="X383" s="20"/>
      <c r="Y383" s="20"/>
      <c r="AD383" s="247"/>
      <c r="AE383" s="247"/>
    </row>
    <row r="384" spans="2:31" s="50" customFormat="1" x14ac:dyDescent="0.15">
      <c r="B384" s="32"/>
      <c r="C384" s="32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R384" s="26"/>
      <c r="S384" s="26"/>
      <c r="T384" s="21"/>
      <c r="U384" s="20"/>
      <c r="V384" s="20"/>
      <c r="W384" s="20"/>
      <c r="X384" s="20"/>
      <c r="Y384" s="20"/>
      <c r="AD384" s="247"/>
      <c r="AE384" s="247"/>
    </row>
    <row r="385" spans="2:31" s="50" customFormat="1" x14ac:dyDescent="0.15">
      <c r="B385" s="32"/>
      <c r="C385" s="32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R385" s="26"/>
      <c r="S385" s="26"/>
      <c r="T385" s="21"/>
      <c r="U385" s="20"/>
      <c r="V385" s="20"/>
      <c r="W385" s="20"/>
      <c r="X385" s="20"/>
      <c r="Y385" s="20"/>
      <c r="AD385" s="247"/>
      <c r="AE385" s="247"/>
    </row>
    <row r="386" spans="2:31" s="50" customFormat="1" x14ac:dyDescent="0.15">
      <c r="B386" s="32"/>
      <c r="C386" s="32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R386" s="26"/>
      <c r="S386" s="26"/>
      <c r="T386" s="21"/>
      <c r="U386" s="20"/>
      <c r="V386" s="20"/>
      <c r="W386" s="20"/>
      <c r="X386" s="20"/>
      <c r="Y386" s="20"/>
      <c r="AD386" s="247"/>
      <c r="AE386" s="247"/>
    </row>
    <row r="387" spans="2:31" s="50" customFormat="1" x14ac:dyDescent="0.15">
      <c r="B387" s="32"/>
      <c r="C387" s="32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R387" s="26"/>
      <c r="S387" s="26"/>
      <c r="T387" s="21"/>
      <c r="U387" s="20"/>
      <c r="V387" s="20"/>
      <c r="W387" s="20"/>
      <c r="X387" s="20"/>
      <c r="Y387" s="20"/>
      <c r="AD387" s="247"/>
      <c r="AE387" s="247"/>
    </row>
    <row r="388" spans="2:31" s="50" customFormat="1" x14ac:dyDescent="0.15">
      <c r="B388" s="32"/>
      <c r="C388" s="32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R388" s="26"/>
      <c r="S388" s="26"/>
      <c r="T388" s="21"/>
      <c r="U388" s="20"/>
      <c r="V388" s="20"/>
      <c r="W388" s="20"/>
      <c r="X388" s="20"/>
      <c r="Y388" s="20"/>
      <c r="AD388" s="247"/>
      <c r="AE388" s="247"/>
    </row>
    <row r="389" spans="2:31" s="50" customFormat="1" x14ac:dyDescent="0.15">
      <c r="B389" s="32"/>
      <c r="C389" s="32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R389" s="26"/>
      <c r="S389" s="26"/>
      <c r="T389" s="21"/>
      <c r="U389" s="20"/>
      <c r="V389" s="20"/>
      <c r="W389" s="20"/>
      <c r="X389" s="20"/>
      <c r="Y389" s="20"/>
      <c r="AD389" s="247"/>
      <c r="AE389" s="247"/>
    </row>
    <row r="390" spans="2:31" s="50" customFormat="1" x14ac:dyDescent="0.15">
      <c r="B390" s="32"/>
      <c r="C390" s="32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R390" s="26"/>
      <c r="S390" s="26"/>
      <c r="T390" s="21"/>
      <c r="U390" s="20"/>
      <c r="V390" s="20"/>
      <c r="W390" s="20"/>
      <c r="X390" s="20"/>
      <c r="Y390" s="20"/>
      <c r="AD390" s="247"/>
      <c r="AE390" s="247"/>
    </row>
    <row r="391" spans="2:31" s="50" customFormat="1" x14ac:dyDescent="0.15">
      <c r="B391" s="32"/>
      <c r="C391" s="32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R391" s="26"/>
      <c r="S391" s="26"/>
      <c r="T391" s="21"/>
      <c r="U391" s="20"/>
      <c r="V391" s="20"/>
      <c r="W391" s="20"/>
      <c r="X391" s="20"/>
      <c r="Y391" s="20"/>
      <c r="AD391" s="247"/>
      <c r="AE391" s="247"/>
    </row>
    <row r="392" spans="2:31" s="50" customFormat="1" x14ac:dyDescent="0.15">
      <c r="B392" s="32"/>
      <c r="C392" s="32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R392" s="26"/>
      <c r="S392" s="26"/>
      <c r="T392" s="21"/>
      <c r="U392" s="20"/>
      <c r="V392" s="20"/>
      <c r="W392" s="20"/>
      <c r="X392" s="20"/>
      <c r="Y392" s="20"/>
      <c r="AD392" s="247"/>
      <c r="AE392" s="247"/>
    </row>
    <row r="393" spans="2:31" s="50" customFormat="1" x14ac:dyDescent="0.15">
      <c r="B393" s="32"/>
      <c r="C393" s="32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R393" s="26"/>
      <c r="S393" s="26"/>
      <c r="T393" s="21"/>
      <c r="U393" s="20"/>
      <c r="V393" s="20"/>
      <c r="W393" s="20"/>
      <c r="X393" s="20"/>
      <c r="Y393" s="20"/>
      <c r="AD393" s="247"/>
      <c r="AE393" s="247"/>
    </row>
    <row r="394" spans="2:31" s="50" customFormat="1" x14ac:dyDescent="0.15">
      <c r="B394" s="32"/>
      <c r="C394" s="32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R394" s="26"/>
      <c r="S394" s="26"/>
      <c r="T394" s="21"/>
      <c r="U394" s="20"/>
      <c r="V394" s="20"/>
      <c r="W394" s="20"/>
      <c r="X394" s="20"/>
      <c r="Y394" s="20"/>
      <c r="AD394" s="247"/>
      <c r="AE394" s="247"/>
    </row>
    <row r="395" spans="2:31" s="50" customFormat="1" x14ac:dyDescent="0.15">
      <c r="B395" s="32"/>
      <c r="C395" s="32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R395" s="26"/>
      <c r="S395" s="26"/>
      <c r="T395" s="21"/>
      <c r="U395" s="20"/>
      <c r="V395" s="20"/>
      <c r="W395" s="20"/>
      <c r="X395" s="20"/>
      <c r="Y395" s="20"/>
      <c r="AD395" s="247"/>
      <c r="AE395" s="247"/>
    </row>
    <row r="396" spans="2:31" s="50" customFormat="1" x14ac:dyDescent="0.15">
      <c r="B396" s="32"/>
      <c r="C396" s="32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R396" s="26"/>
      <c r="S396" s="26"/>
      <c r="T396" s="21"/>
      <c r="U396" s="20"/>
      <c r="V396" s="20"/>
      <c r="W396" s="20"/>
      <c r="X396" s="20"/>
      <c r="Y396" s="20"/>
      <c r="AD396" s="247"/>
      <c r="AE396" s="247"/>
    </row>
    <row r="397" spans="2:31" s="50" customFormat="1" x14ac:dyDescent="0.15">
      <c r="B397" s="32"/>
      <c r="C397" s="32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R397" s="26"/>
      <c r="S397" s="26"/>
      <c r="T397" s="21"/>
      <c r="U397" s="20"/>
      <c r="V397" s="20"/>
      <c r="W397" s="20"/>
      <c r="X397" s="20"/>
      <c r="Y397" s="20"/>
      <c r="AD397" s="247"/>
      <c r="AE397" s="247"/>
    </row>
    <row r="398" spans="2:31" s="50" customFormat="1" x14ac:dyDescent="0.15">
      <c r="B398" s="32"/>
      <c r="C398" s="32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R398" s="26"/>
      <c r="S398" s="26"/>
      <c r="T398" s="21"/>
      <c r="U398" s="20"/>
      <c r="V398" s="20"/>
      <c r="W398" s="20"/>
      <c r="X398" s="20"/>
      <c r="Y398" s="20"/>
      <c r="AD398" s="247"/>
      <c r="AE398" s="247"/>
    </row>
    <row r="399" spans="2:31" s="50" customFormat="1" x14ac:dyDescent="0.15">
      <c r="B399" s="32"/>
      <c r="C399" s="32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R399" s="26"/>
      <c r="S399" s="26"/>
      <c r="T399" s="21"/>
      <c r="U399" s="20"/>
      <c r="V399" s="20"/>
      <c r="W399" s="20"/>
      <c r="X399" s="20"/>
      <c r="Y399" s="20"/>
      <c r="AD399" s="247"/>
      <c r="AE399" s="247"/>
    </row>
    <row r="400" spans="2:31" s="50" customFormat="1" x14ac:dyDescent="0.15">
      <c r="B400" s="32"/>
      <c r="C400" s="32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R400" s="26"/>
      <c r="S400" s="26"/>
      <c r="T400" s="21"/>
      <c r="U400" s="20"/>
      <c r="V400" s="20"/>
      <c r="W400" s="20"/>
      <c r="X400" s="20"/>
      <c r="Y400" s="20"/>
      <c r="AD400" s="247"/>
      <c r="AE400" s="247"/>
    </row>
    <row r="401" spans="2:31" s="50" customFormat="1" x14ac:dyDescent="0.15">
      <c r="B401" s="32"/>
      <c r="C401" s="32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R401" s="26"/>
      <c r="S401" s="26"/>
      <c r="T401" s="21"/>
      <c r="U401" s="20"/>
      <c r="V401" s="20"/>
      <c r="W401" s="20"/>
      <c r="X401" s="20"/>
      <c r="Y401" s="20"/>
      <c r="AD401" s="247"/>
      <c r="AE401" s="247"/>
    </row>
    <row r="402" spans="2:31" s="50" customFormat="1" x14ac:dyDescent="0.15">
      <c r="B402" s="32"/>
      <c r="C402" s="32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R402" s="26"/>
      <c r="S402" s="26"/>
      <c r="T402" s="21"/>
      <c r="U402" s="20"/>
      <c r="V402" s="20"/>
      <c r="W402" s="20"/>
      <c r="X402" s="20"/>
      <c r="Y402" s="20"/>
      <c r="AD402" s="247"/>
      <c r="AE402" s="247"/>
    </row>
    <row r="403" spans="2:31" s="50" customFormat="1" x14ac:dyDescent="0.15">
      <c r="B403" s="32"/>
      <c r="C403" s="32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R403" s="26"/>
      <c r="S403" s="26"/>
      <c r="T403" s="21"/>
      <c r="U403" s="20"/>
      <c r="V403" s="20"/>
      <c r="W403" s="20"/>
      <c r="X403" s="20"/>
      <c r="Y403" s="20"/>
      <c r="AD403" s="247"/>
      <c r="AE403" s="247"/>
    </row>
    <row r="404" spans="2:31" s="50" customFormat="1" x14ac:dyDescent="0.15">
      <c r="B404" s="32"/>
      <c r="C404" s="32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R404" s="26"/>
      <c r="S404" s="26"/>
      <c r="T404" s="21"/>
      <c r="U404" s="20"/>
      <c r="V404" s="20"/>
      <c r="W404" s="20"/>
      <c r="X404" s="20"/>
      <c r="Y404" s="20"/>
      <c r="AD404" s="247"/>
      <c r="AE404" s="247"/>
    </row>
    <row r="405" spans="2:31" s="50" customFormat="1" x14ac:dyDescent="0.15">
      <c r="B405" s="32"/>
      <c r="C405" s="32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R405" s="26"/>
      <c r="S405" s="26"/>
      <c r="T405" s="21"/>
      <c r="U405" s="20"/>
      <c r="V405" s="20"/>
      <c r="W405" s="20"/>
      <c r="X405" s="20"/>
      <c r="Y405" s="20"/>
      <c r="AD405" s="247"/>
      <c r="AE405" s="247"/>
    </row>
    <row r="406" spans="2:31" s="50" customFormat="1" x14ac:dyDescent="0.15">
      <c r="B406" s="32"/>
      <c r="C406" s="32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R406" s="26"/>
      <c r="S406" s="26"/>
      <c r="T406" s="21"/>
      <c r="U406" s="20"/>
      <c r="V406" s="20"/>
      <c r="W406" s="20"/>
      <c r="X406" s="20"/>
      <c r="Y406" s="20"/>
      <c r="AD406" s="247"/>
      <c r="AE406" s="247"/>
    </row>
    <row r="407" spans="2:31" s="50" customFormat="1" x14ac:dyDescent="0.15">
      <c r="B407" s="32"/>
      <c r="C407" s="32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R407" s="26"/>
      <c r="S407" s="26"/>
      <c r="T407" s="21"/>
      <c r="U407" s="20"/>
      <c r="V407" s="20"/>
      <c r="W407" s="20"/>
      <c r="X407" s="20"/>
      <c r="Y407" s="20"/>
      <c r="Z407" s="39"/>
      <c r="AD407" s="247"/>
      <c r="AE407" s="247"/>
    </row>
    <row r="408" spans="2:31" s="50" customFormat="1" x14ac:dyDescent="0.15">
      <c r="B408" s="32"/>
      <c r="C408" s="32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R408" s="26"/>
      <c r="S408" s="26"/>
      <c r="T408" s="21"/>
      <c r="U408" s="20"/>
      <c r="V408" s="20"/>
      <c r="W408" s="20"/>
      <c r="X408" s="20"/>
      <c r="Y408" s="20"/>
      <c r="Z408" s="39"/>
      <c r="AD408" s="247"/>
      <c r="AE408" s="247"/>
    </row>
    <row r="409" spans="2:31" s="50" customFormat="1" x14ac:dyDescent="0.15">
      <c r="B409" s="32"/>
      <c r="C409" s="32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R409" s="26"/>
      <c r="S409" s="26"/>
      <c r="T409" s="21"/>
      <c r="U409" s="20"/>
      <c r="V409" s="20"/>
      <c r="W409" s="20"/>
      <c r="X409" s="20"/>
      <c r="Y409" s="20"/>
      <c r="Z409" s="39"/>
      <c r="AD409" s="247"/>
      <c r="AE409" s="247"/>
    </row>
    <row r="410" spans="2:31" s="50" customFormat="1" x14ac:dyDescent="0.15">
      <c r="B410" s="32"/>
      <c r="C410" s="32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R410" s="26"/>
      <c r="S410" s="26"/>
      <c r="T410" s="21"/>
      <c r="U410" s="20"/>
      <c r="V410" s="20"/>
      <c r="W410" s="20"/>
      <c r="X410" s="20"/>
      <c r="Y410" s="20"/>
      <c r="Z410" s="39"/>
      <c r="AD410" s="247"/>
      <c r="AE410" s="247"/>
    </row>
    <row r="411" spans="2:31" s="50" customFormat="1" x14ac:dyDescent="0.15">
      <c r="B411" s="32"/>
      <c r="C411" s="32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R411" s="26"/>
      <c r="S411" s="26"/>
      <c r="T411" s="21"/>
      <c r="U411" s="20"/>
      <c r="V411" s="20"/>
      <c r="W411" s="20"/>
      <c r="X411" s="20"/>
      <c r="Y411" s="20"/>
      <c r="Z411" s="39"/>
      <c r="AD411" s="247"/>
      <c r="AE411" s="247"/>
    </row>
    <row r="412" spans="2:31" s="50" customFormat="1" x14ac:dyDescent="0.15">
      <c r="B412" s="32"/>
      <c r="C412" s="32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R412" s="26"/>
      <c r="S412" s="26"/>
      <c r="T412" s="21"/>
      <c r="U412" s="20"/>
      <c r="V412" s="20"/>
      <c r="W412" s="20"/>
      <c r="X412" s="20"/>
      <c r="Y412" s="20"/>
      <c r="Z412" s="39"/>
      <c r="AD412" s="247"/>
      <c r="AE412" s="247"/>
    </row>
    <row r="413" spans="2:31" x14ac:dyDescent="0.15">
      <c r="U413" s="20"/>
      <c r="V413" s="20"/>
      <c r="W413" s="20"/>
      <c r="X413" s="20"/>
      <c r="Y413" s="20"/>
      <c r="AD413" s="247"/>
      <c r="AE413" s="247"/>
    </row>
    <row r="414" spans="2:31" x14ac:dyDescent="0.15">
      <c r="U414" s="20"/>
      <c r="V414" s="20"/>
      <c r="W414" s="20"/>
      <c r="X414" s="20"/>
      <c r="Y414" s="20"/>
      <c r="AD414" s="247"/>
      <c r="AE414" s="247"/>
    </row>
    <row r="415" spans="2:31" x14ac:dyDescent="0.15">
      <c r="U415" s="20"/>
      <c r="V415" s="20"/>
      <c r="W415" s="20"/>
      <c r="X415" s="20"/>
      <c r="Y415" s="20"/>
      <c r="AD415" s="247"/>
      <c r="AE415" s="247"/>
    </row>
    <row r="416" spans="2:31" x14ac:dyDescent="0.15">
      <c r="U416" s="20"/>
      <c r="V416" s="20"/>
      <c r="W416" s="20"/>
      <c r="X416" s="20"/>
      <c r="Y416" s="20"/>
      <c r="AD416" s="247"/>
      <c r="AE416" s="247"/>
    </row>
    <row r="417" spans="21:25" x14ac:dyDescent="0.15">
      <c r="U417" s="20"/>
      <c r="V417" s="20"/>
      <c r="W417" s="20"/>
      <c r="X417" s="20"/>
      <c r="Y417" s="20"/>
    </row>
    <row r="418" spans="21:25" x14ac:dyDescent="0.15">
      <c r="U418" s="20"/>
      <c r="V418" s="20"/>
      <c r="W418" s="20"/>
      <c r="X418" s="20"/>
      <c r="Y418" s="20"/>
    </row>
    <row r="419" spans="21:25" x14ac:dyDescent="0.15">
      <c r="U419" s="20"/>
      <c r="V419" s="20"/>
      <c r="W419" s="20"/>
      <c r="X419" s="20"/>
      <c r="Y419" s="20"/>
    </row>
    <row r="420" spans="21:25" x14ac:dyDescent="0.15">
      <c r="U420" s="20"/>
      <c r="V420" s="20"/>
      <c r="W420" s="20"/>
      <c r="X420" s="20"/>
      <c r="Y420" s="20"/>
    </row>
    <row r="421" spans="21:25" x14ac:dyDescent="0.15">
      <c r="U421" s="20"/>
      <c r="V421" s="20"/>
      <c r="W421" s="20"/>
      <c r="X421" s="20"/>
      <c r="Y421" s="20"/>
    </row>
    <row r="422" spans="21:25" x14ac:dyDescent="0.15">
      <c r="U422" s="20"/>
      <c r="V422" s="20"/>
      <c r="W422" s="20"/>
      <c r="X422" s="20"/>
      <c r="Y422" s="20"/>
    </row>
    <row r="423" spans="21:25" x14ac:dyDescent="0.15">
      <c r="U423" s="20"/>
      <c r="V423" s="20"/>
      <c r="W423" s="20"/>
      <c r="X423" s="20"/>
      <c r="Y423" s="20"/>
    </row>
    <row r="424" spans="21:25" x14ac:dyDescent="0.15">
      <c r="U424" s="20"/>
      <c r="V424" s="20"/>
      <c r="W424" s="20"/>
      <c r="X424" s="20"/>
      <c r="Y424" s="20"/>
    </row>
    <row r="425" spans="21:25" x14ac:dyDescent="0.15">
      <c r="U425" s="20"/>
      <c r="V425" s="20"/>
      <c r="W425" s="20"/>
      <c r="X425" s="20"/>
      <c r="Y425" s="20"/>
    </row>
    <row r="426" spans="21:25" x14ac:dyDescent="0.15">
      <c r="U426" s="20"/>
      <c r="V426" s="20"/>
      <c r="W426" s="20"/>
      <c r="X426" s="20"/>
      <c r="Y426" s="20"/>
    </row>
    <row r="427" spans="21:25" x14ac:dyDescent="0.15">
      <c r="U427" s="20"/>
      <c r="V427" s="20"/>
      <c r="W427" s="20"/>
      <c r="X427" s="20"/>
      <c r="Y427" s="20"/>
    </row>
    <row r="428" spans="21:25" x14ac:dyDescent="0.15">
      <c r="U428" s="20"/>
      <c r="V428" s="20"/>
      <c r="W428" s="20"/>
      <c r="X428" s="20"/>
      <c r="Y428" s="20"/>
    </row>
    <row r="429" spans="21:25" x14ac:dyDescent="0.15">
      <c r="U429" s="20"/>
      <c r="V429" s="20"/>
      <c r="W429" s="20"/>
      <c r="X429" s="20"/>
      <c r="Y429" s="20"/>
    </row>
    <row r="430" spans="21:25" x14ac:dyDescent="0.15">
      <c r="U430" s="20"/>
      <c r="V430" s="20"/>
      <c r="W430" s="20"/>
      <c r="X430" s="20"/>
      <c r="Y430" s="20"/>
    </row>
    <row r="431" spans="21:25" x14ac:dyDescent="0.15">
      <c r="U431" s="20"/>
      <c r="V431" s="20"/>
      <c r="W431" s="20"/>
      <c r="X431" s="20"/>
      <c r="Y431" s="20"/>
    </row>
    <row r="432" spans="21:25" x14ac:dyDescent="0.15">
      <c r="U432" s="20"/>
      <c r="V432" s="20"/>
      <c r="W432" s="20"/>
      <c r="X432" s="20"/>
      <c r="Y432" s="20"/>
    </row>
    <row r="433" spans="21:25" x14ac:dyDescent="0.15">
      <c r="U433" s="20"/>
      <c r="V433" s="20"/>
      <c r="W433" s="20"/>
      <c r="X433" s="20"/>
      <c r="Y433" s="20"/>
    </row>
    <row r="434" spans="21:25" x14ac:dyDescent="0.15">
      <c r="U434" s="20"/>
      <c r="V434" s="20"/>
      <c r="W434" s="20"/>
      <c r="X434" s="20"/>
      <c r="Y434" s="20"/>
    </row>
    <row r="435" spans="21:25" x14ac:dyDescent="0.15">
      <c r="U435" s="20"/>
      <c r="V435" s="20"/>
      <c r="W435" s="20"/>
      <c r="X435" s="20"/>
      <c r="Y435" s="20"/>
    </row>
    <row r="436" spans="21:25" x14ac:dyDescent="0.15">
      <c r="U436" s="20"/>
    </row>
    <row r="437" spans="21:25" x14ac:dyDescent="0.15">
      <c r="U437" s="20"/>
    </row>
    <row r="438" spans="21:25" x14ac:dyDescent="0.15">
      <c r="U438" s="20"/>
    </row>
    <row r="439" spans="21:25" x14ac:dyDescent="0.15">
      <c r="U439" s="20"/>
    </row>
    <row r="440" spans="21:25" x14ac:dyDescent="0.15">
      <c r="U440" s="20"/>
    </row>
  </sheetData>
  <sheetProtection formatCells="0" formatColumns="0" formatRows="0" insertColumns="0" insertRows="0" insertHyperlinks="0" deleteColumns="0" deleteRows="0" sort="0" autoFilter="0" pivotTables="0"/>
  <dataConsolidate function="average">
    <dataRefs count="1">
      <dataRef ref="A6:B221" sheet="Monthly Summary Jan-Mar" r:id="rId1"/>
    </dataRefs>
  </dataConsolidate>
  <mergeCells count="10">
    <mergeCell ref="Z5:Z6"/>
    <mergeCell ref="W5:W6"/>
    <mergeCell ref="U5:U6"/>
    <mergeCell ref="B1:Q1"/>
    <mergeCell ref="B2:Q2"/>
    <mergeCell ref="B3:Q3"/>
    <mergeCell ref="Q5:Q6"/>
    <mergeCell ref="S5:S6"/>
    <mergeCell ref="D5:P5"/>
    <mergeCell ref="X4:Z4"/>
  </mergeCells>
  <conditionalFormatting sqref="D7:P154">
    <cfRule type="cellIs" dxfId="29" priority="3" stopIfTrue="1" operator="greaterThan">
      <formula>30</formula>
    </cfRule>
    <cfRule type="cellIs" dxfId="28" priority="4" stopIfTrue="1" operator="between">
      <formula>0.1</formula>
      <formula>10</formula>
    </cfRule>
    <cfRule type="cellIs" dxfId="27" priority="5" stopIfTrue="1" operator="lessThan">
      <formula>0.1</formula>
    </cfRule>
  </conditionalFormatting>
  <conditionalFormatting sqref="S7:S154 U7:U154 Q7:Q154 W7:W154">
    <cfRule type="cellIs" dxfId="26" priority="1" stopIfTrue="1" operator="lessThan">
      <formula>0.5</formula>
    </cfRule>
    <cfRule type="cellIs" dxfId="25" priority="2" stopIfTrue="1" operator="lessThan">
      <formula>0.75</formula>
    </cfRule>
  </conditionalFormatting>
  <printOptions horizontalCentered="1"/>
  <pageMargins left="0.25" right="0.25" top="0.75" bottom="0.75" header="0.3" footer="0.3"/>
  <pageSetup paperSize="9" scale="49" fitToHeight="2" orientation="landscape" horizontalDpi="4294967293" r:id="rId2"/>
  <headerFooter alignWithMargins="0"/>
  <rowBreaks count="1" manualBreakCount="1">
    <brk id="78" max="7" man="1"/>
  </rowBreaks>
  <ignoredErrors>
    <ignoredError sqref="S7:S154 U7:U154" formulaRang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B1:AJ442"/>
  <sheetViews>
    <sheetView zoomScaleNormal="90" workbookViewId="0">
      <pane xSplit="2" ySplit="6" topLeftCell="D7" activePane="bottomRight" state="frozen"/>
      <selection activeCell="W155" sqref="W155"/>
      <selection pane="topRight" activeCell="W155" sqref="W155"/>
      <selection pane="bottomLeft" activeCell="W155" sqref="W155"/>
      <selection pane="bottomRight" activeCell="AE7" sqref="AE7"/>
    </sheetView>
  </sheetViews>
  <sheetFormatPr defaultColWidth="10.7109375" defaultRowHeight="10.5" x14ac:dyDescent="0.15"/>
  <cols>
    <col min="1" max="1" width="10.7109375" style="39" customWidth="1"/>
    <col min="2" max="2" width="9.42578125" style="51" bestFit="1" customWidth="1"/>
    <col min="3" max="3" width="8.140625" style="51" hidden="1" customWidth="1"/>
    <col min="4" max="15" width="18.140625" style="39" customWidth="1"/>
    <col min="16" max="17" width="18.140625" style="50" customWidth="1"/>
    <col min="18" max="19" width="11.7109375" style="26" customWidth="1"/>
    <col min="20" max="20" width="11.7109375" style="21" customWidth="1"/>
    <col min="21" max="25" width="11.7109375" style="10" customWidth="1"/>
    <col min="26" max="26" width="11.7109375" style="39" customWidth="1"/>
    <col min="27" max="27" width="10.7109375" style="39"/>
    <col min="28" max="28" width="21" style="39" bestFit="1" customWidth="1"/>
    <col min="29" max="29" width="10.7109375" style="39"/>
    <col min="30" max="30" width="16.7109375" style="230" bestFit="1" customWidth="1"/>
    <col min="31" max="31" width="10.7109375" style="230"/>
    <col min="32" max="32" width="12.42578125" style="39" bestFit="1" customWidth="1"/>
    <col min="33" max="16384" width="10.7109375" style="39"/>
  </cols>
  <sheetData>
    <row r="1" spans="2:36" s="31" customFormat="1" ht="18" customHeight="1" thickTop="1" x14ac:dyDescent="0.15">
      <c r="B1" s="468" t="s">
        <v>448</v>
      </c>
      <c r="C1" s="469"/>
      <c r="D1" s="469"/>
      <c r="E1" s="469"/>
      <c r="F1" s="469"/>
      <c r="G1" s="469"/>
      <c r="H1" s="469"/>
      <c r="I1" s="469"/>
      <c r="J1" s="469"/>
      <c r="K1" s="469"/>
      <c r="L1" s="469"/>
      <c r="M1" s="469"/>
      <c r="N1" s="469"/>
      <c r="O1" s="469"/>
      <c r="P1" s="469"/>
      <c r="Q1" s="470"/>
      <c r="R1" s="23"/>
      <c r="S1" s="23"/>
      <c r="T1" s="3"/>
      <c r="U1" s="2"/>
      <c r="V1" s="2"/>
      <c r="W1" s="2"/>
      <c r="X1" s="2"/>
      <c r="Y1" s="2"/>
      <c r="AB1" s="93"/>
      <c r="AC1" s="93"/>
      <c r="AD1" s="206"/>
      <c r="AE1" s="206"/>
      <c r="AF1" s="93"/>
      <c r="AG1" s="93"/>
      <c r="AH1" s="93"/>
    </row>
    <row r="2" spans="2:36" s="31" customFormat="1" ht="18" customHeight="1" x14ac:dyDescent="0.15">
      <c r="B2" s="471" t="s">
        <v>449</v>
      </c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2"/>
      <c r="N2" s="472"/>
      <c r="O2" s="472"/>
      <c r="P2" s="472"/>
      <c r="Q2" s="473"/>
      <c r="R2" s="23"/>
      <c r="S2" s="23"/>
      <c r="T2" s="3"/>
      <c r="U2" s="2"/>
      <c r="V2" s="2"/>
      <c r="W2" s="2"/>
      <c r="X2" s="2"/>
      <c r="Y2" s="2"/>
      <c r="AB2" s="93"/>
      <c r="AC2" s="93"/>
      <c r="AD2" s="206"/>
      <c r="AE2" s="206"/>
      <c r="AF2" s="93"/>
      <c r="AG2" s="93"/>
      <c r="AH2" s="93"/>
    </row>
    <row r="3" spans="2:36" s="31" customFormat="1" ht="18" customHeight="1" thickBot="1" x14ac:dyDescent="0.2">
      <c r="B3" s="474" t="s">
        <v>467</v>
      </c>
      <c r="C3" s="475"/>
      <c r="D3" s="475"/>
      <c r="E3" s="475"/>
      <c r="F3" s="475"/>
      <c r="G3" s="475"/>
      <c r="H3" s="475"/>
      <c r="I3" s="475"/>
      <c r="J3" s="475"/>
      <c r="K3" s="475"/>
      <c r="L3" s="475"/>
      <c r="M3" s="475"/>
      <c r="N3" s="475"/>
      <c r="O3" s="475"/>
      <c r="P3" s="475"/>
      <c r="Q3" s="476"/>
      <c r="R3" s="23"/>
      <c r="S3" s="23"/>
      <c r="T3" s="3"/>
      <c r="U3" s="2"/>
      <c r="V3" s="2"/>
      <c r="W3" s="2"/>
      <c r="X3" s="2"/>
      <c r="Y3" s="2"/>
      <c r="AB3" s="94"/>
      <c r="AC3" s="94"/>
      <c r="AD3" s="206"/>
      <c r="AE3" s="206"/>
      <c r="AF3" s="94"/>
      <c r="AG3" s="94"/>
      <c r="AH3" s="94"/>
    </row>
    <row r="4" spans="2:36" s="31" customFormat="1" ht="14.25" thickTop="1" thickBot="1" x14ac:dyDescent="0.25">
      <c r="B4" s="32"/>
      <c r="C4" s="32"/>
      <c r="P4" s="33"/>
      <c r="Q4" s="33"/>
      <c r="R4" s="21" t="s">
        <v>497</v>
      </c>
      <c r="S4" s="30"/>
      <c r="T4" s="21" t="s">
        <v>498</v>
      </c>
      <c r="U4" s="1"/>
      <c r="V4" s="1"/>
      <c r="W4" s="1"/>
      <c r="X4" s="449" t="s">
        <v>508</v>
      </c>
      <c r="Y4" s="449"/>
      <c r="Z4" s="449"/>
      <c r="AD4" s="206"/>
      <c r="AE4" s="206"/>
    </row>
    <row r="5" spans="2:36" s="31" customFormat="1" ht="14.25" customHeight="1" thickTop="1" thickBot="1" x14ac:dyDescent="0.2">
      <c r="B5" s="160"/>
      <c r="C5" s="106"/>
      <c r="D5" s="477" t="s">
        <v>451</v>
      </c>
      <c r="E5" s="477"/>
      <c r="F5" s="477"/>
      <c r="G5" s="477"/>
      <c r="H5" s="477"/>
      <c r="I5" s="477"/>
      <c r="J5" s="477"/>
      <c r="K5" s="477"/>
      <c r="L5" s="477"/>
      <c r="M5" s="477"/>
      <c r="N5" s="477"/>
      <c r="O5" s="477"/>
      <c r="P5" s="477"/>
      <c r="Q5" s="478" t="s">
        <v>452</v>
      </c>
      <c r="R5" s="139" t="s">
        <v>461</v>
      </c>
      <c r="S5" s="480" t="s">
        <v>452</v>
      </c>
      <c r="T5" s="169" t="s">
        <v>460</v>
      </c>
      <c r="U5" s="450" t="s">
        <v>452</v>
      </c>
      <c r="V5" s="139" t="s">
        <v>494</v>
      </c>
      <c r="W5" s="450" t="s">
        <v>452</v>
      </c>
      <c r="X5" s="168" t="s">
        <v>461</v>
      </c>
      <c r="Y5" s="139" t="s">
        <v>460</v>
      </c>
      <c r="Z5" s="450" t="s">
        <v>509</v>
      </c>
      <c r="AB5" s="95"/>
      <c r="AC5" s="96"/>
      <c r="AD5" s="96"/>
      <c r="AE5" s="96"/>
      <c r="AF5" s="96"/>
      <c r="AG5" s="96"/>
      <c r="AH5" s="96"/>
      <c r="AI5" s="97"/>
    </row>
    <row r="6" spans="2:36" s="31" customFormat="1" ht="14.25" customHeight="1" thickTop="1" x14ac:dyDescent="0.15">
      <c r="B6" s="103" t="s">
        <v>453</v>
      </c>
      <c r="C6" s="34">
        <v>40513</v>
      </c>
      <c r="D6" s="34">
        <v>40544</v>
      </c>
      <c r="E6" s="34">
        <v>40575</v>
      </c>
      <c r="F6" s="34">
        <v>40603</v>
      </c>
      <c r="G6" s="34">
        <v>40634</v>
      </c>
      <c r="H6" s="34">
        <v>40664</v>
      </c>
      <c r="I6" s="34">
        <v>40695</v>
      </c>
      <c r="J6" s="34">
        <v>40725</v>
      </c>
      <c r="K6" s="34">
        <v>40756</v>
      </c>
      <c r="L6" s="34">
        <v>40787</v>
      </c>
      <c r="M6" s="34">
        <v>40817</v>
      </c>
      <c r="N6" s="34">
        <v>40848</v>
      </c>
      <c r="O6" s="34">
        <v>40878</v>
      </c>
      <c r="P6" s="34" t="s">
        <v>454</v>
      </c>
      <c r="Q6" s="479"/>
      <c r="R6" s="149" t="s">
        <v>454</v>
      </c>
      <c r="S6" s="481"/>
      <c r="T6" s="170" t="s">
        <v>454</v>
      </c>
      <c r="U6" s="451"/>
      <c r="V6" s="149" t="s">
        <v>454</v>
      </c>
      <c r="W6" s="451"/>
      <c r="X6" s="158" t="s">
        <v>454</v>
      </c>
      <c r="Y6" s="149" t="s">
        <v>454</v>
      </c>
      <c r="Z6" s="451"/>
      <c r="AB6" s="98" t="s">
        <v>166</v>
      </c>
      <c r="AC6" s="34" t="s">
        <v>476</v>
      </c>
      <c r="AD6" s="34" t="s">
        <v>1087</v>
      </c>
      <c r="AE6" s="34" t="s">
        <v>1088</v>
      </c>
      <c r="AF6" s="34" t="s">
        <v>472</v>
      </c>
      <c r="AG6" s="34" t="s">
        <v>474</v>
      </c>
      <c r="AH6" s="34" t="s">
        <v>473</v>
      </c>
      <c r="AI6" s="99" t="s">
        <v>475</v>
      </c>
    </row>
    <row r="7" spans="2:36" ht="12" customHeight="1" x14ac:dyDescent="0.15">
      <c r="B7" s="35" t="s">
        <v>2</v>
      </c>
      <c r="C7" s="52">
        <f>IF(ISERROR(VLOOKUP($B7,'Monthly Summary 2010'!$B$7:$Q$221,14,FALSE)=0),"",VLOOKUP($B7,'Monthly Summary 2010'!$B$7:$Q$221,14,FALSE))</f>
        <v>17.100000000000001</v>
      </c>
      <c r="D7" s="36">
        <v>15.6</v>
      </c>
      <c r="E7" s="36">
        <v>24.4</v>
      </c>
      <c r="F7" s="36"/>
      <c r="G7" s="36">
        <v>27.1</v>
      </c>
      <c r="H7" s="36">
        <v>33.799999999999997</v>
      </c>
      <c r="I7" s="36">
        <v>31.2</v>
      </c>
      <c r="J7" s="36">
        <v>26.5</v>
      </c>
      <c r="K7" s="36">
        <v>33.1</v>
      </c>
      <c r="L7" s="36">
        <v>31.2</v>
      </c>
      <c r="M7" s="36">
        <v>28.9</v>
      </c>
      <c r="N7" s="36">
        <v>23.7</v>
      </c>
      <c r="O7" s="36">
        <v>16.399999999999999</v>
      </c>
      <c r="P7" s="37">
        <f t="shared" ref="P7:P71" si="0">(AVERAGE(D7:O7))</f>
        <v>26.536363636363635</v>
      </c>
      <c r="Q7" s="38">
        <f t="shared" ref="Q7:Q71" si="1">COUNT(D7:O7)/COUNT($D$6:$O$6)</f>
        <v>0.91666666666666663</v>
      </c>
      <c r="R7" s="140">
        <f>IF($S7=0%,"",IF($S7&gt;66%,AVERAGE($D7:$F7),"-"))</f>
        <v>20</v>
      </c>
      <c r="S7" s="150">
        <f>COUNT(D7:F7)/3</f>
        <v>0.66666666666666663</v>
      </c>
      <c r="T7" s="140">
        <f>IF($U7=0%,"",IF($U7&gt;66%,AVERAGE($J7:$L7),"-"))</f>
        <v>30.266666666666666</v>
      </c>
      <c r="U7" s="150">
        <f>COUNT(J7:L7)/3</f>
        <v>1</v>
      </c>
      <c r="V7" s="140">
        <f>IF(AND(($S7&gt;33%),($U7&gt;33%),($W7&gt;=75%)),AVERAGE($D7:$O7),"-")</f>
        <v>26.536363636363635</v>
      </c>
      <c r="W7" s="150">
        <f>Q7</f>
        <v>0.91666666666666663</v>
      </c>
      <c r="X7" s="144">
        <f t="shared" ref="X7:X39" ca="1" si="2">IF(VLOOKUP($B7,$AC$6:$AI$159,3,FALSE)="",$R7,IF(ISERROR(AVERAGEIF($AD$6:$AD$161,VLOOKUP($B7,$AC$6:$AI$159,2,FALSE),$R$6:$R$159)),"",AVERAGEIF($AD$6:$AD$161,VLOOKUP($B7,$AC$6:$AI$159,2,FALSE),$R$6:$R$159)))</f>
        <v>13.675000000000001</v>
      </c>
      <c r="Y7" s="144">
        <f t="shared" ref="Y7:Y39" ca="1" si="3">IF(VLOOKUP($B7,$AC$6:$AI$159,3,FALSE)="",$T7,IF(ISERROR(AVERAGEIF($AD$6:$AD$161,VLOOKUP($B7,$AC$6:$AI$159,2,FALSE),$T$6:$T$159)),"",AVERAGEIF($AD$6:$AD$161,VLOOKUP($B7,$AC$6:$AI$159,2,FALSE),$T$6:$T$159)))</f>
        <v>22.616666666666667</v>
      </c>
      <c r="Z7" s="144">
        <f t="shared" ref="Z7:Z39" ca="1" si="4">IF(VLOOKUP($B7,$AC$6:$AI$159,3,FALSE)="",$V7,IF(ISERROR(AVERAGEIF($AD$6:$AD$161,VLOOKUP($B7,$AC$6:$AI$159,2,FALSE),$V$6:$V$159)),"",AVERAGEIF($AD$6:$AD$161,VLOOKUP($B7,$AC$6:$AI$159,2,FALSE),$V$6:$V$159)))</f>
        <v>18.863636363636363</v>
      </c>
      <c r="AA7" s="10"/>
      <c r="AB7" s="100" t="str">
        <f>VLOOKUP($B7,'2007-2020 Metadata'!$A$4:$S$214,MATCH("Urban Area /Monitoring Zone",'2007-2020 Metadata'!$A$4:$S$4,0),FALSE)</f>
        <v>Whangarei</v>
      </c>
      <c r="AC7" s="87" t="str">
        <f>VLOOKUP(B7,'2007-2020 Metadata'!$A$6:$A$214,1,FALSE)</f>
        <v>AUC001</v>
      </c>
      <c r="AD7" s="230" t="str">
        <f>VLOOKUP($AC7,'2007-2020 Metadata'!$A$6:$S$214,9,FALSE)</f>
        <v>Whangarei</v>
      </c>
      <c r="AE7" s="248">
        <f>IF(ISBLANK(VLOOKUP($AC7,'2007-2020 Metadata'!$A$6:$S$214,19,FALSE)),"",VLOOKUP($AC7,'2007-2020 Metadata'!$A$6:$S$214,19,FALSE))</f>
        <v>3.2</v>
      </c>
      <c r="AF7" s="88" t="str">
        <f>VLOOKUP($B7,'2007-2020 Metadata'!$A$4:$S$214,MATCH("Site type",'2007-2020 Metadata'!$A$4:$S$4,0),FALSE)</f>
        <v>SH</v>
      </c>
      <c r="AG7" s="143">
        <f>MIN($D7:$O7)</f>
        <v>15.6</v>
      </c>
      <c r="AH7" s="143">
        <f>MAX($D7:$O7)</f>
        <v>33.799999999999997</v>
      </c>
      <c r="AI7" s="144">
        <f ca="1">IF($W7&gt;=75%,$Z7," ")</f>
        <v>18.863636363636363</v>
      </c>
    </row>
    <row r="8" spans="2:36" ht="12" customHeight="1" x14ac:dyDescent="0.15">
      <c r="B8" s="40" t="s">
        <v>3</v>
      </c>
      <c r="C8" s="52">
        <f>IF(ISERROR(VLOOKUP($B8,'Monthly Summary 2010'!$B$7:$Q$221,14,FALSE)=0),"",VLOOKUP($B8,'Monthly Summary 2010'!$B$7:$Q$221,14,FALSE))</f>
        <v>9</v>
      </c>
      <c r="D8" s="36">
        <v>7.5</v>
      </c>
      <c r="E8" s="36">
        <v>9.1</v>
      </c>
      <c r="F8" s="36">
        <v>9.8000000000000007</v>
      </c>
      <c r="G8" s="36">
        <v>12.8</v>
      </c>
      <c r="H8" s="36">
        <v>13.8</v>
      </c>
      <c r="I8" s="36">
        <v>13.7</v>
      </c>
      <c r="J8" s="36">
        <v>10.199999999999999</v>
      </c>
      <c r="K8" s="36">
        <v>12.5</v>
      </c>
      <c r="L8" s="36">
        <v>13.6</v>
      </c>
      <c r="M8" s="36">
        <v>9.6999999999999993</v>
      </c>
      <c r="N8" s="36">
        <v>6.8</v>
      </c>
      <c r="O8" s="36">
        <v>8.5</v>
      </c>
      <c r="P8" s="37">
        <f t="shared" si="0"/>
        <v>10.666666666666666</v>
      </c>
      <c r="Q8" s="38">
        <f t="shared" si="1"/>
        <v>1</v>
      </c>
      <c r="R8" s="140">
        <f t="shared" ref="R8:R72" si="5">IF($S8=0%,"",IF($S8&gt;66%,AVERAGE($D8:$F8),"-"))</f>
        <v>8.8000000000000007</v>
      </c>
      <c r="S8" s="24">
        <f t="shared" ref="S8:S72" si="6">COUNT(D8:F8)/3</f>
        <v>1</v>
      </c>
      <c r="T8" s="140">
        <f t="shared" ref="T8:T72" si="7">IF($U8=0%,"",IF($U8&gt;66%,AVERAGE($J8:$L8),"-"))</f>
        <v>12.1</v>
      </c>
      <c r="U8" s="24">
        <f t="shared" ref="U8:U72" si="8">COUNT(J8:L8)/3</f>
        <v>1</v>
      </c>
      <c r="V8" s="140">
        <f t="shared" ref="V8:V72" si="9">IF(AND(($S8&gt;33%),($U8&gt;33%),($W8&gt;=75%)),AVERAGE($D8:$O8),"-")</f>
        <v>10.666666666666666</v>
      </c>
      <c r="W8" s="150">
        <f t="shared" ref="W8:W72" si="10">Q8</f>
        <v>1</v>
      </c>
      <c r="X8" s="144">
        <f t="shared" ca="1" si="2"/>
        <v>8.8000000000000007</v>
      </c>
      <c r="Y8" s="144">
        <f t="shared" ca="1" si="3"/>
        <v>12.1</v>
      </c>
      <c r="Z8" s="144">
        <f t="shared" ca="1" si="4"/>
        <v>10.666666666666666</v>
      </c>
      <c r="AA8" s="10"/>
      <c r="AB8" s="357" t="str">
        <f>VLOOKUP($B8,'2007-2020 Metadata'!$A$4:$S$214,MATCH("Urban Area /Monitoring Zone",'2007-2020 Metadata'!$A$4:$S$4,0),FALSE)</f>
        <v>Auckland - Northern</v>
      </c>
      <c r="AC8" s="87" t="str">
        <f>VLOOKUP(B8,'2007-2020 Metadata'!$A$6:$A$214,1,FALSE)</f>
        <v>AUC004</v>
      </c>
      <c r="AD8" s="230" t="str">
        <f>VLOOKUP($AC8,'2007-2020 Metadata'!$A$6:$S$214,9,FALSE)</f>
        <v>Rodney</v>
      </c>
      <c r="AE8" s="248">
        <f>IF(ISBLANK(VLOOKUP($AC8,'2007-2020 Metadata'!$A$6:$S$214,19,FALSE)),"",VLOOKUP($AC8,'2007-2020 Metadata'!$A$6:$S$214,19,FALSE))</f>
        <v>2.5</v>
      </c>
      <c r="AF8" s="88" t="str">
        <f>VLOOKUP($B8,'2007-2020 Metadata'!$A$4:$S$214,MATCH("Site type",'2007-2020 Metadata'!$A$4:$S$4,0),FALSE)</f>
        <v>SH</v>
      </c>
      <c r="AG8" s="143">
        <f t="shared" ref="AG8:AG72" si="11">MIN($D8:$O8)</f>
        <v>6.8</v>
      </c>
      <c r="AH8" s="143">
        <f t="shared" ref="AH8:AH72" si="12">MAX($D8:$O8)</f>
        <v>13.8</v>
      </c>
      <c r="AI8" s="144">
        <f t="shared" ref="AI8:AI72" ca="1" si="13">IF($W8&gt;=75%,$Z8," ")</f>
        <v>10.666666666666666</v>
      </c>
    </row>
    <row r="9" spans="2:36" ht="12" customHeight="1" x14ac:dyDescent="0.15">
      <c r="B9" s="40" t="s">
        <v>4</v>
      </c>
      <c r="C9" s="52">
        <f>IF(ISERROR(VLOOKUP($B9,'Monthly Summary 2010'!$B$7:$Q$221,14,FALSE)=0),"",VLOOKUP($B9,'Monthly Summary 2010'!$B$7:$Q$221,14,FALSE))</f>
        <v>23.6</v>
      </c>
      <c r="D9" s="36">
        <v>16.600000000000001</v>
      </c>
      <c r="E9" s="36">
        <v>22.6</v>
      </c>
      <c r="F9" s="36">
        <v>29.6</v>
      </c>
      <c r="G9" s="36">
        <v>30.8</v>
      </c>
      <c r="H9" s="36">
        <v>30.1</v>
      </c>
      <c r="I9" s="36">
        <v>38.299999999999997</v>
      </c>
      <c r="J9" s="36">
        <v>28</v>
      </c>
      <c r="K9" s="36">
        <v>41.8</v>
      </c>
      <c r="L9" s="36">
        <v>35.799999999999997</v>
      </c>
      <c r="M9" s="36">
        <v>32.4</v>
      </c>
      <c r="N9" s="36">
        <v>27</v>
      </c>
      <c r="O9" s="36">
        <v>21.4</v>
      </c>
      <c r="P9" s="37">
        <f t="shared" si="0"/>
        <v>29.533333333333331</v>
      </c>
      <c r="Q9" s="38">
        <f t="shared" si="1"/>
        <v>1</v>
      </c>
      <c r="R9" s="140">
        <f t="shared" si="5"/>
        <v>22.933333333333337</v>
      </c>
      <c r="S9" s="24">
        <f t="shared" si="6"/>
        <v>1</v>
      </c>
      <c r="T9" s="140">
        <f t="shared" si="7"/>
        <v>35.199999999999996</v>
      </c>
      <c r="U9" s="24">
        <f t="shared" si="8"/>
        <v>1</v>
      </c>
      <c r="V9" s="140">
        <f t="shared" si="9"/>
        <v>29.533333333333331</v>
      </c>
      <c r="W9" s="150">
        <f t="shared" si="10"/>
        <v>1</v>
      </c>
      <c r="X9" s="144">
        <f t="shared" ca="1" si="2"/>
        <v>22.687878787878788</v>
      </c>
      <c r="Y9" s="144">
        <f t="shared" ca="1" si="3"/>
        <v>32.792424242424246</v>
      </c>
      <c r="Z9" s="144">
        <f t="shared" ca="1" si="4"/>
        <v>27.494903581267224</v>
      </c>
      <c r="AA9" s="10"/>
      <c r="AB9" s="357" t="str">
        <f>VLOOKUP($B9,'2007-2020 Metadata'!$A$4:$S$214,MATCH("Urban Area /Monitoring Zone",'2007-2020 Metadata'!$A$4:$S$4,0),FALSE)</f>
        <v>Auckland - Northern</v>
      </c>
      <c r="AC9" s="87" t="str">
        <f>VLOOKUP(B9,'2007-2020 Metadata'!$A$6:$A$214,1,FALSE)</f>
        <v>AUC005</v>
      </c>
      <c r="AD9" s="230" t="str">
        <f>VLOOKUP($AC9,'2007-2020 Metadata'!$A$6:$S$214,9,FALSE)</f>
        <v xml:space="preserve">North Shore </v>
      </c>
      <c r="AE9" s="248">
        <f>IF(ISBLANK(VLOOKUP($AC9,'2007-2020 Metadata'!$A$6:$S$214,19,FALSE)),"",VLOOKUP($AC9,'2007-2020 Metadata'!$A$6:$S$214,19,FALSE))</f>
        <v>2.1</v>
      </c>
      <c r="AF9" s="88" t="str">
        <f>VLOOKUP($B9,'2007-2020 Metadata'!$A$4:$S$214,MATCH("Site type",'2007-2020 Metadata'!$A$4:$S$4,0),FALSE)</f>
        <v>Local</v>
      </c>
      <c r="AG9" s="143">
        <f t="shared" si="11"/>
        <v>16.600000000000001</v>
      </c>
      <c r="AH9" s="143">
        <f t="shared" si="12"/>
        <v>41.8</v>
      </c>
      <c r="AI9" s="144">
        <f t="shared" ca="1" si="13"/>
        <v>27.494903581267224</v>
      </c>
    </row>
    <row r="10" spans="2:36" ht="12" customHeight="1" x14ac:dyDescent="0.15">
      <c r="B10" s="40" t="s">
        <v>6</v>
      </c>
      <c r="C10" s="52">
        <f>IF(ISERROR(VLOOKUP($B10,'Monthly Summary 2010'!$B$7:$Q$221,14,FALSE)=0),"",VLOOKUP($B10,'Monthly Summary 2010'!$B$7:$Q$221,14,FALSE))</f>
        <v>18.600000000000001</v>
      </c>
      <c r="D10" s="36">
        <v>23.6</v>
      </c>
      <c r="E10" s="36">
        <v>29.7</v>
      </c>
      <c r="F10" s="36">
        <v>29.3</v>
      </c>
      <c r="G10" s="36">
        <v>42.1</v>
      </c>
      <c r="H10" s="36">
        <v>29.6</v>
      </c>
      <c r="I10" s="36">
        <v>33.4</v>
      </c>
      <c r="J10" s="36">
        <v>21.4</v>
      </c>
      <c r="K10" s="36">
        <v>35.700000000000003</v>
      </c>
      <c r="L10" s="36">
        <v>35.9</v>
      </c>
      <c r="M10" s="36">
        <v>19.5</v>
      </c>
      <c r="N10" s="36">
        <v>18.8</v>
      </c>
      <c r="O10" s="36">
        <v>26.7</v>
      </c>
      <c r="P10" s="37">
        <f t="shared" si="0"/>
        <v>28.808333333333334</v>
      </c>
      <c r="Q10" s="38">
        <f t="shared" si="1"/>
        <v>1</v>
      </c>
      <c r="R10" s="140">
        <f t="shared" si="5"/>
        <v>27.533333333333331</v>
      </c>
      <c r="S10" s="24">
        <f t="shared" si="6"/>
        <v>1</v>
      </c>
      <c r="T10" s="140">
        <f t="shared" si="7"/>
        <v>31</v>
      </c>
      <c r="U10" s="24">
        <f t="shared" si="8"/>
        <v>1</v>
      </c>
      <c r="V10" s="140">
        <f t="shared" si="9"/>
        <v>28.808333333333334</v>
      </c>
      <c r="W10" s="150">
        <f t="shared" si="10"/>
        <v>1</v>
      </c>
      <c r="X10" s="144">
        <f t="shared" ca="1" si="2"/>
        <v>22.687878787878788</v>
      </c>
      <c r="Y10" s="144">
        <f t="shared" ca="1" si="3"/>
        <v>32.792424242424246</v>
      </c>
      <c r="Z10" s="144">
        <f t="shared" ca="1" si="4"/>
        <v>27.494903581267224</v>
      </c>
      <c r="AA10" s="10"/>
      <c r="AB10" s="357" t="str">
        <f>VLOOKUP($B10,'2007-2020 Metadata'!$A$4:$S$214,MATCH("Urban Area /Monitoring Zone",'2007-2020 Metadata'!$A$4:$S$4,0),FALSE)</f>
        <v>Auckland - Northern</v>
      </c>
      <c r="AC10" s="87" t="str">
        <f>VLOOKUP(B10,'2007-2020 Metadata'!$A$6:$A$214,1,FALSE)</f>
        <v>AUC007</v>
      </c>
      <c r="AD10" s="230" t="str">
        <f>VLOOKUP($AC10,'2007-2020 Metadata'!$A$6:$S$214,9,FALSE)</f>
        <v xml:space="preserve">North Shore </v>
      </c>
      <c r="AE10" s="248">
        <f>IF(ISBLANK(VLOOKUP($AC10,'2007-2020 Metadata'!$A$6:$S$214,19,FALSE)),"",VLOOKUP($AC10,'2007-2020 Metadata'!$A$6:$S$214,19,FALSE))</f>
        <v>3</v>
      </c>
      <c r="AF10" s="88" t="str">
        <f>VLOOKUP($B10,'2007-2020 Metadata'!$A$4:$S$214,MATCH("Site type",'2007-2020 Metadata'!$A$4:$S$4,0),FALSE)</f>
        <v>SH</v>
      </c>
      <c r="AG10" s="143">
        <f t="shared" si="11"/>
        <v>18.8</v>
      </c>
      <c r="AH10" s="143">
        <f t="shared" si="12"/>
        <v>42.1</v>
      </c>
      <c r="AI10" s="144">
        <f t="shared" ca="1" si="13"/>
        <v>27.494903581267224</v>
      </c>
    </row>
    <row r="11" spans="2:36" ht="12" customHeight="1" x14ac:dyDescent="0.15">
      <c r="B11" s="40" t="s">
        <v>7</v>
      </c>
      <c r="C11" s="52">
        <f>IF(ISERROR(VLOOKUP($B11,'Monthly Summary 2010'!$B$7:$Q$221,14,FALSE)=0),"",VLOOKUP($B11,'Monthly Summary 2010'!$B$7:$Q$221,14,FALSE))</f>
        <v>19.600000000000001</v>
      </c>
      <c r="D11" s="36">
        <v>20.5</v>
      </c>
      <c r="E11" s="36">
        <v>26.4</v>
      </c>
      <c r="F11" s="36">
        <v>29.9</v>
      </c>
      <c r="G11" s="36">
        <v>35.4</v>
      </c>
      <c r="H11" s="36">
        <v>31.5</v>
      </c>
      <c r="I11" s="36">
        <v>30.4</v>
      </c>
      <c r="J11" s="36">
        <v>29.7</v>
      </c>
      <c r="K11" s="36">
        <v>30.4</v>
      </c>
      <c r="L11" s="36">
        <v>35.299999999999997</v>
      </c>
      <c r="M11" s="36">
        <v>22.1</v>
      </c>
      <c r="N11" s="36">
        <v>19</v>
      </c>
      <c r="O11" s="36">
        <v>28.5</v>
      </c>
      <c r="P11" s="37">
        <f t="shared" si="0"/>
        <v>28.258333333333336</v>
      </c>
      <c r="Q11" s="38">
        <f t="shared" si="1"/>
        <v>1</v>
      </c>
      <c r="R11" s="140">
        <f t="shared" si="5"/>
        <v>25.599999999999998</v>
      </c>
      <c r="S11" s="24">
        <f t="shared" si="6"/>
        <v>1</v>
      </c>
      <c r="T11" s="140">
        <f t="shared" si="7"/>
        <v>31.799999999999997</v>
      </c>
      <c r="U11" s="24">
        <f t="shared" si="8"/>
        <v>1</v>
      </c>
      <c r="V11" s="140">
        <f t="shared" si="9"/>
        <v>28.258333333333336</v>
      </c>
      <c r="W11" s="150">
        <f t="shared" si="10"/>
        <v>1</v>
      </c>
      <c r="X11" s="144">
        <f t="shared" ca="1" si="2"/>
        <v>27.734615384615385</v>
      </c>
      <c r="Y11" s="144">
        <f t="shared" ca="1" si="3"/>
        <v>38.234615384615388</v>
      </c>
      <c r="Z11" s="144">
        <f t="shared" ca="1" si="4"/>
        <v>32.17065268065268</v>
      </c>
      <c r="AA11" s="10"/>
      <c r="AB11" s="357" t="str">
        <f>VLOOKUP($B11,'2007-2020 Metadata'!$A$4:$S$214,MATCH("Urban Area /Monitoring Zone",'2007-2020 Metadata'!$A$4:$S$4,0),FALSE)</f>
        <v>Auckland - Central</v>
      </c>
      <c r="AC11" s="87" t="str">
        <f>VLOOKUP(B11,'2007-2020 Metadata'!$A$6:$A$214,1,FALSE)</f>
        <v>AUC008</v>
      </c>
      <c r="AD11" s="230" t="str">
        <f>VLOOKUP($AC11,'2007-2020 Metadata'!$A$6:$S$214,9,FALSE)</f>
        <v>Auckland</v>
      </c>
      <c r="AE11" s="248">
        <f>IF(ISBLANK(VLOOKUP($AC11,'2007-2020 Metadata'!$A$6:$S$214,19,FALSE)),"",VLOOKUP($AC11,'2007-2020 Metadata'!$A$6:$S$214,19,FALSE))</f>
        <v>3</v>
      </c>
      <c r="AF11" s="88" t="str">
        <f>VLOOKUP($B11,'2007-2020 Metadata'!$A$4:$S$214,MATCH("Site type",'2007-2020 Metadata'!$A$4:$S$4,0),FALSE)</f>
        <v>SH</v>
      </c>
      <c r="AG11" s="143">
        <f t="shared" si="11"/>
        <v>19</v>
      </c>
      <c r="AH11" s="143">
        <f t="shared" si="12"/>
        <v>35.4</v>
      </c>
      <c r="AI11" s="144">
        <f t="shared" ca="1" si="13"/>
        <v>32.17065268065268</v>
      </c>
    </row>
    <row r="12" spans="2:36" ht="12" customHeight="1" x14ac:dyDescent="0.15">
      <c r="B12" s="40" t="s">
        <v>8</v>
      </c>
      <c r="C12" s="52">
        <f>IF(ISERROR(VLOOKUP($B12,'Monthly Summary 2010'!$B$7:$Q$221,14,FALSE)=0),"",VLOOKUP($B12,'Monthly Summary 2010'!$B$7:$Q$221,14,FALSE))</f>
        <v>24.4</v>
      </c>
      <c r="D12" s="36">
        <v>34.799999999999997</v>
      </c>
      <c r="E12" s="36">
        <v>39.4</v>
      </c>
      <c r="F12" s="36">
        <v>40.799999999999997</v>
      </c>
      <c r="G12" s="36">
        <v>43.1</v>
      </c>
      <c r="H12" s="36">
        <v>45.4</v>
      </c>
      <c r="I12" s="36">
        <v>50.7</v>
      </c>
      <c r="J12" s="36">
        <v>51.3</v>
      </c>
      <c r="K12" s="36">
        <v>59</v>
      </c>
      <c r="L12" s="36">
        <v>46.4</v>
      </c>
      <c r="M12" s="36">
        <v>45.3</v>
      </c>
      <c r="N12" s="36">
        <v>39.799999999999997</v>
      </c>
      <c r="O12" s="36">
        <v>30.2</v>
      </c>
      <c r="P12" s="37">
        <f t="shared" si="0"/>
        <v>43.85</v>
      </c>
      <c r="Q12" s="38">
        <f t="shared" si="1"/>
        <v>1</v>
      </c>
      <c r="R12" s="140">
        <f t="shared" si="5"/>
        <v>38.333333333333329</v>
      </c>
      <c r="S12" s="24">
        <f t="shared" si="6"/>
        <v>1</v>
      </c>
      <c r="T12" s="140">
        <f t="shared" si="7"/>
        <v>52.233333333333327</v>
      </c>
      <c r="U12" s="24">
        <f t="shared" si="8"/>
        <v>1</v>
      </c>
      <c r="V12" s="140">
        <f t="shared" si="9"/>
        <v>43.85</v>
      </c>
      <c r="W12" s="150">
        <f t="shared" si="10"/>
        <v>1</v>
      </c>
      <c r="X12" s="144">
        <f t="shared" ca="1" si="2"/>
        <v>27.734615384615385</v>
      </c>
      <c r="Y12" s="144">
        <f t="shared" ca="1" si="3"/>
        <v>38.234615384615388</v>
      </c>
      <c r="Z12" s="144">
        <f t="shared" ca="1" si="4"/>
        <v>32.17065268065268</v>
      </c>
      <c r="AA12" s="10"/>
      <c r="AB12" s="357" t="str">
        <f>VLOOKUP($B12,'2007-2020 Metadata'!$A$4:$S$214,MATCH("Urban Area /Monitoring Zone",'2007-2020 Metadata'!$A$4:$S$4,0),FALSE)</f>
        <v>Auckland - Central</v>
      </c>
      <c r="AC12" s="87" t="str">
        <f>VLOOKUP(B12,'2007-2020 Metadata'!$A$6:$A$214,1,FALSE)</f>
        <v>AUC009</v>
      </c>
      <c r="AD12" s="230" t="str">
        <f>VLOOKUP($AC12,'2007-2020 Metadata'!$A$6:$S$214,9,FALSE)</f>
        <v>Auckland</v>
      </c>
      <c r="AE12" s="248">
        <f>IF(ISBLANK(VLOOKUP($AC12,'2007-2020 Metadata'!$A$6:$S$214,19,FALSE)),"",VLOOKUP($AC12,'2007-2020 Metadata'!$A$6:$S$214,19,FALSE))</f>
        <v>3</v>
      </c>
      <c r="AF12" s="88" t="str">
        <f>VLOOKUP($B12,'2007-2020 Metadata'!$A$4:$S$214,MATCH("Site type",'2007-2020 Metadata'!$A$4:$S$4,0),FALSE)</f>
        <v>SH</v>
      </c>
      <c r="AG12" s="143">
        <f t="shared" si="11"/>
        <v>30.2</v>
      </c>
      <c r="AH12" s="143">
        <f t="shared" si="12"/>
        <v>59</v>
      </c>
      <c r="AI12" s="144">
        <f t="shared" ca="1" si="13"/>
        <v>32.17065268065268</v>
      </c>
    </row>
    <row r="13" spans="2:36" ht="12" customHeight="1" x14ac:dyDescent="0.15">
      <c r="B13" s="40" t="s">
        <v>9</v>
      </c>
      <c r="C13" s="52">
        <f>IF(ISERROR(VLOOKUP($B13,'Monthly Summary 2010'!$B$7:$Q$221,14,FALSE)=0),"",VLOOKUP($B13,'Monthly Summary 2010'!$B$7:$Q$221,14,FALSE))</f>
        <v>19.7</v>
      </c>
      <c r="D13" s="36">
        <v>27.6</v>
      </c>
      <c r="E13" s="36">
        <v>30.3</v>
      </c>
      <c r="F13" s="36">
        <v>37.4</v>
      </c>
      <c r="G13" s="36">
        <v>40.5</v>
      </c>
      <c r="H13" s="36">
        <v>37.6</v>
      </c>
      <c r="I13" s="36">
        <v>47.7</v>
      </c>
      <c r="J13" s="36">
        <v>45.9</v>
      </c>
      <c r="K13" s="36">
        <v>50.9</v>
      </c>
      <c r="L13" s="36">
        <v>42</v>
      </c>
      <c r="M13" s="36">
        <v>35.299999999999997</v>
      </c>
      <c r="N13" s="36"/>
      <c r="O13" s="36">
        <v>17.100000000000001</v>
      </c>
      <c r="P13" s="37">
        <f t="shared" si="0"/>
        <v>37.481818181818184</v>
      </c>
      <c r="Q13" s="38">
        <f t="shared" si="1"/>
        <v>0.91666666666666663</v>
      </c>
      <c r="R13" s="140">
        <f t="shared" si="5"/>
        <v>31.766666666666669</v>
      </c>
      <c r="S13" s="24">
        <f t="shared" si="6"/>
        <v>1</v>
      </c>
      <c r="T13" s="140">
        <f t="shared" si="7"/>
        <v>46.266666666666673</v>
      </c>
      <c r="U13" s="24">
        <f t="shared" si="8"/>
        <v>1</v>
      </c>
      <c r="V13" s="140">
        <f t="shared" si="9"/>
        <v>37.481818181818184</v>
      </c>
      <c r="W13" s="150">
        <f t="shared" si="10"/>
        <v>0.91666666666666663</v>
      </c>
      <c r="X13" s="144">
        <f t="shared" ca="1" si="2"/>
        <v>27.734615384615385</v>
      </c>
      <c r="Y13" s="144">
        <f t="shared" ca="1" si="3"/>
        <v>38.234615384615388</v>
      </c>
      <c r="Z13" s="144">
        <f t="shared" ca="1" si="4"/>
        <v>32.17065268065268</v>
      </c>
      <c r="AA13" s="10"/>
      <c r="AB13" s="357" t="str">
        <f>VLOOKUP($B13,'2007-2020 Metadata'!$A$4:$S$214,MATCH("Urban Area /Monitoring Zone",'2007-2020 Metadata'!$A$4:$S$4,0),FALSE)</f>
        <v>Auckland - Central</v>
      </c>
      <c r="AC13" s="87" t="str">
        <f>VLOOKUP(B13,'2007-2020 Metadata'!$A$6:$A$214,1,FALSE)</f>
        <v>AUC011</v>
      </c>
      <c r="AD13" s="230" t="str">
        <f>VLOOKUP($AC13,'2007-2020 Metadata'!$A$6:$S$214,9,FALSE)</f>
        <v>Auckland</v>
      </c>
      <c r="AE13" s="248">
        <f>IF(ISBLANK(VLOOKUP($AC13,'2007-2020 Metadata'!$A$6:$S$214,19,FALSE)),"",VLOOKUP($AC13,'2007-2020 Metadata'!$A$6:$S$214,19,FALSE))</f>
        <v>3</v>
      </c>
      <c r="AF13" s="88" t="str">
        <f>VLOOKUP($B13,'2007-2020 Metadata'!$A$4:$S$214,MATCH("Site type",'2007-2020 Metadata'!$A$4:$S$4,0),FALSE)</f>
        <v>SH</v>
      </c>
      <c r="AG13" s="143">
        <f>MIN($D13:$O13)</f>
        <v>17.100000000000001</v>
      </c>
      <c r="AH13" s="143">
        <f t="shared" si="12"/>
        <v>50.9</v>
      </c>
      <c r="AI13" s="144">
        <f t="shared" ca="1" si="13"/>
        <v>32.17065268065268</v>
      </c>
    </row>
    <row r="14" spans="2:36" ht="12" customHeight="1" x14ac:dyDescent="0.15">
      <c r="B14" s="40" t="s">
        <v>10</v>
      </c>
      <c r="C14" s="52">
        <f>IF(ISERROR(VLOOKUP($B14,'Monthly Summary 2010'!$B$7:$Q$221,14,FALSE)=0),"",VLOOKUP($B14,'Monthly Summary 2010'!$B$7:$Q$221,14,FALSE))</f>
        <v>12.4</v>
      </c>
      <c r="D14" s="36">
        <v>23.5</v>
      </c>
      <c r="E14" s="36">
        <v>27.8</v>
      </c>
      <c r="F14" s="36">
        <v>32.700000000000003</v>
      </c>
      <c r="G14" s="36">
        <v>35.6</v>
      </c>
      <c r="H14" s="36">
        <v>29</v>
      </c>
      <c r="I14" s="36">
        <v>41.7</v>
      </c>
      <c r="J14" s="36">
        <v>39.5</v>
      </c>
      <c r="K14" s="36">
        <v>41.7</v>
      </c>
      <c r="L14" s="36">
        <v>37.9</v>
      </c>
      <c r="M14" s="36">
        <v>29</v>
      </c>
      <c r="N14" s="36">
        <v>26.3</v>
      </c>
      <c r="O14" s="36">
        <v>15.3</v>
      </c>
      <c r="P14" s="37">
        <f t="shared" si="0"/>
        <v>31.666666666666668</v>
      </c>
      <c r="Q14" s="38">
        <f t="shared" si="1"/>
        <v>1</v>
      </c>
      <c r="R14" s="260">
        <f t="shared" si="5"/>
        <v>28</v>
      </c>
      <c r="S14" s="264">
        <f t="shared" si="6"/>
        <v>1</v>
      </c>
      <c r="T14" s="260">
        <f t="shared" si="7"/>
        <v>39.699999999999996</v>
      </c>
      <c r="U14" s="264">
        <f t="shared" si="8"/>
        <v>1</v>
      </c>
      <c r="V14" s="260">
        <f t="shared" si="9"/>
        <v>31.666666666666668</v>
      </c>
      <c r="W14" s="261">
        <f t="shared" si="10"/>
        <v>1</v>
      </c>
      <c r="X14" s="177">
        <f t="shared" ca="1" si="2"/>
        <v>27.734615384615385</v>
      </c>
      <c r="Y14" s="177">
        <f t="shared" ca="1" si="3"/>
        <v>38.234615384615388</v>
      </c>
      <c r="Z14" s="177">
        <f t="shared" ca="1" si="4"/>
        <v>32.17065268065268</v>
      </c>
      <c r="AA14" s="10"/>
      <c r="AB14" s="357" t="str">
        <f>VLOOKUP($B14,'2007-2020 Metadata'!$A$4:$S$214,MATCH("Urban Area /Monitoring Zone",'2007-2020 Metadata'!$A$4:$S$4,0),FALSE)</f>
        <v>Auckland - Central</v>
      </c>
      <c r="AC14" s="259" t="str">
        <f>VLOOKUP(B14,'2007-2020 Metadata'!$A$6:$A$214,1,FALSE)</f>
        <v>AUC013</v>
      </c>
      <c r="AD14" s="256" t="str">
        <f>VLOOKUP($AC14,'2007-2020 Metadata'!$A$6:$S$214,9,FALSE)</f>
        <v>Auckland</v>
      </c>
      <c r="AE14" s="263">
        <f>IF(ISBLANK(VLOOKUP($AC14,'2007-2020 Metadata'!$A$6:$S$214,19,FALSE)),"",VLOOKUP($AC14,'2007-2020 Metadata'!$A$6:$S$214,19,FALSE))</f>
        <v>4</v>
      </c>
      <c r="AF14" s="257" t="str">
        <f>VLOOKUP($B14,'2007-2020 Metadata'!$A$4:$S$214,MATCH("Site type",'2007-2020 Metadata'!$A$4:$S$4,0),FALSE)</f>
        <v>SH</v>
      </c>
      <c r="AG14" s="258">
        <f>MIN(AVERAGE(D$14:D$16),AVERAGE(E$14:E$16),AVERAGE(F$14:F$16),AVERAGE(G$14:G$16),AVERAGE(H$14:H$16),AVERAGE(I$14:I$16),AVERAGE(J$14:J$16),AVERAGE(K$14:K$16),AVERAGE(L$14:L$16),AVERAGE(M$14:M$16),AVERAGE(N$14:N$16),AVERAGE(O$14:O$16))</f>
        <v>13.666666666666666</v>
      </c>
      <c r="AH14" s="258">
        <f>MAX(AVERAGE(D$14:D$16),AVERAGE(E$14:E$16),AVERAGE(F$14:F$16),AVERAGE(G$14:G$16),AVERAGE(H$14:H$16),AVERAGE(I$14:I$16),AVERAGE(J$14:J$16),AVERAGE(K$14:K$16),AVERAGE(L$14:L$16),AVERAGE(M$14:M$16),AVERAGE(N$14:N$16),AVERAGE(O$14:O$16))</f>
        <v>41.633333333333333</v>
      </c>
      <c r="AI14" s="177">
        <f t="shared" ca="1" si="13"/>
        <v>32.17065268065268</v>
      </c>
      <c r="AJ14" s="86"/>
    </row>
    <row r="15" spans="2:36" ht="12" customHeight="1" x14ac:dyDescent="0.15">
      <c r="B15" s="40" t="s">
        <v>11</v>
      </c>
      <c r="C15" s="52">
        <f>IF(ISERROR(VLOOKUP($B15,'Monthly Summary 2010'!$B$7:$Q$221,14,FALSE)=0),"",VLOOKUP($B15,'Monthly Summary 2010'!$B$7:$Q$221,14,FALSE))</f>
        <v>15.5</v>
      </c>
      <c r="D15" s="36">
        <v>22.5</v>
      </c>
      <c r="E15" s="36">
        <v>26.3</v>
      </c>
      <c r="F15" s="36">
        <v>32</v>
      </c>
      <c r="G15" s="36">
        <v>31.4</v>
      </c>
      <c r="H15" s="36">
        <v>34.200000000000003</v>
      </c>
      <c r="I15" s="36">
        <v>42.5</v>
      </c>
      <c r="J15" s="36">
        <v>31.9</v>
      </c>
      <c r="K15" s="36">
        <v>42.5</v>
      </c>
      <c r="L15" s="36">
        <v>36.700000000000003</v>
      </c>
      <c r="M15" s="36">
        <v>28.2</v>
      </c>
      <c r="N15" s="36">
        <v>26</v>
      </c>
      <c r="O15" s="36">
        <v>14.8</v>
      </c>
      <c r="P15" s="37">
        <f t="shared" si="0"/>
        <v>30.749999999999996</v>
      </c>
      <c r="Q15" s="38">
        <f t="shared" si="1"/>
        <v>1</v>
      </c>
      <c r="R15" s="260">
        <f t="shared" si="5"/>
        <v>26.933333333333334</v>
      </c>
      <c r="S15" s="264">
        <f t="shared" si="6"/>
        <v>1</v>
      </c>
      <c r="T15" s="260">
        <f t="shared" si="7"/>
        <v>37.033333333333339</v>
      </c>
      <c r="U15" s="264">
        <f t="shared" si="8"/>
        <v>1</v>
      </c>
      <c r="V15" s="260">
        <f t="shared" si="9"/>
        <v>30.749999999999996</v>
      </c>
      <c r="W15" s="261">
        <f t="shared" si="10"/>
        <v>1</v>
      </c>
      <c r="X15" s="177">
        <f t="shared" ca="1" si="2"/>
        <v>27.734615384615385</v>
      </c>
      <c r="Y15" s="177">
        <f t="shared" ca="1" si="3"/>
        <v>38.234615384615388</v>
      </c>
      <c r="Z15" s="177">
        <f t="shared" ca="1" si="4"/>
        <v>32.17065268065268</v>
      </c>
      <c r="AA15" s="10"/>
      <c r="AB15" s="357" t="str">
        <f>VLOOKUP($B15,'2007-2020 Metadata'!$A$4:$S$214,MATCH("Urban Area /Monitoring Zone",'2007-2020 Metadata'!$A$4:$S$4,0),FALSE)</f>
        <v>Auckland - Central</v>
      </c>
      <c r="AC15" s="259" t="str">
        <f>VLOOKUP(B15,'2007-2020 Metadata'!$A$6:$A$214,1,FALSE)</f>
        <v>AUC014</v>
      </c>
      <c r="AD15" s="256" t="str">
        <f>VLOOKUP($AC15,'2007-2020 Metadata'!$A$6:$S$214,9,FALSE)</f>
        <v>Auckland</v>
      </c>
      <c r="AE15" s="263">
        <f>IF(ISBLANK(VLOOKUP($AC15,'2007-2020 Metadata'!$A$6:$S$214,19,FALSE)),"",VLOOKUP($AC15,'2007-2020 Metadata'!$A$6:$S$214,19,FALSE))</f>
        <v>4</v>
      </c>
      <c r="AF15" s="257" t="str">
        <f>VLOOKUP($B15,'2007-2020 Metadata'!$A$4:$S$214,MATCH("Site type",'2007-2020 Metadata'!$A$4:$S$4,0),FALSE)</f>
        <v>SH</v>
      </c>
      <c r="AG15" s="258">
        <f t="shared" ref="AG15:AG16" si="14">MIN(AVERAGE(D$14:D$16),AVERAGE(E$14:E$16),AVERAGE(F$14:F$16),AVERAGE(G$14:G$16),AVERAGE(H$14:H$16),AVERAGE(I$14:I$16),AVERAGE(J$14:J$16),AVERAGE(K$14:K$16),AVERAGE(L$14:L$16),AVERAGE(M$14:M$16),AVERAGE(N$14:N$16),AVERAGE(O$14:O$16))</f>
        <v>13.666666666666666</v>
      </c>
      <c r="AH15" s="258">
        <f t="shared" ref="AH15:AH16" si="15">MAX(AVERAGE(D$14:D$16),AVERAGE(E$14:E$16),AVERAGE(F$14:F$16),AVERAGE(G$14:G$16),AVERAGE(H$14:H$16),AVERAGE(I$14:I$16),AVERAGE(J$14:J$16),AVERAGE(K$14:K$16),AVERAGE(L$14:L$16),AVERAGE(M$14:M$16),AVERAGE(N$14:N$16),AVERAGE(O$14:O$16))</f>
        <v>41.633333333333333</v>
      </c>
      <c r="AI15" s="177">
        <f t="shared" ca="1" si="13"/>
        <v>32.17065268065268</v>
      </c>
    </row>
    <row r="16" spans="2:36" ht="12" customHeight="1" x14ac:dyDescent="0.15">
      <c r="B16" s="40" t="s">
        <v>12</v>
      </c>
      <c r="C16" s="52">
        <f>IF(ISERROR(VLOOKUP($B16,'Monthly Summary 2010'!$B$7:$Q$221,14,FALSE)=0),"",VLOOKUP($B16,'Monthly Summary 2010'!$B$7:$Q$221,14,FALSE))</f>
        <v>13.1</v>
      </c>
      <c r="D16" s="36">
        <v>23.3</v>
      </c>
      <c r="E16" s="36">
        <v>26.3</v>
      </c>
      <c r="F16" s="36">
        <v>30.2</v>
      </c>
      <c r="G16" s="36">
        <v>33.6</v>
      </c>
      <c r="H16" s="36">
        <v>30.8</v>
      </c>
      <c r="I16" s="36">
        <v>40.700000000000003</v>
      </c>
      <c r="J16" s="36">
        <v>40</v>
      </c>
      <c r="K16" s="36">
        <v>39.299999999999997</v>
      </c>
      <c r="L16" s="36">
        <v>34.299999999999997</v>
      </c>
      <c r="M16" s="36">
        <v>27.3</v>
      </c>
      <c r="N16" s="36">
        <v>26.7</v>
      </c>
      <c r="O16" s="36">
        <v>10.9</v>
      </c>
      <c r="P16" s="37">
        <f t="shared" si="0"/>
        <v>30.283333333333335</v>
      </c>
      <c r="Q16" s="38">
        <f t="shared" si="1"/>
        <v>1</v>
      </c>
      <c r="R16" s="260">
        <f t="shared" si="5"/>
        <v>26.599999999999998</v>
      </c>
      <c r="S16" s="264">
        <f t="shared" si="6"/>
        <v>1</v>
      </c>
      <c r="T16" s="260">
        <f t="shared" si="7"/>
        <v>37.866666666666667</v>
      </c>
      <c r="U16" s="264">
        <f t="shared" si="8"/>
        <v>1</v>
      </c>
      <c r="V16" s="260">
        <f t="shared" si="9"/>
        <v>30.283333333333335</v>
      </c>
      <c r="W16" s="261">
        <f t="shared" si="10"/>
        <v>1</v>
      </c>
      <c r="X16" s="177">
        <f t="shared" ca="1" si="2"/>
        <v>27.734615384615385</v>
      </c>
      <c r="Y16" s="177">
        <f t="shared" ca="1" si="3"/>
        <v>38.234615384615388</v>
      </c>
      <c r="Z16" s="177">
        <f t="shared" ca="1" si="4"/>
        <v>32.17065268065268</v>
      </c>
      <c r="AA16" s="10"/>
      <c r="AB16" s="357" t="str">
        <f>VLOOKUP($B16,'2007-2020 Metadata'!$A$4:$S$214,MATCH("Urban Area /Monitoring Zone",'2007-2020 Metadata'!$A$4:$S$4,0),FALSE)</f>
        <v>Auckland - Central</v>
      </c>
      <c r="AC16" s="259" t="str">
        <f>VLOOKUP(B16,'2007-2020 Metadata'!$A$6:$A$214,1,FALSE)</f>
        <v>AUC015</v>
      </c>
      <c r="AD16" s="256" t="str">
        <f>VLOOKUP($AC16,'2007-2020 Metadata'!$A$6:$S$214,9,FALSE)</f>
        <v>Auckland</v>
      </c>
      <c r="AE16" s="263">
        <f>IF(ISBLANK(VLOOKUP($AC16,'2007-2020 Metadata'!$A$6:$S$214,19,FALSE)),"",VLOOKUP($AC16,'2007-2020 Metadata'!$A$6:$S$214,19,FALSE))</f>
        <v>4</v>
      </c>
      <c r="AF16" s="257" t="str">
        <f>VLOOKUP($B16,'2007-2020 Metadata'!$A$4:$S$214,MATCH("Site type",'2007-2020 Metadata'!$A$4:$S$4,0),FALSE)</f>
        <v>SH</v>
      </c>
      <c r="AG16" s="258">
        <f t="shared" si="14"/>
        <v>13.666666666666666</v>
      </c>
      <c r="AH16" s="258">
        <f t="shared" si="15"/>
        <v>41.633333333333333</v>
      </c>
      <c r="AI16" s="177">
        <f t="shared" ca="1" si="13"/>
        <v>32.17065268065268</v>
      </c>
    </row>
    <row r="17" spans="2:35" ht="12" customHeight="1" x14ac:dyDescent="0.15">
      <c r="B17" s="40" t="s">
        <v>13</v>
      </c>
      <c r="C17" s="52">
        <f>IF(ISERROR(VLOOKUP($B17,'Monthly Summary 2010'!$B$7:$Q$221,14,FALSE)=0),"",VLOOKUP($B17,'Monthly Summary 2010'!$B$7:$Q$221,14,FALSE))</f>
        <v>17.2</v>
      </c>
      <c r="D17" s="36">
        <v>25.3</v>
      </c>
      <c r="E17" s="36">
        <v>29.5</v>
      </c>
      <c r="F17" s="36">
        <v>32</v>
      </c>
      <c r="G17" s="36">
        <v>28.7</v>
      </c>
      <c r="H17" s="36">
        <v>33.1</v>
      </c>
      <c r="I17" s="36">
        <v>41.5</v>
      </c>
      <c r="J17" s="36">
        <v>43.1</v>
      </c>
      <c r="K17" s="36">
        <v>46.2</v>
      </c>
      <c r="L17" s="36">
        <v>36.9</v>
      </c>
      <c r="M17" s="36"/>
      <c r="N17" s="36">
        <v>31</v>
      </c>
      <c r="O17" s="36">
        <v>16.7</v>
      </c>
      <c r="P17" s="37">
        <f t="shared" si="0"/>
        <v>33.090909090909086</v>
      </c>
      <c r="Q17" s="38">
        <f t="shared" si="1"/>
        <v>0.91666666666666663</v>
      </c>
      <c r="R17" s="140">
        <f t="shared" si="5"/>
        <v>28.933333333333334</v>
      </c>
      <c r="S17" s="24">
        <f t="shared" si="6"/>
        <v>1</v>
      </c>
      <c r="T17" s="140">
        <f t="shared" si="7"/>
        <v>42.06666666666667</v>
      </c>
      <c r="U17" s="24">
        <f t="shared" si="8"/>
        <v>1</v>
      </c>
      <c r="V17" s="140">
        <f t="shared" si="9"/>
        <v>33.090909090909086</v>
      </c>
      <c r="W17" s="150">
        <f t="shared" si="10"/>
        <v>0.91666666666666663</v>
      </c>
      <c r="X17" s="144">
        <f t="shared" ca="1" si="2"/>
        <v>23.259259259259256</v>
      </c>
      <c r="Y17" s="144">
        <f t="shared" ca="1" si="3"/>
        <v>33.346296296296302</v>
      </c>
      <c r="Z17" s="144">
        <f t="shared" ca="1" si="4"/>
        <v>27.569781144781146</v>
      </c>
      <c r="AA17" s="10"/>
      <c r="AB17" s="357" t="str">
        <f>VLOOKUP($B17,'2007-2020 Metadata'!$A$4:$S$214,MATCH("Urban Area /Monitoring Zone",'2007-2020 Metadata'!$A$4:$S$4,0),FALSE)</f>
        <v xml:space="preserve">Auckland - Southern </v>
      </c>
      <c r="AC17" s="87" t="str">
        <f>VLOOKUP(B17,'2007-2020 Metadata'!$A$6:$A$214,1,FALSE)</f>
        <v>AUC018</v>
      </c>
      <c r="AD17" s="230" t="str">
        <f>VLOOKUP($AC17,'2007-2020 Metadata'!$A$6:$S$214,9,FALSE)</f>
        <v>Manukau</v>
      </c>
      <c r="AE17" s="248">
        <f>IF(ISBLANK(VLOOKUP($AC17,'2007-2020 Metadata'!$A$6:$S$214,19,FALSE)),"",VLOOKUP($AC17,'2007-2020 Metadata'!$A$6:$S$214,19,FALSE))</f>
        <v>3</v>
      </c>
      <c r="AF17" s="88" t="str">
        <f>VLOOKUP($B17,'2007-2020 Metadata'!$A$4:$S$214,MATCH("Site type",'2007-2020 Metadata'!$A$4:$S$4,0),FALSE)</f>
        <v>SH</v>
      </c>
      <c r="AG17" s="143">
        <f t="shared" si="11"/>
        <v>16.7</v>
      </c>
      <c r="AH17" s="143">
        <f t="shared" si="12"/>
        <v>46.2</v>
      </c>
      <c r="AI17" s="144">
        <f t="shared" ca="1" si="13"/>
        <v>27.569781144781146</v>
      </c>
    </row>
    <row r="18" spans="2:35" ht="12" customHeight="1" x14ac:dyDescent="0.15">
      <c r="B18" s="40" t="s">
        <v>14</v>
      </c>
      <c r="C18" s="52">
        <f>IF(ISERROR(VLOOKUP($B18,'Monthly Summary 2010'!$B$7:$Q$221,14,FALSE)=0),"",VLOOKUP($B18,'Monthly Summary 2010'!$B$7:$Q$221,14,FALSE))</f>
        <v>14.3</v>
      </c>
      <c r="D18" s="36">
        <v>13.9</v>
      </c>
      <c r="E18" s="36">
        <v>17.8</v>
      </c>
      <c r="F18" s="36">
        <v>25.3</v>
      </c>
      <c r="G18" s="36">
        <v>22.9</v>
      </c>
      <c r="H18" s="36">
        <v>31.9</v>
      </c>
      <c r="I18" s="36">
        <v>32.1</v>
      </c>
      <c r="J18" s="36">
        <v>29.2</v>
      </c>
      <c r="K18" s="36">
        <v>27</v>
      </c>
      <c r="L18" s="36">
        <v>27.1</v>
      </c>
      <c r="M18" s="36">
        <v>24.8</v>
      </c>
      <c r="N18" s="36">
        <v>15.6</v>
      </c>
      <c r="O18" s="36">
        <v>21.5</v>
      </c>
      <c r="P18" s="37">
        <f t="shared" si="0"/>
        <v>24.091666666666669</v>
      </c>
      <c r="Q18" s="38">
        <f t="shared" si="1"/>
        <v>1</v>
      </c>
      <c r="R18" s="140">
        <f t="shared" si="5"/>
        <v>19</v>
      </c>
      <c r="S18" s="24">
        <f t="shared" si="6"/>
        <v>1</v>
      </c>
      <c r="T18" s="140">
        <f t="shared" si="7"/>
        <v>27.766666666666669</v>
      </c>
      <c r="U18" s="24">
        <f t="shared" si="8"/>
        <v>1</v>
      </c>
      <c r="V18" s="140">
        <f t="shared" si="9"/>
        <v>24.091666666666669</v>
      </c>
      <c r="W18" s="150">
        <f t="shared" si="10"/>
        <v>1</v>
      </c>
      <c r="X18" s="144">
        <f t="shared" ca="1" si="2"/>
        <v>23.259259259259256</v>
      </c>
      <c r="Y18" s="144">
        <f t="shared" ca="1" si="3"/>
        <v>33.346296296296302</v>
      </c>
      <c r="Z18" s="144">
        <f t="shared" ca="1" si="4"/>
        <v>27.569781144781146</v>
      </c>
      <c r="AA18" s="10"/>
      <c r="AB18" s="357" t="str">
        <f>VLOOKUP($B18,'2007-2020 Metadata'!$A$4:$S$214,MATCH("Urban Area /Monitoring Zone",'2007-2020 Metadata'!$A$4:$S$4,0),FALSE)</f>
        <v xml:space="preserve">Auckland - Southern </v>
      </c>
      <c r="AC18" s="87" t="str">
        <f>VLOOKUP(B18,'2007-2020 Metadata'!$A$6:$A$214,1,FALSE)</f>
        <v>AUC019</v>
      </c>
      <c r="AD18" s="230" t="str">
        <f>VLOOKUP($AC18,'2007-2020 Metadata'!$A$6:$S$214,9,FALSE)</f>
        <v>Manukau</v>
      </c>
      <c r="AE18" s="248">
        <f>IF(ISBLANK(VLOOKUP($AC18,'2007-2020 Metadata'!$A$6:$S$214,19,FALSE)),"",VLOOKUP($AC18,'2007-2020 Metadata'!$A$6:$S$214,19,FALSE))</f>
        <v>2</v>
      </c>
      <c r="AF18" s="88" t="str">
        <f>VLOOKUP($B18,'2007-2020 Metadata'!$A$4:$S$214,MATCH("Site type",'2007-2020 Metadata'!$A$4:$S$4,0),FALSE)</f>
        <v>SH</v>
      </c>
      <c r="AG18" s="143">
        <f t="shared" si="11"/>
        <v>13.9</v>
      </c>
      <c r="AH18" s="143">
        <f t="shared" si="12"/>
        <v>32.1</v>
      </c>
      <c r="AI18" s="144">
        <f t="shared" ca="1" si="13"/>
        <v>27.569781144781146</v>
      </c>
    </row>
    <row r="19" spans="2:35" ht="12" customHeight="1" x14ac:dyDescent="0.15">
      <c r="B19" s="40" t="s">
        <v>993</v>
      </c>
      <c r="C19" s="52">
        <f>IF(ISERROR(VLOOKUP($B19,'Monthly Summary 2010'!$B$7:$Q$221,14,FALSE)=0),"",VLOOKUP($B19,'Monthly Summary 2010'!$B$7:$Q$221,14,FALSE))</f>
        <v>7.6</v>
      </c>
      <c r="D19" s="36">
        <v>11.2</v>
      </c>
      <c r="E19" s="36">
        <v>14</v>
      </c>
      <c r="F19" s="36">
        <v>16.600000000000001</v>
      </c>
      <c r="G19" s="36">
        <v>16.7</v>
      </c>
      <c r="H19" s="36">
        <v>17.2</v>
      </c>
      <c r="I19" s="36">
        <v>19.8</v>
      </c>
      <c r="J19" s="36">
        <v>19.5</v>
      </c>
      <c r="K19" s="36">
        <v>24.4</v>
      </c>
      <c r="L19" s="36">
        <v>18.399999999999999</v>
      </c>
      <c r="M19" s="36">
        <v>15.8</v>
      </c>
      <c r="N19" s="36">
        <v>12.2</v>
      </c>
      <c r="O19" s="36">
        <v>8.8000000000000007</v>
      </c>
      <c r="P19" s="37">
        <f t="shared" si="0"/>
        <v>16.216666666666669</v>
      </c>
      <c r="Q19" s="38">
        <f t="shared" si="1"/>
        <v>1</v>
      </c>
      <c r="R19" s="140">
        <f t="shared" si="5"/>
        <v>13.933333333333332</v>
      </c>
      <c r="S19" s="24">
        <f t="shared" si="6"/>
        <v>1</v>
      </c>
      <c r="T19" s="140">
        <f t="shared" si="7"/>
        <v>20.766666666666666</v>
      </c>
      <c r="U19" s="24">
        <f t="shared" si="8"/>
        <v>1</v>
      </c>
      <c r="V19" s="140">
        <f t="shared" si="9"/>
        <v>16.216666666666669</v>
      </c>
      <c r="W19" s="150">
        <f t="shared" si="10"/>
        <v>1</v>
      </c>
      <c r="X19" s="144">
        <f t="shared" si="2"/>
        <v>13.933333333333332</v>
      </c>
      <c r="Y19" s="144">
        <f t="shared" si="3"/>
        <v>20.766666666666666</v>
      </c>
      <c r="Z19" s="144">
        <f t="shared" si="4"/>
        <v>16.216666666666669</v>
      </c>
      <c r="AA19" s="10"/>
      <c r="AB19" s="357">
        <f>VLOOKUP($B19,'2007-2020 Metadata'!$A$4:$S$214,MATCH("Urban Area /Monitoring Zone",'2007-2020 Metadata'!$A$4:$S$4,0),FALSE)</f>
        <v>0</v>
      </c>
      <c r="AC19" s="87" t="str">
        <f>VLOOKUP(B19,'2007-2020 Metadata'!$A$6:$A$214,1,FALSE)</f>
        <v>AUC020a</v>
      </c>
      <c r="AD19" s="230">
        <f>VLOOKUP($AC19,'2007-2020 Metadata'!$A$6:$S$214,9,FALSE)</f>
        <v>0</v>
      </c>
      <c r="AE19" s="248" t="str">
        <f>IF(ISBLANK(VLOOKUP($AC19,'2007-2020 Metadata'!$A$6:$S$214,19,FALSE)),"",VLOOKUP($AC19,'2007-2020 Metadata'!$A$6:$S$214,19,FALSE))</f>
        <v/>
      </c>
      <c r="AF19" s="88" t="str">
        <f>VLOOKUP($B19,'2007-2020 Metadata'!$A$4:$S$214,MATCH("Site type",'2007-2020 Metadata'!$A$4:$S$4,0),FALSE)</f>
        <v>SH</v>
      </c>
      <c r="AG19" s="143">
        <f t="shared" si="11"/>
        <v>8.8000000000000007</v>
      </c>
      <c r="AH19" s="143">
        <f t="shared" si="12"/>
        <v>24.4</v>
      </c>
      <c r="AI19" s="144">
        <f t="shared" si="13"/>
        <v>16.216666666666669</v>
      </c>
    </row>
    <row r="20" spans="2:35" ht="12" customHeight="1" x14ac:dyDescent="0.15">
      <c r="B20" s="40" t="s">
        <v>994</v>
      </c>
      <c r="C20" s="52">
        <f>IF(ISERROR(VLOOKUP($B20,'Monthly Summary 2010'!$B$7:$Q$221,14,FALSE)=0),"",VLOOKUP($B20,'Monthly Summary 2010'!$B$7:$Q$221,14,FALSE))</f>
        <v>9.6999999999999993</v>
      </c>
      <c r="D20" s="36">
        <v>11.1</v>
      </c>
      <c r="E20" s="36">
        <v>15.4</v>
      </c>
      <c r="F20" s="36">
        <v>22</v>
      </c>
      <c r="G20" s="36">
        <v>23.5</v>
      </c>
      <c r="H20" s="36">
        <v>20.5</v>
      </c>
      <c r="I20" s="36">
        <v>22</v>
      </c>
      <c r="J20" s="36">
        <v>20.2</v>
      </c>
      <c r="K20" s="36">
        <v>22.2</v>
      </c>
      <c r="L20" s="36">
        <v>20.8</v>
      </c>
      <c r="M20" s="36">
        <v>17.3</v>
      </c>
      <c r="N20" s="36">
        <v>12.6</v>
      </c>
      <c r="O20" s="36">
        <v>15.5</v>
      </c>
      <c r="P20" s="37">
        <f t="shared" si="0"/>
        <v>18.591666666666665</v>
      </c>
      <c r="Q20" s="38">
        <f t="shared" si="1"/>
        <v>1</v>
      </c>
      <c r="R20" s="140">
        <f t="shared" si="5"/>
        <v>16.166666666666668</v>
      </c>
      <c r="S20" s="24">
        <f t="shared" si="6"/>
        <v>1</v>
      </c>
      <c r="T20" s="140">
        <f t="shared" si="7"/>
        <v>21.066666666666666</v>
      </c>
      <c r="U20" s="24">
        <f t="shared" si="8"/>
        <v>1</v>
      </c>
      <c r="V20" s="140">
        <f t="shared" si="9"/>
        <v>18.591666666666665</v>
      </c>
      <c r="W20" s="150">
        <f t="shared" si="10"/>
        <v>1</v>
      </c>
      <c r="X20" s="144">
        <f t="shared" si="2"/>
        <v>16.166666666666668</v>
      </c>
      <c r="Y20" s="144">
        <f t="shared" si="3"/>
        <v>21.066666666666666</v>
      </c>
      <c r="Z20" s="144">
        <f t="shared" si="4"/>
        <v>18.591666666666665</v>
      </c>
      <c r="AA20" s="10"/>
      <c r="AB20" s="357">
        <f>VLOOKUP($B20,'2007-2020 Metadata'!$A$4:$S$214,MATCH("Urban Area /Monitoring Zone",'2007-2020 Metadata'!$A$4:$S$4,0),FALSE)</f>
        <v>0</v>
      </c>
      <c r="AC20" s="87" t="str">
        <f>VLOOKUP(B20,'2007-2020 Metadata'!$A$6:$A$214,1,FALSE)</f>
        <v>AUC021a</v>
      </c>
      <c r="AD20" s="230">
        <f>VLOOKUP($AC20,'2007-2020 Metadata'!$A$6:$S$214,9,FALSE)</f>
        <v>0</v>
      </c>
      <c r="AE20" s="248" t="str">
        <f>IF(ISBLANK(VLOOKUP($AC20,'2007-2020 Metadata'!$A$6:$S$214,19,FALSE)),"",VLOOKUP($AC20,'2007-2020 Metadata'!$A$6:$S$214,19,FALSE))</f>
        <v/>
      </c>
      <c r="AF20" s="88" t="str">
        <f>VLOOKUP($B20,'2007-2020 Metadata'!$A$4:$S$214,MATCH("Site type",'2007-2020 Metadata'!$A$4:$S$4,0),FALSE)</f>
        <v>Background</v>
      </c>
      <c r="AG20" s="143">
        <f t="shared" si="11"/>
        <v>11.1</v>
      </c>
      <c r="AH20" s="143">
        <f t="shared" si="12"/>
        <v>23.5</v>
      </c>
      <c r="AI20" s="144">
        <f t="shared" si="13"/>
        <v>18.591666666666665</v>
      </c>
    </row>
    <row r="21" spans="2:35" ht="12" customHeight="1" x14ac:dyDescent="0.15">
      <c r="B21" s="40" t="s">
        <v>17</v>
      </c>
      <c r="C21" s="52">
        <f>IF(ISERROR(VLOOKUP($B21,'Monthly Summary 2010'!$B$7:$Q$221,14,FALSE)=0),"",VLOOKUP($B21,'Monthly Summary 2010'!$B$7:$Q$221,14,FALSE))</f>
        <v>19.899999999999999</v>
      </c>
      <c r="D21" s="36">
        <v>23.4</v>
      </c>
      <c r="E21" s="36">
        <v>28.7</v>
      </c>
      <c r="F21" s="36">
        <v>31.6</v>
      </c>
      <c r="G21" s="36">
        <v>39.700000000000003</v>
      </c>
      <c r="H21" s="36">
        <v>34.700000000000003</v>
      </c>
      <c r="I21" s="36">
        <v>39.200000000000003</v>
      </c>
      <c r="J21" s="36">
        <v>40.5</v>
      </c>
      <c r="K21" s="36">
        <v>43</v>
      </c>
      <c r="L21" s="36">
        <v>38.799999999999997</v>
      </c>
      <c r="M21" s="36">
        <v>34.700000000000003</v>
      </c>
      <c r="N21" s="36">
        <v>29</v>
      </c>
      <c r="O21" s="36">
        <v>25.5</v>
      </c>
      <c r="P21" s="37">
        <f t="shared" si="0"/>
        <v>34.06666666666667</v>
      </c>
      <c r="Q21" s="38">
        <f t="shared" si="1"/>
        <v>1</v>
      </c>
      <c r="R21" s="140">
        <f t="shared" si="5"/>
        <v>27.899999999999995</v>
      </c>
      <c r="S21" s="24">
        <f t="shared" si="6"/>
        <v>1</v>
      </c>
      <c r="T21" s="140">
        <f t="shared" si="7"/>
        <v>40.766666666666666</v>
      </c>
      <c r="U21" s="24">
        <f t="shared" si="8"/>
        <v>1</v>
      </c>
      <c r="V21" s="140">
        <f t="shared" si="9"/>
        <v>34.06666666666667</v>
      </c>
      <c r="W21" s="150">
        <f t="shared" si="10"/>
        <v>1</v>
      </c>
      <c r="X21" s="144">
        <f t="shared" ca="1" si="2"/>
        <v>27.734615384615385</v>
      </c>
      <c r="Y21" s="144">
        <f t="shared" ca="1" si="3"/>
        <v>38.234615384615388</v>
      </c>
      <c r="Z21" s="144">
        <f t="shared" ca="1" si="4"/>
        <v>32.17065268065268</v>
      </c>
      <c r="AA21" s="10"/>
      <c r="AB21" s="357" t="str">
        <f>VLOOKUP($B21,'2007-2020 Metadata'!$A$4:$S$214,MATCH("Urban Area /Monitoring Zone",'2007-2020 Metadata'!$A$4:$S$4,0),FALSE)</f>
        <v>Auckland - Central</v>
      </c>
      <c r="AC21" s="87" t="str">
        <f>VLOOKUP(B21,'2007-2020 Metadata'!$A$6:$A$214,1,FALSE)</f>
        <v>AUC022</v>
      </c>
      <c r="AD21" s="230" t="str">
        <f>VLOOKUP($AC21,'2007-2020 Metadata'!$A$6:$S$214,9,FALSE)</f>
        <v>Auckland</v>
      </c>
      <c r="AE21" s="248">
        <f>IF(ISBLANK(VLOOKUP($AC21,'2007-2020 Metadata'!$A$6:$S$214,19,FALSE)),"",VLOOKUP($AC21,'2007-2020 Metadata'!$A$6:$S$214,19,FALSE))</f>
        <v>3</v>
      </c>
      <c r="AF21" s="88" t="str">
        <f>VLOOKUP($B21,'2007-2020 Metadata'!$A$4:$S$214,MATCH("Site type",'2007-2020 Metadata'!$A$4:$S$4,0),FALSE)</f>
        <v>SH</v>
      </c>
      <c r="AG21" s="143">
        <f t="shared" si="11"/>
        <v>23.4</v>
      </c>
      <c r="AH21" s="143">
        <f t="shared" si="12"/>
        <v>43</v>
      </c>
      <c r="AI21" s="144">
        <f t="shared" ca="1" si="13"/>
        <v>32.17065268065268</v>
      </c>
    </row>
    <row r="22" spans="2:35" ht="12" customHeight="1" x14ac:dyDescent="0.15">
      <c r="B22" s="40" t="s">
        <v>18</v>
      </c>
      <c r="C22" s="52">
        <f>IF(ISERROR(VLOOKUP($B22,'Monthly Summary 2010'!$B$7:$Q$221,14,FALSE)=0),"",VLOOKUP($B22,'Monthly Summary 2010'!$B$7:$Q$221,14,FALSE))</f>
        <v>11.8</v>
      </c>
      <c r="D22" s="36">
        <v>10.199999999999999</v>
      </c>
      <c r="E22" s="36">
        <v>14.9</v>
      </c>
      <c r="F22" s="36">
        <v>20.3</v>
      </c>
      <c r="G22" s="36">
        <v>22.1</v>
      </c>
      <c r="H22" s="36">
        <v>28.7</v>
      </c>
      <c r="I22" s="36">
        <v>26</v>
      </c>
      <c r="J22" s="36">
        <v>26.3</v>
      </c>
      <c r="K22" s="36">
        <v>22.4</v>
      </c>
      <c r="L22" s="36">
        <v>25.7</v>
      </c>
      <c r="M22" s="36">
        <v>24.3</v>
      </c>
      <c r="N22" s="36">
        <v>13</v>
      </c>
      <c r="O22" s="36">
        <v>15.7</v>
      </c>
      <c r="P22" s="37">
        <f t="shared" si="0"/>
        <v>20.8</v>
      </c>
      <c r="Q22" s="38">
        <f t="shared" si="1"/>
        <v>1</v>
      </c>
      <c r="R22" s="140">
        <f t="shared" si="5"/>
        <v>15.133333333333335</v>
      </c>
      <c r="S22" s="24">
        <f t="shared" si="6"/>
        <v>1</v>
      </c>
      <c r="T22" s="140">
        <f t="shared" si="7"/>
        <v>24.8</v>
      </c>
      <c r="U22" s="24">
        <f t="shared" si="8"/>
        <v>1</v>
      </c>
      <c r="V22" s="140">
        <f t="shared" si="9"/>
        <v>20.8</v>
      </c>
      <c r="W22" s="150">
        <f t="shared" si="10"/>
        <v>1</v>
      </c>
      <c r="X22" s="144">
        <f t="shared" ca="1" si="2"/>
        <v>27.734615384615385</v>
      </c>
      <c r="Y22" s="144">
        <f t="shared" ca="1" si="3"/>
        <v>38.234615384615388</v>
      </c>
      <c r="Z22" s="144">
        <f t="shared" ca="1" si="4"/>
        <v>32.17065268065268</v>
      </c>
      <c r="AA22" s="10"/>
      <c r="AB22" s="357" t="str">
        <f>VLOOKUP($B22,'2007-2020 Metadata'!$A$4:$S$214,MATCH("Urban Area /Monitoring Zone",'2007-2020 Metadata'!$A$4:$S$4,0),FALSE)</f>
        <v>Auckland - Central</v>
      </c>
      <c r="AC22" s="87" t="str">
        <f>VLOOKUP(B22,'2007-2020 Metadata'!$A$6:$A$214,1,FALSE)</f>
        <v>AUC025</v>
      </c>
      <c r="AD22" s="230" t="str">
        <f>VLOOKUP($AC22,'2007-2020 Metadata'!$A$6:$S$214,9,FALSE)</f>
        <v>Auckland</v>
      </c>
      <c r="AE22" s="248">
        <f>IF(ISBLANK(VLOOKUP($AC22,'2007-2020 Metadata'!$A$6:$S$214,19,FALSE)),"",VLOOKUP($AC22,'2007-2020 Metadata'!$A$6:$S$214,19,FALSE))</f>
        <v>3</v>
      </c>
      <c r="AF22" s="88" t="str">
        <f>VLOOKUP($B22,'2007-2020 Metadata'!$A$4:$S$214,MATCH("Site type",'2007-2020 Metadata'!$A$4:$S$4,0),FALSE)</f>
        <v>SH</v>
      </c>
      <c r="AG22" s="143">
        <f t="shared" si="11"/>
        <v>10.199999999999999</v>
      </c>
      <c r="AH22" s="143">
        <f t="shared" si="12"/>
        <v>28.7</v>
      </c>
      <c r="AI22" s="144">
        <f t="shared" ca="1" si="13"/>
        <v>32.17065268065268</v>
      </c>
    </row>
    <row r="23" spans="2:35" ht="12" customHeight="1" x14ac:dyDescent="0.15">
      <c r="B23" s="40" t="s">
        <v>19</v>
      </c>
      <c r="C23" s="52">
        <f>IF(ISERROR(VLOOKUP($B23,'Monthly Summary 2010'!$B$7:$Q$221,14,FALSE)=0),"",VLOOKUP($B23,'Monthly Summary 2010'!$B$7:$Q$221,14,FALSE))</f>
        <v>13.5</v>
      </c>
      <c r="D23" s="36">
        <v>13.7</v>
      </c>
      <c r="E23" s="36">
        <v>21.4</v>
      </c>
      <c r="F23" s="36">
        <v>28.4</v>
      </c>
      <c r="G23" s="36">
        <v>31.8</v>
      </c>
      <c r="H23" s="36">
        <v>27.1</v>
      </c>
      <c r="I23" s="36">
        <v>32.299999999999997</v>
      </c>
      <c r="J23" s="36">
        <v>26</v>
      </c>
      <c r="K23" s="36">
        <v>25.7</v>
      </c>
      <c r="L23" s="36">
        <v>32.200000000000003</v>
      </c>
      <c r="M23" s="36">
        <v>24.3</v>
      </c>
      <c r="N23" s="36">
        <v>14.1</v>
      </c>
      <c r="O23" s="36">
        <v>23.3</v>
      </c>
      <c r="P23" s="37">
        <f t="shared" si="0"/>
        <v>25.025000000000002</v>
      </c>
      <c r="Q23" s="38">
        <f t="shared" si="1"/>
        <v>1</v>
      </c>
      <c r="R23" s="140">
        <f t="shared" si="5"/>
        <v>21.166666666666664</v>
      </c>
      <c r="S23" s="24">
        <f t="shared" si="6"/>
        <v>1</v>
      </c>
      <c r="T23" s="140">
        <f t="shared" si="7"/>
        <v>27.966666666666669</v>
      </c>
      <c r="U23" s="24">
        <f t="shared" si="8"/>
        <v>1</v>
      </c>
      <c r="V23" s="140">
        <f t="shared" si="9"/>
        <v>25.025000000000002</v>
      </c>
      <c r="W23" s="150">
        <f t="shared" si="10"/>
        <v>1</v>
      </c>
      <c r="X23" s="144">
        <f t="shared" ca="1" si="2"/>
        <v>23.259259259259256</v>
      </c>
      <c r="Y23" s="144">
        <f t="shared" ca="1" si="3"/>
        <v>33.346296296296302</v>
      </c>
      <c r="Z23" s="144">
        <f t="shared" ca="1" si="4"/>
        <v>27.569781144781146</v>
      </c>
      <c r="AA23" s="10"/>
      <c r="AB23" s="357" t="str">
        <f>VLOOKUP($B23,'2007-2020 Metadata'!$A$4:$S$214,MATCH("Urban Area /Monitoring Zone",'2007-2020 Metadata'!$A$4:$S$4,0),FALSE)</f>
        <v xml:space="preserve">Auckland - Southern </v>
      </c>
      <c r="AC23" s="87" t="str">
        <f>VLOOKUP(B23,'2007-2020 Metadata'!$A$6:$A$214,1,FALSE)</f>
        <v>AUC026</v>
      </c>
      <c r="AD23" s="230" t="str">
        <f>VLOOKUP($AC23,'2007-2020 Metadata'!$A$6:$S$214,9,FALSE)</f>
        <v>Manukau</v>
      </c>
      <c r="AE23" s="248">
        <f>IF(ISBLANK(VLOOKUP($AC23,'2007-2020 Metadata'!$A$6:$S$214,19,FALSE)),"",VLOOKUP($AC23,'2007-2020 Metadata'!$A$6:$S$214,19,FALSE))</f>
        <v>3</v>
      </c>
      <c r="AF23" s="88" t="str">
        <f>VLOOKUP($B23,'2007-2020 Metadata'!$A$4:$S$214,MATCH("Site type",'2007-2020 Metadata'!$A$4:$S$4,0),FALSE)</f>
        <v>SH</v>
      </c>
      <c r="AG23" s="143">
        <f t="shared" si="11"/>
        <v>13.7</v>
      </c>
      <c r="AH23" s="143">
        <f t="shared" si="12"/>
        <v>32.299999999999997</v>
      </c>
      <c r="AI23" s="144">
        <f t="shared" ca="1" si="13"/>
        <v>27.569781144781146</v>
      </c>
    </row>
    <row r="24" spans="2:35" ht="12" customHeight="1" x14ac:dyDescent="0.15">
      <c r="B24" s="40" t="s">
        <v>998</v>
      </c>
      <c r="C24" s="52">
        <f>IF(ISERROR(VLOOKUP($B24,'Monthly Summary 2010'!$B$7:$Q$221,14,FALSE)=0),"",VLOOKUP($B24,'Monthly Summary 2010'!$B$7:$Q$221,14,FALSE))</f>
        <v>15.6</v>
      </c>
      <c r="D24" s="36">
        <v>16.600000000000001</v>
      </c>
      <c r="E24" s="36">
        <v>24.4</v>
      </c>
      <c r="F24" s="36">
        <v>29.1</v>
      </c>
      <c r="G24" s="36">
        <v>29.6</v>
      </c>
      <c r="H24" s="36">
        <v>32.700000000000003</v>
      </c>
      <c r="I24" s="36">
        <v>40.4</v>
      </c>
      <c r="J24" s="36">
        <v>32.4</v>
      </c>
      <c r="K24" s="36">
        <v>35</v>
      </c>
      <c r="L24" s="36"/>
      <c r="M24" s="36">
        <v>28.6</v>
      </c>
      <c r="N24" s="36">
        <v>23.9</v>
      </c>
      <c r="O24" s="36">
        <v>17.600000000000001</v>
      </c>
      <c r="P24" s="37">
        <f t="shared" si="0"/>
        <v>28.209090909090911</v>
      </c>
      <c r="Q24" s="38">
        <f t="shared" si="1"/>
        <v>0.91666666666666663</v>
      </c>
      <c r="R24" s="140">
        <f t="shared" si="5"/>
        <v>23.366666666666664</v>
      </c>
      <c r="S24" s="24">
        <f t="shared" si="6"/>
        <v>1</v>
      </c>
      <c r="T24" s="140">
        <f t="shared" si="7"/>
        <v>33.700000000000003</v>
      </c>
      <c r="U24" s="24">
        <f t="shared" si="8"/>
        <v>0.66666666666666663</v>
      </c>
      <c r="V24" s="140">
        <f t="shared" si="9"/>
        <v>28.209090909090911</v>
      </c>
      <c r="W24" s="150">
        <f t="shared" si="10"/>
        <v>0.91666666666666663</v>
      </c>
      <c r="X24" s="144">
        <f t="shared" si="2"/>
        <v>23.366666666666664</v>
      </c>
      <c r="Y24" s="144">
        <f t="shared" si="3"/>
        <v>33.700000000000003</v>
      </c>
      <c r="Z24" s="144">
        <f t="shared" si="4"/>
        <v>28.209090909090911</v>
      </c>
      <c r="AA24" s="10"/>
      <c r="AB24" s="357">
        <f>VLOOKUP($B24,'2007-2020 Metadata'!$A$4:$S$214,MATCH("Urban Area /Monitoring Zone",'2007-2020 Metadata'!$A$4:$S$4,0),FALSE)</f>
        <v>0</v>
      </c>
      <c r="AC24" s="87" t="str">
        <f>VLOOKUP(B24,'2007-2020 Metadata'!$A$6:$A$214,1,FALSE)</f>
        <v>AUC027a</v>
      </c>
      <c r="AD24" s="230">
        <f>VLOOKUP($AC24,'2007-2020 Metadata'!$A$6:$S$214,9,FALSE)</f>
        <v>0</v>
      </c>
      <c r="AE24" s="248" t="str">
        <f>IF(ISBLANK(VLOOKUP($AC24,'2007-2020 Metadata'!$A$6:$S$214,19,FALSE)),"",VLOOKUP($AC24,'2007-2020 Metadata'!$A$6:$S$214,19,FALSE))</f>
        <v/>
      </c>
      <c r="AF24" s="88" t="str">
        <f>VLOOKUP($B24,'2007-2020 Metadata'!$A$4:$S$214,MATCH("Site type",'2007-2020 Metadata'!$A$4:$S$4,0),FALSE)</f>
        <v>SH</v>
      </c>
      <c r="AG24" s="143">
        <f t="shared" si="11"/>
        <v>16.600000000000001</v>
      </c>
      <c r="AH24" s="143">
        <f t="shared" si="12"/>
        <v>40.4</v>
      </c>
      <c r="AI24" s="144">
        <f t="shared" si="13"/>
        <v>28.209090909090911</v>
      </c>
    </row>
    <row r="25" spans="2:35" ht="12" customHeight="1" x14ac:dyDescent="0.15">
      <c r="B25" s="40" t="s">
        <v>1013</v>
      </c>
      <c r="C25" s="52">
        <f>IF(ISERROR(VLOOKUP($B25,'Monthly Summary 2010'!$B$7:$Q$221,14,FALSE)=0),"",VLOOKUP($B25,'Monthly Summary 2010'!$B$7:$Q$221,14,FALSE))</f>
        <v>9.8000000000000007</v>
      </c>
      <c r="D25" s="36">
        <v>12.7</v>
      </c>
      <c r="E25" s="36">
        <v>13.8</v>
      </c>
      <c r="F25" s="36">
        <v>16</v>
      </c>
      <c r="G25" s="36">
        <v>16.899999999999999</v>
      </c>
      <c r="H25" s="36">
        <v>20.2</v>
      </c>
      <c r="I25" s="36">
        <v>24.2</v>
      </c>
      <c r="J25" s="36">
        <v>14.4</v>
      </c>
      <c r="K25" s="36">
        <v>23</v>
      </c>
      <c r="L25" s="36">
        <v>20.5</v>
      </c>
      <c r="M25" s="36">
        <v>16</v>
      </c>
      <c r="N25" s="36">
        <v>13.4</v>
      </c>
      <c r="O25" s="36">
        <v>12.4</v>
      </c>
      <c r="P25" s="37">
        <f t="shared" si="0"/>
        <v>16.958333333333332</v>
      </c>
      <c r="Q25" s="38">
        <f t="shared" si="1"/>
        <v>1</v>
      </c>
      <c r="R25" s="140">
        <f t="shared" si="5"/>
        <v>14.166666666666666</v>
      </c>
      <c r="S25" s="24">
        <f t="shared" si="6"/>
        <v>1</v>
      </c>
      <c r="T25" s="140">
        <f t="shared" si="7"/>
        <v>19.3</v>
      </c>
      <c r="U25" s="24">
        <f t="shared" si="8"/>
        <v>1</v>
      </c>
      <c r="V25" s="140">
        <f t="shared" si="9"/>
        <v>16.958333333333332</v>
      </c>
      <c r="W25" s="150">
        <f t="shared" si="10"/>
        <v>1</v>
      </c>
      <c r="X25" s="144">
        <f t="shared" si="2"/>
        <v>14.166666666666666</v>
      </c>
      <c r="Y25" s="144">
        <f t="shared" si="3"/>
        <v>19.3</v>
      </c>
      <c r="Z25" s="144">
        <f t="shared" si="4"/>
        <v>16.958333333333332</v>
      </c>
      <c r="AA25" s="10"/>
      <c r="AB25" s="357">
        <f>VLOOKUP($B25,'2007-2020 Metadata'!$A$4:$S$214,MATCH("Urban Area /Monitoring Zone",'2007-2020 Metadata'!$A$4:$S$4,0),FALSE)</f>
        <v>0</v>
      </c>
      <c r="AC25" s="87" t="str">
        <f>VLOOKUP(B25,'2007-2020 Metadata'!$A$6:$A$214,1,FALSE)</f>
        <v>AUC039a</v>
      </c>
      <c r="AD25" s="230">
        <f>VLOOKUP($AC25,'2007-2020 Metadata'!$A$6:$S$214,9,FALSE)</f>
        <v>0</v>
      </c>
      <c r="AE25" s="248" t="str">
        <f>IF(ISBLANK(VLOOKUP($AC25,'2007-2020 Metadata'!$A$6:$S$214,19,FALSE)),"",VLOOKUP($AC25,'2007-2020 Metadata'!$A$6:$S$214,19,FALSE))</f>
        <v/>
      </c>
      <c r="AF25" s="88" t="str">
        <f>VLOOKUP($B25,'2007-2020 Metadata'!$A$4:$S$214,MATCH("Site type",'2007-2020 Metadata'!$A$4:$S$4,0),FALSE)</f>
        <v>SH</v>
      </c>
      <c r="AG25" s="143">
        <f t="shared" si="11"/>
        <v>12.4</v>
      </c>
      <c r="AH25" s="143">
        <f t="shared" si="12"/>
        <v>24.2</v>
      </c>
      <c r="AI25" s="144">
        <f t="shared" si="13"/>
        <v>16.958333333333332</v>
      </c>
    </row>
    <row r="26" spans="2:35" ht="12" customHeight="1" x14ac:dyDescent="0.15">
      <c r="B26" s="40" t="s">
        <v>61</v>
      </c>
      <c r="C26" s="52">
        <f>IF(ISERROR(VLOOKUP($B26,'Monthly Summary 2010'!$B$7:$Q$221,14,FALSE)=0),"",VLOOKUP($B26,'Monthly Summary 2010'!$B$7:$Q$221,14,FALSE))</f>
        <v>7.8</v>
      </c>
      <c r="D26" s="36">
        <v>11.5</v>
      </c>
      <c r="E26" s="36">
        <v>10</v>
      </c>
      <c r="F26" s="36">
        <v>15.5</v>
      </c>
      <c r="G26" s="36">
        <v>13.4</v>
      </c>
      <c r="H26" s="36">
        <v>17.100000000000001</v>
      </c>
      <c r="I26" s="36">
        <v>20.8</v>
      </c>
      <c r="J26" s="36">
        <v>17.2</v>
      </c>
      <c r="K26" s="36">
        <v>19.3</v>
      </c>
      <c r="L26" s="36"/>
      <c r="M26" s="36">
        <v>19.7</v>
      </c>
      <c r="N26" s="36">
        <v>16.399999999999999</v>
      </c>
      <c r="O26" s="36">
        <v>8.8000000000000007</v>
      </c>
      <c r="P26" s="37">
        <f t="shared" si="0"/>
        <v>15.427272727272729</v>
      </c>
      <c r="Q26" s="38">
        <f t="shared" si="1"/>
        <v>0.91666666666666663</v>
      </c>
      <c r="R26" s="140">
        <f t="shared" si="5"/>
        <v>12.333333333333334</v>
      </c>
      <c r="S26" s="24">
        <f t="shared" si="6"/>
        <v>1</v>
      </c>
      <c r="T26" s="140">
        <f t="shared" si="7"/>
        <v>18.25</v>
      </c>
      <c r="U26" s="24">
        <f t="shared" si="8"/>
        <v>0.66666666666666663</v>
      </c>
      <c r="V26" s="140">
        <f t="shared" si="9"/>
        <v>15.427272727272729</v>
      </c>
      <c r="W26" s="150">
        <f t="shared" si="10"/>
        <v>0.91666666666666663</v>
      </c>
      <c r="X26" s="144">
        <f t="shared" ca="1" si="2"/>
        <v>22.687878787878788</v>
      </c>
      <c r="Y26" s="144">
        <f t="shared" ca="1" si="3"/>
        <v>32.792424242424246</v>
      </c>
      <c r="Z26" s="144">
        <f t="shared" ca="1" si="4"/>
        <v>27.494903581267224</v>
      </c>
      <c r="AA26" s="10"/>
      <c r="AB26" s="357" t="str">
        <f>VLOOKUP($B26,'2007-2020 Metadata'!$A$4:$S$214,MATCH("Urban Area /Monitoring Zone",'2007-2020 Metadata'!$A$4:$S$4,0),FALSE)</f>
        <v>Auckland - Northern</v>
      </c>
      <c r="AC26" s="87" t="str">
        <f>VLOOKUP(B26,'2007-2020 Metadata'!$A$6:$A$214,1,FALSE)</f>
        <v>AUC040</v>
      </c>
      <c r="AD26" s="230" t="str">
        <f>VLOOKUP($AC26,'2007-2020 Metadata'!$A$6:$S$214,9,FALSE)</f>
        <v xml:space="preserve">North Shore </v>
      </c>
      <c r="AE26" s="248">
        <f>IF(ISBLANK(VLOOKUP($AC26,'2007-2020 Metadata'!$A$6:$S$214,19,FALSE)),"",VLOOKUP($AC26,'2007-2020 Metadata'!$A$6:$S$214,19,FALSE))</f>
        <v>2.5</v>
      </c>
      <c r="AF26" s="88" t="str">
        <f>VLOOKUP($B26,'2007-2020 Metadata'!$A$4:$S$214,MATCH("Site type",'2007-2020 Metadata'!$A$4:$S$4,0),FALSE)</f>
        <v>SH</v>
      </c>
      <c r="AG26" s="143">
        <f t="shared" si="11"/>
        <v>8.8000000000000007</v>
      </c>
      <c r="AH26" s="143">
        <f t="shared" si="12"/>
        <v>20.8</v>
      </c>
      <c r="AI26" s="144">
        <f t="shared" ca="1" si="13"/>
        <v>27.494903581267224</v>
      </c>
    </row>
    <row r="27" spans="2:35" ht="12" customHeight="1" x14ac:dyDescent="0.15">
      <c r="B27" s="40" t="s">
        <v>62</v>
      </c>
      <c r="C27" s="52">
        <f>IF(ISERROR(VLOOKUP($B27,'Monthly Summary 2010'!$B$7:$Q$221,14,FALSE)=0),"",VLOOKUP($B27,'Monthly Summary 2010'!$B$7:$Q$221,14,FALSE))</f>
        <v>14.2</v>
      </c>
      <c r="D27" s="36">
        <v>12.9</v>
      </c>
      <c r="E27" s="36">
        <v>17.7</v>
      </c>
      <c r="F27" s="36">
        <v>21.1</v>
      </c>
      <c r="G27" s="36">
        <v>27.4</v>
      </c>
      <c r="H27" s="36">
        <v>23.4</v>
      </c>
      <c r="I27" s="36">
        <v>24.5</v>
      </c>
      <c r="J27" s="36">
        <v>17.8</v>
      </c>
      <c r="K27" s="36">
        <v>22.1</v>
      </c>
      <c r="L27" s="36">
        <v>25.8</v>
      </c>
      <c r="M27" s="36">
        <v>18.399999999999999</v>
      </c>
      <c r="N27" s="36">
        <v>11.6</v>
      </c>
      <c r="O27" s="36">
        <v>19.7</v>
      </c>
      <c r="P27" s="37">
        <f t="shared" si="0"/>
        <v>20.2</v>
      </c>
      <c r="Q27" s="38">
        <f t="shared" si="1"/>
        <v>1</v>
      </c>
      <c r="R27" s="140">
        <f t="shared" si="5"/>
        <v>17.233333333333334</v>
      </c>
      <c r="S27" s="24">
        <f t="shared" si="6"/>
        <v>1</v>
      </c>
      <c r="T27" s="140">
        <f t="shared" si="7"/>
        <v>21.900000000000002</v>
      </c>
      <c r="U27" s="24">
        <f t="shared" si="8"/>
        <v>1</v>
      </c>
      <c r="V27" s="140">
        <f t="shared" si="9"/>
        <v>20.2</v>
      </c>
      <c r="W27" s="150">
        <f t="shared" si="10"/>
        <v>1</v>
      </c>
      <c r="X27" s="144">
        <f t="shared" ca="1" si="2"/>
        <v>22.687878787878788</v>
      </c>
      <c r="Y27" s="144">
        <f t="shared" ca="1" si="3"/>
        <v>32.792424242424246</v>
      </c>
      <c r="Z27" s="144">
        <f t="shared" ca="1" si="4"/>
        <v>27.494903581267224</v>
      </c>
      <c r="AA27" s="10"/>
      <c r="AB27" s="357" t="str">
        <f>VLOOKUP($B27,'2007-2020 Metadata'!$A$4:$S$214,MATCH("Urban Area /Monitoring Zone",'2007-2020 Metadata'!$A$4:$S$4,0),FALSE)</f>
        <v>Auckland - Northern</v>
      </c>
      <c r="AC27" s="87" t="str">
        <f>VLOOKUP(B27,'2007-2020 Metadata'!$A$6:$A$214,1,FALSE)</f>
        <v>AUC041</v>
      </c>
      <c r="AD27" s="230" t="str">
        <f>VLOOKUP($AC27,'2007-2020 Metadata'!$A$6:$S$214,9,FALSE)</f>
        <v xml:space="preserve">North Shore </v>
      </c>
      <c r="AE27" s="248">
        <f>IF(ISBLANK(VLOOKUP($AC27,'2007-2020 Metadata'!$A$6:$S$214,19,FALSE)),"",VLOOKUP($AC27,'2007-2020 Metadata'!$A$6:$S$214,19,FALSE))</f>
        <v>3</v>
      </c>
      <c r="AF27" s="88" t="str">
        <f>VLOOKUP($B27,'2007-2020 Metadata'!$A$4:$S$214,MATCH("Site type",'2007-2020 Metadata'!$A$4:$S$4,0),FALSE)</f>
        <v>Local</v>
      </c>
      <c r="AG27" s="143">
        <f t="shared" si="11"/>
        <v>11.6</v>
      </c>
      <c r="AH27" s="143">
        <f t="shared" si="12"/>
        <v>27.4</v>
      </c>
      <c r="AI27" s="144">
        <f t="shared" ca="1" si="13"/>
        <v>27.494903581267224</v>
      </c>
    </row>
    <row r="28" spans="2:35" ht="12" customHeight="1" x14ac:dyDescent="0.15">
      <c r="B28" s="40" t="s">
        <v>63</v>
      </c>
      <c r="C28" s="52">
        <f>IF(ISERROR(VLOOKUP($B28,'Monthly Summary 2010'!$B$7:$Q$221,14,FALSE)=0),"",VLOOKUP($B28,'Monthly Summary 2010'!$B$7:$Q$221,14,FALSE))</f>
        <v>21</v>
      </c>
      <c r="D28" s="36">
        <v>21.7</v>
      </c>
      <c r="E28" s="36">
        <v>28.9</v>
      </c>
      <c r="F28" s="36">
        <v>32.700000000000003</v>
      </c>
      <c r="G28" s="36">
        <v>35.9</v>
      </c>
      <c r="H28" s="36">
        <v>39.200000000000003</v>
      </c>
      <c r="I28" s="36">
        <v>38.799999999999997</v>
      </c>
      <c r="J28" s="36">
        <v>36.5</v>
      </c>
      <c r="K28" s="36">
        <v>36.9</v>
      </c>
      <c r="L28" s="36">
        <v>40.200000000000003</v>
      </c>
      <c r="M28" s="36">
        <v>32.299999999999997</v>
      </c>
      <c r="N28" s="36">
        <v>26.3</v>
      </c>
      <c r="O28" s="36">
        <v>23</v>
      </c>
      <c r="P28" s="37">
        <f t="shared" si="0"/>
        <v>32.699999999999996</v>
      </c>
      <c r="Q28" s="38">
        <f t="shared" si="1"/>
        <v>1</v>
      </c>
      <c r="R28" s="140">
        <f t="shared" si="5"/>
        <v>27.766666666666666</v>
      </c>
      <c r="S28" s="24">
        <f t="shared" si="6"/>
        <v>1</v>
      </c>
      <c r="T28" s="140">
        <f t="shared" si="7"/>
        <v>37.866666666666667</v>
      </c>
      <c r="U28" s="24">
        <f t="shared" si="8"/>
        <v>1</v>
      </c>
      <c r="V28" s="140">
        <f t="shared" si="9"/>
        <v>32.699999999999996</v>
      </c>
      <c r="W28" s="150">
        <f t="shared" si="10"/>
        <v>1</v>
      </c>
      <c r="X28" s="144">
        <f t="shared" ca="1" si="2"/>
        <v>22.687878787878788</v>
      </c>
      <c r="Y28" s="144">
        <f t="shared" ca="1" si="3"/>
        <v>32.792424242424246</v>
      </c>
      <c r="Z28" s="144">
        <f t="shared" ca="1" si="4"/>
        <v>27.494903581267224</v>
      </c>
      <c r="AA28" s="10"/>
      <c r="AB28" s="357" t="str">
        <f>VLOOKUP($B28,'2007-2020 Metadata'!$A$4:$S$214,MATCH("Urban Area /Monitoring Zone",'2007-2020 Metadata'!$A$4:$S$4,0),FALSE)</f>
        <v>Auckland - Northern</v>
      </c>
      <c r="AC28" s="87" t="str">
        <f>VLOOKUP(B28,'2007-2020 Metadata'!$A$6:$A$214,1,FALSE)</f>
        <v>AUC042</v>
      </c>
      <c r="AD28" s="230" t="str">
        <f>VLOOKUP($AC28,'2007-2020 Metadata'!$A$6:$S$214,9,FALSE)</f>
        <v xml:space="preserve">North Shore </v>
      </c>
      <c r="AE28" s="248">
        <f>IF(ISBLANK(VLOOKUP($AC28,'2007-2020 Metadata'!$A$6:$S$214,19,FALSE)),"",VLOOKUP($AC28,'2007-2020 Metadata'!$A$6:$S$214,19,FALSE))</f>
        <v>3</v>
      </c>
      <c r="AF28" s="88" t="str">
        <f>VLOOKUP($B28,'2007-2020 Metadata'!$A$4:$S$214,MATCH("Site type",'2007-2020 Metadata'!$A$4:$S$4,0),FALSE)</f>
        <v>Local</v>
      </c>
      <c r="AG28" s="143">
        <f t="shared" si="11"/>
        <v>21.7</v>
      </c>
      <c r="AH28" s="143">
        <f t="shared" si="12"/>
        <v>40.200000000000003</v>
      </c>
      <c r="AI28" s="144">
        <f t="shared" ca="1" si="13"/>
        <v>27.494903581267224</v>
      </c>
    </row>
    <row r="29" spans="2:35" ht="12" customHeight="1" x14ac:dyDescent="0.15">
      <c r="B29" s="40" t="s">
        <v>64</v>
      </c>
      <c r="C29" s="52">
        <f>IF(ISERROR(VLOOKUP($B29,'Monthly Summary 2010'!$B$7:$Q$221,14,FALSE)=0),"",VLOOKUP($B29,'Monthly Summary 2010'!$B$7:$Q$221,14,FALSE))</f>
        <v>13.1</v>
      </c>
      <c r="D29" s="36">
        <v>21.2</v>
      </c>
      <c r="E29" s="36">
        <v>25.7</v>
      </c>
      <c r="F29" s="36">
        <v>27.6</v>
      </c>
      <c r="G29" s="36">
        <v>31.7</v>
      </c>
      <c r="H29" s="36">
        <v>33.6</v>
      </c>
      <c r="I29" s="36">
        <v>39.700000000000003</v>
      </c>
      <c r="J29" s="36">
        <v>41.8</v>
      </c>
      <c r="K29" s="36">
        <v>40.6</v>
      </c>
      <c r="L29" s="36">
        <v>33.5</v>
      </c>
      <c r="M29" s="36">
        <v>30.3</v>
      </c>
      <c r="N29" s="36">
        <v>27.6</v>
      </c>
      <c r="O29" s="36">
        <v>17.600000000000001</v>
      </c>
      <c r="P29" s="37">
        <f t="shared" si="0"/>
        <v>30.908333333333342</v>
      </c>
      <c r="Q29" s="38">
        <f t="shared" si="1"/>
        <v>1</v>
      </c>
      <c r="R29" s="260">
        <f t="shared" si="5"/>
        <v>24.833333333333332</v>
      </c>
      <c r="S29" s="264">
        <f t="shared" si="6"/>
        <v>1</v>
      </c>
      <c r="T29" s="260">
        <f t="shared" si="7"/>
        <v>38.633333333333333</v>
      </c>
      <c r="U29" s="264">
        <f t="shared" si="8"/>
        <v>1</v>
      </c>
      <c r="V29" s="260">
        <f t="shared" si="9"/>
        <v>30.908333333333342</v>
      </c>
      <c r="W29" s="261">
        <f t="shared" si="10"/>
        <v>1</v>
      </c>
      <c r="X29" s="177">
        <f t="shared" ca="1" si="2"/>
        <v>22.687878787878788</v>
      </c>
      <c r="Y29" s="177">
        <f t="shared" ca="1" si="3"/>
        <v>32.792424242424246</v>
      </c>
      <c r="Z29" s="177">
        <f t="shared" ca="1" si="4"/>
        <v>27.494903581267224</v>
      </c>
      <c r="AA29" s="10"/>
      <c r="AB29" s="357" t="str">
        <f>VLOOKUP($B29,'2007-2020 Metadata'!$A$4:$S$214,MATCH("Urban Area /Monitoring Zone",'2007-2020 Metadata'!$A$4:$S$4,0),FALSE)</f>
        <v>Auckland - Northern</v>
      </c>
      <c r="AC29" s="259" t="str">
        <f>VLOOKUP(B29,'2007-2020 Metadata'!$A$6:$A$214,1,FALSE)</f>
        <v>AUC043</v>
      </c>
      <c r="AD29" s="256" t="str">
        <f>VLOOKUP($AC29,'2007-2020 Metadata'!$A$6:$S$214,9,FALSE)</f>
        <v xml:space="preserve">North Shore </v>
      </c>
      <c r="AE29" s="263">
        <f>IF(ISBLANK(VLOOKUP($AC29,'2007-2020 Metadata'!$A$6:$S$214,19,FALSE)),"",VLOOKUP($AC29,'2007-2020 Metadata'!$A$6:$S$214,19,FALSE))</f>
        <v>3</v>
      </c>
      <c r="AF29" s="257" t="str">
        <f>VLOOKUP($B29,'2007-2020 Metadata'!$A$4:$S$214,MATCH("Site type",'2007-2020 Metadata'!$A$4:$S$4,0),FALSE)</f>
        <v>SH</v>
      </c>
      <c r="AG29" s="258">
        <f>MIN(AVERAGE(D$29:D$31),AVERAGE(E$29:E$31),AVERAGE(F$29:F$31),AVERAGE(G$29:G$31),AVERAGE(H$29:H$31),AVERAGE(I$29:I$31),AVERAGE(J$29:J$31),AVERAGE(K$29:K$31),AVERAGE(L$29:L$31),AVERAGE(M$29:M$31),AVERAGE(N$29:N$31),AVERAGE(O$29:O$31))</f>
        <v>17.600000000000001</v>
      </c>
      <c r="AH29" s="258">
        <f>MAX(AVERAGE(D$29:D$31),AVERAGE(E$29:E$31),AVERAGE(F$29:F$31),AVERAGE(G$29:G$31),AVERAGE(H$29:H$31),AVERAGE(I$29:I$31),AVERAGE(J$29:J$31),AVERAGE(K$29:K$31),AVERAGE(L$29:L$31),AVERAGE(M$29:M$31),AVERAGE(N$29:N$31),AVERAGE(O$29:O$31))</f>
        <v>42.033333333333331</v>
      </c>
      <c r="AI29" s="177">
        <f t="shared" ca="1" si="13"/>
        <v>27.494903581267224</v>
      </c>
    </row>
    <row r="30" spans="2:35" ht="12" customHeight="1" x14ac:dyDescent="0.15">
      <c r="B30" s="40" t="s">
        <v>65</v>
      </c>
      <c r="C30" s="52">
        <f>IF(ISERROR(VLOOKUP($B30,'Monthly Summary 2010'!$B$7:$Q$221,14,FALSE)=0),"",VLOOKUP($B30,'Monthly Summary 2010'!$B$7:$Q$221,14,FALSE))</f>
        <v>13.8</v>
      </c>
      <c r="D30" s="36">
        <v>14.9</v>
      </c>
      <c r="E30" s="36">
        <v>25.1</v>
      </c>
      <c r="F30" s="36">
        <v>30</v>
      </c>
      <c r="G30" s="36">
        <v>31.3</v>
      </c>
      <c r="H30" s="36">
        <v>34.299999999999997</v>
      </c>
      <c r="I30" s="36">
        <v>35.9</v>
      </c>
      <c r="J30" s="36">
        <v>41.4</v>
      </c>
      <c r="K30" s="36">
        <v>42</v>
      </c>
      <c r="L30" s="36">
        <v>35.200000000000003</v>
      </c>
      <c r="M30" s="36">
        <v>30.5</v>
      </c>
      <c r="N30" s="36">
        <v>25.9</v>
      </c>
      <c r="O30" s="36">
        <v>17.100000000000001</v>
      </c>
      <c r="P30" s="37">
        <f t="shared" si="0"/>
        <v>30.3</v>
      </c>
      <c r="Q30" s="38">
        <f t="shared" si="1"/>
        <v>1</v>
      </c>
      <c r="R30" s="260">
        <f t="shared" si="5"/>
        <v>23.333333333333332</v>
      </c>
      <c r="S30" s="264">
        <f t="shared" si="6"/>
        <v>1</v>
      </c>
      <c r="T30" s="260">
        <f t="shared" si="7"/>
        <v>39.533333333333339</v>
      </c>
      <c r="U30" s="264">
        <f t="shared" si="8"/>
        <v>1</v>
      </c>
      <c r="V30" s="260">
        <f t="shared" si="9"/>
        <v>30.3</v>
      </c>
      <c r="W30" s="261">
        <f t="shared" si="10"/>
        <v>1</v>
      </c>
      <c r="X30" s="177">
        <f t="shared" ca="1" si="2"/>
        <v>22.687878787878788</v>
      </c>
      <c r="Y30" s="177">
        <f t="shared" ca="1" si="3"/>
        <v>32.792424242424246</v>
      </c>
      <c r="Z30" s="177">
        <f t="shared" ca="1" si="4"/>
        <v>27.494903581267224</v>
      </c>
      <c r="AA30" s="10"/>
      <c r="AB30" s="357" t="str">
        <f>VLOOKUP($B30,'2007-2020 Metadata'!$A$4:$S$214,MATCH("Urban Area /Monitoring Zone",'2007-2020 Metadata'!$A$4:$S$4,0),FALSE)</f>
        <v>Auckland - Northern</v>
      </c>
      <c r="AC30" s="259" t="str">
        <f>VLOOKUP(B30,'2007-2020 Metadata'!$A$6:$A$214,1,FALSE)</f>
        <v>AUC044</v>
      </c>
      <c r="AD30" s="256" t="str">
        <f>VLOOKUP($AC30,'2007-2020 Metadata'!$A$6:$S$214,9,FALSE)</f>
        <v xml:space="preserve">North Shore </v>
      </c>
      <c r="AE30" s="263">
        <f>IF(ISBLANK(VLOOKUP($AC30,'2007-2020 Metadata'!$A$6:$S$214,19,FALSE)),"",VLOOKUP($AC30,'2007-2020 Metadata'!$A$6:$S$214,19,FALSE))</f>
        <v>3</v>
      </c>
      <c r="AF30" s="257" t="str">
        <f>VLOOKUP($B30,'2007-2020 Metadata'!$A$4:$S$214,MATCH("Site type",'2007-2020 Metadata'!$A$4:$S$4,0),FALSE)</f>
        <v>SH</v>
      </c>
      <c r="AG30" s="258">
        <f>MIN(AVERAGE(D$29:D$31),AVERAGE(E$29:E$31),AVERAGE(F$29:F$31),AVERAGE(G$29:G$31),AVERAGE(H$29:H$31),AVERAGE(I$29:I$31),AVERAGE(J$29:J$31),AVERAGE(K$29:K$31),AVERAGE(L$29:L$31),AVERAGE(M$29:M$31),AVERAGE(N$29:N$31),AVERAGE(O$29:O$31))</f>
        <v>17.600000000000001</v>
      </c>
      <c r="AH30" s="258">
        <f t="shared" ref="AH30:AH31" si="16">MAX(AVERAGE(D$29:D$31),AVERAGE(E$29:E$31),AVERAGE(F$29:F$31),AVERAGE(G$29:G$31),AVERAGE(H$29:H$31),AVERAGE(I$29:I$31),AVERAGE(J$29:J$31),AVERAGE(K$29:K$31),AVERAGE(L$29:L$31),AVERAGE(M$29:M$31),AVERAGE(N$29:N$31),AVERAGE(O$29:O$31))</f>
        <v>42.033333333333331</v>
      </c>
      <c r="AI30" s="177">
        <f t="shared" ca="1" si="13"/>
        <v>27.494903581267224</v>
      </c>
    </row>
    <row r="31" spans="2:35" ht="12" customHeight="1" x14ac:dyDescent="0.15">
      <c r="B31" s="40" t="s">
        <v>66</v>
      </c>
      <c r="C31" s="52">
        <f>IF(ISERROR(VLOOKUP($B31,'Monthly Summary 2010'!$B$7:$Q$221,14,FALSE)=0),"",VLOOKUP($B31,'Monthly Summary 2010'!$B$7:$Q$221,14,FALSE))</f>
        <v>12.3</v>
      </c>
      <c r="D31" s="36">
        <v>20.399999999999999</v>
      </c>
      <c r="E31" s="36">
        <v>26.6</v>
      </c>
      <c r="F31" s="36">
        <v>26.6</v>
      </c>
      <c r="G31" s="36">
        <v>31.7</v>
      </c>
      <c r="H31" s="36">
        <v>36.9</v>
      </c>
      <c r="I31" s="36">
        <v>41.5</v>
      </c>
      <c r="J31" s="36">
        <v>42.9</v>
      </c>
      <c r="K31" s="36">
        <v>36</v>
      </c>
      <c r="L31" s="36">
        <v>30.9</v>
      </c>
      <c r="M31" s="36">
        <v>29.8</v>
      </c>
      <c r="N31" s="36">
        <v>27.1</v>
      </c>
      <c r="O31" s="36">
        <v>18.100000000000001</v>
      </c>
      <c r="P31" s="37">
        <f t="shared" si="0"/>
        <v>30.708333333333339</v>
      </c>
      <c r="Q31" s="38">
        <f t="shared" si="1"/>
        <v>1</v>
      </c>
      <c r="R31" s="260">
        <f t="shared" si="5"/>
        <v>24.533333333333331</v>
      </c>
      <c r="S31" s="264">
        <f t="shared" si="6"/>
        <v>1</v>
      </c>
      <c r="T31" s="260">
        <f t="shared" si="7"/>
        <v>36.6</v>
      </c>
      <c r="U31" s="264">
        <f t="shared" si="8"/>
        <v>1</v>
      </c>
      <c r="V31" s="260">
        <f t="shared" si="9"/>
        <v>30.708333333333339</v>
      </c>
      <c r="W31" s="261">
        <f t="shared" si="10"/>
        <v>1</v>
      </c>
      <c r="X31" s="177">
        <f t="shared" ca="1" si="2"/>
        <v>22.687878787878788</v>
      </c>
      <c r="Y31" s="177">
        <f t="shared" ca="1" si="3"/>
        <v>32.792424242424246</v>
      </c>
      <c r="Z31" s="177">
        <f t="shared" ca="1" si="4"/>
        <v>27.494903581267224</v>
      </c>
      <c r="AA31" s="10"/>
      <c r="AB31" s="357" t="str">
        <f>VLOOKUP($B31,'2007-2020 Metadata'!$A$4:$S$214,MATCH("Urban Area /Monitoring Zone",'2007-2020 Metadata'!$A$4:$S$4,0),FALSE)</f>
        <v>Auckland - Northern</v>
      </c>
      <c r="AC31" s="259" t="str">
        <f>VLOOKUP(B31,'2007-2020 Metadata'!$A$6:$A$214,1,FALSE)</f>
        <v>AUC045</v>
      </c>
      <c r="AD31" s="256" t="str">
        <f>VLOOKUP($AC31,'2007-2020 Metadata'!$A$6:$S$214,9,FALSE)</f>
        <v xml:space="preserve">North Shore </v>
      </c>
      <c r="AE31" s="263">
        <f>IF(ISBLANK(VLOOKUP($AC31,'2007-2020 Metadata'!$A$6:$S$214,19,FALSE)),"",VLOOKUP($AC31,'2007-2020 Metadata'!$A$6:$S$214,19,FALSE))</f>
        <v>3</v>
      </c>
      <c r="AF31" s="257" t="str">
        <f>VLOOKUP($B31,'2007-2020 Metadata'!$A$4:$S$214,MATCH("Site type",'2007-2020 Metadata'!$A$4:$S$4,0),FALSE)</f>
        <v>SH</v>
      </c>
      <c r="AG31" s="258">
        <f>MIN(AVERAGE(D$29:D$31),AVERAGE(E$29:E$31),AVERAGE(F$29:F$31),AVERAGE(G$29:G$31),AVERAGE(H$29:H$31),AVERAGE(I$29:I$31),AVERAGE(J$29:J$31),AVERAGE(K$29:K$31),AVERAGE(L$29:L$31),AVERAGE(M$29:M$31),AVERAGE(N$29:N$31),AVERAGE(O$29:O$31))</f>
        <v>17.600000000000001</v>
      </c>
      <c r="AH31" s="258">
        <f t="shared" si="16"/>
        <v>42.033333333333331</v>
      </c>
      <c r="AI31" s="177">
        <f t="shared" ca="1" si="13"/>
        <v>27.494903581267224</v>
      </c>
    </row>
    <row r="32" spans="2:35" ht="12" customHeight="1" x14ac:dyDescent="0.15">
      <c r="B32" s="40" t="s">
        <v>67</v>
      </c>
      <c r="C32" s="52">
        <f>IF(ISERROR(VLOOKUP($B32,'Monthly Summary 2010'!$B$7:$Q$221,14,FALSE)=0),"",VLOOKUP($B32,'Monthly Summary 2010'!$B$7:$Q$221,14,FALSE))</f>
        <v>14.2</v>
      </c>
      <c r="D32" s="36">
        <v>24.1</v>
      </c>
      <c r="E32" s="36">
        <v>26.9</v>
      </c>
      <c r="F32" s="36">
        <v>28.5</v>
      </c>
      <c r="G32" s="36">
        <v>29.4</v>
      </c>
      <c r="H32" s="36">
        <v>32.9</v>
      </c>
      <c r="I32" s="36">
        <v>38.1</v>
      </c>
      <c r="J32" s="36">
        <v>40.700000000000003</v>
      </c>
      <c r="K32" s="36">
        <v>42.5</v>
      </c>
      <c r="L32" s="36">
        <v>35.1</v>
      </c>
      <c r="M32" s="36">
        <v>28</v>
      </c>
      <c r="N32" s="36">
        <v>33.6</v>
      </c>
      <c r="O32" s="36">
        <v>11.7</v>
      </c>
      <c r="P32" s="37">
        <f t="shared" si="0"/>
        <v>30.958333333333339</v>
      </c>
      <c r="Q32" s="38">
        <f t="shared" si="1"/>
        <v>1</v>
      </c>
      <c r="R32" s="140">
        <f t="shared" si="5"/>
        <v>26.5</v>
      </c>
      <c r="S32" s="24">
        <f t="shared" si="6"/>
        <v>1</v>
      </c>
      <c r="T32" s="140">
        <f t="shared" si="7"/>
        <v>39.433333333333337</v>
      </c>
      <c r="U32" s="24">
        <f t="shared" si="8"/>
        <v>1</v>
      </c>
      <c r="V32" s="140">
        <f t="shared" si="9"/>
        <v>30.958333333333339</v>
      </c>
      <c r="W32" s="150">
        <f t="shared" si="10"/>
        <v>1</v>
      </c>
      <c r="X32" s="144">
        <f t="shared" ca="1" si="2"/>
        <v>22.687878787878788</v>
      </c>
      <c r="Y32" s="144">
        <f t="shared" ca="1" si="3"/>
        <v>32.792424242424246</v>
      </c>
      <c r="Z32" s="144">
        <f t="shared" ca="1" si="4"/>
        <v>27.494903581267224</v>
      </c>
      <c r="AA32" s="10"/>
      <c r="AB32" s="357" t="str">
        <f>VLOOKUP($B32,'2007-2020 Metadata'!$A$4:$S$214,MATCH("Urban Area /Monitoring Zone",'2007-2020 Metadata'!$A$4:$S$4,0),FALSE)</f>
        <v>Auckland - Northern</v>
      </c>
      <c r="AC32" s="87" t="str">
        <f>VLOOKUP(B32,'2007-2020 Metadata'!$A$6:$A$214,1,FALSE)</f>
        <v>AUC046</v>
      </c>
      <c r="AD32" s="230" t="str">
        <f>VLOOKUP($AC32,'2007-2020 Metadata'!$A$6:$S$214,9,FALSE)</f>
        <v xml:space="preserve">North Shore </v>
      </c>
      <c r="AE32" s="248">
        <f>IF(ISBLANK(VLOOKUP($AC32,'2007-2020 Metadata'!$A$6:$S$214,19,FALSE)),"",VLOOKUP($AC32,'2007-2020 Metadata'!$A$6:$S$214,19,FALSE))</f>
        <v>3</v>
      </c>
      <c r="AF32" s="88" t="str">
        <f>VLOOKUP($B32,'2007-2020 Metadata'!$A$4:$S$214,MATCH("Site type",'2007-2020 Metadata'!$A$4:$S$4,0),FALSE)</f>
        <v>Local</v>
      </c>
      <c r="AG32" s="143">
        <f t="shared" si="11"/>
        <v>11.7</v>
      </c>
      <c r="AH32" s="143">
        <f t="shared" si="12"/>
        <v>42.5</v>
      </c>
      <c r="AI32" s="144">
        <f t="shared" ca="1" si="13"/>
        <v>27.494903581267224</v>
      </c>
    </row>
    <row r="33" spans="2:35" ht="12" customHeight="1" x14ac:dyDescent="0.15">
      <c r="B33" s="40" t="s">
        <v>68</v>
      </c>
      <c r="C33" s="52">
        <f>IF(ISERROR(VLOOKUP($B33,'Monthly Summary 2010'!$B$7:$Q$221,14,FALSE)=0),"",VLOOKUP($B33,'Monthly Summary 2010'!$B$7:$Q$221,14,FALSE))</f>
        <v>8</v>
      </c>
      <c r="D33" s="36">
        <v>8.3000000000000007</v>
      </c>
      <c r="E33" s="36">
        <v>12.7</v>
      </c>
      <c r="F33" s="36">
        <v>13.2</v>
      </c>
      <c r="G33" s="36">
        <v>16.2</v>
      </c>
      <c r="H33" s="36">
        <v>16.899999999999999</v>
      </c>
      <c r="I33" s="36">
        <v>18.7</v>
      </c>
      <c r="J33" s="36">
        <v>15.6</v>
      </c>
      <c r="K33" s="36">
        <v>18.399999999999999</v>
      </c>
      <c r="L33" s="36">
        <v>14.7</v>
      </c>
      <c r="M33" s="36">
        <v>11.3</v>
      </c>
      <c r="N33" s="36">
        <v>9.5</v>
      </c>
      <c r="O33" s="36">
        <v>9.4</v>
      </c>
      <c r="P33" s="37">
        <f t="shared" si="0"/>
        <v>13.741666666666667</v>
      </c>
      <c r="Q33" s="38">
        <f t="shared" si="1"/>
        <v>1</v>
      </c>
      <c r="R33" s="140">
        <f t="shared" si="5"/>
        <v>11.4</v>
      </c>
      <c r="S33" s="24">
        <f t="shared" si="6"/>
        <v>1</v>
      </c>
      <c r="T33" s="140">
        <f t="shared" si="7"/>
        <v>16.233333333333334</v>
      </c>
      <c r="U33" s="24">
        <f t="shared" si="8"/>
        <v>1</v>
      </c>
      <c r="V33" s="140">
        <f t="shared" si="9"/>
        <v>13.741666666666667</v>
      </c>
      <c r="W33" s="150">
        <f t="shared" si="10"/>
        <v>1</v>
      </c>
      <c r="X33" s="144">
        <f t="shared" ca="1" si="2"/>
        <v>22.687878787878788</v>
      </c>
      <c r="Y33" s="144">
        <f t="shared" ca="1" si="3"/>
        <v>32.792424242424246</v>
      </c>
      <c r="Z33" s="144">
        <f t="shared" ca="1" si="4"/>
        <v>27.494903581267224</v>
      </c>
      <c r="AA33" s="10"/>
      <c r="AB33" s="357" t="str">
        <f>VLOOKUP($B33,'2007-2020 Metadata'!$A$4:$S$214,MATCH("Urban Area /Monitoring Zone",'2007-2020 Metadata'!$A$4:$S$4,0),FALSE)</f>
        <v>Auckland - Northern</v>
      </c>
      <c r="AC33" s="87" t="str">
        <f>VLOOKUP(B33,'2007-2020 Metadata'!$A$6:$A$214,1,FALSE)</f>
        <v>AUC047</v>
      </c>
      <c r="AD33" s="230" t="str">
        <f>VLOOKUP($AC33,'2007-2020 Metadata'!$A$6:$S$214,9,FALSE)</f>
        <v xml:space="preserve">North Shore </v>
      </c>
      <c r="AE33" s="248">
        <f>IF(ISBLANK(VLOOKUP($AC33,'2007-2020 Metadata'!$A$6:$S$214,19,FALSE)),"",VLOOKUP($AC33,'2007-2020 Metadata'!$A$6:$S$214,19,FALSE))</f>
        <v>3</v>
      </c>
      <c r="AF33" s="88" t="str">
        <f>VLOOKUP($B33,'2007-2020 Metadata'!$A$4:$S$214,MATCH("Site type",'2007-2020 Metadata'!$A$4:$S$4,0),FALSE)</f>
        <v>Background</v>
      </c>
      <c r="AG33" s="143">
        <f t="shared" si="11"/>
        <v>8.3000000000000007</v>
      </c>
      <c r="AH33" s="143">
        <f t="shared" si="12"/>
        <v>18.7</v>
      </c>
      <c r="AI33" s="144">
        <f t="shared" ca="1" si="13"/>
        <v>27.494903581267224</v>
      </c>
    </row>
    <row r="34" spans="2:35" ht="12" customHeight="1" x14ac:dyDescent="0.15">
      <c r="B34" s="40" t="s">
        <v>69</v>
      </c>
      <c r="C34" s="52">
        <f>IF(ISERROR(VLOOKUP($B34,'Monthly Summary 2010'!$B$7:$Q$221,14,FALSE)=0),"",VLOOKUP($B34,'Monthly Summary 2010'!$B$7:$Q$221,14,FALSE))</f>
        <v>12.5</v>
      </c>
      <c r="D34" s="36">
        <v>16</v>
      </c>
      <c r="E34" s="36">
        <v>25.6</v>
      </c>
      <c r="F34" s="36">
        <v>25.6</v>
      </c>
      <c r="G34" s="36">
        <v>28.1</v>
      </c>
      <c r="H34" s="36">
        <v>32.799999999999997</v>
      </c>
      <c r="I34" s="36">
        <v>39.9</v>
      </c>
      <c r="J34" s="36">
        <v>36.6</v>
      </c>
      <c r="K34" s="36">
        <v>41.7</v>
      </c>
      <c r="L34" s="36">
        <v>32.4</v>
      </c>
      <c r="M34" s="36">
        <v>21.1</v>
      </c>
      <c r="N34" s="36">
        <v>22.1</v>
      </c>
      <c r="O34" s="36">
        <v>13.5</v>
      </c>
      <c r="P34" s="37">
        <f t="shared" si="0"/>
        <v>27.950000000000003</v>
      </c>
      <c r="Q34" s="38">
        <f t="shared" si="1"/>
        <v>1</v>
      </c>
      <c r="R34" s="140">
        <f t="shared" si="5"/>
        <v>22.400000000000002</v>
      </c>
      <c r="S34" s="24">
        <f t="shared" si="6"/>
        <v>1</v>
      </c>
      <c r="T34" s="140">
        <f t="shared" si="7"/>
        <v>36.900000000000006</v>
      </c>
      <c r="U34" s="24">
        <f t="shared" si="8"/>
        <v>1</v>
      </c>
      <c r="V34" s="140">
        <f t="shared" si="9"/>
        <v>27.950000000000003</v>
      </c>
      <c r="W34" s="150">
        <f t="shared" si="10"/>
        <v>1</v>
      </c>
      <c r="X34" s="144">
        <f t="shared" ca="1" si="2"/>
        <v>17.110256410256412</v>
      </c>
      <c r="Y34" s="144">
        <f t="shared" ca="1" si="3"/>
        <v>22.980555555555554</v>
      </c>
      <c r="Z34" s="144">
        <f t="shared" ca="1" si="4"/>
        <v>20.335416666666664</v>
      </c>
      <c r="AA34" s="10"/>
      <c r="AB34" s="357" t="str">
        <f>VLOOKUP($B34,'2007-2020 Metadata'!$A$4:$S$214,MATCH("Urban Area /Monitoring Zone",'2007-2020 Metadata'!$A$4:$S$4,0),FALSE)</f>
        <v>Auckland - Western</v>
      </c>
      <c r="AC34" s="87" t="str">
        <f>VLOOKUP(B34,'2007-2020 Metadata'!$A$6:$A$214,1,FALSE)</f>
        <v>AUC048</v>
      </c>
      <c r="AD34" s="230" t="str">
        <f>VLOOKUP($AC34,'2007-2020 Metadata'!$A$6:$S$214,9,FALSE)</f>
        <v>Waitakere</v>
      </c>
      <c r="AE34" s="248">
        <f>IF(ISBLANK(VLOOKUP($AC34,'2007-2020 Metadata'!$A$6:$S$214,19,FALSE)),"",VLOOKUP($AC34,'2007-2020 Metadata'!$A$6:$S$214,19,FALSE))</f>
        <v>3</v>
      </c>
      <c r="AF34" s="88" t="str">
        <f>VLOOKUP($B34,'2007-2020 Metadata'!$A$4:$S$214,MATCH("Site type",'2007-2020 Metadata'!$A$4:$S$4,0),FALSE)</f>
        <v>SH</v>
      </c>
      <c r="AG34" s="143">
        <f t="shared" si="11"/>
        <v>13.5</v>
      </c>
      <c r="AH34" s="143">
        <f t="shared" si="12"/>
        <v>41.7</v>
      </c>
      <c r="AI34" s="144">
        <f t="shared" ca="1" si="13"/>
        <v>20.335416666666664</v>
      </c>
    </row>
    <row r="35" spans="2:35" ht="12" customHeight="1" x14ac:dyDescent="0.15">
      <c r="B35" s="40" t="s">
        <v>70</v>
      </c>
      <c r="C35" s="52">
        <f>IF(ISERROR(VLOOKUP($B35,'Monthly Summary 2010'!$B$7:$Q$221,14,FALSE)=0),"",VLOOKUP($B35,'Monthly Summary 2010'!$B$7:$Q$221,14,FALSE))</f>
        <v>8.8000000000000007</v>
      </c>
      <c r="D35" s="36">
        <v>13.3</v>
      </c>
      <c r="E35" s="36">
        <v>13.6</v>
      </c>
      <c r="F35" s="36">
        <v>16.100000000000001</v>
      </c>
      <c r="G35" s="36">
        <v>20.100000000000001</v>
      </c>
      <c r="H35" s="36">
        <v>21.7</v>
      </c>
      <c r="I35" s="36">
        <v>26.2</v>
      </c>
      <c r="J35" s="36">
        <v>15.9</v>
      </c>
      <c r="K35" s="36">
        <v>18.8</v>
      </c>
      <c r="L35" s="36">
        <v>16.399999999999999</v>
      </c>
      <c r="M35" s="36">
        <v>11.2</v>
      </c>
      <c r="N35" s="36">
        <v>9.3000000000000007</v>
      </c>
      <c r="O35" s="36">
        <v>7.9</v>
      </c>
      <c r="P35" s="37">
        <f t="shared" si="0"/>
        <v>15.875000000000002</v>
      </c>
      <c r="Q35" s="38">
        <f t="shared" si="1"/>
        <v>1</v>
      </c>
      <c r="R35" s="140">
        <f t="shared" si="5"/>
        <v>14.333333333333334</v>
      </c>
      <c r="S35" s="24">
        <f t="shared" si="6"/>
        <v>1</v>
      </c>
      <c r="T35" s="140">
        <f t="shared" si="7"/>
        <v>17.033333333333335</v>
      </c>
      <c r="U35" s="24">
        <f t="shared" si="8"/>
        <v>1</v>
      </c>
      <c r="V35" s="140">
        <f t="shared" si="9"/>
        <v>15.875000000000002</v>
      </c>
      <c r="W35" s="150">
        <f t="shared" si="10"/>
        <v>1</v>
      </c>
      <c r="X35" s="144">
        <f t="shared" ca="1" si="2"/>
        <v>17.110256410256412</v>
      </c>
      <c r="Y35" s="144">
        <f t="shared" ca="1" si="3"/>
        <v>22.980555555555554</v>
      </c>
      <c r="Z35" s="144">
        <f t="shared" ca="1" si="4"/>
        <v>20.335416666666664</v>
      </c>
      <c r="AA35" s="10"/>
      <c r="AB35" s="357" t="str">
        <f>VLOOKUP($B35,'2007-2020 Metadata'!$A$4:$S$214,MATCH("Urban Area /Monitoring Zone",'2007-2020 Metadata'!$A$4:$S$4,0),FALSE)</f>
        <v>Auckland - Western</v>
      </c>
      <c r="AC35" s="87" t="str">
        <f>VLOOKUP(B35,'2007-2020 Metadata'!$A$6:$A$214,1,FALSE)</f>
        <v>AUC049</v>
      </c>
      <c r="AD35" s="230" t="str">
        <f>VLOOKUP($AC35,'2007-2020 Metadata'!$A$6:$S$214,9,FALSE)</f>
        <v>Waitakere</v>
      </c>
      <c r="AE35" s="248">
        <f>IF(ISBLANK(VLOOKUP($AC35,'2007-2020 Metadata'!$A$6:$S$214,19,FALSE)),"",VLOOKUP($AC35,'2007-2020 Metadata'!$A$6:$S$214,19,FALSE))</f>
        <v>3</v>
      </c>
      <c r="AF35" s="88" t="str">
        <f>VLOOKUP($B35,'2007-2020 Metadata'!$A$4:$S$214,MATCH("Site type",'2007-2020 Metadata'!$A$4:$S$4,0),FALSE)</f>
        <v>Local (ex SH)</v>
      </c>
      <c r="AG35" s="143">
        <f t="shared" si="11"/>
        <v>7.9</v>
      </c>
      <c r="AH35" s="143">
        <f t="shared" si="12"/>
        <v>26.2</v>
      </c>
      <c r="AI35" s="144">
        <f t="shared" ca="1" si="13"/>
        <v>20.335416666666664</v>
      </c>
    </row>
    <row r="36" spans="2:35" ht="12" customHeight="1" x14ac:dyDescent="0.15">
      <c r="B36" s="40" t="s">
        <v>71</v>
      </c>
      <c r="C36" s="52">
        <f>IF(ISERROR(VLOOKUP($B36,'Monthly Summary 2010'!$B$7:$Q$221,14,FALSE)=0),"",VLOOKUP($B36,'Monthly Summary 2010'!$B$7:$Q$221,14,FALSE))</f>
        <v>10.9</v>
      </c>
      <c r="D36" s="36">
        <v>11.2</v>
      </c>
      <c r="E36" s="36">
        <v>16.899999999999999</v>
      </c>
      <c r="F36" s="36">
        <v>16.3</v>
      </c>
      <c r="G36" s="36">
        <v>19</v>
      </c>
      <c r="H36" s="36">
        <v>20</v>
      </c>
      <c r="I36" s="36">
        <v>16.100000000000001</v>
      </c>
      <c r="J36" s="36">
        <v>20</v>
      </c>
      <c r="K36" s="36">
        <v>17.100000000000001</v>
      </c>
      <c r="L36" s="36">
        <v>19.5</v>
      </c>
      <c r="M36" s="36">
        <v>14</v>
      </c>
      <c r="N36" s="36">
        <v>10.9</v>
      </c>
      <c r="O36" s="36">
        <v>13.7</v>
      </c>
      <c r="P36" s="37">
        <f t="shared" si="0"/>
        <v>16.224999999999998</v>
      </c>
      <c r="Q36" s="38">
        <f t="shared" si="1"/>
        <v>1</v>
      </c>
      <c r="R36" s="140">
        <f t="shared" si="5"/>
        <v>14.799999999999999</v>
      </c>
      <c r="S36" s="24">
        <f t="shared" si="6"/>
        <v>1</v>
      </c>
      <c r="T36" s="140">
        <f t="shared" si="7"/>
        <v>18.866666666666667</v>
      </c>
      <c r="U36" s="24">
        <f t="shared" si="8"/>
        <v>1</v>
      </c>
      <c r="V36" s="140">
        <f t="shared" si="9"/>
        <v>16.224999999999998</v>
      </c>
      <c r="W36" s="150">
        <f t="shared" si="10"/>
        <v>1</v>
      </c>
      <c r="X36" s="144">
        <f t="shared" ca="1" si="2"/>
        <v>17.110256410256412</v>
      </c>
      <c r="Y36" s="144">
        <f t="shared" ca="1" si="3"/>
        <v>22.980555555555554</v>
      </c>
      <c r="Z36" s="144">
        <f t="shared" ca="1" si="4"/>
        <v>20.335416666666664</v>
      </c>
      <c r="AA36" s="10"/>
      <c r="AB36" s="357" t="str">
        <f>VLOOKUP($B36,'2007-2020 Metadata'!$A$4:$S$214,MATCH("Urban Area /Monitoring Zone",'2007-2020 Metadata'!$A$4:$S$4,0),FALSE)</f>
        <v>Auckland - Western</v>
      </c>
      <c r="AC36" s="87" t="str">
        <f>VLOOKUP(B36,'2007-2020 Metadata'!$A$6:$A$214,1,FALSE)</f>
        <v>AUC050</v>
      </c>
      <c r="AD36" s="230" t="str">
        <f>VLOOKUP($AC36,'2007-2020 Metadata'!$A$6:$S$214,9,FALSE)</f>
        <v>Waitakere</v>
      </c>
      <c r="AE36" s="248">
        <f>IF(ISBLANK(VLOOKUP($AC36,'2007-2020 Metadata'!$A$6:$S$214,19,FALSE)),"",VLOOKUP($AC36,'2007-2020 Metadata'!$A$6:$S$214,19,FALSE))</f>
        <v>3</v>
      </c>
      <c r="AF36" s="88" t="str">
        <f>VLOOKUP($B36,'2007-2020 Metadata'!$A$4:$S$214,MATCH("Site type",'2007-2020 Metadata'!$A$4:$S$4,0),FALSE)</f>
        <v>SH</v>
      </c>
      <c r="AG36" s="143">
        <f t="shared" si="11"/>
        <v>10.9</v>
      </c>
      <c r="AH36" s="143">
        <f t="shared" si="12"/>
        <v>20</v>
      </c>
      <c r="AI36" s="144">
        <f t="shared" ca="1" si="13"/>
        <v>20.335416666666664</v>
      </c>
    </row>
    <row r="37" spans="2:35" ht="12" customHeight="1" x14ac:dyDescent="0.15">
      <c r="B37" s="40" t="s">
        <v>72</v>
      </c>
      <c r="C37" s="52">
        <f>IF(ISERROR(VLOOKUP($B37,'Monthly Summary 2010'!$B$7:$Q$221,14,FALSE)=0),"",VLOOKUP($B37,'Monthly Summary 2010'!$B$7:$Q$221,14,FALSE))</f>
        <v>8.9</v>
      </c>
      <c r="D37" s="36">
        <v>11.4</v>
      </c>
      <c r="E37" s="36">
        <v>14.6</v>
      </c>
      <c r="F37" s="36"/>
      <c r="G37" s="36"/>
      <c r="H37" s="36"/>
      <c r="I37" s="344"/>
      <c r="J37" s="344"/>
      <c r="K37" s="344"/>
      <c r="L37" s="344"/>
      <c r="M37" s="344"/>
      <c r="N37" s="344"/>
      <c r="O37" s="344"/>
      <c r="P37" s="37">
        <f t="shared" si="0"/>
        <v>13</v>
      </c>
      <c r="Q37" s="38">
        <f t="shared" si="1"/>
        <v>0.16666666666666666</v>
      </c>
      <c r="R37" s="140">
        <f t="shared" si="5"/>
        <v>13</v>
      </c>
      <c r="S37" s="24">
        <f t="shared" si="6"/>
        <v>0.66666666666666663</v>
      </c>
      <c r="T37" s="140" t="str">
        <f t="shared" si="7"/>
        <v/>
      </c>
      <c r="U37" s="24">
        <f t="shared" si="8"/>
        <v>0</v>
      </c>
      <c r="V37" s="140" t="str">
        <f t="shared" si="9"/>
        <v>-</v>
      </c>
      <c r="W37" s="150">
        <f t="shared" si="10"/>
        <v>0.16666666666666666</v>
      </c>
      <c r="X37" s="144">
        <f t="shared" ca="1" si="2"/>
        <v>17.110256410256412</v>
      </c>
      <c r="Y37" s="144">
        <f t="shared" ca="1" si="3"/>
        <v>22.980555555555554</v>
      </c>
      <c r="Z37" s="144">
        <f t="shared" ca="1" si="4"/>
        <v>20.335416666666664</v>
      </c>
      <c r="AA37" s="10"/>
      <c r="AB37" s="357" t="str">
        <f>VLOOKUP($B37,'2007-2020 Metadata'!$A$4:$S$214,MATCH("Urban Area /Monitoring Zone",'2007-2020 Metadata'!$A$4:$S$4,0),FALSE)</f>
        <v>Auckland - Western</v>
      </c>
      <c r="AC37" s="87" t="str">
        <f>VLOOKUP(B37,'2007-2020 Metadata'!$A$6:$A$214,1,FALSE)</f>
        <v>AUC051</v>
      </c>
      <c r="AD37" s="230" t="str">
        <f>VLOOKUP($AC37,'2007-2020 Metadata'!$A$6:$S$214,9,FALSE)</f>
        <v>Waitakere</v>
      </c>
      <c r="AE37" s="248">
        <f>IF(ISBLANK(VLOOKUP($AC37,'2007-2020 Metadata'!$A$6:$S$214,19,FALSE)),"",VLOOKUP($AC37,'2007-2020 Metadata'!$A$6:$S$214,19,FALSE))</f>
        <v>3</v>
      </c>
      <c r="AF37" s="88" t="str">
        <f>VLOOKUP($B37,'2007-2020 Metadata'!$A$4:$S$214,MATCH("Site type",'2007-2020 Metadata'!$A$4:$S$4,0),FALSE)</f>
        <v>SH</v>
      </c>
      <c r="AG37" s="143">
        <f t="shared" si="11"/>
        <v>11.4</v>
      </c>
      <c r="AH37" s="143">
        <f t="shared" si="12"/>
        <v>14.6</v>
      </c>
      <c r="AI37" s="144" t="str">
        <f t="shared" si="13"/>
        <v xml:space="preserve"> </v>
      </c>
    </row>
    <row r="38" spans="2:35" ht="12" customHeight="1" x14ac:dyDescent="0.15">
      <c r="B38" s="40" t="s">
        <v>1024</v>
      </c>
      <c r="C38" s="52"/>
      <c r="D38" s="344"/>
      <c r="E38" s="344"/>
      <c r="F38" s="344"/>
      <c r="G38" s="344"/>
      <c r="H38" s="344"/>
      <c r="I38" s="36"/>
      <c r="J38" s="36">
        <v>25.5</v>
      </c>
      <c r="K38" s="36">
        <v>29.5</v>
      </c>
      <c r="L38" s="36">
        <v>22.5</v>
      </c>
      <c r="M38" s="36">
        <v>18.7</v>
      </c>
      <c r="N38" s="36">
        <v>17.3</v>
      </c>
      <c r="O38" s="36">
        <v>10.4</v>
      </c>
      <c r="P38" s="37">
        <f t="shared" ref="P38" si="17">(AVERAGE(D38:O38))</f>
        <v>20.650000000000002</v>
      </c>
      <c r="Q38" s="38">
        <f t="shared" ref="Q38" si="18">COUNT(D38:O38)/COUNT($D$6:$O$6)</f>
        <v>0.5</v>
      </c>
      <c r="R38" s="140" t="str">
        <f t="shared" si="5"/>
        <v/>
      </c>
      <c r="S38" s="24">
        <f t="shared" ref="S38" si="19">COUNT(D38:F38)/3</f>
        <v>0</v>
      </c>
      <c r="T38" s="140">
        <f t="shared" si="7"/>
        <v>25.833333333333332</v>
      </c>
      <c r="U38" s="24">
        <f t="shared" ref="U38" si="20">COUNT(J38:L38)/3</f>
        <v>1</v>
      </c>
      <c r="V38" s="140" t="str">
        <f t="shared" si="9"/>
        <v>-</v>
      </c>
      <c r="W38" s="150">
        <f t="shared" ref="W38" si="21">Q38</f>
        <v>0.5</v>
      </c>
      <c r="X38" s="144" t="str">
        <f t="shared" si="2"/>
        <v/>
      </c>
      <c r="Y38" s="144">
        <f t="shared" si="3"/>
        <v>25.833333333333332</v>
      </c>
      <c r="Z38" s="144" t="str">
        <f t="shared" si="4"/>
        <v>-</v>
      </c>
      <c r="AA38" s="10"/>
      <c r="AB38" s="357">
        <f>VLOOKUP($B38,'2007-2020 Metadata'!$A$4:$S$214,MATCH("Urban Area /Monitoring Zone",'2007-2020 Metadata'!$A$4:$S$4,0),FALSE)</f>
        <v>0</v>
      </c>
      <c r="AC38" s="87" t="str">
        <f>VLOOKUP(B38,'2007-2020 Metadata'!$A$6:$A$214,1,FALSE)</f>
        <v>AUC051a</v>
      </c>
      <c r="AD38" s="230">
        <f>VLOOKUP($AC38,'2007-2020 Metadata'!$A$6:$S$214,9,FALSE)</f>
        <v>0</v>
      </c>
      <c r="AE38" s="248" t="str">
        <f>IF(ISBLANK(VLOOKUP($AC38,'2007-2020 Metadata'!$A$6:$S$214,19,FALSE)),"",VLOOKUP($AC38,'2007-2020 Metadata'!$A$6:$S$214,19,FALSE))</f>
        <v/>
      </c>
      <c r="AF38" s="88" t="str">
        <f>VLOOKUP($B38,'2007-2020 Metadata'!$A$4:$S$214,MATCH("Site type",'2007-2020 Metadata'!$A$4:$S$4,0),FALSE)</f>
        <v>SH</v>
      </c>
      <c r="AG38" s="143">
        <f t="shared" si="11"/>
        <v>10.4</v>
      </c>
      <c r="AH38" s="143">
        <f t="shared" si="12"/>
        <v>29.5</v>
      </c>
      <c r="AI38" s="144" t="str">
        <f t="shared" si="13"/>
        <v xml:space="preserve"> </v>
      </c>
    </row>
    <row r="39" spans="2:35" ht="12" customHeight="1" x14ac:dyDescent="0.15">
      <c r="B39" s="40" t="s">
        <v>73</v>
      </c>
      <c r="C39" s="52">
        <f>IF(ISERROR(VLOOKUP($B39,'Monthly Summary 2010'!$B$7:$Q$221,14,FALSE)=0),"",VLOOKUP($B39,'Monthly Summary 2010'!$B$7:$Q$221,14,FALSE))</f>
        <v>10.8</v>
      </c>
      <c r="D39" s="36">
        <v>13</v>
      </c>
      <c r="E39" s="36">
        <v>18</v>
      </c>
      <c r="F39" s="36">
        <v>21</v>
      </c>
      <c r="G39" s="36">
        <v>26.6</v>
      </c>
      <c r="H39" s="36">
        <v>26.8</v>
      </c>
      <c r="I39" s="36">
        <v>22.2</v>
      </c>
      <c r="J39" s="36">
        <v>22.2</v>
      </c>
      <c r="K39" s="36">
        <v>23.3</v>
      </c>
      <c r="L39" s="36">
        <v>21</v>
      </c>
      <c r="M39" s="36">
        <v>20.2</v>
      </c>
      <c r="N39" s="36">
        <v>15.6</v>
      </c>
      <c r="O39" s="36">
        <v>14.3</v>
      </c>
      <c r="P39" s="37">
        <f t="shared" si="0"/>
        <v>20.349999999999998</v>
      </c>
      <c r="Q39" s="38">
        <f t="shared" si="1"/>
        <v>1</v>
      </c>
      <c r="R39" s="140">
        <f t="shared" si="5"/>
        <v>17.333333333333332</v>
      </c>
      <c r="S39" s="24">
        <f t="shared" si="6"/>
        <v>1</v>
      </c>
      <c r="T39" s="140">
        <f t="shared" si="7"/>
        <v>22.166666666666668</v>
      </c>
      <c r="U39" s="24">
        <f t="shared" si="8"/>
        <v>1</v>
      </c>
      <c r="V39" s="140">
        <f t="shared" si="9"/>
        <v>20.349999999999998</v>
      </c>
      <c r="W39" s="150">
        <f t="shared" si="10"/>
        <v>1</v>
      </c>
      <c r="X39" s="144">
        <f t="shared" ca="1" si="2"/>
        <v>17.110256410256412</v>
      </c>
      <c r="Y39" s="144">
        <f t="shared" ca="1" si="3"/>
        <v>22.980555555555554</v>
      </c>
      <c r="Z39" s="144">
        <f t="shared" ca="1" si="4"/>
        <v>20.335416666666664</v>
      </c>
      <c r="AA39" s="10"/>
      <c r="AB39" s="357" t="str">
        <f>VLOOKUP($B39,'2007-2020 Metadata'!$A$4:$S$214,MATCH("Urban Area /Monitoring Zone",'2007-2020 Metadata'!$A$4:$S$4,0),FALSE)</f>
        <v>Auckland - Western</v>
      </c>
      <c r="AC39" s="87" t="str">
        <f>VLOOKUP(B39,'2007-2020 Metadata'!$A$6:$A$214,1,FALSE)</f>
        <v>AUC052</v>
      </c>
      <c r="AD39" s="230" t="str">
        <f>VLOOKUP($AC39,'2007-2020 Metadata'!$A$6:$S$214,9,FALSE)</f>
        <v>Waitakere</v>
      </c>
      <c r="AE39" s="248">
        <f>IF(ISBLANK(VLOOKUP($AC39,'2007-2020 Metadata'!$A$6:$S$214,19,FALSE)),"",VLOOKUP($AC39,'2007-2020 Metadata'!$A$6:$S$214,19,FALSE))</f>
        <v>3</v>
      </c>
      <c r="AF39" s="88" t="str">
        <f>VLOOKUP($B39,'2007-2020 Metadata'!$A$4:$S$214,MATCH("Site type",'2007-2020 Metadata'!$A$4:$S$4,0),FALSE)</f>
        <v>Local</v>
      </c>
      <c r="AG39" s="143">
        <f t="shared" si="11"/>
        <v>13</v>
      </c>
      <c r="AH39" s="143">
        <f t="shared" si="12"/>
        <v>26.8</v>
      </c>
      <c r="AI39" s="144">
        <f t="shared" ca="1" si="13"/>
        <v>20.335416666666664</v>
      </c>
    </row>
    <row r="40" spans="2:35" ht="12" customHeight="1" x14ac:dyDescent="0.15">
      <c r="B40" s="40" t="s">
        <v>74</v>
      </c>
      <c r="C40" s="52">
        <f>IF(ISERROR(VLOOKUP($B40,'Monthly Summary 2010'!$B$7:$Q$221,14,FALSE)=0),"",VLOOKUP($B40,'Monthly Summary 2010'!$B$7:$Q$221,14,FALSE))</f>
        <v>16</v>
      </c>
      <c r="D40" s="36">
        <v>22.7</v>
      </c>
      <c r="E40" s="36">
        <v>27.4</v>
      </c>
      <c r="F40" s="36">
        <v>30</v>
      </c>
      <c r="G40" s="36">
        <v>35.9</v>
      </c>
      <c r="H40" s="36">
        <v>41.1</v>
      </c>
      <c r="I40" s="36">
        <v>42.8</v>
      </c>
      <c r="J40" s="36">
        <v>42.5</v>
      </c>
      <c r="K40" s="36">
        <v>45.2</v>
      </c>
      <c r="L40" s="36">
        <v>42.5</v>
      </c>
      <c r="M40" s="36">
        <v>38.200000000000003</v>
      </c>
      <c r="N40" s="36">
        <v>33.799999999999997</v>
      </c>
      <c r="O40" s="36">
        <v>20.100000000000001</v>
      </c>
      <c r="P40" s="37">
        <f t="shared" si="0"/>
        <v>35.18333333333333</v>
      </c>
      <c r="Q40" s="38">
        <f t="shared" si="1"/>
        <v>1</v>
      </c>
      <c r="R40" s="140">
        <f t="shared" si="5"/>
        <v>26.7</v>
      </c>
      <c r="S40" s="24">
        <f t="shared" si="6"/>
        <v>1</v>
      </c>
      <c r="T40" s="140">
        <f t="shared" si="7"/>
        <v>43.4</v>
      </c>
      <c r="U40" s="24">
        <f t="shared" si="8"/>
        <v>1</v>
      </c>
      <c r="V40" s="140">
        <f t="shared" si="9"/>
        <v>35.18333333333333</v>
      </c>
      <c r="W40" s="150">
        <f t="shared" si="10"/>
        <v>1</v>
      </c>
      <c r="X40" s="144">
        <f t="shared" ref="X40:X71" ca="1" si="22">IF(VLOOKUP($B40,$AC$6:$AI$159,3,FALSE)="",$R40,IF(ISERROR(AVERAGEIF($AD$6:$AD$161,VLOOKUP($B40,$AC$6:$AI$159,2,FALSE),$R$6:$R$159)),"",AVERAGEIF($AD$6:$AD$161,VLOOKUP($B40,$AC$6:$AI$159,2,FALSE),$R$6:$R$159)))</f>
        <v>17.110256410256412</v>
      </c>
      <c r="Y40" s="144">
        <f t="shared" ref="Y40:Y71" ca="1" si="23">IF(VLOOKUP($B40,$AC$6:$AI$159,3,FALSE)="",$T40,IF(ISERROR(AVERAGEIF($AD$6:$AD$161,VLOOKUP($B40,$AC$6:$AI$159,2,FALSE),$T$6:$T$159)),"",AVERAGEIF($AD$6:$AD$161,VLOOKUP($B40,$AC$6:$AI$159,2,FALSE),$T$6:$T$159)))</f>
        <v>22.980555555555554</v>
      </c>
      <c r="Z40" s="144">
        <f t="shared" ref="Z40:Z71" ca="1" si="24">IF(VLOOKUP($B40,$AC$6:$AI$159,3,FALSE)="",$V40,IF(ISERROR(AVERAGEIF($AD$6:$AD$161,VLOOKUP($B40,$AC$6:$AI$159,2,FALSE),$V$6:$V$159)),"",AVERAGEIF($AD$6:$AD$161,VLOOKUP($B40,$AC$6:$AI$159,2,FALSE),$V$6:$V$159)))</f>
        <v>20.335416666666664</v>
      </c>
      <c r="AA40" s="10"/>
      <c r="AB40" s="357" t="str">
        <f>VLOOKUP($B40,'2007-2020 Metadata'!$A$4:$S$214,MATCH("Urban Area /Monitoring Zone",'2007-2020 Metadata'!$A$4:$S$4,0),FALSE)</f>
        <v>Auckland - Western</v>
      </c>
      <c r="AC40" s="87" t="str">
        <f>VLOOKUP(B40,'2007-2020 Metadata'!$A$6:$A$214,1,FALSE)</f>
        <v>AUC053</v>
      </c>
      <c r="AD40" s="230" t="str">
        <f>VLOOKUP($AC40,'2007-2020 Metadata'!$A$6:$S$214,9,FALSE)</f>
        <v>Waitakere</v>
      </c>
      <c r="AE40" s="248">
        <f>IF(ISBLANK(VLOOKUP($AC40,'2007-2020 Metadata'!$A$6:$S$214,19,FALSE)),"",VLOOKUP($AC40,'2007-2020 Metadata'!$A$6:$S$214,19,FALSE))</f>
        <v>3</v>
      </c>
      <c r="AF40" s="88" t="str">
        <f>VLOOKUP($B40,'2007-2020 Metadata'!$A$4:$S$214,MATCH("Site type",'2007-2020 Metadata'!$A$4:$S$4,0),FALSE)</f>
        <v>Local</v>
      </c>
      <c r="AG40" s="143">
        <f t="shared" si="11"/>
        <v>20.100000000000001</v>
      </c>
      <c r="AH40" s="143">
        <f t="shared" si="12"/>
        <v>45.2</v>
      </c>
      <c r="AI40" s="144">
        <f t="shared" ca="1" si="13"/>
        <v>20.335416666666664</v>
      </c>
    </row>
    <row r="41" spans="2:35" ht="12" customHeight="1" x14ac:dyDescent="0.15">
      <c r="B41" s="40" t="s">
        <v>75</v>
      </c>
      <c r="C41" s="52">
        <f>IF(ISERROR(VLOOKUP($B41,'Monthly Summary 2010'!$B$7:$Q$221,14,FALSE)=0),"",VLOOKUP($B41,'Monthly Summary 2010'!$B$7:$Q$221,14,FALSE))</f>
        <v>10.6</v>
      </c>
      <c r="D41" s="36">
        <v>9.6</v>
      </c>
      <c r="E41" s="36">
        <v>18.600000000000001</v>
      </c>
      <c r="F41" s="36">
        <v>22.2</v>
      </c>
      <c r="G41" s="36">
        <v>24</v>
      </c>
      <c r="H41" s="36">
        <v>23.2</v>
      </c>
      <c r="I41" s="36">
        <v>27.4</v>
      </c>
      <c r="J41" s="36">
        <v>18.8</v>
      </c>
      <c r="K41" s="36">
        <v>19.8</v>
      </c>
      <c r="L41" s="36">
        <v>19.2</v>
      </c>
      <c r="M41" s="36">
        <v>16.899999999999999</v>
      </c>
      <c r="N41" s="36">
        <v>11.2</v>
      </c>
      <c r="O41" s="36">
        <v>16.2</v>
      </c>
      <c r="P41" s="37">
        <f t="shared" si="0"/>
        <v>18.925000000000001</v>
      </c>
      <c r="Q41" s="38">
        <f t="shared" si="1"/>
        <v>1</v>
      </c>
      <c r="R41" s="260">
        <f t="shared" si="5"/>
        <v>16.8</v>
      </c>
      <c r="S41" s="264">
        <f t="shared" si="6"/>
        <v>1</v>
      </c>
      <c r="T41" s="260">
        <f t="shared" si="7"/>
        <v>19.266666666666666</v>
      </c>
      <c r="U41" s="264">
        <f t="shared" si="8"/>
        <v>1</v>
      </c>
      <c r="V41" s="260">
        <f t="shared" si="9"/>
        <v>18.925000000000001</v>
      </c>
      <c r="W41" s="261">
        <f t="shared" si="10"/>
        <v>1</v>
      </c>
      <c r="X41" s="177">
        <f t="shared" ca="1" si="22"/>
        <v>17.110256410256412</v>
      </c>
      <c r="Y41" s="177">
        <f t="shared" ca="1" si="23"/>
        <v>22.980555555555554</v>
      </c>
      <c r="Z41" s="177">
        <f t="shared" ca="1" si="24"/>
        <v>20.335416666666664</v>
      </c>
      <c r="AA41" s="10"/>
      <c r="AB41" s="357" t="str">
        <f>VLOOKUP($B41,'2007-2020 Metadata'!$A$4:$S$214,MATCH("Urban Area /Monitoring Zone",'2007-2020 Metadata'!$A$4:$S$4,0),FALSE)</f>
        <v>Auckland - Western</v>
      </c>
      <c r="AC41" s="259" t="str">
        <f>VLOOKUP(B41,'2007-2020 Metadata'!$A$6:$A$214,1,FALSE)</f>
        <v>AUC054</v>
      </c>
      <c r="AD41" s="256" t="str">
        <f>VLOOKUP($AC41,'2007-2020 Metadata'!$A$6:$S$214,9,FALSE)</f>
        <v>Waitakere</v>
      </c>
      <c r="AE41" s="263">
        <f>IF(ISBLANK(VLOOKUP($AC41,'2007-2020 Metadata'!$A$6:$S$214,19,FALSE)),"",VLOOKUP($AC41,'2007-2020 Metadata'!$A$6:$S$214,19,FALSE))</f>
        <v>3</v>
      </c>
      <c r="AF41" s="257" t="str">
        <f>VLOOKUP($B41,'2007-2020 Metadata'!$A$4:$S$214,MATCH("Site type",'2007-2020 Metadata'!$A$4:$S$4,0),FALSE)</f>
        <v>Local</v>
      </c>
      <c r="AG41" s="258">
        <f>MIN(AVERAGE(D$41:D$43),AVERAGE(E$41:E$43),AVERAGE(F$41:F$43),AVERAGE(G$41:G$43),AVERAGE(H$41:H$43),AVERAGE(I$41:I$43),AVERAGE(J$41:J$43),AVERAGE(K$41:K$43),AVERAGE(L$41:L$43),AVERAGE(M$41:M$43),AVERAGE(N$41:N$43),AVERAGE(O$41:O$43))</f>
        <v>11.366666666666665</v>
      </c>
      <c r="AH41" s="258">
        <f>MAX(AVERAGE(D$41:D$43),AVERAGE(E$41:E$43),AVERAGE(F$41:F$43),AVERAGE(G$41:G$43),AVERAGE(H$41:H$43),AVERAGE(I$41:I$43),AVERAGE(J$41:J$43),AVERAGE(K$41:K$43),AVERAGE(L$41:L$43),AVERAGE(M$41:M$43),AVERAGE(N$41:N$43),AVERAGE(O$41:O$43))</f>
        <v>25.366666666666664</v>
      </c>
      <c r="AI41" s="177">
        <f t="shared" ca="1" si="13"/>
        <v>20.335416666666664</v>
      </c>
    </row>
    <row r="42" spans="2:35" ht="12" customHeight="1" x14ac:dyDescent="0.15">
      <c r="B42" s="40" t="s">
        <v>76</v>
      </c>
      <c r="C42" s="52">
        <f>IF(ISERROR(VLOOKUP($B42,'Monthly Summary 2010'!$B$7:$Q$221,14,FALSE)=0),"",VLOOKUP($B42,'Monthly Summary 2010'!$B$7:$Q$221,14,FALSE))</f>
        <v>12.9</v>
      </c>
      <c r="D42" s="36">
        <v>12.4</v>
      </c>
      <c r="E42" s="36">
        <v>15</v>
      </c>
      <c r="F42" s="36">
        <v>20.6</v>
      </c>
      <c r="G42" s="36">
        <v>23.9</v>
      </c>
      <c r="H42" s="36">
        <v>21.6</v>
      </c>
      <c r="I42" s="36">
        <v>25.1</v>
      </c>
      <c r="J42" s="36">
        <v>16.100000000000001</v>
      </c>
      <c r="K42" s="36">
        <v>23.2</v>
      </c>
      <c r="L42" s="36">
        <v>22.7</v>
      </c>
      <c r="M42" s="36">
        <v>17.100000000000001</v>
      </c>
      <c r="N42" s="36">
        <v>12.2</v>
      </c>
      <c r="O42" s="36">
        <v>15.9</v>
      </c>
      <c r="P42" s="37">
        <f t="shared" si="0"/>
        <v>18.816666666666663</v>
      </c>
      <c r="Q42" s="38">
        <f t="shared" si="1"/>
        <v>1</v>
      </c>
      <c r="R42" s="260">
        <f t="shared" si="5"/>
        <v>16</v>
      </c>
      <c r="S42" s="264">
        <f t="shared" si="6"/>
        <v>1</v>
      </c>
      <c r="T42" s="260">
        <f t="shared" si="7"/>
        <v>20.666666666666668</v>
      </c>
      <c r="U42" s="264">
        <f t="shared" si="8"/>
        <v>1</v>
      </c>
      <c r="V42" s="260">
        <f t="shared" si="9"/>
        <v>18.816666666666663</v>
      </c>
      <c r="W42" s="261">
        <f t="shared" si="10"/>
        <v>1</v>
      </c>
      <c r="X42" s="177">
        <f t="shared" ca="1" si="22"/>
        <v>17.110256410256412</v>
      </c>
      <c r="Y42" s="177">
        <f t="shared" ca="1" si="23"/>
        <v>22.980555555555554</v>
      </c>
      <c r="Z42" s="177">
        <f t="shared" ca="1" si="24"/>
        <v>20.335416666666664</v>
      </c>
      <c r="AA42" s="10"/>
      <c r="AB42" s="357" t="str">
        <f>VLOOKUP($B42,'2007-2020 Metadata'!$A$4:$S$214,MATCH("Urban Area /Monitoring Zone",'2007-2020 Metadata'!$A$4:$S$4,0),FALSE)</f>
        <v>Auckland - Western</v>
      </c>
      <c r="AC42" s="259" t="str">
        <f>VLOOKUP(B42,'2007-2020 Metadata'!$A$6:$A$214,1,FALSE)</f>
        <v>AUC055</v>
      </c>
      <c r="AD42" s="256" t="str">
        <f>VLOOKUP($AC42,'2007-2020 Metadata'!$A$6:$S$214,9,FALSE)</f>
        <v>Waitakere</v>
      </c>
      <c r="AE42" s="263">
        <f>IF(ISBLANK(VLOOKUP($AC42,'2007-2020 Metadata'!$A$6:$S$214,19,FALSE)),"",VLOOKUP($AC42,'2007-2020 Metadata'!$A$6:$S$214,19,FALSE))</f>
        <v>3</v>
      </c>
      <c r="AF42" s="257" t="str">
        <f>VLOOKUP($B42,'2007-2020 Metadata'!$A$4:$S$214,MATCH("Site type",'2007-2020 Metadata'!$A$4:$S$4,0),FALSE)</f>
        <v>Local</v>
      </c>
      <c r="AG42" s="258">
        <f>MIN(AVERAGE(D$41:D$43),AVERAGE(E$41:E$43),AVERAGE(F$41:F$43),AVERAGE(G$41:G$43),AVERAGE(H$41:H$43),AVERAGE(I$41:I$43),AVERAGE(J$41:J$43),AVERAGE(K$41:K$43),AVERAGE(L$41:L$43),AVERAGE(M$41:M$43),AVERAGE(N$41:N$43),AVERAGE(O$41:O$43))</f>
        <v>11.366666666666665</v>
      </c>
      <c r="AH42" s="258">
        <f t="shared" ref="AH42:AH43" si="25">MAX(AVERAGE(D$41:D$43),AVERAGE(E$41:E$43),AVERAGE(F$41:F$43),AVERAGE(G$41:G$43),AVERAGE(H$41:H$43),AVERAGE(I$41:I$43),AVERAGE(J$41:J$43),AVERAGE(K$41:K$43),AVERAGE(L$41:L$43),AVERAGE(M$41:M$43),AVERAGE(N$41:N$43),AVERAGE(O$41:O$43))</f>
        <v>25.366666666666664</v>
      </c>
      <c r="AI42" s="177">
        <f t="shared" ca="1" si="13"/>
        <v>20.335416666666664</v>
      </c>
    </row>
    <row r="43" spans="2:35" ht="12" customHeight="1" x14ac:dyDescent="0.15">
      <c r="B43" s="40" t="s">
        <v>77</v>
      </c>
      <c r="C43" s="52">
        <f>IF(ISERROR(VLOOKUP($B43,'Monthly Summary 2010'!$B$7:$Q$221,14,FALSE)=0),"",VLOOKUP($B43,'Monthly Summary 2010'!$B$7:$Q$221,14,FALSE))</f>
        <v>12</v>
      </c>
      <c r="D43" s="36">
        <v>13.5</v>
      </c>
      <c r="E43" s="36">
        <v>19.2</v>
      </c>
      <c r="F43" s="36">
        <v>19.5</v>
      </c>
      <c r="G43" s="36">
        <v>25.9</v>
      </c>
      <c r="H43" s="36">
        <v>22</v>
      </c>
      <c r="I43" s="36">
        <v>23.6</v>
      </c>
      <c r="J43" s="36">
        <v>19.2</v>
      </c>
      <c r="K43" s="36">
        <v>19</v>
      </c>
      <c r="L43" s="36">
        <v>20.3</v>
      </c>
      <c r="M43" s="36">
        <v>16</v>
      </c>
      <c r="N43" s="36">
        <v>10.7</v>
      </c>
      <c r="O43" s="36">
        <v>15.7</v>
      </c>
      <c r="P43" s="37">
        <f t="shared" si="0"/>
        <v>18.716666666666665</v>
      </c>
      <c r="Q43" s="38">
        <f t="shared" si="1"/>
        <v>1</v>
      </c>
      <c r="R43" s="260">
        <f t="shared" si="5"/>
        <v>17.400000000000002</v>
      </c>
      <c r="S43" s="264">
        <f t="shared" si="6"/>
        <v>1</v>
      </c>
      <c r="T43" s="260">
        <f t="shared" si="7"/>
        <v>19.5</v>
      </c>
      <c r="U43" s="264">
        <f t="shared" si="8"/>
        <v>1</v>
      </c>
      <c r="V43" s="260">
        <f t="shared" si="9"/>
        <v>18.716666666666665</v>
      </c>
      <c r="W43" s="261">
        <f t="shared" si="10"/>
        <v>1</v>
      </c>
      <c r="X43" s="177">
        <f t="shared" ca="1" si="22"/>
        <v>17.110256410256412</v>
      </c>
      <c r="Y43" s="177">
        <f t="shared" ca="1" si="23"/>
        <v>22.980555555555554</v>
      </c>
      <c r="Z43" s="177">
        <f t="shared" ca="1" si="24"/>
        <v>20.335416666666664</v>
      </c>
      <c r="AA43" s="10"/>
      <c r="AB43" s="357" t="str">
        <f>VLOOKUP($B43,'2007-2020 Metadata'!$A$4:$S$214,MATCH("Urban Area /Monitoring Zone",'2007-2020 Metadata'!$A$4:$S$4,0),FALSE)</f>
        <v>Auckland - Western</v>
      </c>
      <c r="AC43" s="259" t="str">
        <f>VLOOKUP(B43,'2007-2020 Metadata'!$A$6:$A$214,1,FALSE)</f>
        <v>AUC056</v>
      </c>
      <c r="AD43" s="256" t="str">
        <f>VLOOKUP($AC43,'2007-2020 Metadata'!$A$6:$S$214,9,FALSE)</f>
        <v>Waitakere</v>
      </c>
      <c r="AE43" s="263">
        <f>IF(ISBLANK(VLOOKUP($AC43,'2007-2020 Metadata'!$A$6:$S$214,19,FALSE)),"",VLOOKUP($AC43,'2007-2020 Metadata'!$A$6:$S$214,19,FALSE))</f>
        <v>3</v>
      </c>
      <c r="AF43" s="257" t="str">
        <f>VLOOKUP($B43,'2007-2020 Metadata'!$A$4:$S$214,MATCH("Site type",'2007-2020 Metadata'!$A$4:$S$4,0),FALSE)</f>
        <v>Local</v>
      </c>
      <c r="AG43" s="258">
        <f>MIN(AVERAGE(D$41:D$43),AVERAGE(E$41:E$43),AVERAGE(F$41:F$43),AVERAGE(G$41:G$43),AVERAGE(H$41:H$43),AVERAGE(I$41:I$43),AVERAGE(J$41:J$43),AVERAGE(K$41:K$43),AVERAGE(L$41:L$43),AVERAGE(M$41:M$43),AVERAGE(N$41:N$43),AVERAGE(O$41:O$43))</f>
        <v>11.366666666666665</v>
      </c>
      <c r="AH43" s="258">
        <f t="shared" si="25"/>
        <v>25.366666666666664</v>
      </c>
      <c r="AI43" s="177">
        <f t="shared" ca="1" si="13"/>
        <v>20.335416666666664</v>
      </c>
    </row>
    <row r="44" spans="2:35" ht="12" customHeight="1" x14ac:dyDescent="0.15">
      <c r="B44" s="35" t="s">
        <v>78</v>
      </c>
      <c r="C44" s="52">
        <f>IF(ISERROR(VLOOKUP($B44,'Monthly Summary 2010'!$B$7:$Q$221,14,FALSE)=0),"",VLOOKUP($B44,'Monthly Summary 2010'!$B$7:$Q$221,14,FALSE))</f>
        <v>6.4</v>
      </c>
      <c r="D44" s="36">
        <v>4.5</v>
      </c>
      <c r="E44" s="36">
        <v>10</v>
      </c>
      <c r="F44" s="36">
        <v>12.1</v>
      </c>
      <c r="G44" s="36">
        <v>12.2</v>
      </c>
      <c r="H44" s="36">
        <v>14.7</v>
      </c>
      <c r="I44" s="36">
        <v>13.7</v>
      </c>
      <c r="J44" s="36">
        <v>11.6</v>
      </c>
      <c r="K44" s="36">
        <v>11.4</v>
      </c>
      <c r="L44" s="36">
        <v>11.3</v>
      </c>
      <c r="M44" s="36">
        <v>9</v>
      </c>
      <c r="N44" s="36">
        <v>8.8000000000000007</v>
      </c>
      <c r="O44" s="36">
        <v>8.3000000000000007</v>
      </c>
      <c r="P44" s="37">
        <f t="shared" si="0"/>
        <v>10.633333333333333</v>
      </c>
      <c r="Q44" s="38">
        <f t="shared" si="1"/>
        <v>1</v>
      </c>
      <c r="R44" s="260">
        <f t="shared" si="5"/>
        <v>8.8666666666666671</v>
      </c>
      <c r="S44" s="264">
        <f t="shared" si="6"/>
        <v>1</v>
      </c>
      <c r="T44" s="260">
        <f t="shared" si="7"/>
        <v>11.433333333333332</v>
      </c>
      <c r="U44" s="264">
        <f t="shared" si="8"/>
        <v>1</v>
      </c>
      <c r="V44" s="260">
        <f t="shared" si="9"/>
        <v>10.633333333333333</v>
      </c>
      <c r="W44" s="261">
        <f t="shared" si="10"/>
        <v>1</v>
      </c>
      <c r="X44" s="177">
        <f t="shared" ca="1" si="22"/>
        <v>17.110256410256412</v>
      </c>
      <c r="Y44" s="177">
        <f t="shared" ca="1" si="23"/>
        <v>22.980555555555554</v>
      </c>
      <c r="Z44" s="177">
        <f t="shared" ca="1" si="24"/>
        <v>20.335416666666664</v>
      </c>
      <c r="AA44" s="10"/>
      <c r="AB44" s="357" t="str">
        <f>VLOOKUP($B44,'2007-2020 Metadata'!$A$4:$S$214,MATCH("Urban Area /Monitoring Zone",'2007-2020 Metadata'!$A$4:$S$4,0),FALSE)</f>
        <v>Auckland - Western</v>
      </c>
      <c r="AC44" s="259" t="str">
        <f>VLOOKUP(B44,'2007-2020 Metadata'!$A$6:$A$214,1,FALSE)</f>
        <v>AUC057</v>
      </c>
      <c r="AD44" s="256" t="str">
        <f>VLOOKUP($AC44,'2007-2020 Metadata'!$A$6:$S$214,9,FALSE)</f>
        <v>Waitakere</v>
      </c>
      <c r="AE44" s="263">
        <f>IF(ISBLANK(VLOOKUP($AC44,'2007-2020 Metadata'!$A$6:$S$214,19,FALSE)),"",VLOOKUP($AC44,'2007-2020 Metadata'!$A$6:$S$214,19,FALSE))</f>
        <v>3</v>
      </c>
      <c r="AF44" s="257" t="str">
        <f>VLOOKUP($B44,'2007-2020 Metadata'!$A$4:$S$214,MATCH("Site type",'2007-2020 Metadata'!$A$4:$S$4,0),FALSE)</f>
        <v>Background</v>
      </c>
      <c r="AG44" s="258">
        <f>MIN(AVERAGE(D$44:D$46),AVERAGE(E$44:E$46),AVERAGE(F$44:F$46),AVERAGE(G$44:G$46),AVERAGE(H$44:H$46),AVERAGE(I$44:I$46),AVERAGE(J$44:J$46),AVERAGE(K$44:K$46),AVERAGE(L$44:L$46),AVERAGE(M$44:M$46),AVERAGE(N$44:N$46),AVERAGE(O$44:O$46))</f>
        <v>5.3</v>
      </c>
      <c r="AH44" s="258">
        <f>MAX(AVERAGE(D$44:D$46),AVERAGE(E$44:E$46),AVERAGE(F$44:F$46),AVERAGE(G$44:G$46),AVERAGE(H$44:H$46),AVERAGE(I$44:I$46),AVERAGE(J$44:J$46),AVERAGE(K$44:K$46),AVERAGE(L$44:L$46),AVERAGE(M$44:M$46),AVERAGE(N$44:N$46),AVERAGE(O$44:O$46))</f>
        <v>15.466666666666667</v>
      </c>
      <c r="AI44" s="177">
        <f t="shared" ca="1" si="13"/>
        <v>20.335416666666664</v>
      </c>
    </row>
    <row r="45" spans="2:35" ht="12" customHeight="1" x14ac:dyDescent="0.15">
      <c r="B45" s="40" t="s">
        <v>79</v>
      </c>
      <c r="C45" s="52">
        <f>IF(ISERROR(VLOOKUP($B45,'Monthly Summary 2010'!$B$7:$Q$221,14,FALSE)=0),"",VLOOKUP($B45,'Monthly Summary 2010'!$B$7:$Q$221,14,FALSE))</f>
        <v>5.4</v>
      </c>
      <c r="D45" s="36">
        <v>6.9</v>
      </c>
      <c r="E45" s="36">
        <v>6.9</v>
      </c>
      <c r="F45" s="36">
        <v>11.8</v>
      </c>
      <c r="G45" s="36">
        <v>12</v>
      </c>
      <c r="H45" s="36">
        <v>15.6</v>
      </c>
      <c r="I45" s="36">
        <v>14.5</v>
      </c>
      <c r="J45" s="36">
        <v>10.5</v>
      </c>
      <c r="K45" s="36">
        <v>10.8</v>
      </c>
      <c r="L45" s="36">
        <v>11</v>
      </c>
      <c r="M45" s="36">
        <v>8.6999999999999993</v>
      </c>
      <c r="N45" s="36">
        <v>6.4</v>
      </c>
      <c r="O45" s="36">
        <v>8.8000000000000007</v>
      </c>
      <c r="P45" s="37">
        <f t="shared" si="0"/>
        <v>10.325000000000001</v>
      </c>
      <c r="Q45" s="38">
        <f t="shared" si="1"/>
        <v>1</v>
      </c>
      <c r="R45" s="260">
        <f t="shared" si="5"/>
        <v>8.5333333333333332</v>
      </c>
      <c r="S45" s="264">
        <f t="shared" si="6"/>
        <v>1</v>
      </c>
      <c r="T45" s="260">
        <f t="shared" si="7"/>
        <v>10.766666666666666</v>
      </c>
      <c r="U45" s="264">
        <f t="shared" si="8"/>
        <v>1</v>
      </c>
      <c r="V45" s="260">
        <f t="shared" si="9"/>
        <v>10.325000000000001</v>
      </c>
      <c r="W45" s="261">
        <f t="shared" si="10"/>
        <v>1</v>
      </c>
      <c r="X45" s="177">
        <f t="shared" ca="1" si="22"/>
        <v>17.110256410256412</v>
      </c>
      <c r="Y45" s="177">
        <f t="shared" ca="1" si="23"/>
        <v>22.980555555555554</v>
      </c>
      <c r="Z45" s="177">
        <f t="shared" ca="1" si="24"/>
        <v>20.335416666666664</v>
      </c>
      <c r="AA45" s="10"/>
      <c r="AB45" s="357" t="str">
        <f>VLOOKUP($B45,'2007-2020 Metadata'!$A$4:$S$214,MATCH("Urban Area /Monitoring Zone",'2007-2020 Metadata'!$A$4:$S$4,0),FALSE)</f>
        <v>Auckland - Western</v>
      </c>
      <c r="AC45" s="259" t="str">
        <f>VLOOKUP(B45,'2007-2020 Metadata'!$A$6:$A$214,1,FALSE)</f>
        <v>AUC058</v>
      </c>
      <c r="AD45" s="256" t="str">
        <f>VLOOKUP($AC45,'2007-2020 Metadata'!$A$6:$S$214,9,FALSE)</f>
        <v>Waitakere</v>
      </c>
      <c r="AE45" s="263">
        <f>IF(ISBLANK(VLOOKUP($AC45,'2007-2020 Metadata'!$A$6:$S$214,19,FALSE)),"",VLOOKUP($AC45,'2007-2020 Metadata'!$A$6:$S$214,19,FALSE))</f>
        <v>3</v>
      </c>
      <c r="AF45" s="257" t="str">
        <f>VLOOKUP($B45,'2007-2020 Metadata'!$A$4:$S$214,MATCH("Site type",'2007-2020 Metadata'!$A$4:$S$4,0),FALSE)</f>
        <v>Background</v>
      </c>
      <c r="AG45" s="258">
        <f>MIN(AVERAGE(D$44:D$46),AVERAGE(E$44:E$46),AVERAGE(F$44:F$46),AVERAGE(G$44:G$46),AVERAGE(H$44:H$46),AVERAGE(I$44:I$46),AVERAGE(J$44:J$46),AVERAGE(K$44:K$46),AVERAGE(L$44:L$46),AVERAGE(M$44:M$46),AVERAGE(N$44:N$46),AVERAGE(O$44:O$46))</f>
        <v>5.3</v>
      </c>
      <c r="AH45" s="258">
        <f t="shared" ref="AH45:AH46" si="26">MAX(AVERAGE(D$44:D$46),AVERAGE(E$44:E$46),AVERAGE(F$44:F$46),AVERAGE(G$44:G$46),AVERAGE(H$44:H$46),AVERAGE(I$44:I$46),AVERAGE(J$44:J$46),AVERAGE(K$44:K$46),AVERAGE(L$44:L$46),AVERAGE(M$44:M$46),AVERAGE(N$44:N$46),AVERAGE(O$44:O$46))</f>
        <v>15.466666666666667</v>
      </c>
      <c r="AI45" s="177">
        <f t="shared" ca="1" si="13"/>
        <v>20.335416666666664</v>
      </c>
    </row>
    <row r="46" spans="2:35" ht="12" customHeight="1" x14ac:dyDescent="0.15">
      <c r="B46" s="40" t="s">
        <v>80</v>
      </c>
      <c r="C46" s="52">
        <f>IF(ISERROR(VLOOKUP($B46,'Monthly Summary 2010'!$B$7:$Q$221,14,FALSE)=0),"",VLOOKUP($B46,'Monthly Summary 2010'!$B$7:$Q$221,14,FALSE))</f>
        <v>5.3</v>
      </c>
      <c r="D46" s="36">
        <v>4.5</v>
      </c>
      <c r="E46" s="36">
        <v>9.1999999999999993</v>
      </c>
      <c r="F46" s="36">
        <v>11.5</v>
      </c>
      <c r="G46" s="36">
        <v>13.2</v>
      </c>
      <c r="H46" s="36">
        <v>16.100000000000001</v>
      </c>
      <c r="I46" s="36">
        <v>14</v>
      </c>
      <c r="J46" s="36">
        <v>11.4</v>
      </c>
      <c r="K46" s="36">
        <v>11.1</v>
      </c>
      <c r="L46" s="36">
        <v>12.1</v>
      </c>
      <c r="M46" s="36">
        <v>5.3</v>
      </c>
      <c r="N46" s="36">
        <v>6.5</v>
      </c>
      <c r="O46" s="36">
        <v>7.9</v>
      </c>
      <c r="P46" s="37">
        <f t="shared" si="0"/>
        <v>10.233333333333333</v>
      </c>
      <c r="Q46" s="38">
        <f t="shared" si="1"/>
        <v>1</v>
      </c>
      <c r="R46" s="260">
        <f t="shared" si="5"/>
        <v>8.4</v>
      </c>
      <c r="S46" s="264">
        <f t="shared" si="6"/>
        <v>1</v>
      </c>
      <c r="T46" s="260">
        <f t="shared" si="7"/>
        <v>11.533333333333333</v>
      </c>
      <c r="U46" s="264">
        <f t="shared" si="8"/>
        <v>1</v>
      </c>
      <c r="V46" s="260">
        <f t="shared" si="9"/>
        <v>10.233333333333333</v>
      </c>
      <c r="W46" s="261">
        <f t="shared" si="10"/>
        <v>1</v>
      </c>
      <c r="X46" s="177">
        <f t="shared" ca="1" si="22"/>
        <v>17.110256410256412</v>
      </c>
      <c r="Y46" s="177">
        <f t="shared" ca="1" si="23"/>
        <v>22.980555555555554</v>
      </c>
      <c r="Z46" s="177">
        <f t="shared" ca="1" si="24"/>
        <v>20.335416666666664</v>
      </c>
      <c r="AA46" s="10"/>
      <c r="AB46" s="357" t="str">
        <f>VLOOKUP($B46,'2007-2020 Metadata'!$A$4:$S$214,MATCH("Urban Area /Monitoring Zone",'2007-2020 Metadata'!$A$4:$S$4,0),FALSE)</f>
        <v>Auckland - Western</v>
      </c>
      <c r="AC46" s="259" t="str">
        <f>VLOOKUP(B46,'2007-2020 Metadata'!$A$6:$A$214,1,FALSE)</f>
        <v>AUC059</v>
      </c>
      <c r="AD46" s="256" t="str">
        <f>VLOOKUP($AC46,'2007-2020 Metadata'!$A$6:$S$214,9,FALSE)</f>
        <v>Waitakere</v>
      </c>
      <c r="AE46" s="263">
        <f>IF(ISBLANK(VLOOKUP($AC46,'2007-2020 Metadata'!$A$6:$S$214,19,FALSE)),"",VLOOKUP($AC46,'2007-2020 Metadata'!$A$6:$S$214,19,FALSE))</f>
        <v>3</v>
      </c>
      <c r="AF46" s="257" t="str">
        <f>VLOOKUP($B46,'2007-2020 Metadata'!$A$4:$S$214,MATCH("Site type",'2007-2020 Metadata'!$A$4:$S$4,0),FALSE)</f>
        <v>Background</v>
      </c>
      <c r="AG46" s="258">
        <f>MIN(AVERAGE(D$44:D$46),AVERAGE(E$44:E$46),AVERAGE(F$44:F$46),AVERAGE(G$44:G$46),AVERAGE(H$44:H$46),AVERAGE(I$44:I$46),AVERAGE(J$44:J$46),AVERAGE(K$44:K$46),AVERAGE(L$44:L$46),AVERAGE(M$44:M$46),AVERAGE(N$44:N$46),AVERAGE(O$44:O$46))</f>
        <v>5.3</v>
      </c>
      <c r="AH46" s="258">
        <f t="shared" si="26"/>
        <v>15.466666666666667</v>
      </c>
      <c r="AI46" s="177">
        <f t="shared" ca="1" si="13"/>
        <v>20.335416666666664</v>
      </c>
    </row>
    <row r="47" spans="2:35" ht="12" customHeight="1" x14ac:dyDescent="0.15">
      <c r="B47" s="40" t="s">
        <v>81</v>
      </c>
      <c r="C47" s="52">
        <f>IF(ISERROR(VLOOKUP($B47,'Monthly Summary 2010'!$B$7:$Q$221,14,FALSE)=0),"",VLOOKUP($B47,'Monthly Summary 2010'!$B$7:$Q$221,14,FALSE))</f>
        <v>29</v>
      </c>
      <c r="D47" s="36">
        <v>28.9</v>
      </c>
      <c r="E47" s="36">
        <v>34</v>
      </c>
      <c r="F47" s="36">
        <v>37.5</v>
      </c>
      <c r="G47" s="36">
        <v>39.700000000000003</v>
      </c>
      <c r="H47" s="36">
        <v>46.2</v>
      </c>
      <c r="I47" s="36">
        <v>48.2</v>
      </c>
      <c r="J47" s="36">
        <v>44.2</v>
      </c>
      <c r="K47" s="36">
        <v>46.9</v>
      </c>
      <c r="L47" s="36">
        <v>48</v>
      </c>
      <c r="M47" s="36">
        <v>42.2</v>
      </c>
      <c r="N47" s="36">
        <v>41</v>
      </c>
      <c r="O47" s="36">
        <v>27.1</v>
      </c>
      <c r="P47" s="37">
        <f t="shared" si="0"/>
        <v>40.324999999999996</v>
      </c>
      <c r="Q47" s="38">
        <f t="shared" si="1"/>
        <v>1</v>
      </c>
      <c r="R47" s="140">
        <f t="shared" si="5"/>
        <v>33.466666666666669</v>
      </c>
      <c r="S47" s="24">
        <f t="shared" si="6"/>
        <v>1</v>
      </c>
      <c r="T47" s="140">
        <f t="shared" si="7"/>
        <v>46.366666666666667</v>
      </c>
      <c r="U47" s="24">
        <f t="shared" si="8"/>
        <v>1</v>
      </c>
      <c r="V47" s="140">
        <f t="shared" si="9"/>
        <v>40.324999999999996</v>
      </c>
      <c r="W47" s="150">
        <f t="shared" si="10"/>
        <v>1</v>
      </c>
      <c r="X47" s="144">
        <f t="shared" ca="1" si="22"/>
        <v>27.734615384615385</v>
      </c>
      <c r="Y47" s="144">
        <f t="shared" ca="1" si="23"/>
        <v>38.234615384615388</v>
      </c>
      <c r="Z47" s="144">
        <f t="shared" ca="1" si="24"/>
        <v>32.17065268065268</v>
      </c>
      <c r="AA47" s="10"/>
      <c r="AB47" s="357" t="str">
        <f>VLOOKUP($B47,'2007-2020 Metadata'!$A$4:$S$214,MATCH("Urban Area /Monitoring Zone",'2007-2020 Metadata'!$A$4:$S$4,0),FALSE)</f>
        <v>Auckland - Central</v>
      </c>
      <c r="AC47" s="87" t="str">
        <f>VLOOKUP(B47,'2007-2020 Metadata'!$A$6:$A$214,1,FALSE)</f>
        <v>AUC060</v>
      </c>
      <c r="AD47" s="230" t="str">
        <f>VLOOKUP($AC47,'2007-2020 Metadata'!$A$6:$S$214,9,FALSE)</f>
        <v>Auckland</v>
      </c>
      <c r="AE47" s="248">
        <f>IF(ISBLANK(VLOOKUP($AC47,'2007-2020 Metadata'!$A$6:$S$214,19,FALSE)),"",VLOOKUP($AC47,'2007-2020 Metadata'!$A$6:$S$214,19,FALSE))</f>
        <v>3</v>
      </c>
      <c r="AF47" s="88" t="str">
        <f>VLOOKUP($B47,'2007-2020 Metadata'!$A$4:$S$214,MATCH("Site type",'2007-2020 Metadata'!$A$4:$S$4,0),FALSE)</f>
        <v>Local</v>
      </c>
      <c r="AG47" s="143">
        <f t="shared" si="11"/>
        <v>27.1</v>
      </c>
      <c r="AH47" s="143">
        <f t="shared" si="12"/>
        <v>48.2</v>
      </c>
      <c r="AI47" s="144">
        <f t="shared" ca="1" si="13"/>
        <v>32.17065268065268</v>
      </c>
    </row>
    <row r="48" spans="2:35" ht="12" customHeight="1" x14ac:dyDescent="0.15">
      <c r="B48" s="40" t="s">
        <v>82</v>
      </c>
      <c r="C48" s="52">
        <f>IF(ISERROR(VLOOKUP($B48,'Monthly Summary 2010'!$B$7:$Q$221,14,FALSE)=0),"",VLOOKUP($B48,'Monthly Summary 2010'!$B$7:$Q$221,14,FALSE))</f>
        <v>21.5</v>
      </c>
      <c r="D48" s="36">
        <v>22.3</v>
      </c>
      <c r="E48" s="36">
        <v>26.5</v>
      </c>
      <c r="F48" s="36">
        <v>33.1</v>
      </c>
      <c r="G48" s="36">
        <v>35.4</v>
      </c>
      <c r="H48" s="36">
        <v>42.4</v>
      </c>
      <c r="I48" s="36">
        <v>38.799999999999997</v>
      </c>
      <c r="J48" s="36">
        <v>39.200000000000003</v>
      </c>
      <c r="K48" s="36">
        <v>38.299999999999997</v>
      </c>
      <c r="L48" s="36">
        <v>41.8</v>
      </c>
      <c r="M48" s="36">
        <v>35.4</v>
      </c>
      <c r="N48" s="36">
        <v>26.4</v>
      </c>
      <c r="O48" s="36">
        <v>25.8</v>
      </c>
      <c r="P48" s="37">
        <f t="shared" si="0"/>
        <v>33.783333333333331</v>
      </c>
      <c r="Q48" s="38">
        <f t="shared" si="1"/>
        <v>1</v>
      </c>
      <c r="R48" s="140">
        <f t="shared" si="5"/>
        <v>27.3</v>
      </c>
      <c r="S48" s="24">
        <f t="shared" si="6"/>
        <v>1</v>
      </c>
      <c r="T48" s="140">
        <f t="shared" si="7"/>
        <v>39.766666666666666</v>
      </c>
      <c r="U48" s="24">
        <f t="shared" si="8"/>
        <v>1</v>
      </c>
      <c r="V48" s="140">
        <f t="shared" si="9"/>
        <v>33.783333333333331</v>
      </c>
      <c r="W48" s="150">
        <f t="shared" si="10"/>
        <v>1</v>
      </c>
      <c r="X48" s="144">
        <f t="shared" ca="1" si="22"/>
        <v>27.734615384615385</v>
      </c>
      <c r="Y48" s="144">
        <f t="shared" ca="1" si="23"/>
        <v>38.234615384615388</v>
      </c>
      <c r="Z48" s="144">
        <f t="shared" ca="1" si="24"/>
        <v>32.17065268065268</v>
      </c>
      <c r="AA48" s="10"/>
      <c r="AB48" s="357" t="str">
        <f>VLOOKUP($B48,'2007-2020 Metadata'!$A$4:$S$214,MATCH("Urban Area /Monitoring Zone",'2007-2020 Metadata'!$A$4:$S$4,0),FALSE)</f>
        <v>Auckland - Central</v>
      </c>
      <c r="AC48" s="87" t="str">
        <f>VLOOKUP(B48,'2007-2020 Metadata'!$A$6:$A$214,1,FALSE)</f>
        <v>AUC061</v>
      </c>
      <c r="AD48" s="230" t="str">
        <f>VLOOKUP($AC48,'2007-2020 Metadata'!$A$6:$S$214,9,FALSE)</f>
        <v>Auckland</v>
      </c>
      <c r="AE48" s="248">
        <f>IF(ISBLANK(VLOOKUP($AC48,'2007-2020 Metadata'!$A$6:$S$214,19,FALSE)),"",VLOOKUP($AC48,'2007-2020 Metadata'!$A$6:$S$214,19,FALSE))</f>
        <v>3</v>
      </c>
      <c r="AF48" s="88" t="str">
        <f>VLOOKUP($B48,'2007-2020 Metadata'!$A$4:$S$214,MATCH("Site type",'2007-2020 Metadata'!$A$4:$S$4,0),FALSE)</f>
        <v>Local</v>
      </c>
      <c r="AG48" s="143">
        <f t="shared" si="11"/>
        <v>22.3</v>
      </c>
      <c r="AH48" s="143">
        <f t="shared" si="12"/>
        <v>42.4</v>
      </c>
      <c r="AI48" s="144">
        <f t="shared" ca="1" si="13"/>
        <v>32.17065268065268</v>
      </c>
    </row>
    <row r="49" spans="2:35" ht="12" customHeight="1" x14ac:dyDescent="0.15">
      <c r="B49" s="40" t="s">
        <v>83</v>
      </c>
      <c r="C49" s="52">
        <f>IF(ISERROR(VLOOKUP($B49,'Monthly Summary 2010'!$B$7:$Q$221,14,FALSE)=0),"",VLOOKUP($B49,'Monthly Summary 2010'!$B$7:$Q$221,14,FALSE))</f>
        <v>13.1</v>
      </c>
      <c r="D49" s="36">
        <v>21.7</v>
      </c>
      <c r="E49" s="36">
        <v>23.3</v>
      </c>
      <c r="F49" s="36">
        <v>28.3</v>
      </c>
      <c r="G49" s="36">
        <v>27.7</v>
      </c>
      <c r="H49" s="36">
        <v>27.3</v>
      </c>
      <c r="I49" s="36">
        <v>33.9</v>
      </c>
      <c r="J49" s="36">
        <v>33.5</v>
      </c>
      <c r="K49" s="36">
        <v>41.2</v>
      </c>
      <c r="L49" s="36">
        <v>29.1</v>
      </c>
      <c r="M49" s="36">
        <v>22.4</v>
      </c>
      <c r="N49" s="36">
        <v>25.1</v>
      </c>
      <c r="O49" s="36">
        <v>14.9</v>
      </c>
      <c r="P49" s="37">
        <f t="shared" si="0"/>
        <v>27.366666666666671</v>
      </c>
      <c r="Q49" s="38">
        <f t="shared" si="1"/>
        <v>1</v>
      </c>
      <c r="R49" s="140">
        <f t="shared" si="5"/>
        <v>24.433333333333334</v>
      </c>
      <c r="S49" s="24">
        <f t="shared" si="6"/>
        <v>1</v>
      </c>
      <c r="T49" s="140">
        <f t="shared" si="7"/>
        <v>34.6</v>
      </c>
      <c r="U49" s="24">
        <f t="shared" si="8"/>
        <v>1</v>
      </c>
      <c r="V49" s="140">
        <f t="shared" si="9"/>
        <v>27.366666666666671</v>
      </c>
      <c r="W49" s="150">
        <f t="shared" si="10"/>
        <v>1</v>
      </c>
      <c r="X49" s="144">
        <f t="shared" ca="1" si="22"/>
        <v>27.734615384615385</v>
      </c>
      <c r="Y49" s="144">
        <f t="shared" ca="1" si="23"/>
        <v>38.234615384615388</v>
      </c>
      <c r="Z49" s="144">
        <f t="shared" ca="1" si="24"/>
        <v>32.17065268065268</v>
      </c>
      <c r="AA49" s="10"/>
      <c r="AB49" s="357" t="str">
        <f>VLOOKUP($B49,'2007-2020 Metadata'!$A$4:$S$214,MATCH("Urban Area /Monitoring Zone",'2007-2020 Metadata'!$A$4:$S$4,0),FALSE)</f>
        <v>Auckland - Central</v>
      </c>
      <c r="AC49" s="87" t="str">
        <f>VLOOKUP(B49,'2007-2020 Metadata'!$A$6:$A$214,1,FALSE)</f>
        <v>AUC062</v>
      </c>
      <c r="AD49" s="230" t="str">
        <f>VLOOKUP($AC49,'2007-2020 Metadata'!$A$6:$S$214,9,FALSE)</f>
        <v>Auckland</v>
      </c>
      <c r="AE49" s="248">
        <f>IF(ISBLANK(VLOOKUP($AC49,'2007-2020 Metadata'!$A$6:$S$214,19,FALSE)),"",VLOOKUP($AC49,'2007-2020 Metadata'!$A$6:$S$214,19,FALSE))</f>
        <v>2.5</v>
      </c>
      <c r="AF49" s="88" t="str">
        <f>VLOOKUP($B49,'2007-2020 Metadata'!$A$4:$S$214,MATCH("Site type",'2007-2020 Metadata'!$A$4:$S$4,0),FALSE)</f>
        <v>Local</v>
      </c>
      <c r="AG49" s="143">
        <f t="shared" si="11"/>
        <v>14.9</v>
      </c>
      <c r="AH49" s="143">
        <f t="shared" si="12"/>
        <v>41.2</v>
      </c>
      <c r="AI49" s="144">
        <f t="shared" ca="1" si="13"/>
        <v>32.17065268065268</v>
      </c>
    </row>
    <row r="50" spans="2:35" ht="12" customHeight="1" x14ac:dyDescent="0.15">
      <c r="B50" s="40" t="s">
        <v>84</v>
      </c>
      <c r="C50" s="52">
        <f>IF(ISERROR(VLOOKUP($B50,'Monthly Summary 2010'!$B$7:$Q$221,14,FALSE)=0),"",VLOOKUP($B50,'Monthly Summary 2010'!$B$7:$Q$221,14,FALSE))</f>
        <v>27.7</v>
      </c>
      <c r="D50" s="36">
        <v>31.1</v>
      </c>
      <c r="E50" s="36">
        <v>42.8</v>
      </c>
      <c r="F50" s="36">
        <v>39.700000000000003</v>
      </c>
      <c r="G50" s="36">
        <v>46.5</v>
      </c>
      <c r="H50" s="36">
        <v>43.8</v>
      </c>
      <c r="I50" s="36">
        <v>44.2</v>
      </c>
      <c r="J50" s="36">
        <v>42.9</v>
      </c>
      <c r="K50" s="36">
        <v>47.4</v>
      </c>
      <c r="L50" s="36">
        <v>42.4</v>
      </c>
      <c r="M50" s="36">
        <v>40.5</v>
      </c>
      <c r="N50" s="36">
        <v>38.5</v>
      </c>
      <c r="O50" s="36">
        <v>29.7</v>
      </c>
      <c r="P50" s="37">
        <f t="shared" si="0"/>
        <v>40.791666666666664</v>
      </c>
      <c r="Q50" s="38">
        <f t="shared" si="1"/>
        <v>1</v>
      </c>
      <c r="R50" s="140">
        <f t="shared" si="5"/>
        <v>37.866666666666667</v>
      </c>
      <c r="S50" s="24">
        <f t="shared" si="6"/>
        <v>1</v>
      </c>
      <c r="T50" s="140">
        <f t="shared" si="7"/>
        <v>44.233333333333327</v>
      </c>
      <c r="U50" s="24">
        <f t="shared" si="8"/>
        <v>1</v>
      </c>
      <c r="V50" s="140">
        <f t="shared" si="9"/>
        <v>40.791666666666664</v>
      </c>
      <c r="W50" s="150">
        <f t="shared" si="10"/>
        <v>1</v>
      </c>
      <c r="X50" s="144">
        <f t="shared" ca="1" si="22"/>
        <v>17.110256410256412</v>
      </c>
      <c r="Y50" s="144">
        <f t="shared" ca="1" si="23"/>
        <v>22.980555555555554</v>
      </c>
      <c r="Z50" s="144">
        <f t="shared" ca="1" si="24"/>
        <v>20.335416666666664</v>
      </c>
      <c r="AA50" s="10"/>
      <c r="AB50" s="357" t="str">
        <f>VLOOKUP($B50,'2007-2020 Metadata'!$A$4:$S$214,MATCH("Urban Area /Monitoring Zone",'2007-2020 Metadata'!$A$4:$S$4,0),FALSE)</f>
        <v>Auckland - Western</v>
      </c>
      <c r="AC50" s="87" t="str">
        <f>VLOOKUP(B50,'2007-2020 Metadata'!$A$6:$A$214,1,FALSE)</f>
        <v>AUC063</v>
      </c>
      <c r="AD50" s="230" t="str">
        <f>VLOOKUP($AC50,'2007-2020 Metadata'!$A$6:$S$214,9,FALSE)</f>
        <v>Waitakere</v>
      </c>
      <c r="AE50" s="248">
        <f>IF(ISBLANK(VLOOKUP($AC50,'2007-2020 Metadata'!$A$6:$S$214,19,FALSE)),"",VLOOKUP($AC50,'2007-2020 Metadata'!$A$6:$S$214,19,FALSE))</f>
        <v>3</v>
      </c>
      <c r="AF50" s="88" t="str">
        <f>VLOOKUP($B50,'2007-2020 Metadata'!$A$4:$S$214,MATCH("Site type",'2007-2020 Metadata'!$A$4:$S$4,0),FALSE)</f>
        <v>Local</v>
      </c>
      <c r="AG50" s="143">
        <f t="shared" si="11"/>
        <v>29.7</v>
      </c>
      <c r="AH50" s="143">
        <f t="shared" si="12"/>
        <v>47.4</v>
      </c>
      <c r="AI50" s="144">
        <f t="shared" ca="1" si="13"/>
        <v>20.335416666666664</v>
      </c>
    </row>
    <row r="51" spans="2:35" ht="12" customHeight="1" x14ac:dyDescent="0.15">
      <c r="B51" s="40" t="s">
        <v>85</v>
      </c>
      <c r="C51" s="52">
        <f>IF(ISERROR(VLOOKUP($B51,'Monthly Summary 2010'!$B$7:$Q$221,14,FALSE)=0),"",VLOOKUP($B51,'Monthly Summary 2010'!$B$7:$Q$221,14,FALSE))</f>
        <v>18.600000000000001</v>
      </c>
      <c r="D51" s="36"/>
      <c r="E51" s="36">
        <v>29.9</v>
      </c>
      <c r="F51" s="36">
        <v>28.8</v>
      </c>
      <c r="G51" s="36">
        <v>27.7</v>
      </c>
      <c r="H51" s="36">
        <v>36.799999999999997</v>
      </c>
      <c r="I51" s="36">
        <v>37.5</v>
      </c>
      <c r="J51" s="36">
        <v>33.700000000000003</v>
      </c>
      <c r="K51" s="36">
        <v>31.6</v>
      </c>
      <c r="L51" s="36"/>
      <c r="M51" s="36">
        <v>30.5</v>
      </c>
      <c r="N51" s="36">
        <v>19.5</v>
      </c>
      <c r="O51" s="36">
        <v>19.7</v>
      </c>
      <c r="P51" s="37">
        <f t="shared" si="0"/>
        <v>29.57</v>
      </c>
      <c r="Q51" s="38">
        <f t="shared" si="1"/>
        <v>0.83333333333333337</v>
      </c>
      <c r="R51" s="140">
        <f t="shared" si="5"/>
        <v>29.35</v>
      </c>
      <c r="S51" s="24">
        <f t="shared" si="6"/>
        <v>0.66666666666666663</v>
      </c>
      <c r="T51" s="140">
        <f t="shared" si="7"/>
        <v>32.650000000000006</v>
      </c>
      <c r="U51" s="24">
        <f t="shared" si="8"/>
        <v>0.66666666666666663</v>
      </c>
      <c r="V51" s="140">
        <f t="shared" si="9"/>
        <v>29.57</v>
      </c>
      <c r="W51" s="150">
        <f t="shared" si="10"/>
        <v>0.83333333333333337</v>
      </c>
      <c r="X51" s="144">
        <f t="shared" ca="1" si="22"/>
        <v>27.734615384615385</v>
      </c>
      <c r="Y51" s="144">
        <f t="shared" ca="1" si="23"/>
        <v>38.234615384615388</v>
      </c>
      <c r="Z51" s="144">
        <f t="shared" ca="1" si="24"/>
        <v>32.17065268065268</v>
      </c>
      <c r="AA51" s="10"/>
      <c r="AB51" s="357" t="str">
        <f>VLOOKUP($B51,'2007-2020 Metadata'!$A$4:$S$214,MATCH("Urban Area /Monitoring Zone",'2007-2020 Metadata'!$A$4:$S$4,0),FALSE)</f>
        <v>Auckland - Central</v>
      </c>
      <c r="AC51" s="87" t="str">
        <f>VLOOKUP(B51,'2007-2020 Metadata'!$A$6:$A$214,1,FALSE)</f>
        <v>AUC064</v>
      </c>
      <c r="AD51" s="230" t="str">
        <f>VLOOKUP($AC51,'2007-2020 Metadata'!$A$6:$S$214,9,FALSE)</f>
        <v>Auckland</v>
      </c>
      <c r="AE51" s="248">
        <f>IF(ISBLANK(VLOOKUP($AC51,'2007-2020 Metadata'!$A$6:$S$214,19,FALSE)),"",VLOOKUP($AC51,'2007-2020 Metadata'!$A$6:$S$214,19,FALSE))</f>
        <v>3</v>
      </c>
      <c r="AF51" s="88" t="str">
        <f>VLOOKUP($B51,'2007-2020 Metadata'!$A$4:$S$214,MATCH("Site type",'2007-2020 Metadata'!$A$4:$S$4,0),FALSE)</f>
        <v>Local</v>
      </c>
      <c r="AG51" s="143">
        <f t="shared" si="11"/>
        <v>19.5</v>
      </c>
      <c r="AH51" s="143">
        <f t="shared" si="12"/>
        <v>37.5</v>
      </c>
      <c r="AI51" s="144">
        <f t="shared" ca="1" si="13"/>
        <v>32.17065268065268</v>
      </c>
    </row>
    <row r="52" spans="2:35" ht="12" customHeight="1" x14ac:dyDescent="0.15">
      <c r="B52" s="40" t="s">
        <v>86</v>
      </c>
      <c r="C52" s="52">
        <f>IF(ISERROR(VLOOKUP($B52,'Monthly Summary 2010'!$B$7:$Q$221,14,FALSE)=0),"",VLOOKUP($B52,'Monthly Summary 2010'!$B$7:$Q$221,14,FALSE))</f>
        <v>11.3</v>
      </c>
      <c r="D52" s="36">
        <v>19.899999999999999</v>
      </c>
      <c r="E52" s="36">
        <v>24.2</v>
      </c>
      <c r="F52" s="36">
        <v>29.9</v>
      </c>
      <c r="G52" s="36">
        <v>26</v>
      </c>
      <c r="H52" s="36">
        <v>33.6</v>
      </c>
      <c r="I52" s="36">
        <v>38.6</v>
      </c>
      <c r="J52" s="36">
        <v>36.1</v>
      </c>
      <c r="K52" s="36">
        <v>36.9</v>
      </c>
      <c r="L52" s="36">
        <v>36.200000000000003</v>
      </c>
      <c r="M52" s="36">
        <v>29.9</v>
      </c>
      <c r="N52" s="36">
        <v>28.8</v>
      </c>
      <c r="O52" s="36">
        <v>18.8</v>
      </c>
      <c r="P52" s="37">
        <f t="shared" si="0"/>
        <v>29.908333333333331</v>
      </c>
      <c r="Q52" s="38">
        <f t="shared" si="1"/>
        <v>1</v>
      </c>
      <c r="R52" s="140">
        <f t="shared" si="5"/>
        <v>24.666666666666668</v>
      </c>
      <c r="S52" s="24">
        <f t="shared" si="6"/>
        <v>1</v>
      </c>
      <c r="T52" s="140">
        <f t="shared" si="7"/>
        <v>36.4</v>
      </c>
      <c r="U52" s="24">
        <f t="shared" si="8"/>
        <v>1</v>
      </c>
      <c r="V52" s="140">
        <f t="shared" si="9"/>
        <v>29.908333333333331</v>
      </c>
      <c r="W52" s="150">
        <f t="shared" si="10"/>
        <v>1</v>
      </c>
      <c r="X52" s="144">
        <f t="shared" ca="1" si="22"/>
        <v>23.259259259259256</v>
      </c>
      <c r="Y52" s="144">
        <f t="shared" ca="1" si="23"/>
        <v>33.346296296296302</v>
      </c>
      <c r="Z52" s="144">
        <f t="shared" ca="1" si="24"/>
        <v>27.569781144781146</v>
      </c>
      <c r="AA52" s="10"/>
      <c r="AB52" s="357" t="str">
        <f>VLOOKUP($B52,'2007-2020 Metadata'!$A$4:$S$214,MATCH("Urban Area /Monitoring Zone",'2007-2020 Metadata'!$A$4:$S$4,0),FALSE)</f>
        <v xml:space="preserve">Auckland - Southern </v>
      </c>
      <c r="AC52" s="87" t="str">
        <f>VLOOKUP(B52,'2007-2020 Metadata'!$A$6:$A$214,1,FALSE)</f>
        <v>AUC067</v>
      </c>
      <c r="AD52" s="230" t="str">
        <f>VLOOKUP($AC52,'2007-2020 Metadata'!$A$6:$S$214,9,FALSE)</f>
        <v>Manukau</v>
      </c>
      <c r="AE52" s="248">
        <f>IF(ISBLANK(VLOOKUP($AC52,'2007-2020 Metadata'!$A$6:$S$214,19,FALSE)),"",VLOOKUP($AC52,'2007-2020 Metadata'!$A$6:$S$214,19,FALSE))</f>
        <v>3</v>
      </c>
      <c r="AF52" s="88" t="str">
        <f>VLOOKUP($B52,'2007-2020 Metadata'!$A$4:$S$214,MATCH("Site type",'2007-2020 Metadata'!$A$4:$S$4,0),FALSE)</f>
        <v>SH</v>
      </c>
      <c r="AG52" s="143">
        <f t="shared" si="11"/>
        <v>18.8</v>
      </c>
      <c r="AH52" s="143">
        <f t="shared" si="12"/>
        <v>38.6</v>
      </c>
      <c r="AI52" s="144">
        <f t="shared" ca="1" si="13"/>
        <v>27.569781144781146</v>
      </c>
    </row>
    <row r="53" spans="2:35" ht="12" customHeight="1" x14ac:dyDescent="0.15">
      <c r="B53" s="40" t="s">
        <v>87</v>
      </c>
      <c r="C53" s="52">
        <f>IF(ISERROR(VLOOKUP($B53,'Monthly Summary 2010'!$B$7:$Q$221,14,FALSE)=0),"",VLOOKUP($B53,'Monthly Summary 2010'!$B$7:$Q$221,14,FALSE))</f>
        <v>31.5</v>
      </c>
      <c r="D53" s="36">
        <v>36.4</v>
      </c>
      <c r="E53" s="36">
        <v>40.1</v>
      </c>
      <c r="F53" s="36">
        <v>45.1</v>
      </c>
      <c r="G53" s="36">
        <v>45.3</v>
      </c>
      <c r="H53" s="36">
        <v>51.2</v>
      </c>
      <c r="I53" s="36">
        <v>56</v>
      </c>
      <c r="J53" s="36">
        <v>43.6</v>
      </c>
      <c r="K53" s="36">
        <v>49.3</v>
      </c>
      <c r="L53" s="36">
        <v>51.9</v>
      </c>
      <c r="M53" s="36">
        <v>44.2</v>
      </c>
      <c r="N53" s="36">
        <v>42.3</v>
      </c>
      <c r="O53" s="36">
        <v>30.6</v>
      </c>
      <c r="P53" s="37">
        <f t="shared" si="0"/>
        <v>44.666666666666664</v>
      </c>
      <c r="Q53" s="38">
        <f t="shared" si="1"/>
        <v>1</v>
      </c>
      <c r="R53" s="140">
        <f t="shared" si="5"/>
        <v>40.533333333333331</v>
      </c>
      <c r="S53" s="24">
        <f t="shared" si="6"/>
        <v>1</v>
      </c>
      <c r="T53" s="140">
        <f t="shared" si="7"/>
        <v>48.266666666666673</v>
      </c>
      <c r="U53" s="24">
        <f t="shared" si="8"/>
        <v>1</v>
      </c>
      <c r="V53" s="140">
        <f t="shared" si="9"/>
        <v>44.666666666666664</v>
      </c>
      <c r="W53" s="150">
        <f t="shared" si="10"/>
        <v>1</v>
      </c>
      <c r="X53" s="144">
        <f t="shared" ca="1" si="22"/>
        <v>23.259259259259256</v>
      </c>
      <c r="Y53" s="144">
        <f t="shared" ca="1" si="23"/>
        <v>33.346296296296302</v>
      </c>
      <c r="Z53" s="144">
        <f t="shared" ca="1" si="24"/>
        <v>27.569781144781146</v>
      </c>
      <c r="AA53" s="10"/>
      <c r="AB53" s="357" t="str">
        <f>VLOOKUP($B53,'2007-2020 Metadata'!$A$4:$S$214,MATCH("Urban Area /Monitoring Zone",'2007-2020 Metadata'!$A$4:$S$4,0),FALSE)</f>
        <v xml:space="preserve">Auckland - Southern </v>
      </c>
      <c r="AC53" s="87" t="str">
        <f>VLOOKUP(B53,'2007-2020 Metadata'!$A$6:$A$214,1,FALSE)</f>
        <v>AUC068</v>
      </c>
      <c r="AD53" s="230" t="str">
        <f>VLOOKUP($AC53,'2007-2020 Metadata'!$A$6:$S$214,9,FALSE)</f>
        <v>Manukau</v>
      </c>
      <c r="AE53" s="248">
        <f>IF(ISBLANK(VLOOKUP($AC53,'2007-2020 Metadata'!$A$6:$S$214,19,FALSE)),"",VLOOKUP($AC53,'2007-2020 Metadata'!$A$6:$S$214,19,FALSE))</f>
        <v>3</v>
      </c>
      <c r="AF53" s="88" t="str">
        <f>VLOOKUP($B53,'2007-2020 Metadata'!$A$4:$S$214,MATCH("Site type",'2007-2020 Metadata'!$A$4:$S$4,0),FALSE)</f>
        <v>SH</v>
      </c>
      <c r="AG53" s="143">
        <f t="shared" si="11"/>
        <v>30.6</v>
      </c>
      <c r="AH53" s="143">
        <f t="shared" si="12"/>
        <v>56</v>
      </c>
      <c r="AI53" s="144">
        <f t="shared" ca="1" si="13"/>
        <v>27.569781144781146</v>
      </c>
    </row>
    <row r="54" spans="2:35" ht="12" customHeight="1" x14ac:dyDescent="0.15">
      <c r="B54" s="40" t="s">
        <v>88</v>
      </c>
      <c r="C54" s="52">
        <f>IF(ISERROR(VLOOKUP($B54,'Monthly Summary 2010'!$B$7:$Q$221,14,FALSE)=0),"",VLOOKUP($B54,'Monthly Summary 2010'!$B$7:$Q$221,14,FALSE))</f>
        <v>15.4</v>
      </c>
      <c r="D54" s="36">
        <v>19.899999999999999</v>
      </c>
      <c r="E54" s="36">
        <v>27.3</v>
      </c>
      <c r="F54" s="36">
        <v>26.7</v>
      </c>
      <c r="G54" s="36">
        <v>33.4</v>
      </c>
      <c r="H54" s="36">
        <v>32.1</v>
      </c>
      <c r="I54" s="36">
        <v>38.9</v>
      </c>
      <c r="J54" s="36">
        <v>35.6</v>
      </c>
      <c r="K54" s="36">
        <v>37.799999999999997</v>
      </c>
      <c r="L54" s="36">
        <v>37.700000000000003</v>
      </c>
      <c r="M54" s="36">
        <v>27.8</v>
      </c>
      <c r="N54" s="36">
        <v>23.1</v>
      </c>
      <c r="O54" s="36">
        <v>21.7</v>
      </c>
      <c r="P54" s="37">
        <f t="shared" si="0"/>
        <v>30.166666666666668</v>
      </c>
      <c r="Q54" s="38">
        <f t="shared" si="1"/>
        <v>1</v>
      </c>
      <c r="R54" s="140">
        <f t="shared" si="5"/>
        <v>24.633333333333336</v>
      </c>
      <c r="S54" s="24">
        <f t="shared" si="6"/>
        <v>1</v>
      </c>
      <c r="T54" s="140">
        <f t="shared" si="7"/>
        <v>37.033333333333339</v>
      </c>
      <c r="U54" s="24">
        <f t="shared" si="8"/>
        <v>1</v>
      </c>
      <c r="V54" s="140">
        <f t="shared" si="9"/>
        <v>30.166666666666668</v>
      </c>
      <c r="W54" s="150">
        <f t="shared" si="10"/>
        <v>1</v>
      </c>
      <c r="X54" s="144">
        <f t="shared" ca="1" si="22"/>
        <v>23.259259259259256</v>
      </c>
      <c r="Y54" s="144">
        <f t="shared" ca="1" si="23"/>
        <v>33.346296296296302</v>
      </c>
      <c r="Z54" s="144">
        <f t="shared" ca="1" si="24"/>
        <v>27.569781144781146</v>
      </c>
      <c r="AA54" s="10"/>
      <c r="AB54" s="357" t="str">
        <f>VLOOKUP($B54,'2007-2020 Metadata'!$A$4:$S$214,MATCH("Urban Area /Monitoring Zone",'2007-2020 Metadata'!$A$4:$S$4,0),FALSE)</f>
        <v xml:space="preserve">Auckland - Southern </v>
      </c>
      <c r="AC54" s="87" t="str">
        <f>VLOOKUP(B54,'2007-2020 Metadata'!$A$6:$A$214,1,FALSE)</f>
        <v>AUC069</v>
      </c>
      <c r="AD54" s="230" t="str">
        <f>VLOOKUP($AC54,'2007-2020 Metadata'!$A$6:$S$214,9,FALSE)</f>
        <v>Manukau</v>
      </c>
      <c r="AE54" s="248">
        <f>IF(ISBLANK(VLOOKUP($AC54,'2007-2020 Metadata'!$A$6:$S$214,19,FALSE)),"",VLOOKUP($AC54,'2007-2020 Metadata'!$A$6:$S$214,19,FALSE))</f>
        <v>3</v>
      </c>
      <c r="AF54" s="88" t="str">
        <f>VLOOKUP($B54,'2007-2020 Metadata'!$A$4:$S$214,MATCH("Site type",'2007-2020 Metadata'!$A$4:$S$4,0),FALSE)</f>
        <v>Local</v>
      </c>
      <c r="AG54" s="143">
        <f t="shared" si="11"/>
        <v>19.899999999999999</v>
      </c>
      <c r="AH54" s="143">
        <f t="shared" si="12"/>
        <v>38.9</v>
      </c>
      <c r="AI54" s="144">
        <f t="shared" ca="1" si="13"/>
        <v>27.569781144781146</v>
      </c>
    </row>
    <row r="55" spans="2:35" ht="12" customHeight="1" x14ac:dyDescent="0.15">
      <c r="B55" s="40" t="s">
        <v>89</v>
      </c>
      <c r="C55" s="52">
        <f>IF(ISERROR(VLOOKUP($B55,'Monthly Summary 2010'!$B$7:$Q$221,14,FALSE)=0),"",VLOOKUP($B55,'Monthly Summary 2010'!$B$7:$Q$221,14,FALSE))</f>
        <v>10.4</v>
      </c>
      <c r="D55" s="36">
        <v>13.7</v>
      </c>
      <c r="E55" s="36">
        <v>16.7</v>
      </c>
      <c r="F55" s="36">
        <v>17.5</v>
      </c>
      <c r="G55" s="36">
        <v>17.2</v>
      </c>
      <c r="H55" s="36">
        <v>22.3</v>
      </c>
      <c r="I55" s="36">
        <v>24.5</v>
      </c>
      <c r="J55" s="36"/>
      <c r="K55" s="36">
        <v>24.8</v>
      </c>
      <c r="L55" s="36">
        <v>21.1</v>
      </c>
      <c r="M55" s="36">
        <v>17.2</v>
      </c>
      <c r="N55" s="36">
        <v>17.899999999999999</v>
      </c>
      <c r="O55" s="36">
        <v>11.1</v>
      </c>
      <c r="P55" s="37">
        <f t="shared" si="0"/>
        <v>18.545454545454543</v>
      </c>
      <c r="Q55" s="38">
        <f t="shared" si="1"/>
        <v>0.91666666666666663</v>
      </c>
      <c r="R55" s="140">
        <f t="shared" si="5"/>
        <v>15.966666666666667</v>
      </c>
      <c r="S55" s="24">
        <f t="shared" si="6"/>
        <v>1</v>
      </c>
      <c r="T55" s="140">
        <f t="shared" si="7"/>
        <v>22.950000000000003</v>
      </c>
      <c r="U55" s="24">
        <f t="shared" si="8"/>
        <v>0.66666666666666663</v>
      </c>
      <c r="V55" s="140">
        <f t="shared" si="9"/>
        <v>18.545454545454543</v>
      </c>
      <c r="W55" s="150">
        <f t="shared" si="10"/>
        <v>0.91666666666666663</v>
      </c>
      <c r="X55" s="144">
        <f t="shared" ca="1" si="22"/>
        <v>23.259259259259256</v>
      </c>
      <c r="Y55" s="144">
        <f t="shared" ca="1" si="23"/>
        <v>33.346296296296302</v>
      </c>
      <c r="Z55" s="144">
        <f t="shared" ca="1" si="24"/>
        <v>27.569781144781146</v>
      </c>
      <c r="AA55" s="10"/>
      <c r="AB55" s="357" t="str">
        <f>VLOOKUP($B55,'2007-2020 Metadata'!$A$4:$S$214,MATCH("Urban Area /Monitoring Zone",'2007-2020 Metadata'!$A$4:$S$4,0),FALSE)</f>
        <v xml:space="preserve">Auckland - Southern </v>
      </c>
      <c r="AC55" s="87" t="str">
        <f>VLOOKUP(B55,'2007-2020 Metadata'!$A$6:$A$214,1,FALSE)</f>
        <v>AUC070</v>
      </c>
      <c r="AD55" s="230" t="str">
        <f>VLOOKUP($AC55,'2007-2020 Metadata'!$A$6:$S$214,9,FALSE)</f>
        <v>Manukau</v>
      </c>
      <c r="AE55" s="248">
        <f>IF(ISBLANK(VLOOKUP($AC55,'2007-2020 Metadata'!$A$6:$S$214,19,FALSE)),"",VLOOKUP($AC55,'2007-2020 Metadata'!$A$6:$S$214,19,FALSE))</f>
        <v>2.5</v>
      </c>
      <c r="AF55" s="88" t="str">
        <f>VLOOKUP($B55,'2007-2020 Metadata'!$A$4:$S$214,MATCH("Site type",'2007-2020 Metadata'!$A$4:$S$4,0),FALSE)</f>
        <v>Local</v>
      </c>
      <c r="AG55" s="143">
        <f t="shared" si="11"/>
        <v>11.1</v>
      </c>
      <c r="AH55" s="143">
        <f t="shared" si="12"/>
        <v>24.8</v>
      </c>
      <c r="AI55" s="144">
        <f t="shared" ca="1" si="13"/>
        <v>27.569781144781146</v>
      </c>
    </row>
    <row r="56" spans="2:35" ht="12" customHeight="1" x14ac:dyDescent="0.15">
      <c r="B56" s="40" t="s">
        <v>90</v>
      </c>
      <c r="C56" s="52">
        <f>IF(ISERROR(VLOOKUP($B56,'Monthly Summary 2010'!$B$7:$Q$221,14,FALSE)=0),"",VLOOKUP($B56,'Monthly Summary 2010'!$B$7:$Q$221,14,FALSE))</f>
        <v>19.899999999999999</v>
      </c>
      <c r="D56" s="36">
        <v>20.8</v>
      </c>
      <c r="E56" s="36">
        <v>26</v>
      </c>
      <c r="F56" s="36">
        <v>30.4</v>
      </c>
      <c r="G56" s="36">
        <v>31.9</v>
      </c>
      <c r="H56" s="36">
        <v>31.8</v>
      </c>
      <c r="I56" s="36">
        <v>45.5</v>
      </c>
      <c r="J56" s="36">
        <v>20.8</v>
      </c>
      <c r="K56" s="36">
        <v>43</v>
      </c>
      <c r="L56" s="36">
        <v>35.799999999999997</v>
      </c>
      <c r="M56" s="36">
        <v>28.1</v>
      </c>
      <c r="N56" s="36">
        <v>29.5</v>
      </c>
      <c r="O56" s="36">
        <v>16.600000000000001</v>
      </c>
      <c r="P56" s="37">
        <f t="shared" si="0"/>
        <v>30.016666666666669</v>
      </c>
      <c r="Q56" s="38">
        <f t="shared" si="1"/>
        <v>1</v>
      </c>
      <c r="R56" s="140">
        <f t="shared" si="5"/>
        <v>25.733333333333331</v>
      </c>
      <c r="S56" s="24">
        <f t="shared" si="6"/>
        <v>1</v>
      </c>
      <c r="T56" s="140">
        <f t="shared" si="7"/>
        <v>33.199999999999996</v>
      </c>
      <c r="U56" s="24">
        <f t="shared" si="8"/>
        <v>1</v>
      </c>
      <c r="V56" s="140">
        <f t="shared" si="9"/>
        <v>30.016666666666669</v>
      </c>
      <c r="W56" s="150">
        <f t="shared" si="10"/>
        <v>1</v>
      </c>
      <c r="X56" s="144">
        <f t="shared" ca="1" si="22"/>
        <v>27.734615384615385</v>
      </c>
      <c r="Y56" s="144">
        <f t="shared" ca="1" si="23"/>
        <v>38.234615384615388</v>
      </c>
      <c r="Z56" s="144">
        <f t="shared" ca="1" si="24"/>
        <v>32.17065268065268</v>
      </c>
      <c r="AA56" s="10"/>
      <c r="AB56" s="357" t="str">
        <f>VLOOKUP($B56,'2007-2020 Metadata'!$A$4:$S$214,MATCH("Urban Area /Monitoring Zone",'2007-2020 Metadata'!$A$4:$S$4,0),FALSE)</f>
        <v>Auckland - Central</v>
      </c>
      <c r="AC56" s="87" t="str">
        <f>VLOOKUP(B56,'2007-2020 Metadata'!$A$6:$A$214,1,FALSE)</f>
        <v>AUC071</v>
      </c>
      <c r="AD56" s="230" t="str">
        <f>VLOOKUP($AC56,'2007-2020 Metadata'!$A$6:$S$214,9,FALSE)</f>
        <v>Auckland</v>
      </c>
      <c r="AE56" s="248">
        <f>IF(ISBLANK(VLOOKUP($AC56,'2007-2020 Metadata'!$A$6:$S$214,19,FALSE)),"",VLOOKUP($AC56,'2007-2020 Metadata'!$A$6:$S$214,19,FALSE))</f>
        <v>3</v>
      </c>
      <c r="AF56" s="88" t="str">
        <f>VLOOKUP($B56,'2007-2020 Metadata'!$A$4:$S$214,MATCH("Site type",'2007-2020 Metadata'!$A$4:$S$4,0),FALSE)</f>
        <v>Local</v>
      </c>
      <c r="AG56" s="143">
        <f t="shared" si="11"/>
        <v>16.600000000000001</v>
      </c>
      <c r="AH56" s="143">
        <f t="shared" si="12"/>
        <v>45.5</v>
      </c>
      <c r="AI56" s="144">
        <f t="shared" ca="1" si="13"/>
        <v>32.17065268065268</v>
      </c>
    </row>
    <row r="57" spans="2:35" ht="12" customHeight="1" x14ac:dyDescent="0.15">
      <c r="B57" s="40" t="s">
        <v>91</v>
      </c>
      <c r="C57" s="52">
        <f>IF(ISERROR(VLOOKUP($B57,'Monthly Summary 2010'!$B$7:$Q$221,14,FALSE)=0),"",VLOOKUP($B57,'Monthly Summary 2010'!$B$7:$Q$221,14,FALSE))</f>
        <v>13.3</v>
      </c>
      <c r="D57" s="36">
        <v>19.100000000000001</v>
      </c>
      <c r="E57" s="36">
        <v>23.1</v>
      </c>
      <c r="F57" s="36">
        <v>23</v>
      </c>
      <c r="G57" s="36">
        <v>26.7</v>
      </c>
      <c r="H57" s="36">
        <v>22.2</v>
      </c>
      <c r="I57" s="36">
        <v>29.7</v>
      </c>
      <c r="J57" s="36">
        <v>40.6</v>
      </c>
      <c r="K57" s="36">
        <v>36.5</v>
      </c>
      <c r="L57" s="36">
        <v>24.5</v>
      </c>
      <c r="M57" s="36">
        <v>25.5</v>
      </c>
      <c r="N57" s="36">
        <v>29</v>
      </c>
      <c r="O57" s="36">
        <v>13.5</v>
      </c>
      <c r="P57" s="37">
        <f t="shared" si="0"/>
        <v>26.116666666666664</v>
      </c>
      <c r="Q57" s="38">
        <f t="shared" si="1"/>
        <v>1</v>
      </c>
      <c r="R57" s="140">
        <f t="shared" si="5"/>
        <v>21.733333333333334</v>
      </c>
      <c r="S57" s="24">
        <f t="shared" si="6"/>
        <v>1</v>
      </c>
      <c r="T57" s="140">
        <f t="shared" si="7"/>
        <v>33.866666666666667</v>
      </c>
      <c r="U57" s="24">
        <f t="shared" si="8"/>
        <v>1</v>
      </c>
      <c r="V57" s="140">
        <f t="shared" si="9"/>
        <v>26.116666666666664</v>
      </c>
      <c r="W57" s="150">
        <f t="shared" si="10"/>
        <v>1</v>
      </c>
      <c r="X57" s="144">
        <f t="shared" ca="1" si="22"/>
        <v>23.259259259259256</v>
      </c>
      <c r="Y57" s="144">
        <f t="shared" ca="1" si="23"/>
        <v>33.346296296296302</v>
      </c>
      <c r="Z57" s="144">
        <f t="shared" ca="1" si="24"/>
        <v>27.569781144781146</v>
      </c>
      <c r="AA57" s="10"/>
      <c r="AB57" s="357" t="str">
        <f>VLOOKUP($B57,'2007-2020 Metadata'!$A$4:$S$214,MATCH("Urban Area /Monitoring Zone",'2007-2020 Metadata'!$A$4:$S$4,0),FALSE)</f>
        <v xml:space="preserve">Auckland - Southern </v>
      </c>
      <c r="AC57" s="87" t="str">
        <f>VLOOKUP(B57,'2007-2020 Metadata'!$A$6:$A$214,1,FALSE)</f>
        <v>AUC072</v>
      </c>
      <c r="AD57" s="230" t="str">
        <f>VLOOKUP($AC57,'2007-2020 Metadata'!$A$6:$S$214,9,FALSE)</f>
        <v>Manukau</v>
      </c>
      <c r="AE57" s="248">
        <f>IF(ISBLANK(VLOOKUP($AC57,'2007-2020 Metadata'!$A$6:$S$214,19,FALSE)),"",VLOOKUP($AC57,'2007-2020 Metadata'!$A$6:$S$214,19,FALSE))</f>
        <v>3</v>
      </c>
      <c r="AF57" s="88" t="str">
        <f>VLOOKUP($B57,'2007-2020 Metadata'!$A$4:$S$214,MATCH("Site type",'2007-2020 Metadata'!$A$4:$S$4,0),FALSE)</f>
        <v>Local</v>
      </c>
      <c r="AG57" s="143">
        <f t="shared" si="11"/>
        <v>13.5</v>
      </c>
      <c r="AH57" s="143">
        <f t="shared" si="12"/>
        <v>40.6</v>
      </c>
      <c r="AI57" s="144">
        <f t="shared" ca="1" si="13"/>
        <v>27.569781144781146</v>
      </c>
    </row>
    <row r="58" spans="2:35" ht="12" customHeight="1" x14ac:dyDescent="0.15">
      <c r="B58" s="40" t="s">
        <v>92</v>
      </c>
      <c r="C58" s="52">
        <f>IF(ISERROR(VLOOKUP($B58,'Monthly Summary 2010'!$B$7:$Q$221,14,FALSE)=0),"",VLOOKUP($B58,'Monthly Summary 2010'!$B$7:$Q$221,14,FALSE))</f>
        <v>4.5999999999999996</v>
      </c>
      <c r="D58" s="36">
        <v>11.4</v>
      </c>
      <c r="E58" s="36">
        <v>12.7</v>
      </c>
      <c r="F58" s="36">
        <v>14</v>
      </c>
      <c r="G58" s="36">
        <v>14.8</v>
      </c>
      <c r="H58" s="36">
        <v>18.600000000000001</v>
      </c>
      <c r="I58" s="36">
        <v>21.1</v>
      </c>
      <c r="J58" s="36">
        <v>30.8</v>
      </c>
      <c r="K58" s="36">
        <v>24.3</v>
      </c>
      <c r="L58" s="36">
        <v>16.3</v>
      </c>
      <c r="M58" s="36">
        <v>12.9</v>
      </c>
      <c r="N58" s="36">
        <v>14.2</v>
      </c>
      <c r="O58" s="36">
        <v>7.1</v>
      </c>
      <c r="P58" s="37">
        <f t="shared" si="0"/>
        <v>16.516666666666666</v>
      </c>
      <c r="Q58" s="38">
        <f t="shared" si="1"/>
        <v>1</v>
      </c>
      <c r="R58" s="140">
        <f t="shared" si="5"/>
        <v>12.700000000000001</v>
      </c>
      <c r="S58" s="24">
        <f t="shared" si="6"/>
        <v>1</v>
      </c>
      <c r="T58" s="140">
        <f t="shared" si="7"/>
        <v>23.8</v>
      </c>
      <c r="U58" s="24">
        <f t="shared" si="8"/>
        <v>1</v>
      </c>
      <c r="V58" s="140">
        <f t="shared" si="9"/>
        <v>16.516666666666666</v>
      </c>
      <c r="W58" s="150">
        <f t="shared" si="10"/>
        <v>1</v>
      </c>
      <c r="X58" s="144">
        <f t="shared" ca="1" si="22"/>
        <v>23.259259259259256</v>
      </c>
      <c r="Y58" s="144">
        <f t="shared" ca="1" si="23"/>
        <v>33.346296296296302</v>
      </c>
      <c r="Z58" s="144">
        <f t="shared" ca="1" si="24"/>
        <v>27.569781144781146</v>
      </c>
      <c r="AA58" s="10"/>
      <c r="AB58" s="357" t="str">
        <f>VLOOKUP($B58,'2007-2020 Metadata'!$A$4:$S$214,MATCH("Urban Area /Monitoring Zone",'2007-2020 Metadata'!$A$4:$S$4,0),FALSE)</f>
        <v xml:space="preserve">Auckland - Southern </v>
      </c>
      <c r="AC58" s="87" t="str">
        <f>VLOOKUP(B58,'2007-2020 Metadata'!$A$6:$A$214,1,FALSE)</f>
        <v>AUC073</v>
      </c>
      <c r="AD58" s="230" t="str">
        <f>VLOOKUP($AC58,'2007-2020 Metadata'!$A$6:$S$214,9,FALSE)</f>
        <v>Manukau</v>
      </c>
      <c r="AE58" s="248">
        <f>IF(ISBLANK(VLOOKUP($AC58,'2007-2020 Metadata'!$A$6:$S$214,19,FALSE)),"",VLOOKUP($AC58,'2007-2020 Metadata'!$A$6:$S$214,19,FALSE))</f>
        <v>3</v>
      </c>
      <c r="AF58" s="88" t="str">
        <f>VLOOKUP($B58,'2007-2020 Metadata'!$A$4:$S$214,MATCH("Site type",'2007-2020 Metadata'!$A$4:$S$4,0),FALSE)</f>
        <v>Background</v>
      </c>
      <c r="AG58" s="143">
        <f t="shared" si="11"/>
        <v>7.1</v>
      </c>
      <c r="AH58" s="143">
        <f t="shared" si="12"/>
        <v>30.8</v>
      </c>
      <c r="AI58" s="144">
        <f t="shared" ca="1" si="13"/>
        <v>27.569781144781146</v>
      </c>
    </row>
    <row r="59" spans="2:35" ht="12" customHeight="1" x14ac:dyDescent="0.15">
      <c r="B59" s="40" t="s">
        <v>93</v>
      </c>
      <c r="C59" s="52">
        <f>IF(ISERROR(VLOOKUP($B59,'Monthly Summary 2010'!$B$7:$Q$221,14,FALSE)=0),"",VLOOKUP($B59,'Monthly Summary 2010'!$B$7:$Q$221,14,FALSE))</f>
        <v>17</v>
      </c>
      <c r="D59" s="36">
        <v>28.4</v>
      </c>
      <c r="E59" s="36">
        <v>26.3</v>
      </c>
      <c r="F59" s="36">
        <v>38.799999999999997</v>
      </c>
      <c r="G59" s="36">
        <v>44.6</v>
      </c>
      <c r="H59" s="36">
        <v>46.2</v>
      </c>
      <c r="I59" s="36">
        <v>44.8</v>
      </c>
      <c r="J59" s="36">
        <v>45.3</v>
      </c>
      <c r="K59" s="36">
        <v>41.7</v>
      </c>
      <c r="L59" s="36">
        <v>51.2</v>
      </c>
      <c r="M59" s="36">
        <v>39.299999999999997</v>
      </c>
      <c r="N59" s="36">
        <v>31.4</v>
      </c>
      <c r="O59" s="36">
        <v>31.9</v>
      </c>
      <c r="P59" s="37">
        <f t="shared" si="0"/>
        <v>39.158333333333331</v>
      </c>
      <c r="Q59" s="38">
        <f t="shared" si="1"/>
        <v>1</v>
      </c>
      <c r="R59" s="140">
        <f t="shared" si="5"/>
        <v>31.166666666666668</v>
      </c>
      <c r="S59" s="24">
        <f t="shared" si="6"/>
        <v>1</v>
      </c>
      <c r="T59" s="140">
        <f t="shared" si="7"/>
        <v>46.066666666666663</v>
      </c>
      <c r="U59" s="24">
        <f t="shared" si="8"/>
        <v>1</v>
      </c>
      <c r="V59" s="140">
        <f t="shared" si="9"/>
        <v>39.158333333333331</v>
      </c>
      <c r="W59" s="150">
        <f t="shared" si="10"/>
        <v>1</v>
      </c>
      <c r="X59" s="144">
        <f t="shared" ca="1" si="22"/>
        <v>22.687878787878788</v>
      </c>
      <c r="Y59" s="144">
        <f t="shared" ca="1" si="23"/>
        <v>32.792424242424246</v>
      </c>
      <c r="Z59" s="144">
        <f t="shared" ca="1" si="24"/>
        <v>27.494903581267224</v>
      </c>
      <c r="AA59" s="10"/>
      <c r="AB59" s="357" t="str">
        <f>VLOOKUP($B59,'2007-2020 Metadata'!$A$4:$S$214,MATCH("Urban Area /Monitoring Zone",'2007-2020 Metadata'!$A$4:$S$4,0),FALSE)</f>
        <v>Auckland - Northern</v>
      </c>
      <c r="AC59" s="87" t="str">
        <f>VLOOKUP(B59,'2007-2020 Metadata'!$A$6:$A$214,1,FALSE)</f>
        <v>AUC170</v>
      </c>
      <c r="AD59" s="230" t="str">
        <f>VLOOKUP($AC59,'2007-2020 Metadata'!$A$6:$S$214,9,FALSE)</f>
        <v xml:space="preserve">North Shore </v>
      </c>
      <c r="AE59" s="248">
        <f>IF(ISBLANK(VLOOKUP($AC59,'2007-2020 Metadata'!$A$6:$S$214,19,FALSE)),"",VLOOKUP($AC59,'2007-2020 Metadata'!$A$6:$S$214,19,FALSE))</f>
        <v>3</v>
      </c>
      <c r="AF59" s="88" t="str">
        <f>VLOOKUP($B59,'2007-2020 Metadata'!$A$4:$S$214,MATCH("Site type",'2007-2020 Metadata'!$A$4:$S$4,0),FALSE)</f>
        <v>SH</v>
      </c>
      <c r="AG59" s="143">
        <f t="shared" si="11"/>
        <v>26.3</v>
      </c>
      <c r="AH59" s="143">
        <f t="shared" si="12"/>
        <v>51.2</v>
      </c>
      <c r="AI59" s="144">
        <f t="shared" ca="1" si="13"/>
        <v>27.494903581267224</v>
      </c>
    </row>
    <row r="60" spans="2:35" ht="12" customHeight="1" x14ac:dyDescent="0.15">
      <c r="B60" s="40" t="s">
        <v>94</v>
      </c>
      <c r="C60" s="52">
        <f>IF(ISERROR(VLOOKUP($B60,'Monthly Summary 2010'!$B$7:$Q$221,14,FALSE)=0),"",VLOOKUP($B60,'Monthly Summary 2010'!$B$7:$Q$221,14,FALSE))</f>
        <v>4.3</v>
      </c>
      <c r="D60" s="36">
        <v>5</v>
      </c>
      <c r="E60" s="36">
        <v>9.6999999999999993</v>
      </c>
      <c r="F60" s="36"/>
      <c r="G60" s="36">
        <v>10.8</v>
      </c>
      <c r="H60" s="36">
        <v>15.6</v>
      </c>
      <c r="I60" s="36">
        <v>15.2</v>
      </c>
      <c r="J60" s="36">
        <v>17.2</v>
      </c>
      <c r="K60" s="36">
        <v>16.8</v>
      </c>
      <c r="L60" s="36">
        <v>10.9</v>
      </c>
      <c r="M60" s="36">
        <v>8.8000000000000007</v>
      </c>
      <c r="N60" s="36">
        <v>8.6999999999999993</v>
      </c>
      <c r="O60" s="36">
        <v>4.4000000000000004</v>
      </c>
      <c r="P60" s="37">
        <f t="shared" si="0"/>
        <v>11.190909090909091</v>
      </c>
      <c r="Q60" s="38">
        <f t="shared" si="1"/>
        <v>0.91666666666666663</v>
      </c>
      <c r="R60" s="140">
        <f t="shared" si="5"/>
        <v>7.35</v>
      </c>
      <c r="S60" s="24">
        <f t="shared" si="6"/>
        <v>0.66666666666666663</v>
      </c>
      <c r="T60" s="140">
        <f t="shared" si="7"/>
        <v>14.966666666666667</v>
      </c>
      <c r="U60" s="24">
        <f t="shared" si="8"/>
        <v>1</v>
      </c>
      <c r="V60" s="140">
        <f t="shared" si="9"/>
        <v>11.190909090909091</v>
      </c>
      <c r="W60" s="150">
        <f t="shared" si="10"/>
        <v>0.91666666666666663</v>
      </c>
      <c r="X60" s="144">
        <f t="shared" ca="1" si="22"/>
        <v>13.675000000000001</v>
      </c>
      <c r="Y60" s="144">
        <f t="shared" ca="1" si="23"/>
        <v>22.616666666666667</v>
      </c>
      <c r="Z60" s="144">
        <f t="shared" ca="1" si="24"/>
        <v>18.863636363636363</v>
      </c>
      <c r="AA60" s="10"/>
      <c r="AB60" s="357" t="str">
        <f>VLOOKUP($B60,'2007-2020 Metadata'!$A$4:$S$214,MATCH("Urban Area /Monitoring Zone",'2007-2020 Metadata'!$A$4:$S$4,0),FALSE)</f>
        <v>Whangarei</v>
      </c>
      <c r="AC60" s="87" t="str">
        <f>VLOOKUP(B60,'2007-2020 Metadata'!$A$6:$A$214,1,FALSE)</f>
        <v>AUC171</v>
      </c>
      <c r="AD60" s="230" t="str">
        <f>VLOOKUP($AC60,'2007-2020 Metadata'!$A$6:$S$214,9,FALSE)</f>
        <v>Whangarei</v>
      </c>
      <c r="AE60" s="248">
        <f>IF(ISBLANK(VLOOKUP($AC60,'2007-2020 Metadata'!$A$6:$S$214,19,FALSE)),"",VLOOKUP($AC60,'2007-2020 Metadata'!$A$6:$S$214,19,FALSE))</f>
        <v>3</v>
      </c>
      <c r="AF60" s="88" t="str">
        <f>VLOOKUP($B60,'2007-2020 Metadata'!$A$4:$S$214,MATCH("Site type",'2007-2020 Metadata'!$A$4:$S$4,0),FALSE)</f>
        <v>Background</v>
      </c>
      <c r="AG60" s="143">
        <f t="shared" si="11"/>
        <v>4.4000000000000004</v>
      </c>
      <c r="AH60" s="143">
        <f t="shared" si="12"/>
        <v>17.2</v>
      </c>
      <c r="AI60" s="144">
        <f t="shared" ca="1" si="13"/>
        <v>18.863636363636363</v>
      </c>
    </row>
    <row r="61" spans="2:35" ht="12" customHeight="1" x14ac:dyDescent="0.15">
      <c r="B61" s="40" t="s">
        <v>32</v>
      </c>
      <c r="C61" s="52">
        <f>IF(ISERROR(VLOOKUP($B61,'Monthly Summary 2010'!$B$7:$Q$221,14,FALSE)=0),"",VLOOKUP($B61,'Monthly Summary 2010'!$B$7:$Q$221,14,FALSE))</f>
        <v>17.3</v>
      </c>
      <c r="D61" s="36">
        <v>27</v>
      </c>
      <c r="E61" s="36">
        <v>26.2</v>
      </c>
      <c r="F61" s="36">
        <v>31.2</v>
      </c>
      <c r="G61" s="36">
        <v>30.5</v>
      </c>
      <c r="H61" s="36">
        <v>32.299999999999997</v>
      </c>
      <c r="I61" s="36">
        <v>31.1</v>
      </c>
      <c r="J61" s="36">
        <v>25.9</v>
      </c>
      <c r="K61" s="36">
        <v>32.4</v>
      </c>
      <c r="L61" s="36">
        <v>33.700000000000003</v>
      </c>
      <c r="M61" s="36">
        <v>36.1</v>
      </c>
      <c r="N61" s="36">
        <v>28.8</v>
      </c>
      <c r="O61" s="36">
        <v>26.4</v>
      </c>
      <c r="P61" s="37">
        <f t="shared" si="0"/>
        <v>30.133333333333336</v>
      </c>
      <c r="Q61" s="38">
        <f t="shared" si="1"/>
        <v>1</v>
      </c>
      <c r="R61" s="140">
        <f t="shared" si="5"/>
        <v>28.133333333333336</v>
      </c>
      <c r="S61" s="24">
        <f t="shared" si="6"/>
        <v>1</v>
      </c>
      <c r="T61" s="140">
        <f t="shared" si="7"/>
        <v>30.666666666666668</v>
      </c>
      <c r="U61" s="24">
        <f t="shared" si="8"/>
        <v>1</v>
      </c>
      <c r="V61" s="140">
        <f t="shared" si="9"/>
        <v>30.133333333333336</v>
      </c>
      <c r="W61" s="150">
        <f t="shared" si="10"/>
        <v>1</v>
      </c>
      <c r="X61" s="144">
        <f t="shared" ca="1" si="22"/>
        <v>28.233333333333331</v>
      </c>
      <c r="Y61" s="144">
        <f t="shared" ca="1" si="23"/>
        <v>32.61</v>
      </c>
      <c r="Z61" s="144">
        <f t="shared" ca="1" si="24"/>
        <v>29.739924242424241</v>
      </c>
      <c r="AA61" s="10"/>
      <c r="AB61" s="357" t="str">
        <f>VLOOKUP($B61,'2007-2020 Metadata'!$A$4:$S$214,MATCH("Urban Area /Monitoring Zone",'2007-2020 Metadata'!$A$4:$S$4,0),FALSE)</f>
        <v>Hamilton</v>
      </c>
      <c r="AC61" s="87" t="str">
        <f>VLOOKUP(B61,'2007-2020 Metadata'!$A$6:$A$214,1,FALSE)</f>
        <v>HAM001</v>
      </c>
      <c r="AD61" s="230" t="str">
        <f>VLOOKUP($AC61,'2007-2020 Metadata'!$A$6:$S$214,9,FALSE)</f>
        <v>Hamilton</v>
      </c>
      <c r="AE61" s="248">
        <f>IF(ISBLANK(VLOOKUP($AC61,'2007-2020 Metadata'!$A$6:$S$214,19,FALSE)),"",VLOOKUP($AC61,'2007-2020 Metadata'!$A$6:$S$214,19,FALSE))</f>
        <v>3.8</v>
      </c>
      <c r="AF61" s="88" t="str">
        <f>VLOOKUP($B61,'2007-2020 Metadata'!$A$4:$S$214,MATCH("Site type",'2007-2020 Metadata'!$A$4:$S$4,0),FALSE)</f>
        <v>SH</v>
      </c>
      <c r="AG61" s="143">
        <f t="shared" si="11"/>
        <v>25.9</v>
      </c>
      <c r="AH61" s="143">
        <f t="shared" si="12"/>
        <v>36.1</v>
      </c>
      <c r="AI61" s="144">
        <f t="shared" ca="1" si="13"/>
        <v>29.739924242424241</v>
      </c>
    </row>
    <row r="62" spans="2:35" ht="12" customHeight="1" x14ac:dyDescent="0.15">
      <c r="B62" s="40" t="s">
        <v>33</v>
      </c>
      <c r="C62" s="52">
        <f>IF(ISERROR(VLOOKUP($B62,'Monthly Summary 2010'!$B$7:$Q$221,14,FALSE)=0),"",VLOOKUP($B62,'Monthly Summary 2010'!$B$7:$Q$221,14,FALSE))</f>
        <v>18.3</v>
      </c>
      <c r="D62" s="36">
        <v>21</v>
      </c>
      <c r="E62" s="36">
        <v>25.3</v>
      </c>
      <c r="F62" s="36">
        <v>27.5</v>
      </c>
      <c r="G62" s="36">
        <v>24.9</v>
      </c>
      <c r="H62" s="36">
        <v>35.299999999999997</v>
      </c>
      <c r="I62" s="36">
        <v>33.1</v>
      </c>
      <c r="J62" s="36">
        <v>24.7</v>
      </c>
      <c r="K62" s="36">
        <v>29.5</v>
      </c>
      <c r="L62" s="36">
        <v>29.5</v>
      </c>
      <c r="M62" s="36">
        <v>25.5</v>
      </c>
      <c r="N62" s="36">
        <v>21.8</v>
      </c>
      <c r="O62" s="36">
        <v>16.399999999999999</v>
      </c>
      <c r="P62" s="37">
        <f t="shared" si="0"/>
        <v>26.208333333333329</v>
      </c>
      <c r="Q62" s="38">
        <f t="shared" si="1"/>
        <v>1</v>
      </c>
      <c r="R62" s="140">
        <f t="shared" si="5"/>
        <v>24.599999999999998</v>
      </c>
      <c r="S62" s="24">
        <f t="shared" si="6"/>
        <v>1</v>
      </c>
      <c r="T62" s="140">
        <f t="shared" si="7"/>
        <v>27.900000000000002</v>
      </c>
      <c r="U62" s="24">
        <f t="shared" si="8"/>
        <v>1</v>
      </c>
      <c r="V62" s="140">
        <f t="shared" si="9"/>
        <v>26.208333333333329</v>
      </c>
      <c r="W62" s="150">
        <f t="shared" si="10"/>
        <v>1</v>
      </c>
      <c r="X62" s="144">
        <f t="shared" ca="1" si="22"/>
        <v>28.233333333333331</v>
      </c>
      <c r="Y62" s="144">
        <f t="shared" ca="1" si="23"/>
        <v>32.61</v>
      </c>
      <c r="Z62" s="144">
        <f t="shared" ca="1" si="24"/>
        <v>29.739924242424241</v>
      </c>
      <c r="AA62" s="10"/>
      <c r="AB62" s="357" t="str">
        <f>VLOOKUP($B62,'2007-2020 Metadata'!$A$4:$S$214,MATCH("Urban Area /Monitoring Zone",'2007-2020 Metadata'!$A$4:$S$4,0),FALSE)</f>
        <v>Hamilton</v>
      </c>
      <c r="AC62" s="87" t="str">
        <f>VLOOKUP(B62,'2007-2020 Metadata'!$A$6:$A$214,1,FALSE)</f>
        <v>HAM002</v>
      </c>
      <c r="AD62" s="230" t="str">
        <f>VLOOKUP($AC62,'2007-2020 Metadata'!$A$6:$S$214,9,FALSE)</f>
        <v>Hamilton</v>
      </c>
      <c r="AE62" s="248">
        <f>IF(ISBLANK(VLOOKUP($AC62,'2007-2020 Metadata'!$A$6:$S$214,19,FALSE)),"",VLOOKUP($AC62,'2007-2020 Metadata'!$A$6:$S$214,19,FALSE))</f>
        <v>2.6</v>
      </c>
      <c r="AF62" s="88" t="str">
        <f>VLOOKUP($B62,'2007-2020 Metadata'!$A$4:$S$214,MATCH("Site type",'2007-2020 Metadata'!$A$4:$S$4,0),FALSE)</f>
        <v>Local (ex SH)</v>
      </c>
      <c r="AG62" s="143">
        <f t="shared" si="11"/>
        <v>16.399999999999999</v>
      </c>
      <c r="AH62" s="143">
        <f t="shared" si="12"/>
        <v>35.299999999999997</v>
      </c>
      <c r="AI62" s="144">
        <f t="shared" ca="1" si="13"/>
        <v>29.739924242424241</v>
      </c>
    </row>
    <row r="63" spans="2:35" ht="12" customHeight="1" x14ac:dyDescent="0.15">
      <c r="B63" s="40" t="s">
        <v>34</v>
      </c>
      <c r="C63" s="52">
        <f>IF(ISERROR(VLOOKUP($B63,'Monthly Summary 2010'!$B$7:$Q$221,14,FALSE)=0),"",VLOOKUP($B63,'Monthly Summary 2010'!$B$7:$Q$221,14,FALSE))</f>
        <v>25.7</v>
      </c>
      <c r="D63" s="36">
        <v>36.299999999999997</v>
      </c>
      <c r="E63" s="36">
        <v>38.200000000000003</v>
      </c>
      <c r="F63" s="36">
        <v>42.4</v>
      </c>
      <c r="G63" s="36">
        <v>36.299999999999997</v>
      </c>
      <c r="H63" s="36">
        <v>47.2</v>
      </c>
      <c r="I63" s="36">
        <v>47.4</v>
      </c>
      <c r="J63" s="36">
        <v>35.200000000000003</v>
      </c>
      <c r="K63" s="36">
        <v>45.6</v>
      </c>
      <c r="L63" s="36">
        <v>49.6</v>
      </c>
      <c r="M63" s="36">
        <v>42.7</v>
      </c>
      <c r="N63" s="36">
        <v>39.4</v>
      </c>
      <c r="O63" s="36">
        <v>24.8</v>
      </c>
      <c r="P63" s="37">
        <f t="shared" si="0"/>
        <v>40.425000000000004</v>
      </c>
      <c r="Q63" s="38">
        <f t="shared" si="1"/>
        <v>1</v>
      </c>
      <c r="R63" s="140">
        <f t="shared" si="5"/>
        <v>38.966666666666669</v>
      </c>
      <c r="S63" s="24">
        <f t="shared" si="6"/>
        <v>1</v>
      </c>
      <c r="T63" s="140">
        <f t="shared" si="7"/>
        <v>43.466666666666669</v>
      </c>
      <c r="U63" s="24">
        <f t="shared" si="8"/>
        <v>1</v>
      </c>
      <c r="V63" s="140">
        <f t="shared" si="9"/>
        <v>40.425000000000004</v>
      </c>
      <c r="W63" s="150">
        <f t="shared" si="10"/>
        <v>1</v>
      </c>
      <c r="X63" s="144">
        <f t="shared" ca="1" si="22"/>
        <v>28.233333333333331</v>
      </c>
      <c r="Y63" s="144">
        <f t="shared" ca="1" si="23"/>
        <v>32.61</v>
      </c>
      <c r="Z63" s="144">
        <f t="shared" ca="1" si="24"/>
        <v>29.739924242424241</v>
      </c>
      <c r="AA63" s="10"/>
      <c r="AB63" s="357" t="str">
        <f>VLOOKUP($B63,'2007-2020 Metadata'!$A$4:$S$214,MATCH("Urban Area /Monitoring Zone",'2007-2020 Metadata'!$A$4:$S$4,0),FALSE)</f>
        <v>Hamilton</v>
      </c>
      <c r="AC63" s="87" t="str">
        <f>VLOOKUP(B63,'2007-2020 Metadata'!$A$6:$A$214,1,FALSE)</f>
        <v>HAM003</v>
      </c>
      <c r="AD63" s="230" t="str">
        <f>VLOOKUP($AC63,'2007-2020 Metadata'!$A$6:$S$214,9,FALSE)</f>
        <v>Hamilton</v>
      </c>
      <c r="AE63" s="248">
        <f>IF(ISBLANK(VLOOKUP($AC63,'2007-2020 Metadata'!$A$6:$S$214,19,FALSE)),"",VLOOKUP($AC63,'2007-2020 Metadata'!$A$6:$S$214,19,FALSE))</f>
        <v>2.9</v>
      </c>
      <c r="AF63" s="88" t="str">
        <f>VLOOKUP($B63,'2007-2020 Metadata'!$A$4:$S$214,MATCH("Site type",'2007-2020 Metadata'!$A$4:$S$4,0),FALSE)</f>
        <v>SH</v>
      </c>
      <c r="AG63" s="143">
        <f t="shared" si="11"/>
        <v>24.8</v>
      </c>
      <c r="AH63" s="143">
        <f t="shared" si="12"/>
        <v>49.6</v>
      </c>
      <c r="AI63" s="144">
        <f t="shared" ca="1" si="13"/>
        <v>29.739924242424241</v>
      </c>
    </row>
    <row r="64" spans="2:35" ht="12" customHeight="1" x14ac:dyDescent="0.15">
      <c r="B64" s="40" t="s">
        <v>35</v>
      </c>
      <c r="C64" s="52">
        <f>IF(ISERROR(VLOOKUP($B64,'Monthly Summary 2010'!$B$7:$Q$221,14,FALSE)=0),"",VLOOKUP($B64,'Monthly Summary 2010'!$B$7:$Q$221,14,FALSE))</f>
        <v>14</v>
      </c>
      <c r="D64" s="36">
        <v>27.5</v>
      </c>
      <c r="E64" s="36">
        <v>29</v>
      </c>
      <c r="F64" s="36">
        <v>33.1</v>
      </c>
      <c r="G64" s="36">
        <v>33.5</v>
      </c>
      <c r="H64" s="36">
        <v>28.2</v>
      </c>
      <c r="I64" s="36">
        <v>38.6</v>
      </c>
      <c r="J64" s="36">
        <v>24.9</v>
      </c>
      <c r="K64" s="36">
        <v>37.200000000000003</v>
      </c>
      <c r="L64" s="36">
        <v>34.299999999999997</v>
      </c>
      <c r="M64" s="36">
        <v>28.2</v>
      </c>
      <c r="N64" s="36">
        <v>31.3</v>
      </c>
      <c r="O64" s="36">
        <v>20.9</v>
      </c>
      <c r="P64" s="37">
        <f t="shared" si="0"/>
        <v>30.558333333333334</v>
      </c>
      <c r="Q64" s="38">
        <f t="shared" si="1"/>
        <v>1</v>
      </c>
      <c r="R64" s="140">
        <f t="shared" si="5"/>
        <v>29.866666666666664</v>
      </c>
      <c r="S64" s="24">
        <f t="shared" si="6"/>
        <v>1</v>
      </c>
      <c r="T64" s="140">
        <f t="shared" si="7"/>
        <v>32.133333333333333</v>
      </c>
      <c r="U64" s="24">
        <f t="shared" si="8"/>
        <v>1</v>
      </c>
      <c r="V64" s="140">
        <f t="shared" si="9"/>
        <v>30.558333333333334</v>
      </c>
      <c r="W64" s="150">
        <f t="shared" si="10"/>
        <v>1</v>
      </c>
      <c r="X64" s="144">
        <f ca="1">IF(VLOOKUP($B64,$AC$6:$AI$159,3,FALSE)="",$R64,IF(ISERROR(AVERAGEIF($AD$6:$AD$161,VLOOKUP($B64,$AC$6:$AI$159,2,FALSE),$R$6:$R$159)),"",AVERAGEIF($AD$6:$AD$161,VLOOKUP($B64,$AC$6:$AI$159,2,FALSE),$R$6:$R$159)))</f>
        <v>28.233333333333331</v>
      </c>
      <c r="Y64" s="144">
        <f t="shared" ca="1" si="23"/>
        <v>32.61</v>
      </c>
      <c r="Z64" s="144">
        <f t="shared" ca="1" si="24"/>
        <v>29.739924242424241</v>
      </c>
      <c r="AA64" s="10"/>
      <c r="AB64" s="357" t="str">
        <f>VLOOKUP($B64,'2007-2020 Metadata'!$A$4:$S$214,MATCH("Urban Area /Monitoring Zone",'2007-2020 Metadata'!$A$4:$S$4,0),FALSE)</f>
        <v>Cambridge</v>
      </c>
      <c r="AC64" s="87" t="str">
        <f>VLOOKUP(B64,'2007-2020 Metadata'!$A$6:$A$214,1,FALSE)</f>
        <v>HAM004</v>
      </c>
      <c r="AD64" s="230" t="str">
        <f>VLOOKUP($AC64,'2007-2020 Metadata'!$A$6:$S$214,9,FALSE)</f>
        <v>Hamilton</v>
      </c>
      <c r="AE64" s="248">
        <f>IF(ISBLANK(VLOOKUP($AC64,'2007-2020 Metadata'!$A$6:$S$214,19,FALSE)),"",VLOOKUP($AC64,'2007-2020 Metadata'!$A$6:$S$214,19,FALSE))</f>
        <v>3</v>
      </c>
      <c r="AF64" s="88" t="str">
        <f>VLOOKUP($B64,'2007-2020 Metadata'!$A$4:$S$214,MATCH("Site type",'2007-2020 Metadata'!$A$4:$S$4,0),FALSE)</f>
        <v>Local (ex SH)</v>
      </c>
      <c r="AG64" s="143">
        <f t="shared" si="11"/>
        <v>20.9</v>
      </c>
      <c r="AH64" s="143">
        <f t="shared" si="12"/>
        <v>38.6</v>
      </c>
      <c r="AI64" s="144">
        <f t="shared" ca="1" si="13"/>
        <v>29.739924242424241</v>
      </c>
    </row>
    <row r="65" spans="2:35" ht="12" customHeight="1" x14ac:dyDescent="0.15">
      <c r="B65" s="40" t="s">
        <v>36</v>
      </c>
      <c r="C65" s="52">
        <f>IF(ISERROR(VLOOKUP($B65,'Monthly Summary 2010'!$B$7:$Q$221,14,FALSE)=0),"",VLOOKUP($B65,'Monthly Summary 2010'!$B$7:$Q$221,14,FALSE))</f>
        <v>9.6999999999999993</v>
      </c>
      <c r="D65" s="36">
        <v>16</v>
      </c>
      <c r="E65" s="36">
        <v>15.6</v>
      </c>
      <c r="F65" s="36">
        <v>15.9</v>
      </c>
      <c r="G65" s="36">
        <v>21.7</v>
      </c>
      <c r="H65" s="36">
        <v>17</v>
      </c>
      <c r="I65" s="36"/>
      <c r="J65" s="36">
        <v>21.8</v>
      </c>
      <c r="K65" s="36"/>
      <c r="L65" s="36"/>
      <c r="M65" s="36">
        <v>18.100000000000001</v>
      </c>
      <c r="N65" s="36">
        <v>15.2</v>
      </c>
      <c r="O65" s="36">
        <v>14.5</v>
      </c>
      <c r="P65" s="37">
        <f t="shared" si="0"/>
        <v>17.31111111111111</v>
      </c>
      <c r="Q65" s="38">
        <f t="shared" si="1"/>
        <v>0.75</v>
      </c>
      <c r="R65" s="140">
        <f t="shared" si="5"/>
        <v>15.833333333333334</v>
      </c>
      <c r="S65" s="24">
        <f t="shared" si="6"/>
        <v>1</v>
      </c>
      <c r="T65" s="140" t="str">
        <f t="shared" si="7"/>
        <v>-</v>
      </c>
      <c r="U65" s="24">
        <f t="shared" si="8"/>
        <v>0.33333333333333331</v>
      </c>
      <c r="V65" s="140">
        <f t="shared" si="9"/>
        <v>17.31111111111111</v>
      </c>
      <c r="W65" s="150">
        <f t="shared" si="10"/>
        <v>0.75</v>
      </c>
      <c r="X65" s="144">
        <f t="shared" ca="1" si="22"/>
        <v>15.833333333333334</v>
      </c>
      <c r="Y65" s="144" t="str">
        <f t="shared" ca="1" si="23"/>
        <v/>
      </c>
      <c r="Z65" s="144">
        <f t="shared" ca="1" si="24"/>
        <v>17.31111111111111</v>
      </c>
      <c r="AA65" s="10"/>
      <c r="AB65" s="357" t="str">
        <f>VLOOKUP($B65,'2007-2020 Metadata'!$A$4:$S$214,MATCH("Urban Area /Monitoring Zone",'2007-2020 Metadata'!$A$4:$S$4,0),FALSE)</f>
        <v>Taupo</v>
      </c>
      <c r="AC65" s="87" t="str">
        <f>VLOOKUP(B65,'2007-2020 Metadata'!$A$6:$A$214,1,FALSE)</f>
        <v>HAM005</v>
      </c>
      <c r="AD65" s="230" t="str">
        <f>VLOOKUP($AC65,'2007-2020 Metadata'!$A$6:$S$214,9,FALSE)</f>
        <v>Taupo</v>
      </c>
      <c r="AE65" s="248">
        <f>IF(ISBLANK(VLOOKUP($AC65,'2007-2020 Metadata'!$A$6:$S$214,19,FALSE)),"",VLOOKUP($AC65,'2007-2020 Metadata'!$A$6:$S$214,19,FALSE))</f>
        <v>3.5</v>
      </c>
      <c r="AF65" s="88" t="str">
        <f>VLOOKUP($B65,'2007-2020 Metadata'!$A$4:$S$214,MATCH("Site type",'2007-2020 Metadata'!$A$4:$S$4,0),FALSE)</f>
        <v>Local (ex SH)</v>
      </c>
      <c r="AG65" s="143">
        <f t="shared" si="11"/>
        <v>14.5</v>
      </c>
      <c r="AH65" s="143">
        <f t="shared" si="12"/>
        <v>21.8</v>
      </c>
      <c r="AI65" s="144">
        <f t="shared" ca="1" si="13"/>
        <v>17.31111111111111</v>
      </c>
    </row>
    <row r="66" spans="2:35" ht="12" customHeight="1" x14ac:dyDescent="0.15">
      <c r="B66" s="40" t="s">
        <v>37</v>
      </c>
      <c r="C66" s="52">
        <f>IF(ISERROR(VLOOKUP($B66,'Monthly Summary 2010'!$B$7:$Q$221,14,FALSE)=0),"",VLOOKUP($B66,'Monthly Summary 2010'!$B$7:$Q$221,14,FALSE))</f>
        <v>11.7</v>
      </c>
      <c r="D66" s="36">
        <v>15.2</v>
      </c>
      <c r="E66" s="36">
        <v>18.899999999999999</v>
      </c>
      <c r="F66" s="36"/>
      <c r="G66" s="36"/>
      <c r="H66" s="36">
        <v>18.2</v>
      </c>
      <c r="I66" s="36">
        <v>28.2</v>
      </c>
      <c r="J66" s="36">
        <v>26</v>
      </c>
      <c r="K66" s="36">
        <v>27.9</v>
      </c>
      <c r="L66" s="36">
        <v>23.2</v>
      </c>
      <c r="M66" s="36">
        <v>22.3</v>
      </c>
      <c r="N66" s="36">
        <v>18.8</v>
      </c>
      <c r="O66" s="36">
        <v>13.4</v>
      </c>
      <c r="P66" s="37">
        <f t="shared" si="0"/>
        <v>21.21</v>
      </c>
      <c r="Q66" s="38">
        <f t="shared" si="1"/>
        <v>0.83333333333333337</v>
      </c>
      <c r="R66" s="140">
        <f t="shared" si="5"/>
        <v>17.049999999999997</v>
      </c>
      <c r="S66" s="24">
        <f t="shared" si="6"/>
        <v>0.66666666666666663</v>
      </c>
      <c r="T66" s="140">
        <f t="shared" si="7"/>
        <v>25.7</v>
      </c>
      <c r="U66" s="24">
        <f t="shared" si="8"/>
        <v>1</v>
      </c>
      <c r="V66" s="140">
        <f t="shared" si="9"/>
        <v>21.21</v>
      </c>
      <c r="W66" s="150">
        <f t="shared" si="10"/>
        <v>0.83333333333333337</v>
      </c>
      <c r="X66" s="144">
        <f t="shared" ca="1" si="22"/>
        <v>12.2</v>
      </c>
      <c r="Y66" s="144">
        <f t="shared" ca="1" si="23"/>
        <v>17.899999999999999</v>
      </c>
      <c r="Z66" s="144">
        <f t="shared" ca="1" si="24"/>
        <v>15.22</v>
      </c>
      <c r="AA66" s="10"/>
      <c r="AB66" s="357" t="str">
        <f>VLOOKUP($B66,'2007-2020 Metadata'!$A$4:$S$214,MATCH("Urban Area /Monitoring Zone",'2007-2020 Metadata'!$A$4:$S$4,0),FALSE)</f>
        <v>Rotorua</v>
      </c>
      <c r="AC66" s="87" t="str">
        <f>VLOOKUP(B66,'2007-2020 Metadata'!$A$6:$A$214,1,FALSE)</f>
        <v>HAM006</v>
      </c>
      <c r="AD66" s="230" t="str">
        <f>VLOOKUP($AC66,'2007-2020 Metadata'!$A$6:$S$214,9,FALSE)</f>
        <v>Rotorua</v>
      </c>
      <c r="AE66" s="248">
        <f>IF(ISBLANK(VLOOKUP($AC66,'2007-2020 Metadata'!$A$6:$S$214,19,FALSE)),"",VLOOKUP($AC66,'2007-2020 Metadata'!$A$6:$S$214,19,FALSE))</f>
        <v>3</v>
      </c>
      <c r="AF66" s="88" t="str">
        <f>VLOOKUP($B66,'2007-2020 Metadata'!$A$4:$S$214,MATCH("Site type",'2007-2020 Metadata'!$A$4:$S$4,0),FALSE)</f>
        <v>SH</v>
      </c>
      <c r="AG66" s="143">
        <f t="shared" si="11"/>
        <v>13.4</v>
      </c>
      <c r="AH66" s="143">
        <f t="shared" si="12"/>
        <v>28.2</v>
      </c>
      <c r="AI66" s="144">
        <f t="shared" ca="1" si="13"/>
        <v>15.22</v>
      </c>
    </row>
    <row r="67" spans="2:35" ht="12" customHeight="1" x14ac:dyDescent="0.15">
      <c r="B67" s="40" t="s">
        <v>39</v>
      </c>
      <c r="C67" s="52">
        <f>IF(ISERROR(VLOOKUP($B67,'Monthly Summary 2010'!$B$7:$Q$221,14,FALSE)=0),"",VLOOKUP($B67,'Monthly Summary 2010'!$B$7:$Q$221,14,FALSE))</f>
        <v>14.5</v>
      </c>
      <c r="D67" s="36"/>
      <c r="E67" s="36">
        <v>30.6</v>
      </c>
      <c r="F67" s="36">
        <v>28.5</v>
      </c>
      <c r="G67" s="36">
        <v>35.4</v>
      </c>
      <c r="H67" s="36">
        <v>33.5</v>
      </c>
      <c r="I67" s="36">
        <v>39.1</v>
      </c>
      <c r="J67" s="36">
        <v>31.5</v>
      </c>
      <c r="K67" s="36">
        <v>37.6</v>
      </c>
      <c r="L67" s="36">
        <v>36.299999999999997</v>
      </c>
      <c r="M67" s="36">
        <v>30.6</v>
      </c>
      <c r="N67" s="36">
        <v>27.1</v>
      </c>
      <c r="O67" s="36">
        <v>22.7</v>
      </c>
      <c r="P67" s="37">
        <f t="shared" si="0"/>
        <v>32.081818181818186</v>
      </c>
      <c r="Q67" s="38">
        <f t="shared" si="1"/>
        <v>0.91666666666666663</v>
      </c>
      <c r="R67" s="140">
        <f t="shared" si="5"/>
        <v>29.55</v>
      </c>
      <c r="S67" s="24">
        <f t="shared" si="6"/>
        <v>0.66666666666666663</v>
      </c>
      <c r="T67" s="140">
        <f t="shared" si="7"/>
        <v>35.133333333333333</v>
      </c>
      <c r="U67" s="24">
        <f t="shared" si="8"/>
        <v>1</v>
      </c>
      <c r="V67" s="140">
        <f t="shared" si="9"/>
        <v>32.081818181818186</v>
      </c>
      <c r="W67" s="150">
        <f t="shared" si="10"/>
        <v>0.91666666666666663</v>
      </c>
      <c r="X67" s="144">
        <f t="shared" ca="1" si="22"/>
        <v>22.097619047619045</v>
      </c>
      <c r="Y67" s="144">
        <f t="shared" ca="1" si="23"/>
        <v>28.323809523809526</v>
      </c>
      <c r="Z67" s="144">
        <f t="shared" ca="1" si="24"/>
        <v>25.020779220779222</v>
      </c>
      <c r="AA67" s="10"/>
      <c r="AB67" s="357" t="str">
        <f>VLOOKUP($B67,'2007-2020 Metadata'!$A$4:$S$214,MATCH("Urban Area /Monitoring Zone",'2007-2020 Metadata'!$A$4:$S$4,0),FALSE)</f>
        <v>Tauranga</v>
      </c>
      <c r="AC67" s="87" t="str">
        <f>VLOOKUP(B67,'2007-2020 Metadata'!$A$6:$A$214,1,FALSE)</f>
        <v>HAM007</v>
      </c>
      <c r="AD67" s="230" t="str">
        <f>VLOOKUP($AC67,'2007-2020 Metadata'!$A$6:$S$214,9,FALSE)</f>
        <v>Tauranga</v>
      </c>
      <c r="AE67" s="248">
        <f>IF(ISBLANK(VLOOKUP($AC67,'2007-2020 Metadata'!$A$6:$S$214,19,FALSE)),"",VLOOKUP($AC67,'2007-2020 Metadata'!$A$6:$S$214,19,FALSE))</f>
        <v>2.9</v>
      </c>
      <c r="AF67" s="88" t="str">
        <f>VLOOKUP($B67,'2007-2020 Metadata'!$A$4:$S$214,MATCH("Site type",'2007-2020 Metadata'!$A$4:$S$4,0),FALSE)</f>
        <v>SH</v>
      </c>
      <c r="AG67" s="143">
        <f t="shared" si="11"/>
        <v>22.7</v>
      </c>
      <c r="AH67" s="143">
        <f t="shared" si="12"/>
        <v>39.1</v>
      </c>
      <c r="AI67" s="144">
        <f t="shared" ca="1" si="13"/>
        <v>25.020779220779222</v>
      </c>
    </row>
    <row r="68" spans="2:35" ht="12" customHeight="1" x14ac:dyDescent="0.15">
      <c r="B68" s="40" t="s">
        <v>40</v>
      </c>
      <c r="C68" s="52">
        <f>IF(ISERROR(VLOOKUP($B68,'Monthly Summary 2010'!$B$7:$Q$221,14,FALSE)=0),"",VLOOKUP($B68,'Monthly Summary 2010'!$B$7:$Q$221,14,FALSE))</f>
        <v>13.4</v>
      </c>
      <c r="D68" s="36">
        <v>22.1</v>
      </c>
      <c r="E68" s="36">
        <v>25.6</v>
      </c>
      <c r="F68" s="36">
        <v>28.5</v>
      </c>
      <c r="G68" s="36">
        <v>31.7</v>
      </c>
      <c r="H68" s="36">
        <v>29.9</v>
      </c>
      <c r="I68" s="36">
        <v>36.6</v>
      </c>
      <c r="J68" s="36">
        <v>34.9</v>
      </c>
      <c r="K68" s="36">
        <v>34</v>
      </c>
      <c r="L68" s="36">
        <v>32.200000000000003</v>
      </c>
      <c r="M68" s="36">
        <v>27.6</v>
      </c>
      <c r="N68" s="36"/>
      <c r="O68" s="36">
        <v>16.600000000000001</v>
      </c>
      <c r="P68" s="37">
        <f t="shared" si="0"/>
        <v>29.063636363636366</v>
      </c>
      <c r="Q68" s="38">
        <f t="shared" si="1"/>
        <v>0.91666666666666663</v>
      </c>
      <c r="R68" s="140">
        <f t="shared" si="5"/>
        <v>25.400000000000002</v>
      </c>
      <c r="S68" s="24">
        <f t="shared" si="6"/>
        <v>1</v>
      </c>
      <c r="T68" s="140">
        <f t="shared" si="7"/>
        <v>33.700000000000003</v>
      </c>
      <c r="U68" s="24">
        <f t="shared" si="8"/>
        <v>1</v>
      </c>
      <c r="V68" s="140">
        <f t="shared" si="9"/>
        <v>29.063636363636366</v>
      </c>
      <c r="W68" s="150">
        <f t="shared" si="10"/>
        <v>0.91666666666666663</v>
      </c>
      <c r="X68" s="144">
        <f t="shared" ca="1" si="22"/>
        <v>22.097619047619045</v>
      </c>
      <c r="Y68" s="144">
        <f t="shared" ca="1" si="23"/>
        <v>28.323809523809526</v>
      </c>
      <c r="Z68" s="144">
        <f t="shared" ca="1" si="24"/>
        <v>25.020779220779222</v>
      </c>
      <c r="AA68" s="10"/>
      <c r="AB68" s="357" t="str">
        <f>VLOOKUP($B68,'2007-2020 Metadata'!$A$4:$S$214,MATCH("Urban Area /Monitoring Zone",'2007-2020 Metadata'!$A$4:$S$4,0),FALSE)</f>
        <v>Tauranga</v>
      </c>
      <c r="AC68" s="87" t="str">
        <f>VLOOKUP(B68,'2007-2020 Metadata'!$A$6:$A$214,1,FALSE)</f>
        <v>HAM008</v>
      </c>
      <c r="AD68" s="230" t="str">
        <f>VLOOKUP($AC68,'2007-2020 Metadata'!$A$6:$S$214,9,FALSE)</f>
        <v>Tauranga</v>
      </c>
      <c r="AE68" s="248">
        <f>IF(ISBLANK(VLOOKUP($AC68,'2007-2020 Metadata'!$A$6:$S$214,19,FALSE)),"",VLOOKUP($AC68,'2007-2020 Metadata'!$A$6:$S$214,19,FALSE))</f>
        <v>2.9</v>
      </c>
      <c r="AF68" s="88" t="str">
        <f>VLOOKUP($B68,'2007-2020 Metadata'!$A$4:$S$214,MATCH("Site type",'2007-2020 Metadata'!$A$4:$S$4,0),FALSE)</f>
        <v>SH</v>
      </c>
      <c r="AG68" s="143">
        <f t="shared" si="11"/>
        <v>16.600000000000001</v>
      </c>
      <c r="AH68" s="143">
        <f t="shared" si="12"/>
        <v>36.6</v>
      </c>
      <c r="AI68" s="144">
        <f t="shared" ca="1" si="13"/>
        <v>25.020779220779222</v>
      </c>
    </row>
    <row r="69" spans="2:35" ht="12" customHeight="1" x14ac:dyDescent="0.15">
      <c r="B69" s="40" t="s">
        <v>41</v>
      </c>
      <c r="C69" s="52">
        <f>IF(ISERROR(VLOOKUP($B69,'Monthly Summary 2010'!$B$7:$Q$221,14,FALSE)=0),"",VLOOKUP($B69,'Monthly Summary 2010'!$B$7:$Q$221,14,FALSE))</f>
        <v>19.8</v>
      </c>
      <c r="D69" s="36">
        <v>21.6</v>
      </c>
      <c r="E69" s="36">
        <v>26.5</v>
      </c>
      <c r="F69" s="36">
        <v>26.5</v>
      </c>
      <c r="G69" s="36">
        <v>33.200000000000003</v>
      </c>
      <c r="H69" s="36">
        <v>35.299999999999997</v>
      </c>
      <c r="I69" s="36">
        <v>32.5</v>
      </c>
      <c r="J69" s="36"/>
      <c r="K69" s="36">
        <v>35.200000000000003</v>
      </c>
      <c r="L69" s="36">
        <v>35</v>
      </c>
      <c r="M69" s="36">
        <v>29.3</v>
      </c>
      <c r="N69" s="36">
        <v>26.8</v>
      </c>
      <c r="O69" s="36">
        <v>23.7</v>
      </c>
      <c r="P69" s="37">
        <f t="shared" si="0"/>
        <v>29.6</v>
      </c>
      <c r="Q69" s="38">
        <f t="shared" si="1"/>
        <v>0.91666666666666663</v>
      </c>
      <c r="R69" s="140">
        <f t="shared" si="5"/>
        <v>24.866666666666664</v>
      </c>
      <c r="S69" s="24">
        <f t="shared" si="6"/>
        <v>1</v>
      </c>
      <c r="T69" s="140">
        <f t="shared" si="7"/>
        <v>35.1</v>
      </c>
      <c r="U69" s="24">
        <f t="shared" si="8"/>
        <v>0.66666666666666663</v>
      </c>
      <c r="V69" s="140">
        <f t="shared" si="9"/>
        <v>29.6</v>
      </c>
      <c r="W69" s="150">
        <f t="shared" si="10"/>
        <v>0.91666666666666663</v>
      </c>
      <c r="X69" s="144">
        <f t="shared" ca="1" si="22"/>
        <v>22.097619047619045</v>
      </c>
      <c r="Y69" s="144">
        <f t="shared" ca="1" si="23"/>
        <v>28.323809523809526</v>
      </c>
      <c r="Z69" s="144">
        <f t="shared" ca="1" si="24"/>
        <v>25.020779220779222</v>
      </c>
      <c r="AA69" s="10"/>
      <c r="AB69" s="357" t="str">
        <f>VLOOKUP($B69,'2007-2020 Metadata'!$A$4:$S$214,MATCH("Urban Area /Monitoring Zone",'2007-2020 Metadata'!$A$4:$S$4,0),FALSE)</f>
        <v>Tauranga</v>
      </c>
      <c r="AC69" s="87" t="str">
        <f>VLOOKUP(B69,'2007-2020 Metadata'!$A$6:$A$214,1,FALSE)</f>
        <v>HAM010</v>
      </c>
      <c r="AD69" s="230" t="str">
        <f>VLOOKUP($AC69,'2007-2020 Metadata'!$A$6:$S$214,9,FALSE)</f>
        <v>Tauranga</v>
      </c>
      <c r="AE69" s="248">
        <f>IF(ISBLANK(VLOOKUP($AC69,'2007-2020 Metadata'!$A$6:$S$214,19,FALSE)),"",VLOOKUP($AC69,'2007-2020 Metadata'!$A$6:$S$214,19,FALSE))</f>
        <v>2.7</v>
      </c>
      <c r="AF69" s="88" t="str">
        <f>VLOOKUP($B69,'2007-2020 Metadata'!$A$4:$S$214,MATCH("Site type",'2007-2020 Metadata'!$A$4:$S$4,0),FALSE)</f>
        <v>SH</v>
      </c>
      <c r="AG69" s="143">
        <f t="shared" si="11"/>
        <v>21.6</v>
      </c>
      <c r="AH69" s="143">
        <f t="shared" si="12"/>
        <v>35.299999999999997</v>
      </c>
      <c r="AI69" s="144">
        <f t="shared" ca="1" si="13"/>
        <v>25.020779220779222</v>
      </c>
    </row>
    <row r="70" spans="2:35" ht="12" customHeight="1" x14ac:dyDescent="0.15">
      <c r="B70" s="40" t="s">
        <v>95</v>
      </c>
      <c r="C70" s="52">
        <f>IF(ISERROR(VLOOKUP($B70,'Monthly Summary 2010'!$B$7:$Q$221,14,FALSE)=0),"",VLOOKUP($B70,'Monthly Summary 2010'!$B$7:$Q$221,14,FALSE))</f>
        <v>14.1</v>
      </c>
      <c r="D70" s="36">
        <v>18.8</v>
      </c>
      <c r="E70" s="36">
        <v>26.4</v>
      </c>
      <c r="F70" s="36">
        <v>30.9</v>
      </c>
      <c r="G70" s="36">
        <v>26.8</v>
      </c>
      <c r="H70" s="36">
        <v>29.9</v>
      </c>
      <c r="I70" s="36">
        <v>31.5</v>
      </c>
      <c r="J70" s="36">
        <v>25.7</v>
      </c>
      <c r="K70" s="36">
        <v>27.6</v>
      </c>
      <c r="L70" s="36">
        <v>24.7</v>
      </c>
      <c r="M70" s="36">
        <v>19.2</v>
      </c>
      <c r="N70" s="36">
        <v>15.7</v>
      </c>
      <c r="O70" s="36">
        <v>20.100000000000001</v>
      </c>
      <c r="P70" s="37">
        <f t="shared" si="0"/>
        <v>24.774999999999995</v>
      </c>
      <c r="Q70" s="38">
        <f t="shared" si="1"/>
        <v>1</v>
      </c>
      <c r="R70" s="140">
        <f t="shared" si="5"/>
        <v>25.366666666666664</v>
      </c>
      <c r="S70" s="24">
        <f t="shared" si="6"/>
        <v>1</v>
      </c>
      <c r="T70" s="140">
        <f t="shared" si="7"/>
        <v>26</v>
      </c>
      <c r="U70" s="24">
        <f t="shared" si="8"/>
        <v>1</v>
      </c>
      <c r="V70" s="140">
        <f t="shared" si="9"/>
        <v>24.774999999999995</v>
      </c>
      <c r="W70" s="150">
        <f t="shared" si="10"/>
        <v>1</v>
      </c>
      <c r="X70" s="144">
        <f t="shared" ca="1" si="22"/>
        <v>28.233333333333331</v>
      </c>
      <c r="Y70" s="144">
        <f t="shared" ca="1" si="23"/>
        <v>32.61</v>
      </c>
      <c r="Z70" s="144">
        <f t="shared" ca="1" si="24"/>
        <v>29.739924242424241</v>
      </c>
      <c r="AA70" s="10"/>
      <c r="AB70" s="357" t="str">
        <f>VLOOKUP($B70,'2007-2020 Metadata'!$A$4:$S$214,MATCH("Urban Area /Monitoring Zone",'2007-2020 Metadata'!$A$4:$S$4,0),FALSE)</f>
        <v>Hamilton</v>
      </c>
      <c r="AC70" s="87" t="str">
        <f>VLOOKUP(B70,'2007-2020 Metadata'!$A$6:$A$214,1,FALSE)</f>
        <v>HAM012</v>
      </c>
      <c r="AD70" s="230" t="str">
        <f>VLOOKUP($AC70,'2007-2020 Metadata'!$A$6:$S$214,9,FALSE)</f>
        <v>Hamilton</v>
      </c>
      <c r="AE70" s="248">
        <f>IF(ISBLANK(VLOOKUP($AC70,'2007-2020 Metadata'!$A$6:$S$214,19,FALSE)),"",VLOOKUP($AC70,'2007-2020 Metadata'!$A$6:$S$214,19,FALSE))</f>
        <v>2.8</v>
      </c>
      <c r="AF70" s="88" t="str">
        <f>VLOOKUP($B70,'2007-2020 Metadata'!$A$4:$S$214,MATCH("Site type",'2007-2020 Metadata'!$A$4:$S$4,0),FALSE)</f>
        <v>Local (ex SH)</v>
      </c>
      <c r="AG70" s="143">
        <f t="shared" si="11"/>
        <v>15.7</v>
      </c>
      <c r="AH70" s="143">
        <f t="shared" si="12"/>
        <v>31.5</v>
      </c>
      <c r="AI70" s="144">
        <f t="shared" ca="1" si="13"/>
        <v>29.739924242424241</v>
      </c>
    </row>
    <row r="71" spans="2:35" ht="12" customHeight="1" x14ac:dyDescent="0.15">
      <c r="B71" s="40" t="s">
        <v>96</v>
      </c>
      <c r="C71" s="52">
        <f>IF(ISERROR(VLOOKUP($B71,'Monthly Summary 2010'!$B$7:$Q$221,14,FALSE)=0),"",VLOOKUP($B71,'Monthly Summary 2010'!$B$7:$Q$221,14,FALSE))</f>
        <v>25.8</v>
      </c>
      <c r="D71" s="36">
        <v>35.799999999999997</v>
      </c>
      <c r="E71" s="36">
        <v>37.9</v>
      </c>
      <c r="F71" s="36">
        <v>41.1</v>
      </c>
      <c r="G71" s="36">
        <v>40.799999999999997</v>
      </c>
      <c r="H71" s="36">
        <v>43.9</v>
      </c>
      <c r="I71" s="36">
        <v>47</v>
      </c>
      <c r="J71" s="36">
        <v>49.1</v>
      </c>
      <c r="K71" s="36">
        <v>45.2</v>
      </c>
      <c r="L71" s="36">
        <v>45.5</v>
      </c>
      <c r="M71" s="36">
        <v>35.299999999999997</v>
      </c>
      <c r="N71" s="36">
        <v>36.700000000000003</v>
      </c>
      <c r="O71" s="36">
        <v>23</v>
      </c>
      <c r="P71" s="37">
        <f t="shared" si="0"/>
        <v>40.108333333333327</v>
      </c>
      <c r="Q71" s="38">
        <f t="shared" si="1"/>
        <v>1</v>
      </c>
      <c r="R71" s="140">
        <f t="shared" si="5"/>
        <v>38.266666666666659</v>
      </c>
      <c r="S71" s="24">
        <f t="shared" si="6"/>
        <v>1</v>
      </c>
      <c r="T71" s="140">
        <f t="shared" si="7"/>
        <v>46.6</v>
      </c>
      <c r="U71" s="24">
        <f t="shared" si="8"/>
        <v>1</v>
      </c>
      <c r="V71" s="140">
        <f t="shared" si="9"/>
        <v>40.108333333333327</v>
      </c>
      <c r="W71" s="150">
        <f t="shared" si="10"/>
        <v>1</v>
      </c>
      <c r="X71" s="144">
        <f t="shared" ca="1" si="22"/>
        <v>28.233333333333331</v>
      </c>
      <c r="Y71" s="144">
        <f t="shared" ca="1" si="23"/>
        <v>32.61</v>
      </c>
      <c r="Z71" s="144">
        <f t="shared" ca="1" si="24"/>
        <v>29.739924242424241</v>
      </c>
      <c r="AA71" s="10"/>
      <c r="AB71" s="357" t="str">
        <f>VLOOKUP($B71,'2007-2020 Metadata'!$A$4:$S$214,MATCH("Urban Area /Monitoring Zone",'2007-2020 Metadata'!$A$4:$S$4,0),FALSE)</f>
        <v>Hamilton</v>
      </c>
      <c r="AC71" s="87" t="str">
        <f>VLOOKUP(B71,'2007-2020 Metadata'!$A$6:$A$214,1,FALSE)</f>
        <v>HAM013</v>
      </c>
      <c r="AD71" s="230" t="str">
        <f>VLOOKUP($AC71,'2007-2020 Metadata'!$A$6:$S$214,9,FALSE)</f>
        <v>Hamilton</v>
      </c>
      <c r="AE71" s="248">
        <f>IF(ISBLANK(VLOOKUP($AC71,'2007-2020 Metadata'!$A$6:$S$214,19,FALSE)),"",VLOOKUP($AC71,'2007-2020 Metadata'!$A$6:$S$214,19,FALSE))</f>
        <v>2.8</v>
      </c>
      <c r="AF71" s="88" t="str">
        <f>VLOOKUP($B71,'2007-2020 Metadata'!$A$4:$S$214,MATCH("Site type",'2007-2020 Metadata'!$A$4:$S$4,0),FALSE)</f>
        <v>SH</v>
      </c>
      <c r="AG71" s="143">
        <f t="shared" si="11"/>
        <v>23</v>
      </c>
      <c r="AH71" s="143">
        <f t="shared" si="12"/>
        <v>49.1</v>
      </c>
      <c r="AI71" s="144">
        <f t="shared" ca="1" si="13"/>
        <v>29.739924242424241</v>
      </c>
    </row>
    <row r="72" spans="2:35" ht="12" customHeight="1" x14ac:dyDescent="0.15">
      <c r="B72" s="40" t="s">
        <v>97</v>
      </c>
      <c r="C72" s="52">
        <f>IF(ISERROR(VLOOKUP($B72,'Monthly Summary 2010'!$B$7:$Q$221,14,FALSE)=0),"",VLOOKUP($B72,'Monthly Summary 2010'!$B$7:$Q$221,14,FALSE))</f>
        <v>22.8</v>
      </c>
      <c r="D72" s="36">
        <v>24.6</v>
      </c>
      <c r="E72" s="36">
        <v>32.6</v>
      </c>
      <c r="F72" s="36">
        <v>39.200000000000003</v>
      </c>
      <c r="G72" s="36">
        <v>37.5</v>
      </c>
      <c r="H72" s="36">
        <v>41.5</v>
      </c>
      <c r="I72" s="36">
        <v>38.700000000000003</v>
      </c>
      <c r="J72" s="36">
        <v>41.6</v>
      </c>
      <c r="K72" s="36">
        <v>41.2</v>
      </c>
      <c r="L72" s="36">
        <v>41.2</v>
      </c>
      <c r="M72" s="36">
        <v>37.9</v>
      </c>
      <c r="N72" s="36">
        <v>33.200000000000003</v>
      </c>
      <c r="O72" s="36">
        <v>28.8</v>
      </c>
      <c r="P72" s="37">
        <f t="shared" ref="P72:P135" si="27">(AVERAGE(D72:O72))</f>
        <v>36.5</v>
      </c>
      <c r="Q72" s="38">
        <f t="shared" ref="Q72:Q135" si="28">COUNT(D72:O72)/COUNT($D$6:$O$6)</f>
        <v>1</v>
      </c>
      <c r="R72" s="140">
        <f t="shared" si="5"/>
        <v>32.133333333333333</v>
      </c>
      <c r="S72" s="24">
        <f t="shared" si="6"/>
        <v>1</v>
      </c>
      <c r="T72" s="140">
        <f t="shared" si="7"/>
        <v>41.333333333333336</v>
      </c>
      <c r="U72" s="24">
        <f t="shared" si="8"/>
        <v>1</v>
      </c>
      <c r="V72" s="140">
        <f t="shared" si="9"/>
        <v>36.5</v>
      </c>
      <c r="W72" s="150">
        <f t="shared" si="10"/>
        <v>1</v>
      </c>
      <c r="X72" s="144">
        <f t="shared" ref="X72:X103" ca="1" si="29">IF(VLOOKUP($B72,$AC$6:$AI$159,3,FALSE)="",$R72,IF(ISERROR(AVERAGEIF($AD$6:$AD$161,VLOOKUP($B72,$AC$6:$AI$159,2,FALSE),$R$6:$R$159)),"",AVERAGEIF($AD$6:$AD$161,VLOOKUP($B72,$AC$6:$AI$159,2,FALSE),$R$6:$R$159)))</f>
        <v>28.233333333333331</v>
      </c>
      <c r="Y72" s="144">
        <f t="shared" ref="Y72:Y103" ca="1" si="30">IF(VLOOKUP($B72,$AC$6:$AI$159,3,FALSE)="",$T72,IF(ISERROR(AVERAGEIF($AD$6:$AD$161,VLOOKUP($B72,$AC$6:$AI$159,2,FALSE),$T$6:$T$159)),"",AVERAGEIF($AD$6:$AD$161,VLOOKUP($B72,$AC$6:$AI$159,2,FALSE),$T$6:$T$159)))</f>
        <v>32.61</v>
      </c>
      <c r="Z72" s="144">
        <f t="shared" ref="Z72:Z103" ca="1" si="31">IF(VLOOKUP($B72,$AC$6:$AI$159,3,FALSE)="",$V72,IF(ISERROR(AVERAGEIF($AD$6:$AD$161,VLOOKUP($B72,$AC$6:$AI$159,2,FALSE),$V$6:$V$159)),"",AVERAGEIF($AD$6:$AD$161,VLOOKUP($B72,$AC$6:$AI$159,2,FALSE),$V$6:$V$159)))</f>
        <v>29.739924242424241</v>
      </c>
      <c r="AA72" s="10"/>
      <c r="AB72" s="357" t="str">
        <f>VLOOKUP($B72,'2007-2020 Metadata'!$A$4:$S$214,MATCH("Urban Area /Monitoring Zone",'2007-2020 Metadata'!$A$4:$S$4,0),FALSE)</f>
        <v>Hamilton</v>
      </c>
      <c r="AC72" s="87" t="str">
        <f>VLOOKUP(B72,'2007-2020 Metadata'!$A$6:$A$214,1,FALSE)</f>
        <v>HAM014</v>
      </c>
      <c r="AD72" s="230" t="str">
        <f>VLOOKUP($AC72,'2007-2020 Metadata'!$A$6:$S$214,9,FALSE)</f>
        <v>Hamilton</v>
      </c>
      <c r="AE72" s="248">
        <f>IF(ISBLANK(VLOOKUP($AC72,'2007-2020 Metadata'!$A$6:$S$214,19,FALSE)),"",VLOOKUP($AC72,'2007-2020 Metadata'!$A$6:$S$214,19,FALSE))</f>
        <v>2.2000000000000002</v>
      </c>
      <c r="AF72" s="88" t="str">
        <f>VLOOKUP($B72,'2007-2020 Metadata'!$A$4:$S$214,MATCH("Site type",'2007-2020 Metadata'!$A$4:$S$4,0),FALSE)</f>
        <v>Local</v>
      </c>
      <c r="AG72" s="143">
        <f t="shared" si="11"/>
        <v>24.6</v>
      </c>
      <c r="AH72" s="143">
        <f t="shared" si="12"/>
        <v>41.6</v>
      </c>
      <c r="AI72" s="144">
        <f t="shared" ca="1" si="13"/>
        <v>29.739924242424241</v>
      </c>
    </row>
    <row r="73" spans="2:35" ht="12" customHeight="1" x14ac:dyDescent="0.15">
      <c r="B73" s="40" t="s">
        <v>98</v>
      </c>
      <c r="C73" s="52">
        <f>IF(ISERROR(VLOOKUP($B73,'Monthly Summary 2010'!$B$7:$Q$221,14,FALSE)=0),"",VLOOKUP($B73,'Monthly Summary 2010'!$B$7:$Q$221,14,FALSE))</f>
        <v>24</v>
      </c>
      <c r="D73" s="36">
        <v>28.8</v>
      </c>
      <c r="E73" s="36">
        <v>27.9</v>
      </c>
      <c r="F73" s="36">
        <v>32.5</v>
      </c>
      <c r="G73" s="36">
        <v>32.200000000000003</v>
      </c>
      <c r="H73" s="36">
        <v>36.1</v>
      </c>
      <c r="I73" s="36">
        <v>37.200000000000003</v>
      </c>
      <c r="J73" s="36">
        <v>34.700000000000003</v>
      </c>
      <c r="K73" s="36">
        <v>31.9</v>
      </c>
      <c r="L73" s="36">
        <v>30.8</v>
      </c>
      <c r="M73" s="36">
        <v>32.200000000000003</v>
      </c>
      <c r="N73" s="36">
        <v>27.3</v>
      </c>
      <c r="O73" s="36">
        <v>17.7</v>
      </c>
      <c r="P73" s="37">
        <f t="shared" si="27"/>
        <v>30.774999999999995</v>
      </c>
      <c r="Q73" s="38">
        <f t="shared" si="28"/>
        <v>1</v>
      </c>
      <c r="R73" s="140">
        <f t="shared" ref="R73:R136" si="32">IF($S73=0%,"",IF($S73&gt;66%,AVERAGE($D73:$F73),"-"))</f>
        <v>29.733333333333334</v>
      </c>
      <c r="S73" s="24">
        <f t="shared" ref="S73:S136" si="33">COUNT(D73:F73)/3</f>
        <v>1</v>
      </c>
      <c r="T73" s="140">
        <f t="shared" ref="T73:T136" si="34">IF($U73=0%,"",IF($U73&gt;66%,AVERAGE($J73:$L73),"-"))</f>
        <v>32.466666666666661</v>
      </c>
      <c r="U73" s="24">
        <f t="shared" ref="U73:U136" si="35">COUNT(J73:L73)/3</f>
        <v>1</v>
      </c>
      <c r="V73" s="140">
        <f t="shared" ref="V73:V136" si="36">IF(AND(($S73&gt;33%),($U73&gt;33%),($W73&gt;=75%)),AVERAGE($D73:$O73),"-")</f>
        <v>30.774999999999995</v>
      </c>
      <c r="W73" s="150">
        <f t="shared" ref="W73:W136" si="37">Q73</f>
        <v>1</v>
      </c>
      <c r="X73" s="144">
        <f t="shared" ca="1" si="29"/>
        <v>28.233333333333331</v>
      </c>
      <c r="Y73" s="144">
        <f t="shared" ca="1" si="30"/>
        <v>32.61</v>
      </c>
      <c r="Z73" s="144">
        <f t="shared" ca="1" si="31"/>
        <v>29.739924242424241</v>
      </c>
      <c r="AA73" s="10"/>
      <c r="AB73" s="357" t="str">
        <f>VLOOKUP($B73,'2007-2020 Metadata'!$A$4:$S$214,MATCH("Urban Area /Monitoring Zone",'2007-2020 Metadata'!$A$4:$S$4,0),FALSE)</f>
        <v>Hamilton</v>
      </c>
      <c r="AC73" s="87" t="str">
        <f>VLOOKUP(B73,'2007-2020 Metadata'!$A$6:$A$214,1,FALSE)</f>
        <v>HAM015</v>
      </c>
      <c r="AD73" s="230" t="str">
        <f>VLOOKUP($AC73,'2007-2020 Metadata'!$A$6:$S$214,9,FALSE)</f>
        <v>Hamilton</v>
      </c>
      <c r="AE73" s="248">
        <f>IF(ISBLANK(VLOOKUP($AC73,'2007-2020 Metadata'!$A$6:$S$214,19,FALSE)),"",VLOOKUP($AC73,'2007-2020 Metadata'!$A$6:$S$214,19,FALSE))</f>
        <v>2.7</v>
      </c>
      <c r="AF73" s="88" t="str">
        <f>VLOOKUP($B73,'2007-2020 Metadata'!$A$4:$S$214,MATCH("Site type",'2007-2020 Metadata'!$A$4:$S$4,0),FALSE)</f>
        <v>Local</v>
      </c>
      <c r="AG73" s="143">
        <f t="shared" ref="AG73:AG136" si="38">MIN($D73:$O73)</f>
        <v>17.7</v>
      </c>
      <c r="AH73" s="143">
        <f t="shared" ref="AH73:AH136" si="39">MAX($D73:$O73)</f>
        <v>37.200000000000003</v>
      </c>
      <c r="AI73" s="144">
        <f t="shared" ref="AI73:AI136" ca="1" si="40">IF($W73&gt;=75%,$Z73," ")</f>
        <v>29.739924242424241</v>
      </c>
    </row>
    <row r="74" spans="2:35" ht="12" customHeight="1" x14ac:dyDescent="0.15">
      <c r="B74" s="40" t="s">
        <v>99</v>
      </c>
      <c r="C74" s="52">
        <f>IF(ISERROR(VLOOKUP($B74,'Monthly Summary 2010'!$B$7:$Q$221,14,FALSE)=0),"",VLOOKUP($B74,'Monthly Summary 2010'!$B$7:$Q$221,14,FALSE))</f>
        <v>13.5</v>
      </c>
      <c r="D74" s="36">
        <v>18.600000000000001</v>
      </c>
      <c r="E74" s="36">
        <v>24.7</v>
      </c>
      <c r="F74" s="36">
        <v>28</v>
      </c>
      <c r="G74" s="36">
        <v>25.7</v>
      </c>
      <c r="H74" s="36">
        <v>27.6</v>
      </c>
      <c r="I74" s="36">
        <v>32.1</v>
      </c>
      <c r="J74" s="36">
        <v>30.8</v>
      </c>
      <c r="K74" s="36">
        <v>30.2</v>
      </c>
      <c r="L74" s="36">
        <v>30</v>
      </c>
      <c r="M74" s="36">
        <v>18.100000000000001</v>
      </c>
      <c r="N74" s="36">
        <v>15.7</v>
      </c>
      <c r="O74" s="36"/>
      <c r="P74" s="37">
        <f t="shared" si="27"/>
        <v>25.59090909090909</v>
      </c>
      <c r="Q74" s="38">
        <f t="shared" si="28"/>
        <v>0.91666666666666663</v>
      </c>
      <c r="R74" s="140">
        <f t="shared" si="32"/>
        <v>23.766666666666666</v>
      </c>
      <c r="S74" s="24">
        <f t="shared" si="33"/>
        <v>1</v>
      </c>
      <c r="T74" s="140">
        <f t="shared" si="34"/>
        <v>30.333333333333332</v>
      </c>
      <c r="U74" s="24">
        <f t="shared" si="35"/>
        <v>1</v>
      </c>
      <c r="V74" s="140">
        <f t="shared" si="36"/>
        <v>25.59090909090909</v>
      </c>
      <c r="W74" s="150">
        <f t="shared" si="37"/>
        <v>0.91666666666666663</v>
      </c>
      <c r="X74" s="144">
        <f t="shared" ca="1" si="29"/>
        <v>28.233333333333331</v>
      </c>
      <c r="Y74" s="144">
        <f t="shared" ca="1" si="30"/>
        <v>32.61</v>
      </c>
      <c r="Z74" s="144">
        <f t="shared" ca="1" si="31"/>
        <v>29.739924242424241</v>
      </c>
      <c r="AA74" s="10"/>
      <c r="AB74" s="357" t="str">
        <f>VLOOKUP($B74,'2007-2020 Metadata'!$A$4:$S$214,MATCH("Urban Area /Monitoring Zone",'2007-2020 Metadata'!$A$4:$S$4,0),FALSE)</f>
        <v>Hamilton</v>
      </c>
      <c r="AC74" s="87" t="str">
        <f>VLOOKUP(B74,'2007-2020 Metadata'!$A$6:$A$214,1,FALSE)</f>
        <v>HAM016</v>
      </c>
      <c r="AD74" s="230" t="str">
        <f>VLOOKUP($AC74,'2007-2020 Metadata'!$A$6:$S$214,9,FALSE)</f>
        <v>Hamilton</v>
      </c>
      <c r="AE74" s="248">
        <f>IF(ISBLANK(VLOOKUP($AC74,'2007-2020 Metadata'!$A$6:$S$214,19,FALSE)),"",VLOOKUP($AC74,'2007-2020 Metadata'!$A$6:$S$214,19,FALSE))</f>
        <v>2.6</v>
      </c>
      <c r="AF74" s="88" t="str">
        <f>VLOOKUP($B74,'2007-2020 Metadata'!$A$4:$S$214,MATCH("Site type",'2007-2020 Metadata'!$A$4:$S$4,0),FALSE)</f>
        <v>Local</v>
      </c>
      <c r="AG74" s="143">
        <f t="shared" si="38"/>
        <v>15.7</v>
      </c>
      <c r="AH74" s="143">
        <f t="shared" si="39"/>
        <v>32.1</v>
      </c>
      <c r="AI74" s="144">
        <f t="shared" ca="1" si="40"/>
        <v>29.739924242424241</v>
      </c>
    </row>
    <row r="75" spans="2:35" ht="12" customHeight="1" x14ac:dyDescent="0.15">
      <c r="B75" s="40" t="s">
        <v>100</v>
      </c>
      <c r="C75" s="52">
        <f>IF(ISERROR(VLOOKUP($B75,'Monthly Summary 2010'!$B$7:$Q$221,14,FALSE)=0),"",VLOOKUP($B75,'Monthly Summary 2010'!$B$7:$Q$221,14,FALSE))</f>
        <v>5.0999999999999996</v>
      </c>
      <c r="D75" s="36">
        <v>8.5</v>
      </c>
      <c r="E75" s="36">
        <v>11</v>
      </c>
      <c r="F75" s="36">
        <v>15</v>
      </c>
      <c r="G75" s="36">
        <v>13.9</v>
      </c>
      <c r="H75" s="36">
        <v>15.6</v>
      </c>
      <c r="I75" s="36">
        <v>16.899999999999999</v>
      </c>
      <c r="J75" s="36">
        <v>16.3</v>
      </c>
      <c r="K75" s="36">
        <v>15.9</v>
      </c>
      <c r="L75" s="36">
        <v>13.4</v>
      </c>
      <c r="M75" s="36">
        <v>8.6999999999999993</v>
      </c>
      <c r="N75" s="36">
        <v>7</v>
      </c>
      <c r="O75" s="36">
        <v>5.7</v>
      </c>
      <c r="P75" s="37">
        <f t="shared" si="27"/>
        <v>12.325000000000001</v>
      </c>
      <c r="Q75" s="38">
        <f t="shared" si="28"/>
        <v>1</v>
      </c>
      <c r="R75" s="140">
        <f t="shared" si="32"/>
        <v>11.5</v>
      </c>
      <c r="S75" s="24">
        <f t="shared" si="33"/>
        <v>1</v>
      </c>
      <c r="T75" s="140">
        <f t="shared" si="34"/>
        <v>15.200000000000001</v>
      </c>
      <c r="U75" s="24">
        <f t="shared" si="35"/>
        <v>1</v>
      </c>
      <c r="V75" s="140">
        <f t="shared" si="36"/>
        <v>12.325000000000001</v>
      </c>
      <c r="W75" s="150">
        <f t="shared" si="37"/>
        <v>1</v>
      </c>
      <c r="X75" s="144">
        <f t="shared" ca="1" si="29"/>
        <v>28.233333333333331</v>
      </c>
      <c r="Y75" s="144">
        <f t="shared" ca="1" si="30"/>
        <v>32.61</v>
      </c>
      <c r="Z75" s="144">
        <f t="shared" ca="1" si="31"/>
        <v>29.739924242424241</v>
      </c>
      <c r="AA75" s="10"/>
      <c r="AB75" s="357" t="str">
        <f>VLOOKUP($B75,'2007-2020 Metadata'!$A$4:$S$214,MATCH("Urban Area /Monitoring Zone",'2007-2020 Metadata'!$A$4:$S$4,0),FALSE)</f>
        <v>Hamilton</v>
      </c>
      <c r="AC75" s="87" t="str">
        <f>VLOOKUP(B75,'2007-2020 Metadata'!$A$6:$A$214,1,FALSE)</f>
        <v>HAM017</v>
      </c>
      <c r="AD75" s="230" t="str">
        <f>VLOOKUP($AC75,'2007-2020 Metadata'!$A$6:$S$214,9,FALSE)</f>
        <v>Hamilton</v>
      </c>
      <c r="AE75" s="248">
        <f>IF(ISBLANK(VLOOKUP($AC75,'2007-2020 Metadata'!$A$6:$S$214,19,FALSE)),"",VLOOKUP($AC75,'2007-2020 Metadata'!$A$6:$S$214,19,FALSE))</f>
        <v>5</v>
      </c>
      <c r="AF75" s="88" t="str">
        <f>VLOOKUP($B75,'2007-2020 Metadata'!$A$4:$S$214,MATCH("Site type",'2007-2020 Metadata'!$A$4:$S$4,0),FALSE)</f>
        <v>Background</v>
      </c>
      <c r="AG75" s="143">
        <f t="shared" si="38"/>
        <v>5.7</v>
      </c>
      <c r="AH75" s="143">
        <f t="shared" si="39"/>
        <v>16.899999999999999</v>
      </c>
      <c r="AI75" s="144">
        <f t="shared" ca="1" si="40"/>
        <v>29.739924242424241</v>
      </c>
    </row>
    <row r="76" spans="2:35" ht="12" customHeight="1" x14ac:dyDescent="0.15">
      <c r="B76" s="40" t="s">
        <v>101</v>
      </c>
      <c r="C76" s="52">
        <f>IF(ISERROR(VLOOKUP($B76,'Monthly Summary 2010'!$B$7:$Q$221,14,FALSE)=0),"",VLOOKUP($B76,'Monthly Summary 2010'!$B$7:$Q$221,14,FALSE))</f>
        <v>19.3</v>
      </c>
      <c r="D76" s="36">
        <v>22.5</v>
      </c>
      <c r="E76" s="36">
        <v>29.5</v>
      </c>
      <c r="F76" s="36">
        <v>43.6</v>
      </c>
      <c r="G76" s="36">
        <v>30.6</v>
      </c>
      <c r="H76" s="36">
        <v>37.299999999999997</v>
      </c>
      <c r="I76" s="36">
        <v>33.799999999999997</v>
      </c>
      <c r="J76" s="36">
        <v>33.6</v>
      </c>
      <c r="K76" s="36">
        <v>34</v>
      </c>
      <c r="L76" s="36">
        <v>36.9</v>
      </c>
      <c r="M76" s="36">
        <v>32.1</v>
      </c>
      <c r="N76" s="36">
        <v>27.6</v>
      </c>
      <c r="O76" s="36">
        <v>21.8</v>
      </c>
      <c r="P76" s="37">
        <f t="shared" si="27"/>
        <v>31.941666666666666</v>
      </c>
      <c r="Q76" s="38">
        <f t="shared" si="28"/>
        <v>1</v>
      </c>
      <c r="R76" s="140">
        <f t="shared" si="32"/>
        <v>31.866666666666664</v>
      </c>
      <c r="S76" s="24">
        <f t="shared" si="33"/>
        <v>1</v>
      </c>
      <c r="T76" s="140">
        <f t="shared" si="34"/>
        <v>34.833333333333336</v>
      </c>
      <c r="U76" s="24">
        <f t="shared" si="35"/>
        <v>1</v>
      </c>
      <c r="V76" s="140">
        <f t="shared" si="36"/>
        <v>31.941666666666666</v>
      </c>
      <c r="W76" s="150">
        <f t="shared" si="37"/>
        <v>1</v>
      </c>
      <c r="X76" s="144">
        <f t="shared" ca="1" si="29"/>
        <v>22.097619047619045</v>
      </c>
      <c r="Y76" s="144">
        <f t="shared" ca="1" si="30"/>
        <v>28.323809523809526</v>
      </c>
      <c r="Z76" s="144">
        <f t="shared" ca="1" si="31"/>
        <v>25.020779220779222</v>
      </c>
      <c r="AA76" s="10"/>
      <c r="AB76" s="357" t="str">
        <f>VLOOKUP($B76,'2007-2020 Metadata'!$A$4:$S$214,MATCH("Urban Area /Monitoring Zone",'2007-2020 Metadata'!$A$4:$S$4,0),FALSE)</f>
        <v>Tauranga</v>
      </c>
      <c r="AC76" s="87" t="str">
        <f>VLOOKUP(B76,'2007-2020 Metadata'!$A$6:$A$214,1,FALSE)</f>
        <v>HAM018</v>
      </c>
      <c r="AD76" s="230" t="str">
        <f>VLOOKUP($AC76,'2007-2020 Metadata'!$A$6:$S$214,9,FALSE)</f>
        <v>Tauranga</v>
      </c>
      <c r="AE76" s="248">
        <f>IF(ISBLANK(VLOOKUP($AC76,'2007-2020 Metadata'!$A$6:$S$214,19,FALSE)),"",VLOOKUP($AC76,'2007-2020 Metadata'!$A$6:$S$214,19,FALSE))</f>
        <v>2.5</v>
      </c>
      <c r="AF76" s="88" t="str">
        <f>VLOOKUP($B76,'2007-2020 Metadata'!$A$4:$S$214,MATCH("Site type",'2007-2020 Metadata'!$A$4:$S$4,0),FALSE)</f>
        <v>SH</v>
      </c>
      <c r="AG76" s="143">
        <f t="shared" si="38"/>
        <v>21.8</v>
      </c>
      <c r="AH76" s="143">
        <f t="shared" si="39"/>
        <v>43.6</v>
      </c>
      <c r="AI76" s="144">
        <f t="shared" ca="1" si="40"/>
        <v>25.020779220779222</v>
      </c>
    </row>
    <row r="77" spans="2:35" ht="12" customHeight="1" x14ac:dyDescent="0.15">
      <c r="B77" s="40" t="s">
        <v>102</v>
      </c>
      <c r="C77" s="52">
        <f>IF(ISERROR(VLOOKUP($B77,'Monthly Summary 2010'!$B$7:$Q$221,14,FALSE)=0),"",VLOOKUP($B77,'Monthly Summary 2010'!$B$7:$Q$221,14,FALSE))</f>
        <v>11.7</v>
      </c>
      <c r="D77" s="36">
        <v>13</v>
      </c>
      <c r="E77" s="36">
        <v>18</v>
      </c>
      <c r="F77" s="36">
        <v>16.399999999999999</v>
      </c>
      <c r="G77" s="36">
        <v>24.6</v>
      </c>
      <c r="H77" s="36">
        <v>28.8</v>
      </c>
      <c r="I77" s="36">
        <v>27.9</v>
      </c>
      <c r="J77" s="36">
        <v>23.1</v>
      </c>
      <c r="K77" s="36">
        <v>27.1</v>
      </c>
      <c r="L77" s="36">
        <v>26.4</v>
      </c>
      <c r="M77" s="36">
        <v>17.600000000000001</v>
      </c>
      <c r="N77" s="36">
        <v>16.600000000000001</v>
      </c>
      <c r="O77" s="36">
        <v>13</v>
      </c>
      <c r="P77" s="37">
        <f t="shared" si="27"/>
        <v>21.041666666666664</v>
      </c>
      <c r="Q77" s="38">
        <f t="shared" si="28"/>
        <v>1</v>
      </c>
      <c r="R77" s="140">
        <f t="shared" si="32"/>
        <v>15.799999999999999</v>
      </c>
      <c r="S77" s="24">
        <f t="shared" si="33"/>
        <v>1</v>
      </c>
      <c r="T77" s="140">
        <f t="shared" si="34"/>
        <v>25.533333333333331</v>
      </c>
      <c r="U77" s="24">
        <f t="shared" si="35"/>
        <v>1</v>
      </c>
      <c r="V77" s="140">
        <f t="shared" si="36"/>
        <v>21.041666666666664</v>
      </c>
      <c r="W77" s="150">
        <f t="shared" si="37"/>
        <v>1</v>
      </c>
      <c r="X77" s="144">
        <f t="shared" ca="1" si="29"/>
        <v>22.097619047619045</v>
      </c>
      <c r="Y77" s="144">
        <f t="shared" ca="1" si="30"/>
        <v>28.323809523809526</v>
      </c>
      <c r="Z77" s="144">
        <f t="shared" ca="1" si="31"/>
        <v>25.020779220779222</v>
      </c>
      <c r="AA77" s="10"/>
      <c r="AB77" s="357" t="str">
        <f>VLOOKUP($B77,'2007-2020 Metadata'!$A$4:$S$214,MATCH("Urban Area /Monitoring Zone",'2007-2020 Metadata'!$A$4:$S$4,0),FALSE)</f>
        <v>Tauranga</v>
      </c>
      <c r="AC77" s="87" t="str">
        <f>VLOOKUP(B77,'2007-2020 Metadata'!$A$6:$A$214,1,FALSE)</f>
        <v>HAM019</v>
      </c>
      <c r="AD77" s="230" t="str">
        <f>VLOOKUP($AC77,'2007-2020 Metadata'!$A$6:$S$214,9,FALSE)</f>
        <v>Tauranga</v>
      </c>
      <c r="AE77" s="248">
        <f>IF(ISBLANK(VLOOKUP($AC77,'2007-2020 Metadata'!$A$6:$S$214,19,FALSE)),"",VLOOKUP($AC77,'2007-2020 Metadata'!$A$6:$S$214,19,FALSE))</f>
        <v>2.7</v>
      </c>
      <c r="AF77" s="88" t="str">
        <f>VLOOKUP($B77,'2007-2020 Metadata'!$A$4:$S$214,MATCH("Site type",'2007-2020 Metadata'!$A$4:$S$4,0),FALSE)</f>
        <v>Local</v>
      </c>
      <c r="AG77" s="143">
        <f t="shared" si="38"/>
        <v>13</v>
      </c>
      <c r="AH77" s="143">
        <f t="shared" si="39"/>
        <v>28.8</v>
      </c>
      <c r="AI77" s="144">
        <f t="shared" ca="1" si="40"/>
        <v>25.020779220779222</v>
      </c>
    </row>
    <row r="78" spans="2:35" ht="12" customHeight="1" x14ac:dyDescent="0.15">
      <c r="B78" s="40" t="s">
        <v>103</v>
      </c>
      <c r="C78" s="52">
        <f>IF(ISERROR(VLOOKUP($B78,'Monthly Summary 2010'!$B$7:$Q$221,14,FALSE)=0),"",VLOOKUP($B78,'Monthly Summary 2010'!$B$7:$Q$221,14,FALSE))</f>
        <v>10.6</v>
      </c>
      <c r="D78" s="36">
        <v>15.4</v>
      </c>
      <c r="E78" s="36">
        <v>18.5</v>
      </c>
      <c r="F78" s="36">
        <v>18.8</v>
      </c>
      <c r="G78" s="36">
        <v>23.9</v>
      </c>
      <c r="H78" s="36">
        <v>24.6</v>
      </c>
      <c r="I78" s="36">
        <v>26.7</v>
      </c>
      <c r="J78" s="36">
        <v>21.9</v>
      </c>
      <c r="K78" s="36">
        <v>23.5</v>
      </c>
      <c r="L78" s="36">
        <v>21</v>
      </c>
      <c r="M78" s="36">
        <v>17.2</v>
      </c>
      <c r="N78" s="36">
        <v>17.100000000000001</v>
      </c>
      <c r="O78" s="36">
        <v>15.4</v>
      </c>
      <c r="P78" s="37">
        <f t="shared" si="27"/>
        <v>20.333333333333332</v>
      </c>
      <c r="Q78" s="38">
        <f t="shared" si="28"/>
        <v>1</v>
      </c>
      <c r="R78" s="140">
        <f t="shared" si="32"/>
        <v>17.566666666666666</v>
      </c>
      <c r="S78" s="24">
        <f t="shared" si="33"/>
        <v>1</v>
      </c>
      <c r="T78" s="140">
        <f t="shared" si="34"/>
        <v>22.133333333333336</v>
      </c>
      <c r="U78" s="24">
        <f t="shared" si="35"/>
        <v>1</v>
      </c>
      <c r="V78" s="140">
        <f t="shared" si="36"/>
        <v>20.333333333333332</v>
      </c>
      <c r="W78" s="150">
        <f t="shared" si="37"/>
        <v>1</v>
      </c>
      <c r="X78" s="144">
        <f t="shared" ca="1" si="29"/>
        <v>22.097619047619045</v>
      </c>
      <c r="Y78" s="144">
        <f t="shared" ca="1" si="30"/>
        <v>28.323809523809526</v>
      </c>
      <c r="Z78" s="144">
        <f t="shared" ca="1" si="31"/>
        <v>25.020779220779222</v>
      </c>
      <c r="AA78" s="10"/>
      <c r="AB78" s="357" t="str">
        <f>VLOOKUP($B78,'2007-2020 Metadata'!$A$4:$S$214,MATCH("Urban Area /Monitoring Zone",'2007-2020 Metadata'!$A$4:$S$4,0),FALSE)</f>
        <v>Tauranga</v>
      </c>
      <c r="AC78" s="87" t="str">
        <f>VLOOKUP(B78,'2007-2020 Metadata'!$A$6:$A$214,1,FALSE)</f>
        <v>HAM020</v>
      </c>
      <c r="AD78" s="230" t="str">
        <f>VLOOKUP($AC78,'2007-2020 Metadata'!$A$6:$S$214,9,FALSE)</f>
        <v>Tauranga</v>
      </c>
      <c r="AE78" s="248">
        <f>IF(ISBLANK(VLOOKUP($AC78,'2007-2020 Metadata'!$A$6:$S$214,19,FALSE)),"",VLOOKUP($AC78,'2007-2020 Metadata'!$A$6:$S$214,19,FALSE))</f>
        <v>2.8</v>
      </c>
      <c r="AF78" s="88" t="str">
        <f>VLOOKUP($B78,'2007-2020 Metadata'!$A$4:$S$214,MATCH("Site type",'2007-2020 Metadata'!$A$4:$S$4,0),FALSE)</f>
        <v>Local</v>
      </c>
      <c r="AG78" s="143">
        <f t="shared" si="38"/>
        <v>15.4</v>
      </c>
      <c r="AH78" s="143">
        <f t="shared" si="39"/>
        <v>26.7</v>
      </c>
      <c r="AI78" s="144">
        <f t="shared" ca="1" si="40"/>
        <v>25.020779220779222</v>
      </c>
    </row>
    <row r="79" spans="2:35" ht="12" customHeight="1" x14ac:dyDescent="0.15">
      <c r="B79" s="40" t="s">
        <v>104</v>
      </c>
      <c r="C79" s="52">
        <f>IF(ISERROR(VLOOKUP($B79,'Monthly Summary 2010'!$B$7:$Q$221,14,FALSE)=0),"",VLOOKUP($B79,'Monthly Summary 2010'!$B$7:$Q$221,14,FALSE))</f>
        <v>5.5</v>
      </c>
      <c r="D79" s="36">
        <v>8.5</v>
      </c>
      <c r="E79" s="36">
        <v>10.199999999999999</v>
      </c>
      <c r="F79" s="36">
        <v>10.199999999999999</v>
      </c>
      <c r="G79" s="36">
        <v>13.9</v>
      </c>
      <c r="H79" s="36">
        <v>15.4</v>
      </c>
      <c r="I79" s="36">
        <v>15.4</v>
      </c>
      <c r="J79" s="36">
        <v>11</v>
      </c>
      <c r="K79" s="36">
        <v>12.9</v>
      </c>
      <c r="L79" s="36">
        <v>11.6</v>
      </c>
      <c r="M79" s="36">
        <v>7.8</v>
      </c>
      <c r="N79" s="36">
        <v>8.1999999999999993</v>
      </c>
      <c r="O79" s="36">
        <v>7.9</v>
      </c>
      <c r="P79" s="37">
        <f t="shared" si="27"/>
        <v>11.083333333333334</v>
      </c>
      <c r="Q79" s="38">
        <f t="shared" si="28"/>
        <v>1</v>
      </c>
      <c r="R79" s="140">
        <f t="shared" si="32"/>
        <v>9.6333333333333329</v>
      </c>
      <c r="S79" s="24">
        <f t="shared" si="33"/>
        <v>1</v>
      </c>
      <c r="T79" s="140">
        <f t="shared" si="34"/>
        <v>11.833333333333334</v>
      </c>
      <c r="U79" s="24">
        <f t="shared" si="35"/>
        <v>1</v>
      </c>
      <c r="V79" s="140">
        <f t="shared" si="36"/>
        <v>11.083333333333334</v>
      </c>
      <c r="W79" s="150">
        <f t="shared" si="37"/>
        <v>1</v>
      </c>
      <c r="X79" s="144">
        <f t="shared" ca="1" si="29"/>
        <v>22.097619047619045</v>
      </c>
      <c r="Y79" s="144">
        <f t="shared" ca="1" si="30"/>
        <v>28.323809523809526</v>
      </c>
      <c r="Z79" s="144">
        <f t="shared" ca="1" si="31"/>
        <v>25.020779220779222</v>
      </c>
      <c r="AA79" s="10"/>
      <c r="AB79" s="357" t="str">
        <f>VLOOKUP($B79,'2007-2020 Metadata'!$A$4:$S$214,MATCH("Urban Area /Monitoring Zone",'2007-2020 Metadata'!$A$4:$S$4,0),FALSE)</f>
        <v>Tauranga</v>
      </c>
      <c r="AC79" s="87" t="str">
        <f>VLOOKUP(B79,'2007-2020 Metadata'!$A$6:$A$214,1,FALSE)</f>
        <v>HAM021</v>
      </c>
      <c r="AD79" s="230" t="str">
        <f>VLOOKUP($AC79,'2007-2020 Metadata'!$A$6:$S$214,9,FALSE)</f>
        <v>Tauranga</v>
      </c>
      <c r="AE79" s="248">
        <f>IF(ISBLANK(VLOOKUP($AC79,'2007-2020 Metadata'!$A$6:$S$214,19,FALSE)),"",VLOOKUP($AC79,'2007-2020 Metadata'!$A$6:$S$214,19,FALSE))</f>
        <v>3</v>
      </c>
      <c r="AF79" s="88" t="str">
        <f>VLOOKUP($B79,'2007-2020 Metadata'!$A$4:$S$214,MATCH("Site type",'2007-2020 Metadata'!$A$4:$S$4,0),FALSE)</f>
        <v>Background</v>
      </c>
      <c r="AG79" s="143">
        <f t="shared" si="38"/>
        <v>7.8</v>
      </c>
      <c r="AH79" s="143">
        <f t="shared" si="39"/>
        <v>15.4</v>
      </c>
      <c r="AI79" s="144">
        <f t="shared" ca="1" si="40"/>
        <v>25.020779220779222</v>
      </c>
    </row>
    <row r="80" spans="2:35" ht="12" customHeight="1" x14ac:dyDescent="0.15">
      <c r="B80" s="40" t="s">
        <v>105</v>
      </c>
      <c r="C80" s="52">
        <f>IF(ISERROR(VLOOKUP($B80,'Monthly Summary 2010'!$B$7:$Q$221,14,FALSE)=0),"",VLOOKUP($B80,'Monthly Summary 2010'!$B$7:$Q$221,14,FALSE))</f>
        <v>8.6</v>
      </c>
      <c r="D80" s="36">
        <v>6.8</v>
      </c>
      <c r="E80" s="36">
        <v>16.8</v>
      </c>
      <c r="F80" s="36">
        <v>19.100000000000001</v>
      </c>
      <c r="G80" s="36">
        <v>22.8</v>
      </c>
      <c r="H80" s="36">
        <v>24.1</v>
      </c>
      <c r="I80" s="36">
        <v>23.1</v>
      </c>
      <c r="J80" s="36">
        <v>20.100000000000001</v>
      </c>
      <c r="K80" s="36"/>
      <c r="L80" s="36"/>
      <c r="M80" s="36"/>
      <c r="N80" s="36"/>
      <c r="O80" s="36"/>
      <c r="P80" s="37">
        <f t="shared" si="27"/>
        <v>18.971428571428568</v>
      </c>
      <c r="Q80" s="38">
        <f t="shared" si="28"/>
        <v>0.58333333333333337</v>
      </c>
      <c r="R80" s="140">
        <f t="shared" si="32"/>
        <v>14.233333333333334</v>
      </c>
      <c r="S80" s="24">
        <f t="shared" si="33"/>
        <v>1</v>
      </c>
      <c r="T80" s="140" t="str">
        <f t="shared" si="34"/>
        <v>-</v>
      </c>
      <c r="U80" s="24">
        <f t="shared" si="35"/>
        <v>0.33333333333333331</v>
      </c>
      <c r="V80" s="140" t="str">
        <f t="shared" si="36"/>
        <v>-</v>
      </c>
      <c r="W80" s="150">
        <f t="shared" si="37"/>
        <v>0.58333333333333337</v>
      </c>
      <c r="X80" s="144">
        <f t="shared" ca="1" si="29"/>
        <v>14.233333333333334</v>
      </c>
      <c r="Y80" s="144" t="str">
        <f t="shared" ca="1" si="30"/>
        <v/>
      </c>
      <c r="Z80" s="144" t="str">
        <f t="shared" ca="1" si="31"/>
        <v/>
      </c>
      <c r="AA80" s="10"/>
      <c r="AB80" s="357" t="str">
        <f>VLOOKUP($B80,'2007-2020 Metadata'!$A$4:$S$214,MATCH("Urban Area /Monitoring Zone",'2007-2020 Metadata'!$A$4:$S$4,0),FALSE)</f>
        <v>Te Awamutu</v>
      </c>
      <c r="AC80" s="87" t="str">
        <f>VLOOKUP(B80,'2007-2020 Metadata'!$A$6:$A$214,1,FALSE)</f>
        <v>HAM022</v>
      </c>
      <c r="AD80" s="230" t="str">
        <f>VLOOKUP($AC80,'2007-2020 Metadata'!$A$6:$S$214,9,FALSE)</f>
        <v>Te Awamutu</v>
      </c>
      <c r="AE80" s="248">
        <f>IF(ISBLANK(VLOOKUP($AC80,'2007-2020 Metadata'!$A$6:$S$214,19,FALSE)),"",VLOOKUP($AC80,'2007-2020 Metadata'!$A$6:$S$214,19,FALSE))</f>
        <v>3</v>
      </c>
      <c r="AF80" s="88" t="str">
        <f>VLOOKUP($B80,'2007-2020 Metadata'!$A$4:$S$214,MATCH("Site type",'2007-2020 Metadata'!$A$4:$S$4,0),FALSE)</f>
        <v>SH</v>
      </c>
      <c r="AG80" s="143">
        <f t="shared" si="38"/>
        <v>6.8</v>
      </c>
      <c r="AH80" s="143">
        <f t="shared" si="39"/>
        <v>24.1</v>
      </c>
      <c r="AI80" s="144" t="str">
        <f t="shared" si="40"/>
        <v xml:space="preserve"> </v>
      </c>
    </row>
    <row r="81" spans="2:35" ht="12" customHeight="1" x14ac:dyDescent="0.15">
      <c r="B81" s="40" t="s">
        <v>106</v>
      </c>
      <c r="C81" s="52">
        <f>IF(ISERROR(VLOOKUP($B81,'Monthly Summary 2010'!$B$7:$Q$221,14,FALSE)=0),"",VLOOKUP($B81,'Monthly Summary 2010'!$B$7:$Q$221,14,FALSE))</f>
        <v>3.6</v>
      </c>
      <c r="D81" s="36">
        <v>6.6</v>
      </c>
      <c r="E81" s="36">
        <v>8.1</v>
      </c>
      <c r="F81" s="36"/>
      <c r="G81" s="36"/>
      <c r="H81" s="36">
        <v>10.1</v>
      </c>
      <c r="I81" s="36">
        <v>14.2</v>
      </c>
      <c r="J81" s="36">
        <v>9.4</v>
      </c>
      <c r="K81" s="36">
        <v>11.5</v>
      </c>
      <c r="L81" s="36">
        <v>9.4</v>
      </c>
      <c r="M81" s="36">
        <v>9.1999999999999993</v>
      </c>
      <c r="N81" s="36">
        <v>6.7</v>
      </c>
      <c r="O81" s="36">
        <v>7.1</v>
      </c>
      <c r="P81" s="37">
        <f t="shared" si="27"/>
        <v>9.23</v>
      </c>
      <c r="Q81" s="38">
        <f t="shared" si="28"/>
        <v>0.83333333333333337</v>
      </c>
      <c r="R81" s="140">
        <f t="shared" si="32"/>
        <v>7.35</v>
      </c>
      <c r="S81" s="24">
        <f t="shared" si="33"/>
        <v>0.66666666666666663</v>
      </c>
      <c r="T81" s="140">
        <f t="shared" si="34"/>
        <v>10.1</v>
      </c>
      <c r="U81" s="24">
        <f t="shared" si="35"/>
        <v>1</v>
      </c>
      <c r="V81" s="140">
        <f t="shared" si="36"/>
        <v>9.23</v>
      </c>
      <c r="W81" s="150">
        <f t="shared" si="37"/>
        <v>0.83333333333333337</v>
      </c>
      <c r="X81" s="144">
        <f t="shared" ca="1" si="29"/>
        <v>12.2</v>
      </c>
      <c r="Y81" s="144">
        <f t="shared" ca="1" si="30"/>
        <v>17.899999999999999</v>
      </c>
      <c r="Z81" s="144">
        <f t="shared" ca="1" si="31"/>
        <v>15.22</v>
      </c>
      <c r="AA81" s="10"/>
      <c r="AB81" s="357" t="str">
        <f>VLOOKUP($B81,'2007-2020 Metadata'!$A$4:$S$214,MATCH("Urban Area /Monitoring Zone",'2007-2020 Metadata'!$A$4:$S$4,0),FALSE)</f>
        <v>Rotorua</v>
      </c>
      <c r="AC81" s="87" t="str">
        <f>VLOOKUP(B81,'2007-2020 Metadata'!$A$6:$A$214,1,FALSE)</f>
        <v>HAM023</v>
      </c>
      <c r="AD81" s="230" t="str">
        <f>VLOOKUP($AC81,'2007-2020 Metadata'!$A$6:$S$214,9,FALSE)</f>
        <v>Rotorua</v>
      </c>
      <c r="AE81" s="248">
        <f>IF(ISBLANK(VLOOKUP($AC81,'2007-2020 Metadata'!$A$6:$S$214,19,FALSE)),"",VLOOKUP($AC81,'2007-2020 Metadata'!$A$6:$S$214,19,FALSE))</f>
        <v>2.5</v>
      </c>
      <c r="AF81" s="88" t="str">
        <f>VLOOKUP($B81,'2007-2020 Metadata'!$A$4:$S$214,MATCH("Site type",'2007-2020 Metadata'!$A$4:$S$4,0),FALSE)</f>
        <v>Background</v>
      </c>
      <c r="AG81" s="143">
        <f t="shared" si="38"/>
        <v>6.6</v>
      </c>
      <c r="AH81" s="143">
        <f t="shared" si="39"/>
        <v>14.2</v>
      </c>
      <c r="AI81" s="144">
        <f t="shared" ca="1" si="40"/>
        <v>15.22</v>
      </c>
    </row>
    <row r="82" spans="2:35" ht="12" customHeight="1" x14ac:dyDescent="0.15">
      <c r="B82" s="40" t="s">
        <v>42</v>
      </c>
      <c r="C82" s="52">
        <f>IF(ISERROR(VLOOKUP($B82,'Monthly Summary 2010'!$B$7:$Q$221,14,FALSE)=0),"",VLOOKUP($B82,'Monthly Summary 2010'!$B$7:$Q$221,14,FALSE))</f>
        <v>11.7</v>
      </c>
      <c r="D82" s="36">
        <v>10.9</v>
      </c>
      <c r="E82" s="36">
        <v>13.2</v>
      </c>
      <c r="F82" s="36">
        <v>13</v>
      </c>
      <c r="G82" s="36">
        <v>17.600000000000001</v>
      </c>
      <c r="H82" s="36">
        <v>21.1</v>
      </c>
      <c r="I82" s="36">
        <v>22.3</v>
      </c>
      <c r="J82" s="36">
        <v>18.600000000000001</v>
      </c>
      <c r="K82" s="36">
        <v>20.3</v>
      </c>
      <c r="L82" s="36">
        <v>15.5</v>
      </c>
      <c r="M82" s="36">
        <v>15.4</v>
      </c>
      <c r="N82" s="36">
        <v>14.7</v>
      </c>
      <c r="O82" s="36">
        <v>11</v>
      </c>
      <c r="P82" s="37">
        <f t="shared" si="27"/>
        <v>16.133333333333336</v>
      </c>
      <c r="Q82" s="38">
        <f t="shared" si="28"/>
        <v>1</v>
      </c>
      <c r="R82" s="140">
        <f t="shared" si="32"/>
        <v>12.366666666666667</v>
      </c>
      <c r="S82" s="24">
        <f t="shared" si="33"/>
        <v>1</v>
      </c>
      <c r="T82" s="140">
        <f t="shared" si="34"/>
        <v>18.133333333333336</v>
      </c>
      <c r="U82" s="24">
        <f t="shared" si="35"/>
        <v>1</v>
      </c>
      <c r="V82" s="140">
        <f t="shared" si="36"/>
        <v>16.133333333333336</v>
      </c>
      <c r="W82" s="150">
        <f t="shared" si="37"/>
        <v>1</v>
      </c>
      <c r="X82" s="144">
        <f t="shared" ca="1" si="29"/>
        <v>12.366666666666667</v>
      </c>
      <c r="Y82" s="144">
        <f t="shared" ca="1" si="30"/>
        <v>18.133333333333336</v>
      </c>
      <c r="Z82" s="144">
        <f t="shared" ca="1" si="31"/>
        <v>16.133333333333336</v>
      </c>
      <c r="AA82" s="10"/>
      <c r="AB82" s="357" t="str">
        <f>VLOOKUP($B82,'2007-2020 Metadata'!$A$4:$S$214,MATCH("Urban Area /Monitoring Zone",'2007-2020 Metadata'!$A$4:$S$4,0),FALSE)</f>
        <v>Gisborne</v>
      </c>
      <c r="AC82" s="87" t="str">
        <f>VLOOKUP(B82,'2007-2020 Metadata'!$A$6:$A$214,1,FALSE)</f>
        <v>NAP001</v>
      </c>
      <c r="AD82" s="230" t="str">
        <f>VLOOKUP($AC82,'2007-2020 Metadata'!$A$6:$S$214,9,FALSE)</f>
        <v>Gisborne</v>
      </c>
      <c r="AE82" s="248">
        <f>IF(ISBLANK(VLOOKUP($AC82,'2007-2020 Metadata'!$A$6:$S$214,19,FALSE)),"",VLOOKUP($AC82,'2007-2020 Metadata'!$A$6:$S$214,19,FALSE))</f>
        <v>3</v>
      </c>
      <c r="AF82" s="88" t="str">
        <f>VLOOKUP($B82,'2007-2020 Metadata'!$A$4:$S$214,MATCH("Site type",'2007-2020 Metadata'!$A$4:$S$4,0),FALSE)</f>
        <v>SH</v>
      </c>
      <c r="AG82" s="143">
        <f t="shared" si="38"/>
        <v>10.9</v>
      </c>
      <c r="AH82" s="143">
        <f t="shared" si="39"/>
        <v>22.3</v>
      </c>
      <c r="AI82" s="144">
        <f t="shared" ca="1" si="40"/>
        <v>16.133333333333336</v>
      </c>
    </row>
    <row r="83" spans="2:35" ht="12" customHeight="1" x14ac:dyDescent="0.15">
      <c r="B83" s="40" t="s">
        <v>43</v>
      </c>
      <c r="C83" s="52">
        <f>IF(ISERROR(VLOOKUP($B83,'Monthly Summary 2010'!$B$7:$Q$221,14,FALSE)=0),"",VLOOKUP($B83,'Monthly Summary 2010'!$B$7:$Q$221,14,FALSE))</f>
        <v>12.1</v>
      </c>
      <c r="D83" s="36">
        <v>13</v>
      </c>
      <c r="E83" s="36">
        <v>18.600000000000001</v>
      </c>
      <c r="F83" s="36">
        <v>22</v>
      </c>
      <c r="G83" s="36"/>
      <c r="H83" s="36">
        <v>29.4</v>
      </c>
      <c r="I83" s="36">
        <v>28.3</v>
      </c>
      <c r="J83" s="36">
        <v>21.2</v>
      </c>
      <c r="K83" s="36">
        <v>23.7</v>
      </c>
      <c r="L83" s="36">
        <v>22.3</v>
      </c>
      <c r="M83" s="36"/>
      <c r="N83" s="36">
        <v>16.899999999999999</v>
      </c>
      <c r="O83" s="36">
        <v>12.6</v>
      </c>
      <c r="P83" s="37">
        <f t="shared" si="27"/>
        <v>20.8</v>
      </c>
      <c r="Q83" s="38">
        <f t="shared" si="28"/>
        <v>0.83333333333333337</v>
      </c>
      <c r="R83" s="140">
        <f t="shared" si="32"/>
        <v>17.866666666666667</v>
      </c>
      <c r="S83" s="24">
        <f t="shared" si="33"/>
        <v>1</v>
      </c>
      <c r="T83" s="140">
        <f t="shared" si="34"/>
        <v>22.400000000000002</v>
      </c>
      <c r="U83" s="24">
        <f t="shared" si="35"/>
        <v>1</v>
      </c>
      <c r="V83" s="140">
        <f t="shared" si="36"/>
        <v>20.8</v>
      </c>
      <c r="W83" s="150">
        <f t="shared" si="37"/>
        <v>0.83333333333333337</v>
      </c>
      <c r="X83" s="144">
        <f t="shared" ca="1" si="29"/>
        <v>16.433333333333334</v>
      </c>
      <c r="Y83" s="144">
        <f t="shared" ca="1" si="30"/>
        <v>21.844444444444445</v>
      </c>
      <c r="Z83" s="144">
        <f t="shared" ca="1" si="31"/>
        <v>19.622777777777781</v>
      </c>
      <c r="AA83" s="10"/>
      <c r="AB83" s="357" t="str">
        <f>VLOOKUP($B83,'2007-2020 Metadata'!$A$4:$S$214,MATCH("Urban Area /Monitoring Zone",'2007-2020 Metadata'!$A$4:$S$4,0),FALSE)</f>
        <v>Napier</v>
      </c>
      <c r="AC83" s="87" t="str">
        <f>VLOOKUP(B83,'2007-2020 Metadata'!$A$6:$A$214,1,FALSE)</f>
        <v>NAP002</v>
      </c>
      <c r="AD83" s="230" t="str">
        <f>VLOOKUP($AC83,'2007-2020 Metadata'!$A$6:$S$214,9,FALSE)</f>
        <v>Napier</v>
      </c>
      <c r="AE83" s="248">
        <f>IF(ISBLANK(VLOOKUP($AC83,'2007-2020 Metadata'!$A$6:$S$214,19,FALSE)),"",VLOOKUP($AC83,'2007-2020 Metadata'!$A$6:$S$214,19,FALSE))</f>
        <v>3</v>
      </c>
      <c r="AF83" s="88" t="str">
        <f>VLOOKUP($B83,'2007-2020 Metadata'!$A$4:$S$214,MATCH("Site type",'2007-2020 Metadata'!$A$4:$S$4,0),FALSE)</f>
        <v>SH</v>
      </c>
      <c r="AG83" s="143">
        <f t="shared" si="38"/>
        <v>12.6</v>
      </c>
      <c r="AH83" s="143">
        <f t="shared" si="39"/>
        <v>29.4</v>
      </c>
      <c r="AI83" s="144">
        <f t="shared" ca="1" si="40"/>
        <v>19.622777777777781</v>
      </c>
    </row>
    <row r="84" spans="2:35" ht="12" customHeight="1" x14ac:dyDescent="0.15">
      <c r="B84" s="40" t="s">
        <v>44</v>
      </c>
      <c r="C84" s="52">
        <f>IF(ISERROR(VLOOKUP($B84,'Monthly Summary 2010'!$B$7:$Q$221,14,FALSE)=0),"",VLOOKUP($B84,'Monthly Summary 2010'!$B$7:$Q$221,14,FALSE))</f>
        <v>14.7</v>
      </c>
      <c r="D84" s="36">
        <v>18.3</v>
      </c>
      <c r="E84" s="36">
        <v>24.4</v>
      </c>
      <c r="F84" s="36">
        <v>29.1</v>
      </c>
      <c r="G84" s="36">
        <v>31.1</v>
      </c>
      <c r="H84" s="36"/>
      <c r="I84" s="36"/>
      <c r="J84" s="36">
        <v>30.8</v>
      </c>
      <c r="K84" s="36">
        <v>32.5</v>
      </c>
      <c r="L84" s="36">
        <v>30.7</v>
      </c>
      <c r="M84" s="36">
        <v>32.200000000000003</v>
      </c>
      <c r="N84" s="36">
        <v>24.2</v>
      </c>
      <c r="O84" s="36">
        <v>24.3</v>
      </c>
      <c r="P84" s="37">
        <f t="shared" si="27"/>
        <v>27.76</v>
      </c>
      <c r="Q84" s="38">
        <f t="shared" si="28"/>
        <v>0.83333333333333337</v>
      </c>
      <c r="R84" s="140">
        <f t="shared" si="32"/>
        <v>23.933333333333337</v>
      </c>
      <c r="S84" s="24">
        <f t="shared" si="33"/>
        <v>1</v>
      </c>
      <c r="T84" s="140">
        <f t="shared" si="34"/>
        <v>31.333333333333332</v>
      </c>
      <c r="U84" s="24">
        <f t="shared" si="35"/>
        <v>1</v>
      </c>
      <c r="V84" s="140">
        <f t="shared" si="36"/>
        <v>27.76</v>
      </c>
      <c r="W84" s="150">
        <f t="shared" si="37"/>
        <v>0.83333333333333337</v>
      </c>
      <c r="X84" s="144">
        <f t="shared" ca="1" si="29"/>
        <v>16.433333333333334</v>
      </c>
      <c r="Y84" s="144">
        <f t="shared" ca="1" si="30"/>
        <v>21.844444444444445</v>
      </c>
      <c r="Z84" s="144">
        <f t="shared" ca="1" si="31"/>
        <v>19.622777777777781</v>
      </c>
      <c r="AA84" s="10"/>
      <c r="AB84" s="357" t="str">
        <f>VLOOKUP($B84,'2007-2020 Metadata'!$A$4:$S$214,MATCH("Urban Area /Monitoring Zone",'2007-2020 Metadata'!$A$4:$S$4,0),FALSE)</f>
        <v>Napier</v>
      </c>
      <c r="AC84" s="87" t="str">
        <f>VLOOKUP(B84,'2007-2020 Metadata'!$A$6:$A$214,1,FALSE)</f>
        <v>NAP003</v>
      </c>
      <c r="AD84" s="230" t="str">
        <f>VLOOKUP($AC84,'2007-2020 Metadata'!$A$6:$S$214,9,FALSE)</f>
        <v>Napier</v>
      </c>
      <c r="AE84" s="248">
        <f>IF(ISBLANK(VLOOKUP($AC84,'2007-2020 Metadata'!$A$6:$S$214,19,FALSE)),"",VLOOKUP($AC84,'2007-2020 Metadata'!$A$6:$S$214,19,FALSE))</f>
        <v>3</v>
      </c>
      <c r="AF84" s="88" t="str">
        <f>VLOOKUP($B84,'2007-2020 Metadata'!$A$4:$S$214,MATCH("Site type",'2007-2020 Metadata'!$A$4:$S$4,0),FALSE)</f>
        <v>SH</v>
      </c>
      <c r="AG84" s="143">
        <f t="shared" si="38"/>
        <v>18.3</v>
      </c>
      <c r="AH84" s="143">
        <f t="shared" si="39"/>
        <v>32.5</v>
      </c>
      <c r="AI84" s="144">
        <f t="shared" ca="1" si="40"/>
        <v>19.622777777777781</v>
      </c>
    </row>
    <row r="85" spans="2:35" ht="12" customHeight="1" x14ac:dyDescent="0.15">
      <c r="B85" s="40" t="s">
        <v>45</v>
      </c>
      <c r="C85" s="52">
        <f>IF(ISERROR(VLOOKUP($B85,'Monthly Summary 2010'!$B$7:$Q$221,14,FALSE)=0),"",VLOOKUP($B85,'Monthly Summary 2010'!$B$7:$Q$221,14,FALSE))</f>
        <v>17</v>
      </c>
      <c r="D85" s="36">
        <v>12.1</v>
      </c>
      <c r="E85" s="36">
        <v>21.5</v>
      </c>
      <c r="F85" s="36">
        <v>24.5</v>
      </c>
      <c r="G85" s="36">
        <v>26.8</v>
      </c>
      <c r="H85" s="36">
        <v>28.4</v>
      </c>
      <c r="I85" s="36">
        <v>31.9</v>
      </c>
      <c r="J85" s="36">
        <v>19.5</v>
      </c>
      <c r="K85" s="36">
        <v>24.2</v>
      </c>
      <c r="L85" s="36">
        <v>23.2</v>
      </c>
      <c r="M85" s="36">
        <v>23</v>
      </c>
      <c r="N85" s="36">
        <v>18.8</v>
      </c>
      <c r="O85" s="36">
        <v>19.100000000000001</v>
      </c>
      <c r="P85" s="37">
        <f t="shared" si="27"/>
        <v>22.75</v>
      </c>
      <c r="Q85" s="38">
        <f t="shared" si="28"/>
        <v>1</v>
      </c>
      <c r="R85" s="140">
        <f t="shared" si="32"/>
        <v>19.366666666666667</v>
      </c>
      <c r="S85" s="24">
        <f t="shared" si="33"/>
        <v>1</v>
      </c>
      <c r="T85" s="140">
        <f t="shared" si="34"/>
        <v>22.3</v>
      </c>
      <c r="U85" s="24">
        <f t="shared" si="35"/>
        <v>1</v>
      </c>
      <c r="V85" s="140">
        <f t="shared" si="36"/>
        <v>22.75</v>
      </c>
      <c r="W85" s="150">
        <f t="shared" si="37"/>
        <v>1</v>
      </c>
      <c r="X85" s="144">
        <f t="shared" ca="1" si="29"/>
        <v>14.149999999999999</v>
      </c>
      <c r="Y85" s="144">
        <f t="shared" ca="1" si="30"/>
        <v>18.600000000000001</v>
      </c>
      <c r="Z85" s="144">
        <f t="shared" ca="1" si="31"/>
        <v>17.383333333333333</v>
      </c>
      <c r="AA85" s="10"/>
      <c r="AB85" s="357" t="str">
        <f>VLOOKUP($B85,'2007-2020 Metadata'!$A$4:$S$214,MATCH("Urban Area /Monitoring Zone",'2007-2020 Metadata'!$A$4:$S$4,0),FALSE)</f>
        <v>Hastings</v>
      </c>
      <c r="AC85" s="87" t="str">
        <f>VLOOKUP(B85,'2007-2020 Metadata'!$A$6:$A$214,1,FALSE)</f>
        <v>NAP004</v>
      </c>
      <c r="AD85" s="230" t="str">
        <f>VLOOKUP($AC85,'2007-2020 Metadata'!$A$6:$S$214,9,FALSE)</f>
        <v>Hastings</v>
      </c>
      <c r="AE85" s="248">
        <f>IF(ISBLANK(VLOOKUP($AC85,'2007-2020 Metadata'!$A$6:$S$214,19,FALSE)),"",VLOOKUP($AC85,'2007-2020 Metadata'!$A$6:$S$214,19,FALSE))</f>
        <v>3</v>
      </c>
      <c r="AF85" s="88" t="str">
        <f>VLOOKUP($B85,'2007-2020 Metadata'!$A$4:$S$214,MATCH("Site type",'2007-2020 Metadata'!$A$4:$S$4,0),FALSE)</f>
        <v>SH</v>
      </c>
      <c r="AG85" s="143">
        <f t="shared" si="38"/>
        <v>12.1</v>
      </c>
      <c r="AH85" s="143">
        <f t="shared" si="39"/>
        <v>31.9</v>
      </c>
      <c r="AI85" s="144">
        <f t="shared" ca="1" si="40"/>
        <v>17.383333333333333</v>
      </c>
    </row>
    <row r="86" spans="2:35" ht="12" customHeight="1" x14ac:dyDescent="0.15">
      <c r="B86" s="40" t="s">
        <v>107</v>
      </c>
      <c r="C86" s="52">
        <f>IF(ISERROR(VLOOKUP($B86,'Monthly Summary 2010'!$B$7:$Q$221,14,FALSE)=0),"",VLOOKUP($B86,'Monthly Summary 2010'!$B$7:$Q$221,14,FALSE))</f>
        <v>5.4</v>
      </c>
      <c r="D86" s="36">
        <v>5.3</v>
      </c>
      <c r="E86" s="36">
        <v>8.4</v>
      </c>
      <c r="F86" s="36">
        <v>13.1</v>
      </c>
      <c r="G86" s="36">
        <v>13.6</v>
      </c>
      <c r="H86" s="36">
        <v>15.8</v>
      </c>
      <c r="I86" s="36">
        <v>19.399999999999999</v>
      </c>
      <c r="J86" s="36">
        <v>15.4</v>
      </c>
      <c r="K86" s="36">
        <v>17.3</v>
      </c>
      <c r="L86" s="36">
        <v>12</v>
      </c>
      <c r="M86" s="36">
        <v>8.5</v>
      </c>
      <c r="N86" s="36">
        <v>9.3000000000000007</v>
      </c>
      <c r="O86" s="36">
        <v>6.1</v>
      </c>
      <c r="P86" s="37">
        <f t="shared" si="27"/>
        <v>12.016666666666667</v>
      </c>
      <c r="Q86" s="38">
        <f t="shared" si="28"/>
        <v>1</v>
      </c>
      <c r="R86" s="140">
        <f t="shared" si="32"/>
        <v>8.9333333333333318</v>
      </c>
      <c r="S86" s="24">
        <f t="shared" si="33"/>
        <v>1</v>
      </c>
      <c r="T86" s="140">
        <f t="shared" si="34"/>
        <v>14.9</v>
      </c>
      <c r="U86" s="24">
        <f t="shared" si="35"/>
        <v>1</v>
      </c>
      <c r="V86" s="140">
        <f t="shared" si="36"/>
        <v>12.016666666666667</v>
      </c>
      <c r="W86" s="150">
        <f t="shared" si="37"/>
        <v>1</v>
      </c>
      <c r="X86" s="144">
        <f t="shared" ca="1" si="29"/>
        <v>14.149999999999999</v>
      </c>
      <c r="Y86" s="144">
        <f t="shared" ca="1" si="30"/>
        <v>18.600000000000001</v>
      </c>
      <c r="Z86" s="144">
        <f t="shared" ca="1" si="31"/>
        <v>17.383333333333333</v>
      </c>
      <c r="AA86" s="10"/>
      <c r="AB86" s="357" t="str">
        <f>VLOOKUP($B86,'2007-2020 Metadata'!$A$4:$S$214,MATCH("Urban Area /Monitoring Zone",'2007-2020 Metadata'!$A$4:$S$4,0),FALSE)</f>
        <v>Hastings</v>
      </c>
      <c r="AC86" s="87" t="str">
        <f>VLOOKUP(B86,'2007-2020 Metadata'!$A$6:$A$214,1,FALSE)</f>
        <v>NAP005</v>
      </c>
      <c r="AD86" s="230" t="str">
        <f>VLOOKUP($AC86,'2007-2020 Metadata'!$A$6:$S$214,9,FALSE)</f>
        <v>Hastings</v>
      </c>
      <c r="AE86" s="248">
        <f>IF(ISBLANK(VLOOKUP($AC86,'2007-2020 Metadata'!$A$6:$S$214,19,FALSE)),"",VLOOKUP($AC86,'2007-2020 Metadata'!$A$6:$S$214,19,FALSE))</f>
        <v>2.7</v>
      </c>
      <c r="AF86" s="88" t="str">
        <f>VLOOKUP($B86,'2007-2020 Metadata'!$A$4:$S$214,MATCH("Site type",'2007-2020 Metadata'!$A$4:$S$4,0),FALSE)</f>
        <v>Background</v>
      </c>
      <c r="AG86" s="143">
        <f t="shared" si="38"/>
        <v>5.3</v>
      </c>
      <c r="AH86" s="143">
        <f t="shared" si="39"/>
        <v>19.399999999999999</v>
      </c>
      <c r="AI86" s="144">
        <f t="shared" ca="1" si="40"/>
        <v>17.383333333333333</v>
      </c>
    </row>
    <row r="87" spans="2:35" ht="12" customHeight="1" x14ac:dyDescent="0.15">
      <c r="B87" s="40" t="s">
        <v>108</v>
      </c>
      <c r="C87" s="52">
        <f>IF(ISERROR(VLOOKUP($B87,'Monthly Summary 2010'!$B$7:$Q$221,14,FALSE)=0),"",VLOOKUP($B87,'Monthly Summary 2010'!$B$7:$Q$221,14,FALSE))</f>
        <v>5.5</v>
      </c>
      <c r="D87" s="36">
        <v>5.7</v>
      </c>
      <c r="E87" s="36">
        <v>7.3</v>
      </c>
      <c r="F87" s="36">
        <v>9.5</v>
      </c>
      <c r="G87" s="36">
        <v>11.2</v>
      </c>
      <c r="H87" s="36">
        <v>15.5</v>
      </c>
      <c r="I87" s="36">
        <v>17.100000000000001</v>
      </c>
      <c r="J87" s="36">
        <v>11.2</v>
      </c>
      <c r="K87" s="36">
        <v>13.7</v>
      </c>
      <c r="L87" s="36">
        <v>10.5</v>
      </c>
      <c r="M87" s="36">
        <v>7.5</v>
      </c>
      <c r="N87" s="36">
        <v>8</v>
      </c>
      <c r="O87" s="36">
        <v>6.5</v>
      </c>
      <c r="P87" s="37">
        <f t="shared" si="27"/>
        <v>10.308333333333335</v>
      </c>
      <c r="Q87" s="38">
        <f t="shared" si="28"/>
        <v>1</v>
      </c>
      <c r="R87" s="140">
        <f t="shared" si="32"/>
        <v>7.5</v>
      </c>
      <c r="S87" s="24">
        <f t="shared" si="33"/>
        <v>1</v>
      </c>
      <c r="T87" s="140">
        <f t="shared" si="34"/>
        <v>11.799999999999999</v>
      </c>
      <c r="U87" s="24">
        <f t="shared" si="35"/>
        <v>1</v>
      </c>
      <c r="V87" s="140">
        <f t="shared" si="36"/>
        <v>10.308333333333335</v>
      </c>
      <c r="W87" s="150">
        <f t="shared" si="37"/>
        <v>1</v>
      </c>
      <c r="X87" s="144">
        <f t="shared" ca="1" si="29"/>
        <v>16.433333333333334</v>
      </c>
      <c r="Y87" s="144">
        <f t="shared" ca="1" si="30"/>
        <v>21.844444444444445</v>
      </c>
      <c r="Z87" s="144">
        <f t="shared" ca="1" si="31"/>
        <v>19.622777777777781</v>
      </c>
      <c r="AA87" s="10"/>
      <c r="AB87" s="357" t="str">
        <f>VLOOKUP($B87,'2007-2020 Metadata'!$A$4:$S$214,MATCH("Urban Area /Monitoring Zone",'2007-2020 Metadata'!$A$4:$S$4,0),FALSE)</f>
        <v>Napier</v>
      </c>
      <c r="AC87" s="87" t="str">
        <f>VLOOKUP(B87,'2007-2020 Metadata'!$A$6:$A$214,1,FALSE)</f>
        <v>NAP006</v>
      </c>
      <c r="AD87" s="230" t="str">
        <f>VLOOKUP($AC87,'2007-2020 Metadata'!$A$6:$S$214,9,FALSE)</f>
        <v>Napier</v>
      </c>
      <c r="AE87" s="248">
        <f>IF(ISBLANK(VLOOKUP($AC87,'2007-2020 Metadata'!$A$6:$S$214,19,FALSE)),"",VLOOKUP($AC87,'2007-2020 Metadata'!$A$6:$S$214,19,FALSE))</f>
        <v>3</v>
      </c>
      <c r="AF87" s="88" t="str">
        <f>VLOOKUP($B87,'2007-2020 Metadata'!$A$4:$S$214,MATCH("Site type",'2007-2020 Metadata'!$A$4:$S$4,0),FALSE)</f>
        <v>Background</v>
      </c>
      <c r="AG87" s="143">
        <f t="shared" si="38"/>
        <v>5.7</v>
      </c>
      <c r="AH87" s="143">
        <f t="shared" si="39"/>
        <v>17.100000000000001</v>
      </c>
      <c r="AI87" s="144">
        <f t="shared" ca="1" si="40"/>
        <v>19.622777777777781</v>
      </c>
    </row>
    <row r="88" spans="2:35" ht="12" customHeight="1" x14ac:dyDescent="0.15">
      <c r="B88" s="40" t="s">
        <v>46</v>
      </c>
      <c r="C88" s="52">
        <f>IF(ISERROR(VLOOKUP($B88,'Monthly Summary 2010'!$B$7:$Q$221,14,FALSE)=0),"",VLOOKUP($B88,'Monthly Summary 2010'!$B$7:$Q$221,14,FALSE))</f>
        <v>11.4</v>
      </c>
      <c r="D88" s="36">
        <v>18.5</v>
      </c>
      <c r="E88" s="36">
        <v>21.5</v>
      </c>
      <c r="F88" s="36">
        <v>18</v>
      </c>
      <c r="G88" s="36">
        <v>29.8</v>
      </c>
      <c r="H88" s="36">
        <v>30.5</v>
      </c>
      <c r="I88" s="36">
        <v>25.2</v>
      </c>
      <c r="J88" s="36">
        <v>22.2</v>
      </c>
      <c r="K88" s="36">
        <v>25.8</v>
      </c>
      <c r="L88" s="36">
        <v>29.3</v>
      </c>
      <c r="M88" s="36">
        <v>27.1</v>
      </c>
      <c r="N88" s="36">
        <v>19.899999999999999</v>
      </c>
      <c r="O88" s="36">
        <v>19</v>
      </c>
      <c r="P88" s="37">
        <f t="shared" si="27"/>
        <v>23.900000000000002</v>
      </c>
      <c r="Q88" s="38">
        <f t="shared" si="28"/>
        <v>1</v>
      </c>
      <c r="R88" s="140">
        <f t="shared" si="32"/>
        <v>19.333333333333332</v>
      </c>
      <c r="S88" s="24">
        <f t="shared" si="33"/>
        <v>1</v>
      </c>
      <c r="T88" s="140">
        <f t="shared" si="34"/>
        <v>25.766666666666666</v>
      </c>
      <c r="U88" s="24">
        <f t="shared" si="35"/>
        <v>1</v>
      </c>
      <c r="V88" s="140">
        <f t="shared" si="36"/>
        <v>23.900000000000002</v>
      </c>
      <c r="W88" s="150">
        <f t="shared" si="37"/>
        <v>1</v>
      </c>
      <c r="X88" s="144">
        <f t="shared" ca="1" si="29"/>
        <v>13.516666666666666</v>
      </c>
      <c r="Y88" s="144">
        <f t="shared" ca="1" si="30"/>
        <v>19.466666666666665</v>
      </c>
      <c r="Z88" s="144">
        <f t="shared" ca="1" si="31"/>
        <v>16.816666666666666</v>
      </c>
      <c r="AA88" s="10"/>
      <c r="AB88" s="357" t="str">
        <f>VLOOKUP($B88,'2007-2020 Metadata'!$A$4:$S$214,MATCH("Urban Area /Monitoring Zone",'2007-2020 Metadata'!$A$4:$S$4,0),FALSE)</f>
        <v>New Plymouth</v>
      </c>
      <c r="AC88" s="87" t="str">
        <f>VLOOKUP(B88,'2007-2020 Metadata'!$A$6:$A$214,1,FALSE)</f>
        <v>WAN001</v>
      </c>
      <c r="AD88" s="230" t="str">
        <f>VLOOKUP($AC88,'2007-2020 Metadata'!$A$6:$S$214,9,FALSE)</f>
        <v>New Plymouth</v>
      </c>
      <c r="AE88" s="248">
        <f>IF(ISBLANK(VLOOKUP($AC88,'2007-2020 Metadata'!$A$6:$S$214,19,FALSE)),"",VLOOKUP($AC88,'2007-2020 Metadata'!$A$6:$S$214,19,FALSE))</f>
        <v>3</v>
      </c>
      <c r="AF88" s="88" t="str">
        <f>VLOOKUP($B88,'2007-2020 Metadata'!$A$4:$S$214,MATCH("Site type",'2007-2020 Metadata'!$A$4:$S$4,0),FALSE)</f>
        <v>SH</v>
      </c>
      <c r="AG88" s="143">
        <f t="shared" si="38"/>
        <v>18</v>
      </c>
      <c r="AH88" s="143">
        <f t="shared" si="39"/>
        <v>30.5</v>
      </c>
      <c r="AI88" s="144">
        <f t="shared" ca="1" si="40"/>
        <v>16.816666666666666</v>
      </c>
    </row>
    <row r="89" spans="2:35" ht="12" customHeight="1" x14ac:dyDescent="0.15">
      <c r="B89" s="40" t="s">
        <v>48</v>
      </c>
      <c r="C89" s="52">
        <f>IF(ISERROR(VLOOKUP($B89,'Monthly Summary 2010'!$B$7:$Q$221,14,FALSE)=0),"",VLOOKUP($B89,'Monthly Summary 2010'!$B$7:$Q$221,14,FALSE))</f>
        <v>17.2</v>
      </c>
      <c r="D89" s="36">
        <v>16.7</v>
      </c>
      <c r="E89" s="36">
        <v>24.6</v>
      </c>
      <c r="F89" s="36">
        <v>27.8</v>
      </c>
      <c r="G89" s="36">
        <v>25.7</v>
      </c>
      <c r="H89" s="36">
        <v>32.1</v>
      </c>
      <c r="I89" s="36">
        <v>37.700000000000003</v>
      </c>
      <c r="J89" s="36"/>
      <c r="K89" s="36">
        <v>31.3</v>
      </c>
      <c r="L89" s="36">
        <v>22.5</v>
      </c>
      <c r="M89" s="36">
        <v>25.7</v>
      </c>
      <c r="N89" s="36">
        <v>19.8</v>
      </c>
      <c r="O89" s="36">
        <v>15.3</v>
      </c>
      <c r="P89" s="37">
        <f t="shared" si="27"/>
        <v>25.381818181818186</v>
      </c>
      <c r="Q89" s="38">
        <f t="shared" si="28"/>
        <v>0.91666666666666663</v>
      </c>
      <c r="R89" s="140">
        <f t="shared" si="32"/>
        <v>23.033333333333331</v>
      </c>
      <c r="S89" s="24">
        <f t="shared" si="33"/>
        <v>1</v>
      </c>
      <c r="T89" s="140">
        <f t="shared" si="34"/>
        <v>26.9</v>
      </c>
      <c r="U89" s="24">
        <f t="shared" si="35"/>
        <v>0.66666666666666663</v>
      </c>
      <c r="V89" s="140">
        <f t="shared" si="36"/>
        <v>25.381818181818186</v>
      </c>
      <c r="W89" s="150">
        <f t="shared" si="37"/>
        <v>0.91666666666666663</v>
      </c>
      <c r="X89" s="144">
        <f t="shared" ca="1" si="29"/>
        <v>18.366666666666667</v>
      </c>
      <c r="Y89" s="144">
        <f t="shared" ca="1" si="30"/>
        <v>24.096666666666668</v>
      </c>
      <c r="Z89" s="144">
        <f t="shared" ca="1" si="31"/>
        <v>20.649393939393939</v>
      </c>
      <c r="AA89" s="10"/>
      <c r="AB89" s="357" t="str">
        <f>VLOOKUP($B89,'2007-2020 Metadata'!$A$4:$S$214,MATCH("Urban Area /Monitoring Zone",'2007-2020 Metadata'!$A$4:$S$4,0),FALSE)</f>
        <v>Palmerston North</v>
      </c>
      <c r="AC89" s="87" t="str">
        <f>VLOOKUP(B89,'2007-2020 Metadata'!$A$6:$A$214,1,FALSE)</f>
        <v>WAN004</v>
      </c>
      <c r="AD89" s="230" t="str">
        <f>VLOOKUP($AC89,'2007-2020 Metadata'!$A$6:$S$214,9,FALSE)</f>
        <v>Palmerston North</v>
      </c>
      <c r="AE89" s="248">
        <f>IF(ISBLANK(VLOOKUP($AC89,'2007-2020 Metadata'!$A$6:$S$214,19,FALSE)),"",VLOOKUP($AC89,'2007-2020 Metadata'!$A$6:$S$214,19,FALSE))</f>
        <v>3</v>
      </c>
      <c r="AF89" s="88" t="str">
        <f>VLOOKUP($B89,'2007-2020 Metadata'!$A$4:$S$214,MATCH("Site type",'2007-2020 Metadata'!$A$4:$S$4,0),FALSE)</f>
        <v>SH</v>
      </c>
      <c r="AG89" s="143">
        <f t="shared" si="38"/>
        <v>15.3</v>
      </c>
      <c r="AH89" s="143">
        <f t="shared" si="39"/>
        <v>37.700000000000003</v>
      </c>
      <c r="AI89" s="144">
        <f t="shared" ca="1" si="40"/>
        <v>20.649393939393939</v>
      </c>
    </row>
    <row r="90" spans="2:35" ht="12" customHeight="1" x14ac:dyDescent="0.15">
      <c r="B90" s="40" t="s">
        <v>109</v>
      </c>
      <c r="C90" s="52">
        <f>IF(ISERROR(VLOOKUP($B90,'Monthly Summary 2010'!$B$7:$Q$221,14,FALSE)=0),"",VLOOKUP($B90,'Monthly Summary 2010'!$B$7:$Q$221,14,FALSE))</f>
        <v>6.8</v>
      </c>
      <c r="D90" s="36">
        <v>6.6</v>
      </c>
      <c r="E90" s="36">
        <v>12.1</v>
      </c>
      <c r="F90" s="36">
        <v>19.3</v>
      </c>
      <c r="G90" s="36">
        <v>17.2</v>
      </c>
      <c r="H90" s="36">
        <v>16.399999999999999</v>
      </c>
      <c r="I90" s="36">
        <v>15.8</v>
      </c>
      <c r="J90" s="36">
        <v>28.1</v>
      </c>
      <c r="K90" s="36"/>
      <c r="L90" s="36">
        <v>13.2</v>
      </c>
      <c r="M90" s="36">
        <v>8.1999999999999993</v>
      </c>
      <c r="N90" s="36">
        <v>9.6999999999999993</v>
      </c>
      <c r="O90" s="36">
        <v>10.5</v>
      </c>
      <c r="P90" s="37">
        <f t="shared" si="27"/>
        <v>14.28181818181818</v>
      </c>
      <c r="Q90" s="38">
        <f t="shared" si="28"/>
        <v>0.91666666666666663</v>
      </c>
      <c r="R90" s="140">
        <f t="shared" si="32"/>
        <v>12.666666666666666</v>
      </c>
      <c r="S90" s="24">
        <f t="shared" si="33"/>
        <v>1</v>
      </c>
      <c r="T90" s="140">
        <f t="shared" si="34"/>
        <v>20.65</v>
      </c>
      <c r="U90" s="24">
        <f t="shared" si="35"/>
        <v>0.66666666666666663</v>
      </c>
      <c r="V90" s="140">
        <f t="shared" si="36"/>
        <v>14.28181818181818</v>
      </c>
      <c r="W90" s="150">
        <f t="shared" si="37"/>
        <v>0.91666666666666663</v>
      </c>
      <c r="X90" s="144">
        <f t="shared" ca="1" si="29"/>
        <v>18.366666666666667</v>
      </c>
      <c r="Y90" s="144">
        <f t="shared" ca="1" si="30"/>
        <v>24.096666666666668</v>
      </c>
      <c r="Z90" s="144">
        <f t="shared" ca="1" si="31"/>
        <v>20.649393939393939</v>
      </c>
      <c r="AA90" s="10"/>
      <c r="AB90" s="357" t="str">
        <f>VLOOKUP($B90,'2007-2020 Metadata'!$A$4:$S$214,MATCH("Urban Area /Monitoring Zone",'2007-2020 Metadata'!$A$4:$S$4,0),FALSE)</f>
        <v>Palmerston North</v>
      </c>
      <c r="AC90" s="87" t="str">
        <f>VLOOKUP(B90,'2007-2020 Metadata'!$A$6:$A$214,1,FALSE)</f>
        <v>WAN005</v>
      </c>
      <c r="AD90" s="230" t="str">
        <f>VLOOKUP($AC90,'2007-2020 Metadata'!$A$6:$S$214,9,FALSE)</f>
        <v>Palmerston North</v>
      </c>
      <c r="AE90" s="248">
        <f>IF(ISBLANK(VLOOKUP($AC90,'2007-2020 Metadata'!$A$6:$S$214,19,FALSE)),"",VLOOKUP($AC90,'2007-2020 Metadata'!$A$6:$S$214,19,FALSE))</f>
        <v>2.5</v>
      </c>
      <c r="AF90" s="88" t="str">
        <f>VLOOKUP($B90,'2007-2020 Metadata'!$A$4:$S$214,MATCH("Site type",'2007-2020 Metadata'!$A$4:$S$4,0),FALSE)</f>
        <v>SH</v>
      </c>
      <c r="AG90" s="143">
        <f t="shared" si="38"/>
        <v>6.6</v>
      </c>
      <c r="AH90" s="143">
        <f t="shared" si="39"/>
        <v>28.1</v>
      </c>
      <c r="AI90" s="144">
        <f t="shared" ca="1" si="40"/>
        <v>20.649393939393939</v>
      </c>
    </row>
    <row r="91" spans="2:35" ht="12" customHeight="1" x14ac:dyDescent="0.15">
      <c r="B91" s="40" t="s">
        <v>110</v>
      </c>
      <c r="C91" s="52">
        <f>IF(ISERROR(VLOOKUP($B91,'Monthly Summary 2010'!$B$7:$Q$221,14,FALSE)=0),"",VLOOKUP($B91,'Monthly Summary 2010'!$B$7:$Q$221,14,FALSE))</f>
        <v>17.600000000000001</v>
      </c>
      <c r="D91" s="36">
        <v>18</v>
      </c>
      <c r="E91" s="36">
        <v>26.5</v>
      </c>
      <c r="F91" s="36">
        <v>34.9</v>
      </c>
      <c r="G91" s="36">
        <v>29.5</v>
      </c>
      <c r="H91" s="36">
        <v>30.3</v>
      </c>
      <c r="I91" s="36">
        <v>39.700000000000003</v>
      </c>
      <c r="J91" s="36">
        <v>15.4</v>
      </c>
      <c r="K91" s="36">
        <v>34.1</v>
      </c>
      <c r="L91" s="36">
        <v>32</v>
      </c>
      <c r="M91" s="36">
        <v>23.1</v>
      </c>
      <c r="N91" s="36">
        <v>20</v>
      </c>
      <c r="O91" s="36">
        <v>22.1</v>
      </c>
      <c r="P91" s="37">
        <f t="shared" si="27"/>
        <v>27.13333333333334</v>
      </c>
      <c r="Q91" s="38">
        <f t="shared" si="28"/>
        <v>1</v>
      </c>
      <c r="R91" s="140">
        <f t="shared" si="32"/>
        <v>26.466666666666669</v>
      </c>
      <c r="S91" s="24">
        <f t="shared" si="33"/>
        <v>1</v>
      </c>
      <c r="T91" s="140">
        <f t="shared" si="34"/>
        <v>27.166666666666668</v>
      </c>
      <c r="U91" s="24">
        <f t="shared" si="35"/>
        <v>1</v>
      </c>
      <c r="V91" s="140">
        <f t="shared" si="36"/>
        <v>27.13333333333334</v>
      </c>
      <c r="W91" s="150">
        <f t="shared" si="37"/>
        <v>1</v>
      </c>
      <c r="X91" s="144">
        <f t="shared" ca="1" si="29"/>
        <v>18.366666666666667</v>
      </c>
      <c r="Y91" s="144">
        <f t="shared" ca="1" si="30"/>
        <v>24.096666666666668</v>
      </c>
      <c r="Z91" s="144">
        <f t="shared" ca="1" si="31"/>
        <v>20.649393939393939</v>
      </c>
      <c r="AA91" s="10"/>
      <c r="AB91" s="357" t="str">
        <f>VLOOKUP($B91,'2007-2020 Metadata'!$A$4:$S$214,MATCH("Urban Area /Monitoring Zone",'2007-2020 Metadata'!$A$4:$S$4,0),FALSE)</f>
        <v>Palmerston North</v>
      </c>
      <c r="AC91" s="87" t="str">
        <f>VLOOKUP(B91,'2007-2020 Metadata'!$A$6:$A$214,1,FALSE)</f>
        <v>WAN006</v>
      </c>
      <c r="AD91" s="230" t="str">
        <f>VLOOKUP($AC91,'2007-2020 Metadata'!$A$6:$S$214,9,FALSE)</f>
        <v>Palmerston North</v>
      </c>
      <c r="AE91" s="248">
        <f>IF(ISBLANK(VLOOKUP($AC91,'2007-2020 Metadata'!$A$6:$S$214,19,FALSE)),"",VLOOKUP($AC91,'2007-2020 Metadata'!$A$6:$S$214,19,FALSE))</f>
        <v>2.5</v>
      </c>
      <c r="AF91" s="88" t="str">
        <f>VLOOKUP($B91,'2007-2020 Metadata'!$A$4:$S$214,MATCH("Site type",'2007-2020 Metadata'!$A$4:$S$4,0),FALSE)</f>
        <v>SH</v>
      </c>
      <c r="AG91" s="143">
        <f t="shared" si="38"/>
        <v>15.4</v>
      </c>
      <c r="AH91" s="143">
        <f t="shared" si="39"/>
        <v>39.700000000000003</v>
      </c>
      <c r="AI91" s="144">
        <f t="shared" ca="1" si="40"/>
        <v>20.649393939393939</v>
      </c>
    </row>
    <row r="92" spans="2:35" ht="12" customHeight="1" x14ac:dyDescent="0.15">
      <c r="B92" s="40" t="s">
        <v>111</v>
      </c>
      <c r="C92" s="52">
        <f>IF(ISERROR(VLOOKUP($B92,'Monthly Summary 2010'!$B$7:$Q$221,14,FALSE)=0),"",VLOOKUP($B92,'Monthly Summary 2010'!$B$7:$Q$221,14,FALSE))</f>
        <v>11.2</v>
      </c>
      <c r="D92" s="36">
        <v>11.4</v>
      </c>
      <c r="E92" s="36">
        <v>17.2</v>
      </c>
      <c r="F92" s="36">
        <v>19.7</v>
      </c>
      <c r="G92" s="36">
        <v>18.7</v>
      </c>
      <c r="H92" s="36">
        <v>25.7</v>
      </c>
      <c r="I92" s="36">
        <v>28.3</v>
      </c>
      <c r="J92" s="36">
        <v>34.5</v>
      </c>
      <c r="K92" s="36">
        <v>24.7</v>
      </c>
      <c r="L92" s="36">
        <v>18</v>
      </c>
      <c r="M92" s="36">
        <v>17.7</v>
      </c>
      <c r="N92" s="36">
        <v>14.3</v>
      </c>
      <c r="O92" s="36">
        <v>12.5</v>
      </c>
      <c r="P92" s="37">
        <f t="shared" si="27"/>
        <v>20.224999999999998</v>
      </c>
      <c r="Q92" s="38">
        <f t="shared" si="28"/>
        <v>1</v>
      </c>
      <c r="R92" s="140">
        <f t="shared" si="32"/>
        <v>16.099999999999998</v>
      </c>
      <c r="S92" s="24">
        <f t="shared" si="33"/>
        <v>1</v>
      </c>
      <c r="T92" s="140">
        <f t="shared" si="34"/>
        <v>25.733333333333334</v>
      </c>
      <c r="U92" s="24">
        <f t="shared" si="35"/>
        <v>1</v>
      </c>
      <c r="V92" s="140">
        <f t="shared" si="36"/>
        <v>20.224999999999998</v>
      </c>
      <c r="W92" s="150">
        <f t="shared" si="37"/>
        <v>1</v>
      </c>
      <c r="X92" s="144">
        <f t="shared" ca="1" si="29"/>
        <v>18.366666666666667</v>
      </c>
      <c r="Y92" s="144">
        <f t="shared" ca="1" si="30"/>
        <v>24.096666666666668</v>
      </c>
      <c r="Z92" s="144">
        <f t="shared" ca="1" si="31"/>
        <v>20.649393939393939</v>
      </c>
      <c r="AA92" s="10"/>
      <c r="AB92" s="357" t="str">
        <f>VLOOKUP($B92,'2007-2020 Metadata'!$A$4:$S$214,MATCH("Urban Area /Monitoring Zone",'2007-2020 Metadata'!$A$4:$S$4,0),FALSE)</f>
        <v>Palmerston North</v>
      </c>
      <c r="AC92" s="87" t="str">
        <f>VLOOKUP(B92,'2007-2020 Metadata'!$A$6:$A$214,1,FALSE)</f>
        <v>WAN007</v>
      </c>
      <c r="AD92" s="230" t="str">
        <f>VLOOKUP($AC92,'2007-2020 Metadata'!$A$6:$S$214,9,FALSE)</f>
        <v>Palmerston North</v>
      </c>
      <c r="AE92" s="248">
        <f>IF(ISBLANK(VLOOKUP($AC92,'2007-2020 Metadata'!$A$6:$S$214,19,FALSE)),"",VLOOKUP($AC92,'2007-2020 Metadata'!$A$6:$S$214,19,FALSE))</f>
        <v>2.5</v>
      </c>
      <c r="AF92" s="88" t="str">
        <f>VLOOKUP($B92,'2007-2020 Metadata'!$A$4:$S$214,MATCH("Site type",'2007-2020 Metadata'!$A$4:$S$4,0),FALSE)</f>
        <v>Local</v>
      </c>
      <c r="AG92" s="143">
        <f t="shared" si="38"/>
        <v>11.4</v>
      </c>
      <c r="AH92" s="143">
        <f t="shared" si="39"/>
        <v>34.5</v>
      </c>
      <c r="AI92" s="144">
        <f t="shared" ca="1" si="40"/>
        <v>20.649393939393939</v>
      </c>
    </row>
    <row r="93" spans="2:35" ht="12" customHeight="1" x14ac:dyDescent="0.15">
      <c r="B93" s="40" t="s">
        <v>112</v>
      </c>
      <c r="C93" s="52">
        <f>IF(ISERROR(VLOOKUP($B93,'Monthly Summary 2010'!$B$7:$Q$221,14,FALSE)=0),"",VLOOKUP($B93,'Monthly Summary 2010'!$B$7:$Q$221,14,FALSE))</f>
        <v>10</v>
      </c>
      <c r="D93" s="36">
        <v>12</v>
      </c>
      <c r="E93" s="36">
        <v>12.5</v>
      </c>
      <c r="F93" s="36">
        <v>16.2</v>
      </c>
      <c r="G93" s="36">
        <v>14.9</v>
      </c>
      <c r="H93" s="36">
        <v>19.2</v>
      </c>
      <c r="I93" s="36">
        <v>22</v>
      </c>
      <c r="J93" s="36">
        <v>21.3</v>
      </c>
      <c r="K93" s="36">
        <v>21.7</v>
      </c>
      <c r="L93" s="36">
        <v>17.100000000000001</v>
      </c>
      <c r="M93" s="36">
        <v>15.8</v>
      </c>
      <c r="N93" s="36">
        <v>12.4</v>
      </c>
      <c r="O93" s="36">
        <v>9.6</v>
      </c>
      <c r="P93" s="37">
        <f t="shared" si="27"/>
        <v>16.224999999999998</v>
      </c>
      <c r="Q93" s="38">
        <f t="shared" si="28"/>
        <v>1</v>
      </c>
      <c r="R93" s="140">
        <f t="shared" si="32"/>
        <v>13.566666666666668</v>
      </c>
      <c r="S93" s="24">
        <f t="shared" si="33"/>
        <v>1</v>
      </c>
      <c r="T93" s="140">
        <f t="shared" si="34"/>
        <v>20.033333333333335</v>
      </c>
      <c r="U93" s="24">
        <f t="shared" si="35"/>
        <v>1</v>
      </c>
      <c r="V93" s="140">
        <f t="shared" si="36"/>
        <v>16.224999999999998</v>
      </c>
      <c r="W93" s="150">
        <f t="shared" si="37"/>
        <v>1</v>
      </c>
      <c r="X93" s="144">
        <f t="shared" ca="1" si="29"/>
        <v>18.366666666666667</v>
      </c>
      <c r="Y93" s="144">
        <f t="shared" ca="1" si="30"/>
        <v>24.096666666666668</v>
      </c>
      <c r="Z93" s="144">
        <f t="shared" ca="1" si="31"/>
        <v>20.649393939393939</v>
      </c>
      <c r="AA93" s="10"/>
      <c r="AB93" s="357" t="str">
        <f>VLOOKUP($B93,'2007-2020 Metadata'!$A$4:$S$214,MATCH("Urban Area /Monitoring Zone",'2007-2020 Metadata'!$A$4:$S$4,0),FALSE)</f>
        <v>Palmerston North</v>
      </c>
      <c r="AC93" s="87" t="str">
        <f>VLOOKUP(B93,'2007-2020 Metadata'!$A$6:$A$214,1,FALSE)</f>
        <v>WAN008</v>
      </c>
      <c r="AD93" s="230" t="str">
        <f>VLOOKUP($AC93,'2007-2020 Metadata'!$A$6:$S$214,9,FALSE)</f>
        <v>Palmerston North</v>
      </c>
      <c r="AE93" s="248">
        <f>IF(ISBLANK(VLOOKUP($AC93,'2007-2020 Metadata'!$A$6:$S$214,19,FALSE)),"",VLOOKUP($AC93,'2007-2020 Metadata'!$A$6:$S$214,19,FALSE))</f>
        <v>2.5</v>
      </c>
      <c r="AF93" s="88" t="str">
        <f>VLOOKUP($B93,'2007-2020 Metadata'!$A$4:$S$214,MATCH("Site type",'2007-2020 Metadata'!$A$4:$S$4,0),FALSE)</f>
        <v>Background</v>
      </c>
      <c r="AG93" s="143">
        <f t="shared" si="38"/>
        <v>9.6</v>
      </c>
      <c r="AH93" s="143">
        <f t="shared" si="39"/>
        <v>22</v>
      </c>
      <c r="AI93" s="144">
        <f t="shared" ca="1" si="40"/>
        <v>20.649393939393939</v>
      </c>
    </row>
    <row r="94" spans="2:35" ht="12" customHeight="1" x14ac:dyDescent="0.15">
      <c r="B94" s="40" t="s">
        <v>113</v>
      </c>
      <c r="C94" s="52">
        <f>IF(ISERROR(VLOOKUP($B94,'Monthly Summary 2010'!$B$7:$Q$221,14,FALSE)=0),"",VLOOKUP($B94,'Monthly Summary 2010'!$B$7:$Q$221,14,FALSE))</f>
        <v>5.0999999999999996</v>
      </c>
      <c r="D94" s="36">
        <v>7.2</v>
      </c>
      <c r="E94" s="36">
        <v>8.1999999999999993</v>
      </c>
      <c r="F94" s="36">
        <v>7.7</v>
      </c>
      <c r="G94" s="36">
        <v>12</v>
      </c>
      <c r="H94" s="36">
        <v>9.6999999999999993</v>
      </c>
      <c r="I94" s="36">
        <v>11.4</v>
      </c>
      <c r="J94" s="36">
        <v>20.9</v>
      </c>
      <c r="K94" s="36">
        <v>10.1</v>
      </c>
      <c r="L94" s="36">
        <v>8.5</v>
      </c>
      <c r="M94" s="36">
        <v>7</v>
      </c>
      <c r="N94" s="36">
        <v>7.2</v>
      </c>
      <c r="O94" s="36">
        <v>6.9</v>
      </c>
      <c r="P94" s="37">
        <f t="shared" si="27"/>
        <v>9.7333333333333325</v>
      </c>
      <c r="Q94" s="38">
        <f t="shared" si="28"/>
        <v>1</v>
      </c>
      <c r="R94" s="140">
        <f t="shared" si="32"/>
        <v>7.6999999999999993</v>
      </c>
      <c r="S94" s="24">
        <f t="shared" si="33"/>
        <v>1</v>
      </c>
      <c r="T94" s="140">
        <f t="shared" si="34"/>
        <v>13.166666666666666</v>
      </c>
      <c r="U94" s="24">
        <f t="shared" si="35"/>
        <v>1</v>
      </c>
      <c r="V94" s="140">
        <f t="shared" si="36"/>
        <v>9.7333333333333325</v>
      </c>
      <c r="W94" s="150">
        <f t="shared" si="37"/>
        <v>1</v>
      </c>
      <c r="X94" s="144">
        <f t="shared" ca="1" si="29"/>
        <v>13.516666666666666</v>
      </c>
      <c r="Y94" s="144">
        <f t="shared" ca="1" si="30"/>
        <v>19.466666666666665</v>
      </c>
      <c r="Z94" s="144">
        <f t="shared" ca="1" si="31"/>
        <v>16.816666666666666</v>
      </c>
      <c r="AA94" s="10"/>
      <c r="AB94" s="357" t="str">
        <f>VLOOKUP($B94,'2007-2020 Metadata'!$A$4:$S$214,MATCH("Urban Area /Monitoring Zone",'2007-2020 Metadata'!$A$4:$S$4,0),FALSE)</f>
        <v>New Plymouth</v>
      </c>
      <c r="AC94" s="87" t="str">
        <f>VLOOKUP(B94,'2007-2020 Metadata'!$A$6:$A$214,1,FALSE)</f>
        <v>WAN009</v>
      </c>
      <c r="AD94" s="230" t="str">
        <f>VLOOKUP($AC94,'2007-2020 Metadata'!$A$6:$S$214,9,FALSE)</f>
        <v>New Plymouth</v>
      </c>
      <c r="AE94" s="248">
        <f>IF(ISBLANK(VLOOKUP($AC94,'2007-2020 Metadata'!$A$6:$S$214,19,FALSE)),"",VLOOKUP($AC94,'2007-2020 Metadata'!$A$6:$S$214,19,FALSE))</f>
        <v>2.5</v>
      </c>
      <c r="AF94" s="88" t="str">
        <f>VLOOKUP($B94,'2007-2020 Metadata'!$A$4:$S$214,MATCH("Site type",'2007-2020 Metadata'!$A$4:$S$4,0),FALSE)</f>
        <v>Background</v>
      </c>
      <c r="AG94" s="143">
        <f t="shared" si="38"/>
        <v>6.9</v>
      </c>
      <c r="AH94" s="143">
        <f t="shared" si="39"/>
        <v>20.9</v>
      </c>
      <c r="AI94" s="144">
        <f t="shared" ca="1" si="40"/>
        <v>16.816666666666666</v>
      </c>
    </row>
    <row r="95" spans="2:35" ht="12" customHeight="1" x14ac:dyDescent="0.15">
      <c r="B95" s="40" t="s">
        <v>114</v>
      </c>
      <c r="C95" s="52">
        <f>IF(ISERROR(VLOOKUP($B95,'Monthly Summary 2010'!$B$7:$Q$221,14,FALSE)=0),"",VLOOKUP($B95,'Monthly Summary 2010'!$B$7:$Q$221,14,FALSE))</f>
        <v>13.6</v>
      </c>
      <c r="D95" s="36">
        <v>17.399999999999999</v>
      </c>
      <c r="E95" s="36">
        <v>24.9</v>
      </c>
      <c r="F95" s="36">
        <v>26</v>
      </c>
      <c r="G95" s="36">
        <v>27</v>
      </c>
      <c r="H95" s="36"/>
      <c r="I95" s="36">
        <v>27.1</v>
      </c>
      <c r="J95" s="36">
        <v>27.7</v>
      </c>
      <c r="K95" s="36">
        <v>29.6</v>
      </c>
      <c r="L95" s="36">
        <v>26.4</v>
      </c>
      <c r="M95" s="36">
        <v>24.8</v>
      </c>
      <c r="N95" s="36">
        <v>23</v>
      </c>
      <c r="O95" s="36">
        <v>19.7</v>
      </c>
      <c r="P95" s="37">
        <f t="shared" si="27"/>
        <v>24.872727272727275</v>
      </c>
      <c r="Q95" s="38">
        <f t="shared" si="28"/>
        <v>0.91666666666666663</v>
      </c>
      <c r="R95" s="140">
        <f t="shared" si="32"/>
        <v>22.766666666666666</v>
      </c>
      <c r="S95" s="24">
        <f t="shared" si="33"/>
        <v>1</v>
      </c>
      <c r="T95" s="140">
        <f t="shared" si="34"/>
        <v>27.899999999999995</v>
      </c>
      <c r="U95" s="24">
        <f t="shared" si="35"/>
        <v>1</v>
      </c>
      <c r="V95" s="140">
        <f t="shared" si="36"/>
        <v>24.872727272727275</v>
      </c>
      <c r="W95" s="150">
        <f t="shared" si="37"/>
        <v>0.91666666666666663</v>
      </c>
      <c r="X95" s="144">
        <f t="shared" ca="1" si="29"/>
        <v>22.766666666666666</v>
      </c>
      <c r="Y95" s="144">
        <f t="shared" ca="1" si="30"/>
        <v>27.899999999999995</v>
      </c>
      <c r="Z95" s="144">
        <f t="shared" ca="1" si="31"/>
        <v>24.872727272727275</v>
      </c>
      <c r="AA95" s="10"/>
      <c r="AB95" s="357" t="str">
        <f>VLOOKUP($B95,'2007-2020 Metadata'!$A$4:$S$214,MATCH("Urban Area /Monitoring Zone",'2007-2020 Metadata'!$A$4:$S$4,0),FALSE)</f>
        <v>Whanganui</v>
      </c>
      <c r="AC95" s="87" t="str">
        <f>VLOOKUP(B95,'2007-2020 Metadata'!$A$6:$A$214,1,FALSE)</f>
        <v>WAN010</v>
      </c>
      <c r="AD95" s="230" t="str">
        <f>VLOOKUP($AC95,'2007-2020 Metadata'!$A$6:$S$214,9,FALSE)</f>
        <v>Whanganui</v>
      </c>
      <c r="AE95" s="248">
        <f>IF(ISBLANK(VLOOKUP($AC95,'2007-2020 Metadata'!$A$6:$S$214,19,FALSE)),"",VLOOKUP($AC95,'2007-2020 Metadata'!$A$6:$S$214,19,FALSE))</f>
        <v>3</v>
      </c>
      <c r="AF95" s="88" t="str">
        <f>VLOOKUP($B95,'2007-2020 Metadata'!$A$4:$S$214,MATCH("Site type",'2007-2020 Metadata'!$A$4:$S$4,0),FALSE)</f>
        <v>SH</v>
      </c>
      <c r="AG95" s="143">
        <f t="shared" si="38"/>
        <v>17.399999999999999</v>
      </c>
      <c r="AH95" s="143">
        <f t="shared" si="39"/>
        <v>29.6</v>
      </c>
      <c r="AI95" s="144">
        <f t="shared" ca="1" si="40"/>
        <v>24.872727272727275</v>
      </c>
    </row>
    <row r="96" spans="2:35" ht="12" customHeight="1" x14ac:dyDescent="0.15">
      <c r="B96" s="40" t="s">
        <v>49</v>
      </c>
      <c r="C96" s="52">
        <f>IF(ISERROR(VLOOKUP($B96,'Monthly Summary 2010'!$B$7:$Q$221,14,FALSE)=0),"",VLOOKUP($B96,'Monthly Summary 2010'!$B$7:$Q$221,14,FALSE))</f>
        <v>15.4</v>
      </c>
      <c r="D96" s="36">
        <v>15.9</v>
      </c>
      <c r="E96" s="36">
        <v>23.7</v>
      </c>
      <c r="F96" s="36">
        <v>29.2</v>
      </c>
      <c r="G96" s="36">
        <v>29</v>
      </c>
      <c r="H96" s="36">
        <v>24.5</v>
      </c>
      <c r="I96" s="36">
        <v>33.6</v>
      </c>
      <c r="J96" s="36">
        <v>35.799999999999997</v>
      </c>
      <c r="K96" s="36">
        <v>34.9</v>
      </c>
      <c r="L96" s="36">
        <v>35.1</v>
      </c>
      <c r="M96" s="36">
        <v>27.9</v>
      </c>
      <c r="N96" s="36">
        <v>21</v>
      </c>
      <c r="O96" s="36">
        <v>16.7</v>
      </c>
      <c r="P96" s="37">
        <f t="shared" si="27"/>
        <v>27.274999999999995</v>
      </c>
      <c r="Q96" s="38">
        <f t="shared" si="28"/>
        <v>1</v>
      </c>
      <c r="R96" s="140">
        <f t="shared" si="32"/>
        <v>22.933333333333334</v>
      </c>
      <c r="S96" s="24">
        <f t="shared" si="33"/>
        <v>1</v>
      </c>
      <c r="T96" s="140">
        <f t="shared" si="34"/>
        <v>35.266666666666659</v>
      </c>
      <c r="U96" s="24">
        <f t="shared" si="35"/>
        <v>1</v>
      </c>
      <c r="V96" s="140">
        <f t="shared" si="36"/>
        <v>27.274999999999995</v>
      </c>
      <c r="W96" s="150">
        <f t="shared" si="37"/>
        <v>1</v>
      </c>
      <c r="X96" s="144">
        <f t="shared" ca="1" si="29"/>
        <v>16.090476190476188</v>
      </c>
      <c r="Y96" s="144">
        <f t="shared" ca="1" si="30"/>
        <v>24.509523809523809</v>
      </c>
      <c r="Z96" s="144">
        <f t="shared" ca="1" si="31"/>
        <v>20.118939393939396</v>
      </c>
      <c r="AA96" s="10"/>
      <c r="AB96" s="357" t="str">
        <f>VLOOKUP($B96,'2007-2020 Metadata'!$A$4:$S$214,MATCH("Urban Area /Monitoring Zone",'2007-2020 Metadata'!$A$4:$S$4,0),FALSE)</f>
        <v>Lower Hutt</v>
      </c>
      <c r="AC96" s="87" t="str">
        <f>VLOOKUP(B96,'2007-2020 Metadata'!$A$6:$A$214,1,FALSE)</f>
        <v>WEL002</v>
      </c>
      <c r="AD96" s="230" t="str">
        <f>VLOOKUP($AC96,'2007-2020 Metadata'!$A$6:$S$214,9,FALSE)</f>
        <v>Lower Hutt</v>
      </c>
      <c r="AE96" s="248">
        <f>IF(ISBLANK(VLOOKUP($AC96,'2007-2020 Metadata'!$A$6:$S$214,19,FALSE)),"",VLOOKUP($AC96,'2007-2020 Metadata'!$A$6:$S$214,19,FALSE))</f>
        <v>3.2</v>
      </c>
      <c r="AF96" s="88" t="str">
        <f>VLOOKUP($B96,'2007-2020 Metadata'!$A$4:$S$214,MATCH("Site type",'2007-2020 Metadata'!$A$4:$S$4,0),FALSE)</f>
        <v>SH</v>
      </c>
      <c r="AG96" s="143">
        <f t="shared" si="38"/>
        <v>15.9</v>
      </c>
      <c r="AH96" s="143">
        <f t="shared" si="39"/>
        <v>35.799999999999997</v>
      </c>
      <c r="AI96" s="144">
        <f t="shared" ca="1" si="40"/>
        <v>20.118939393939396</v>
      </c>
    </row>
    <row r="97" spans="2:35" ht="12" customHeight="1" x14ac:dyDescent="0.15">
      <c r="B97" s="40" t="s">
        <v>50</v>
      </c>
      <c r="C97" s="52">
        <f>IF(ISERROR(VLOOKUP($B97,'Monthly Summary 2010'!$B$7:$Q$221,14,FALSE)=0),"",VLOOKUP($B97,'Monthly Summary 2010'!$B$7:$Q$221,14,FALSE))</f>
        <v>7.2</v>
      </c>
      <c r="D97" s="36">
        <v>9.9</v>
      </c>
      <c r="E97" s="36">
        <v>13.6</v>
      </c>
      <c r="F97" s="36">
        <v>17.600000000000001</v>
      </c>
      <c r="G97" s="36">
        <v>22.1</v>
      </c>
      <c r="H97" s="36">
        <v>22.5</v>
      </c>
      <c r="I97" s="36">
        <v>19.7</v>
      </c>
      <c r="J97" s="36">
        <v>21.6</v>
      </c>
      <c r="K97" s="36">
        <v>19.399999999999999</v>
      </c>
      <c r="L97" s="36">
        <v>19.399999999999999</v>
      </c>
      <c r="M97" s="36"/>
      <c r="N97" s="36">
        <v>12.8</v>
      </c>
      <c r="O97" s="36">
        <v>12.9</v>
      </c>
      <c r="P97" s="37">
        <f t="shared" si="27"/>
        <v>17.40909090909091</v>
      </c>
      <c r="Q97" s="38">
        <f t="shared" si="28"/>
        <v>0.91666666666666663</v>
      </c>
      <c r="R97" s="140">
        <f t="shared" si="32"/>
        <v>13.700000000000001</v>
      </c>
      <c r="S97" s="24">
        <f t="shared" si="33"/>
        <v>1</v>
      </c>
      <c r="T97" s="140">
        <f t="shared" si="34"/>
        <v>20.133333333333333</v>
      </c>
      <c r="U97" s="24">
        <f t="shared" si="35"/>
        <v>1</v>
      </c>
      <c r="V97" s="140">
        <f t="shared" si="36"/>
        <v>17.40909090909091</v>
      </c>
      <c r="W97" s="150">
        <f t="shared" si="37"/>
        <v>0.91666666666666663</v>
      </c>
      <c r="X97" s="144">
        <f t="shared" ca="1" si="29"/>
        <v>16.090476190476188</v>
      </c>
      <c r="Y97" s="144">
        <f t="shared" ca="1" si="30"/>
        <v>24.509523809523809</v>
      </c>
      <c r="Z97" s="144">
        <f t="shared" ca="1" si="31"/>
        <v>20.118939393939396</v>
      </c>
      <c r="AA97" s="10"/>
      <c r="AB97" s="357" t="str">
        <f>VLOOKUP($B97,'2007-2020 Metadata'!$A$4:$S$214,MATCH("Urban Area /Monitoring Zone",'2007-2020 Metadata'!$A$4:$S$4,0),FALSE)</f>
        <v>Lower Hutt</v>
      </c>
      <c r="AC97" s="87" t="str">
        <f>VLOOKUP(B97,'2007-2020 Metadata'!$A$6:$A$214,1,FALSE)</f>
        <v>WEL003</v>
      </c>
      <c r="AD97" s="230" t="str">
        <f>VLOOKUP($AC97,'2007-2020 Metadata'!$A$6:$S$214,9,FALSE)</f>
        <v>Lower Hutt</v>
      </c>
      <c r="AE97" s="248">
        <f>IF(ISBLANK(VLOOKUP($AC97,'2007-2020 Metadata'!$A$6:$S$214,19,FALSE)),"",VLOOKUP($AC97,'2007-2020 Metadata'!$A$6:$S$214,19,FALSE))</f>
        <v>3.3</v>
      </c>
      <c r="AF97" s="88" t="str">
        <f>VLOOKUP($B97,'2007-2020 Metadata'!$A$4:$S$214,MATCH("Site type",'2007-2020 Metadata'!$A$4:$S$4,0),FALSE)</f>
        <v>SH</v>
      </c>
      <c r="AG97" s="143">
        <f t="shared" si="38"/>
        <v>9.9</v>
      </c>
      <c r="AH97" s="143">
        <f t="shared" si="39"/>
        <v>22.5</v>
      </c>
      <c r="AI97" s="144">
        <f t="shared" ca="1" si="40"/>
        <v>20.118939393939396</v>
      </c>
    </row>
    <row r="98" spans="2:35" ht="12" customHeight="1" x14ac:dyDescent="0.15">
      <c r="B98" s="40" t="s">
        <v>52</v>
      </c>
      <c r="C98" s="52">
        <f>IF(ISERROR(VLOOKUP($B98,'Monthly Summary 2010'!$B$7:$Q$221,14,FALSE)=0),"",VLOOKUP($B98,'Monthly Summary 2010'!$B$7:$Q$221,14,FALSE))</f>
        <v>6.1</v>
      </c>
      <c r="D98" s="36">
        <v>19.2</v>
      </c>
      <c r="E98" s="36">
        <v>19.899999999999999</v>
      </c>
      <c r="F98" s="36">
        <v>20.3</v>
      </c>
      <c r="G98" s="36">
        <v>22.6</v>
      </c>
      <c r="H98" s="36">
        <v>25.3</v>
      </c>
      <c r="I98" s="36">
        <v>23.4</v>
      </c>
      <c r="J98" s="36">
        <v>25.8</v>
      </c>
      <c r="K98" s="36">
        <v>25</v>
      </c>
      <c r="L98" s="36">
        <v>28.5</v>
      </c>
      <c r="M98" s="36">
        <v>14.6</v>
      </c>
      <c r="N98" s="36">
        <v>20.8</v>
      </c>
      <c r="O98" s="36">
        <v>16.399999999999999</v>
      </c>
      <c r="P98" s="37">
        <f t="shared" si="27"/>
        <v>21.816666666666666</v>
      </c>
      <c r="Q98" s="38">
        <f t="shared" si="28"/>
        <v>1</v>
      </c>
      <c r="R98" s="140">
        <f t="shared" si="32"/>
        <v>19.799999999999997</v>
      </c>
      <c r="S98" s="24">
        <f t="shared" si="33"/>
        <v>1</v>
      </c>
      <c r="T98" s="140">
        <f t="shared" si="34"/>
        <v>26.433333333333334</v>
      </c>
      <c r="U98" s="24">
        <f t="shared" si="35"/>
        <v>1</v>
      </c>
      <c r="V98" s="140">
        <f t="shared" si="36"/>
        <v>21.816666666666666</v>
      </c>
      <c r="W98" s="150">
        <f t="shared" si="37"/>
        <v>1</v>
      </c>
      <c r="X98" s="144">
        <f t="shared" ca="1" si="29"/>
        <v>19.799999999999997</v>
      </c>
      <c r="Y98" s="144">
        <f t="shared" ca="1" si="30"/>
        <v>26.433333333333334</v>
      </c>
      <c r="Z98" s="144">
        <f t="shared" ca="1" si="31"/>
        <v>21.816666666666666</v>
      </c>
      <c r="AA98" s="10"/>
      <c r="AB98" s="357" t="str">
        <f>VLOOKUP($B98,'2007-2020 Metadata'!$A$4:$S$214,MATCH("Urban Area /Monitoring Zone",'2007-2020 Metadata'!$A$4:$S$4,0),FALSE)</f>
        <v>Porirua</v>
      </c>
      <c r="AC98" s="87" t="str">
        <f>VLOOKUP(B98,'2007-2020 Metadata'!$A$6:$A$214,1,FALSE)</f>
        <v>WEL005</v>
      </c>
      <c r="AD98" s="230" t="str">
        <f>VLOOKUP($AC98,'2007-2020 Metadata'!$A$6:$S$214,9,FALSE)</f>
        <v>Porirua</v>
      </c>
      <c r="AE98" s="248">
        <f>IF(ISBLANK(VLOOKUP($AC98,'2007-2020 Metadata'!$A$6:$S$214,19,FALSE)),"",VLOOKUP($AC98,'2007-2020 Metadata'!$A$6:$S$214,19,FALSE))</f>
        <v>3.2</v>
      </c>
      <c r="AF98" s="88" t="str">
        <f>VLOOKUP($B98,'2007-2020 Metadata'!$A$4:$S$214,MATCH("Site type",'2007-2020 Metadata'!$A$4:$S$4,0),FALSE)</f>
        <v>SH</v>
      </c>
      <c r="AG98" s="143">
        <f t="shared" si="38"/>
        <v>14.6</v>
      </c>
      <c r="AH98" s="143">
        <f t="shared" si="39"/>
        <v>28.5</v>
      </c>
      <c r="AI98" s="144">
        <f t="shared" ca="1" si="40"/>
        <v>21.816666666666666</v>
      </c>
    </row>
    <row r="99" spans="2:35" ht="12" customHeight="1" x14ac:dyDescent="0.15">
      <c r="B99" s="40" t="s">
        <v>53</v>
      </c>
      <c r="C99" s="52">
        <f>IF(ISERROR(VLOOKUP($B99,'Monthly Summary 2010'!$B$7:$Q$221,14,FALSE)=0),"",VLOOKUP($B99,'Monthly Summary 2010'!$B$7:$Q$221,14,FALSE))</f>
        <v>12.6</v>
      </c>
      <c r="D99" s="36"/>
      <c r="E99" s="36">
        <v>17.5</v>
      </c>
      <c r="F99" s="36">
        <v>20</v>
      </c>
      <c r="G99" s="36">
        <v>26.4</v>
      </c>
      <c r="H99" s="36">
        <v>23.2</v>
      </c>
      <c r="I99" s="36">
        <v>24.2</v>
      </c>
      <c r="J99" s="36">
        <v>27.7</v>
      </c>
      <c r="K99" s="36">
        <v>22.1</v>
      </c>
      <c r="L99" s="36">
        <v>19.600000000000001</v>
      </c>
      <c r="M99" s="36">
        <v>24.6</v>
      </c>
      <c r="N99" s="36">
        <v>17.100000000000001</v>
      </c>
      <c r="O99" s="36">
        <v>16.2</v>
      </c>
      <c r="P99" s="37">
        <f t="shared" si="27"/>
        <v>21.690909090909088</v>
      </c>
      <c r="Q99" s="38">
        <f t="shared" si="28"/>
        <v>0.91666666666666663</v>
      </c>
      <c r="R99" s="140">
        <f t="shared" si="32"/>
        <v>18.75</v>
      </c>
      <c r="S99" s="24">
        <f t="shared" si="33"/>
        <v>0.66666666666666663</v>
      </c>
      <c r="T99" s="140">
        <f t="shared" si="34"/>
        <v>23.133333333333336</v>
      </c>
      <c r="U99" s="24">
        <f t="shared" si="35"/>
        <v>1</v>
      </c>
      <c r="V99" s="140">
        <f t="shared" si="36"/>
        <v>21.690909090909088</v>
      </c>
      <c r="W99" s="150">
        <f t="shared" si="37"/>
        <v>0.91666666666666663</v>
      </c>
      <c r="X99" s="144">
        <f t="shared" ca="1" si="29"/>
        <v>21.463636363636365</v>
      </c>
      <c r="Y99" s="144">
        <f t="shared" ca="1" si="30"/>
        <v>28.330303030303028</v>
      </c>
      <c r="Z99" s="144">
        <f t="shared" ca="1" si="31"/>
        <v>24.946487603305787</v>
      </c>
      <c r="AA99" s="10"/>
      <c r="AB99" s="357" t="str">
        <f>VLOOKUP($B99,'2007-2020 Metadata'!$A$4:$S$214,MATCH("Urban Area /Monitoring Zone",'2007-2020 Metadata'!$A$4:$S$4,0),FALSE)</f>
        <v>Wellington</v>
      </c>
      <c r="AC99" s="87" t="str">
        <f>VLOOKUP(B99,'2007-2020 Metadata'!$A$6:$A$214,1,FALSE)</f>
        <v>WEL007</v>
      </c>
      <c r="AD99" s="230" t="str">
        <f>VLOOKUP($AC99,'2007-2020 Metadata'!$A$6:$S$214,9,FALSE)</f>
        <v>Wellington</v>
      </c>
      <c r="AE99" s="248">
        <f>IF(ISBLANK(VLOOKUP($AC99,'2007-2020 Metadata'!$A$6:$S$214,19,FALSE)),"",VLOOKUP($AC99,'2007-2020 Metadata'!$A$6:$S$214,19,FALSE))</f>
        <v>1</v>
      </c>
      <c r="AF99" s="88" t="str">
        <f>VLOOKUP($B99,'2007-2020 Metadata'!$A$4:$S$214,MATCH("Site type",'2007-2020 Metadata'!$A$4:$S$4,0),FALSE)</f>
        <v>SH</v>
      </c>
      <c r="AG99" s="143">
        <f t="shared" si="38"/>
        <v>16.2</v>
      </c>
      <c r="AH99" s="143">
        <f t="shared" si="39"/>
        <v>27.7</v>
      </c>
      <c r="AI99" s="144">
        <f t="shared" ca="1" si="40"/>
        <v>24.946487603305787</v>
      </c>
    </row>
    <row r="100" spans="2:35" ht="12" customHeight="1" x14ac:dyDescent="0.15">
      <c r="B100" s="40" t="s">
        <v>54</v>
      </c>
      <c r="C100" s="52">
        <f>IF(ISERROR(VLOOKUP($B100,'Monthly Summary 2010'!$B$7:$Q$221,14,FALSE)=0),"",VLOOKUP($B100,'Monthly Summary 2010'!$B$7:$Q$221,14,FALSE))</f>
        <v>29.6</v>
      </c>
      <c r="D100" s="36">
        <v>27</v>
      </c>
      <c r="E100" s="36">
        <v>35.1</v>
      </c>
      <c r="F100" s="36">
        <v>40.799999999999997</v>
      </c>
      <c r="G100" s="36">
        <v>41.6</v>
      </c>
      <c r="H100" s="36">
        <v>32.799999999999997</v>
      </c>
      <c r="I100" s="36">
        <v>36.200000000000003</v>
      </c>
      <c r="J100" s="36">
        <v>38.700000000000003</v>
      </c>
      <c r="K100" s="36">
        <v>45.8</v>
      </c>
      <c r="L100" s="36">
        <v>42.1</v>
      </c>
      <c r="M100" s="36">
        <v>19</v>
      </c>
      <c r="N100" s="36">
        <v>32.9</v>
      </c>
      <c r="O100" s="36">
        <v>25.2</v>
      </c>
      <c r="P100" s="37">
        <f t="shared" si="27"/>
        <v>34.766666666666666</v>
      </c>
      <c r="Q100" s="38">
        <f t="shared" si="28"/>
        <v>1</v>
      </c>
      <c r="R100" s="140">
        <f t="shared" si="32"/>
        <v>34.300000000000004</v>
      </c>
      <c r="S100" s="24">
        <f t="shared" si="33"/>
        <v>1</v>
      </c>
      <c r="T100" s="140">
        <f t="shared" si="34"/>
        <v>42.199999999999996</v>
      </c>
      <c r="U100" s="24">
        <f t="shared" si="35"/>
        <v>1</v>
      </c>
      <c r="V100" s="140">
        <f t="shared" si="36"/>
        <v>34.766666666666666</v>
      </c>
      <c r="W100" s="150">
        <f t="shared" si="37"/>
        <v>1</v>
      </c>
      <c r="X100" s="144">
        <f t="shared" ca="1" si="29"/>
        <v>21.463636363636365</v>
      </c>
      <c r="Y100" s="144">
        <f t="shared" ca="1" si="30"/>
        <v>28.330303030303028</v>
      </c>
      <c r="Z100" s="144">
        <f t="shared" ca="1" si="31"/>
        <v>24.946487603305787</v>
      </c>
      <c r="AA100" s="10"/>
      <c r="AB100" s="357" t="str">
        <f>VLOOKUP($B100,'2007-2020 Metadata'!$A$4:$S$214,MATCH("Urban Area /Monitoring Zone",'2007-2020 Metadata'!$A$4:$S$4,0),FALSE)</f>
        <v>Wellington</v>
      </c>
      <c r="AC100" s="87" t="str">
        <f>VLOOKUP(B100,'2007-2020 Metadata'!$A$6:$A$214,1,FALSE)</f>
        <v>WEL008</v>
      </c>
      <c r="AD100" s="230" t="str">
        <f>VLOOKUP($AC100,'2007-2020 Metadata'!$A$6:$S$214,9,FALSE)</f>
        <v>Wellington</v>
      </c>
      <c r="AE100" s="248">
        <f>IF(ISBLANK(VLOOKUP($AC100,'2007-2020 Metadata'!$A$6:$S$214,19,FALSE)),"",VLOOKUP($AC100,'2007-2020 Metadata'!$A$6:$S$214,19,FALSE))</f>
        <v>3.1</v>
      </c>
      <c r="AF100" s="88" t="str">
        <f>VLOOKUP($B100,'2007-2020 Metadata'!$A$4:$S$214,MATCH("Site type",'2007-2020 Metadata'!$A$4:$S$4,0),FALSE)</f>
        <v>SH</v>
      </c>
      <c r="AG100" s="143">
        <f t="shared" si="38"/>
        <v>19</v>
      </c>
      <c r="AH100" s="143">
        <f t="shared" si="39"/>
        <v>45.8</v>
      </c>
      <c r="AI100" s="144">
        <f t="shared" ca="1" si="40"/>
        <v>24.946487603305787</v>
      </c>
    </row>
    <row r="101" spans="2:35" ht="12" customHeight="1" x14ac:dyDescent="0.15">
      <c r="B101" s="40" t="s">
        <v>55</v>
      </c>
      <c r="C101" s="52">
        <f>IF(ISERROR(VLOOKUP($B101,'Monthly Summary 2010'!$B$7:$Q$221,14,FALSE)=0),"",VLOOKUP($B101,'Monthly Summary 2010'!$B$7:$Q$221,14,FALSE))</f>
        <v>0</v>
      </c>
      <c r="D101" s="36">
        <v>16.399999999999999</v>
      </c>
      <c r="E101" s="36">
        <v>21.3</v>
      </c>
      <c r="F101" s="36">
        <v>19.7</v>
      </c>
      <c r="G101" s="36">
        <v>27.3</v>
      </c>
      <c r="H101" s="36">
        <v>26</v>
      </c>
      <c r="I101" s="36">
        <v>24.9</v>
      </c>
      <c r="J101" s="36">
        <v>27.9</v>
      </c>
      <c r="K101" s="36">
        <v>28.2</v>
      </c>
      <c r="L101" s="36">
        <v>26.4</v>
      </c>
      <c r="M101" s="36"/>
      <c r="N101" s="36">
        <v>22.1</v>
      </c>
      <c r="O101" s="36"/>
      <c r="P101" s="37">
        <f t="shared" si="27"/>
        <v>24.02</v>
      </c>
      <c r="Q101" s="38">
        <f t="shared" si="28"/>
        <v>0.83333333333333337</v>
      </c>
      <c r="R101" s="140">
        <f t="shared" si="32"/>
        <v>19.133333333333336</v>
      </c>
      <c r="S101" s="24">
        <f t="shared" si="33"/>
        <v>1</v>
      </c>
      <c r="T101" s="140">
        <f t="shared" si="34"/>
        <v>27.5</v>
      </c>
      <c r="U101" s="24">
        <f t="shared" si="35"/>
        <v>1</v>
      </c>
      <c r="V101" s="140">
        <f t="shared" si="36"/>
        <v>24.02</v>
      </c>
      <c r="W101" s="150">
        <f t="shared" si="37"/>
        <v>0.83333333333333337</v>
      </c>
      <c r="X101" s="144">
        <f t="shared" ca="1" si="29"/>
        <v>14.033333333333337</v>
      </c>
      <c r="Y101" s="144">
        <f t="shared" ca="1" si="30"/>
        <v>23.188888888888886</v>
      </c>
      <c r="Z101" s="144">
        <f t="shared" ca="1" si="31"/>
        <v>18.552457912457914</v>
      </c>
      <c r="AA101" s="10"/>
      <c r="AB101" s="357" t="str">
        <f>VLOOKUP($B101,'2007-2020 Metadata'!$A$4:$S$214,MATCH("Urban Area /Monitoring Zone",'2007-2020 Metadata'!$A$4:$S$4,0),FALSE)</f>
        <v>Nelson</v>
      </c>
      <c r="AC101" s="87" t="str">
        <f>VLOOKUP(B101,'2007-2020 Metadata'!$A$6:$A$214,1,FALSE)</f>
        <v>WEL009</v>
      </c>
      <c r="AD101" s="230" t="str">
        <f>VLOOKUP($AC101,'2007-2020 Metadata'!$A$6:$S$214,9,FALSE)</f>
        <v>Nelson</v>
      </c>
      <c r="AE101" s="248">
        <f>IF(ISBLANK(VLOOKUP($AC101,'2007-2020 Metadata'!$A$6:$S$214,19,FALSE)),"",VLOOKUP($AC101,'2007-2020 Metadata'!$A$6:$S$214,19,FALSE))</f>
        <v>3</v>
      </c>
      <c r="AF101" s="88" t="str">
        <f>VLOOKUP($B101,'2007-2020 Metadata'!$A$4:$S$214,MATCH("Site type",'2007-2020 Metadata'!$A$4:$S$4,0),FALSE)</f>
        <v>SH</v>
      </c>
      <c r="AG101" s="143">
        <f t="shared" si="38"/>
        <v>16.399999999999999</v>
      </c>
      <c r="AH101" s="143">
        <f t="shared" si="39"/>
        <v>28.2</v>
      </c>
      <c r="AI101" s="144">
        <f t="shared" ca="1" si="40"/>
        <v>18.552457912457914</v>
      </c>
    </row>
    <row r="102" spans="2:35" ht="12" customHeight="1" x14ac:dyDescent="0.15">
      <c r="B102" s="40" t="s">
        <v>56</v>
      </c>
      <c r="C102" s="52">
        <f>IF(ISERROR(VLOOKUP($B102,'Monthly Summary 2010'!$B$7:$Q$221,14,FALSE)=0),"",VLOOKUP($B102,'Monthly Summary 2010'!$B$7:$Q$221,14,FALSE))</f>
        <v>11</v>
      </c>
      <c r="D102" s="36">
        <v>14.3</v>
      </c>
      <c r="E102" s="36">
        <v>12.8</v>
      </c>
      <c r="F102" s="36">
        <v>17.2</v>
      </c>
      <c r="G102" s="36">
        <v>23.4</v>
      </c>
      <c r="H102" s="36">
        <v>21.5</v>
      </c>
      <c r="I102" s="36">
        <v>25</v>
      </c>
      <c r="J102" s="36">
        <v>25.8</v>
      </c>
      <c r="K102" s="36">
        <v>26.5</v>
      </c>
      <c r="L102" s="36">
        <v>23.5</v>
      </c>
      <c r="M102" s="36"/>
      <c r="N102" s="36">
        <v>17.899999999999999</v>
      </c>
      <c r="O102" s="36">
        <v>13</v>
      </c>
      <c r="P102" s="37">
        <f t="shared" si="27"/>
        <v>20.081818181818182</v>
      </c>
      <c r="Q102" s="38">
        <f t="shared" si="28"/>
        <v>0.91666666666666663</v>
      </c>
      <c r="R102" s="140">
        <f t="shared" si="32"/>
        <v>14.766666666666666</v>
      </c>
      <c r="S102" s="24">
        <f t="shared" si="33"/>
        <v>1</v>
      </c>
      <c r="T102" s="140">
        <f t="shared" si="34"/>
        <v>25.266666666666666</v>
      </c>
      <c r="U102" s="24">
        <f t="shared" si="35"/>
        <v>1</v>
      </c>
      <c r="V102" s="140">
        <f t="shared" si="36"/>
        <v>20.081818181818182</v>
      </c>
      <c r="W102" s="150">
        <f t="shared" si="37"/>
        <v>0.91666666666666663</v>
      </c>
      <c r="X102" s="144">
        <f t="shared" ca="1" si="29"/>
        <v>14.033333333333337</v>
      </c>
      <c r="Y102" s="144">
        <f t="shared" ca="1" si="30"/>
        <v>23.188888888888886</v>
      </c>
      <c r="Z102" s="144">
        <f t="shared" ca="1" si="31"/>
        <v>18.552457912457914</v>
      </c>
      <c r="AA102" s="10"/>
      <c r="AB102" s="357" t="str">
        <f>VLOOKUP($B102,'2007-2020 Metadata'!$A$4:$S$214,MATCH("Urban Area /Monitoring Zone",'2007-2020 Metadata'!$A$4:$S$4,0),FALSE)</f>
        <v>Nelson</v>
      </c>
      <c r="AC102" s="87" t="str">
        <f>VLOOKUP(B102,'2007-2020 Metadata'!$A$6:$A$214,1,FALSE)</f>
        <v>WEL010</v>
      </c>
      <c r="AD102" s="230" t="str">
        <f>VLOOKUP($AC102,'2007-2020 Metadata'!$A$6:$S$214,9,FALSE)</f>
        <v>Nelson</v>
      </c>
      <c r="AE102" s="248">
        <f>IF(ISBLANK(VLOOKUP($AC102,'2007-2020 Metadata'!$A$6:$S$214,19,FALSE)),"",VLOOKUP($AC102,'2007-2020 Metadata'!$A$6:$S$214,19,FALSE))</f>
        <v>2.4</v>
      </c>
      <c r="AF102" s="88" t="str">
        <f>VLOOKUP($B102,'2007-2020 Metadata'!$A$4:$S$214,MATCH("Site type",'2007-2020 Metadata'!$A$4:$S$4,0),FALSE)</f>
        <v>SH</v>
      </c>
      <c r="AG102" s="143">
        <f t="shared" si="38"/>
        <v>12.8</v>
      </c>
      <c r="AH102" s="143">
        <f t="shared" si="39"/>
        <v>26.5</v>
      </c>
      <c r="AI102" s="144">
        <f t="shared" ca="1" si="40"/>
        <v>18.552457912457914</v>
      </c>
    </row>
    <row r="103" spans="2:35" ht="12" customHeight="1" x14ac:dyDescent="0.15">
      <c r="B103" s="40" t="s">
        <v>57</v>
      </c>
      <c r="C103" s="52">
        <f>IF(ISERROR(VLOOKUP($B103,'Monthly Summary 2010'!$B$7:$Q$221,14,FALSE)=0),"",VLOOKUP($B103,'Monthly Summary 2010'!$B$7:$Q$221,14,FALSE))</f>
        <v>7</v>
      </c>
      <c r="D103" s="36">
        <v>11</v>
      </c>
      <c r="E103" s="36">
        <v>10.6</v>
      </c>
      <c r="F103" s="36">
        <v>19</v>
      </c>
      <c r="G103" s="36">
        <v>19.100000000000001</v>
      </c>
      <c r="H103" s="36">
        <v>18.5</v>
      </c>
      <c r="I103" s="36">
        <v>21.1</v>
      </c>
      <c r="J103" s="36">
        <v>23.1</v>
      </c>
      <c r="K103" s="36">
        <v>20.2</v>
      </c>
      <c r="L103" s="36">
        <v>15.4</v>
      </c>
      <c r="M103" s="36">
        <v>22.2</v>
      </c>
      <c r="N103" s="36">
        <v>13.2</v>
      </c>
      <c r="O103" s="36">
        <v>12.5</v>
      </c>
      <c r="P103" s="37">
        <f t="shared" si="27"/>
        <v>17.158333333333331</v>
      </c>
      <c r="Q103" s="38">
        <f t="shared" si="28"/>
        <v>1</v>
      </c>
      <c r="R103" s="140">
        <f t="shared" si="32"/>
        <v>13.533333333333333</v>
      </c>
      <c r="S103" s="24">
        <f t="shared" si="33"/>
        <v>1</v>
      </c>
      <c r="T103" s="140">
        <f t="shared" si="34"/>
        <v>19.566666666666666</v>
      </c>
      <c r="U103" s="24">
        <f t="shared" si="35"/>
        <v>1</v>
      </c>
      <c r="V103" s="140">
        <f t="shared" si="36"/>
        <v>17.158333333333331</v>
      </c>
      <c r="W103" s="150">
        <f t="shared" si="37"/>
        <v>1</v>
      </c>
      <c r="X103" s="144">
        <f t="shared" ca="1" si="29"/>
        <v>13.533333333333333</v>
      </c>
      <c r="Y103" s="144">
        <f t="shared" ca="1" si="30"/>
        <v>19.566666666666666</v>
      </c>
      <c r="Z103" s="144">
        <f t="shared" ca="1" si="31"/>
        <v>17.158333333333331</v>
      </c>
      <c r="AA103" s="10"/>
      <c r="AB103" s="357" t="str">
        <f>VLOOKUP($B103,'2007-2020 Metadata'!$A$4:$S$214,MATCH("Urban Area /Monitoring Zone",'2007-2020 Metadata'!$A$4:$S$4,0),FALSE)</f>
        <v>Nelson</v>
      </c>
      <c r="AC103" s="87" t="str">
        <f>VLOOKUP(B103,'2007-2020 Metadata'!$A$6:$A$214,1,FALSE)</f>
        <v>WEL011</v>
      </c>
      <c r="AD103" s="230" t="str">
        <f>VLOOKUP($AC103,'2007-2020 Metadata'!$A$6:$S$214,9,FALSE)</f>
        <v>Tasman</v>
      </c>
      <c r="AE103" s="248">
        <f>IF(ISBLANK(VLOOKUP($AC103,'2007-2020 Metadata'!$A$6:$S$214,19,FALSE)),"",VLOOKUP($AC103,'2007-2020 Metadata'!$A$6:$S$214,19,FALSE))</f>
        <v>2.4</v>
      </c>
      <c r="AF103" s="88" t="str">
        <f>VLOOKUP($B103,'2007-2020 Metadata'!$A$4:$S$214,MATCH("Site type",'2007-2020 Metadata'!$A$4:$S$4,0),FALSE)</f>
        <v>SH</v>
      </c>
      <c r="AG103" s="143">
        <f t="shared" si="38"/>
        <v>10.6</v>
      </c>
      <c r="AH103" s="143">
        <f t="shared" si="39"/>
        <v>23.1</v>
      </c>
      <c r="AI103" s="144">
        <f t="shared" ca="1" si="40"/>
        <v>17.158333333333331</v>
      </c>
    </row>
    <row r="104" spans="2:35" ht="12" customHeight="1" x14ac:dyDescent="0.15">
      <c r="B104" s="40" t="s">
        <v>58</v>
      </c>
      <c r="C104" s="52">
        <f>IF(ISERROR(VLOOKUP($B104,'Monthly Summary 2010'!$B$7:$Q$221,14,FALSE)=0),"",VLOOKUP($B104,'Monthly Summary 2010'!$B$7:$Q$221,14,FALSE))</f>
        <v>10</v>
      </c>
      <c r="D104" s="36">
        <v>12.7</v>
      </c>
      <c r="E104" s="36">
        <v>14.2</v>
      </c>
      <c r="F104" s="36">
        <v>17.7</v>
      </c>
      <c r="G104" s="36">
        <v>24</v>
      </c>
      <c r="H104" s="36">
        <v>19.899999999999999</v>
      </c>
      <c r="I104" s="36">
        <v>27.4</v>
      </c>
      <c r="J104" s="36">
        <v>14</v>
      </c>
      <c r="K104" s="36">
        <v>17.8</v>
      </c>
      <c r="L104" s="36">
        <v>15.3</v>
      </c>
      <c r="M104" s="36">
        <v>15.9</v>
      </c>
      <c r="N104" s="36">
        <v>14.2</v>
      </c>
      <c r="O104" s="36">
        <v>7.4</v>
      </c>
      <c r="P104" s="37">
        <f t="shared" si="27"/>
        <v>16.708333333333336</v>
      </c>
      <c r="Q104" s="38">
        <f t="shared" si="28"/>
        <v>1</v>
      </c>
      <c r="R104" s="140">
        <f t="shared" si="32"/>
        <v>14.866666666666665</v>
      </c>
      <c r="S104" s="24">
        <f t="shared" si="33"/>
        <v>1</v>
      </c>
      <c r="T104" s="140">
        <f t="shared" si="34"/>
        <v>15.700000000000001</v>
      </c>
      <c r="U104" s="24">
        <f t="shared" si="35"/>
        <v>1</v>
      </c>
      <c r="V104" s="140">
        <f t="shared" si="36"/>
        <v>16.708333333333336</v>
      </c>
      <c r="W104" s="150">
        <f t="shared" si="37"/>
        <v>1</v>
      </c>
      <c r="X104" s="144">
        <f t="shared" ref="X104:X139" ca="1" si="41">IF(VLOOKUP($B104,$AC$6:$AI$159,3,FALSE)="",$R104,IF(ISERROR(AVERAGEIF($AD$6:$AD$161,VLOOKUP($B104,$AC$6:$AI$159,2,FALSE),$R$6:$R$159)),"",AVERAGEIF($AD$6:$AD$161,VLOOKUP($B104,$AC$6:$AI$159,2,FALSE),$R$6:$R$159)))</f>
        <v>14.866666666666665</v>
      </c>
      <c r="Y104" s="144">
        <f t="shared" ref="Y104:Y135" ca="1" si="42">IF(VLOOKUP($B104,$AC$6:$AI$159,3,FALSE)="",$T104,IF(ISERROR(AVERAGEIF($AD$6:$AD$161,VLOOKUP($B104,$AC$6:$AI$159,2,FALSE),$T$6:$T$159)),"",AVERAGEIF($AD$6:$AD$161,VLOOKUP($B104,$AC$6:$AI$159,2,FALSE),$T$6:$T$159)))</f>
        <v>15.700000000000001</v>
      </c>
      <c r="Z104" s="144">
        <f t="shared" ref="Z104:Z139" ca="1" si="43">IF(VLOOKUP($B104,$AC$6:$AI$159,3,FALSE)="",$V104,IF(ISERROR(AVERAGEIF($AD$6:$AD$161,VLOOKUP($B104,$AC$6:$AI$159,2,FALSE),$V$6:$V$159)),"",AVERAGEIF($AD$6:$AD$161,VLOOKUP($B104,$AC$6:$AI$159,2,FALSE),$V$6:$V$159)))</f>
        <v>16.708333333333336</v>
      </c>
      <c r="AA104" s="10"/>
      <c r="AB104" s="357" t="str">
        <f>VLOOKUP($B104,'2007-2020 Metadata'!$A$4:$S$214,MATCH("Urban Area /Monitoring Zone",'2007-2020 Metadata'!$A$4:$S$4,0),FALSE)</f>
        <v>Blenheim</v>
      </c>
      <c r="AC104" s="87" t="str">
        <f>VLOOKUP(B104,'2007-2020 Metadata'!$A$6:$A$214,1,FALSE)</f>
        <v>WEL012</v>
      </c>
      <c r="AD104" s="230" t="str">
        <f>VLOOKUP($AC104,'2007-2020 Metadata'!$A$6:$S$214,9,FALSE)</f>
        <v>Blenheim</v>
      </c>
      <c r="AE104" s="248">
        <f>IF(ISBLANK(VLOOKUP($AC104,'2007-2020 Metadata'!$A$6:$S$214,19,FALSE)),"",VLOOKUP($AC104,'2007-2020 Metadata'!$A$6:$S$214,19,FALSE))</f>
        <v>4.2</v>
      </c>
      <c r="AF104" s="88" t="str">
        <f>VLOOKUP($B104,'2007-2020 Metadata'!$A$4:$S$214,MATCH("Site type",'2007-2020 Metadata'!$A$4:$S$4,0),FALSE)</f>
        <v>SH</v>
      </c>
      <c r="AG104" s="143">
        <f t="shared" si="38"/>
        <v>7.4</v>
      </c>
      <c r="AH104" s="143">
        <f t="shared" si="39"/>
        <v>27.4</v>
      </c>
      <c r="AI104" s="144">
        <f t="shared" ca="1" si="40"/>
        <v>16.708333333333336</v>
      </c>
    </row>
    <row r="105" spans="2:35" ht="12" customHeight="1" x14ac:dyDescent="0.15">
      <c r="B105" s="40" t="s">
        <v>119</v>
      </c>
      <c r="C105" s="52">
        <f>IF(ISERROR(VLOOKUP($B105,'Monthly Summary 2010'!$B$7:$Q$221,14,FALSE)=0),"",VLOOKUP($B105,'Monthly Summary 2010'!$B$7:$Q$221,14,FALSE))</f>
        <v>14.6</v>
      </c>
      <c r="D105" s="36">
        <v>16.5</v>
      </c>
      <c r="E105" s="36">
        <v>23.4</v>
      </c>
      <c r="F105" s="36">
        <v>31.9</v>
      </c>
      <c r="G105" s="36">
        <v>33.299999999999997</v>
      </c>
      <c r="H105" s="36">
        <v>33.200000000000003</v>
      </c>
      <c r="I105" s="36">
        <v>39.4</v>
      </c>
      <c r="J105" s="36">
        <v>34.299999999999997</v>
      </c>
      <c r="K105" s="36">
        <v>35.4</v>
      </c>
      <c r="L105" s="36">
        <v>32.6</v>
      </c>
      <c r="M105" s="36"/>
      <c r="N105" s="36">
        <v>26.2</v>
      </c>
      <c r="O105" s="36">
        <v>16.100000000000001</v>
      </c>
      <c r="P105" s="37">
        <f t="shared" si="27"/>
        <v>29.3</v>
      </c>
      <c r="Q105" s="38">
        <f t="shared" si="28"/>
        <v>0.91666666666666663</v>
      </c>
      <c r="R105" s="260">
        <f t="shared" si="32"/>
        <v>23.933333333333334</v>
      </c>
      <c r="S105" s="264">
        <f t="shared" si="33"/>
        <v>1</v>
      </c>
      <c r="T105" s="260">
        <f t="shared" si="34"/>
        <v>34.099999999999994</v>
      </c>
      <c r="U105" s="264">
        <f t="shared" si="35"/>
        <v>1</v>
      </c>
      <c r="V105" s="260">
        <f t="shared" si="36"/>
        <v>29.3</v>
      </c>
      <c r="W105" s="261">
        <f t="shared" si="37"/>
        <v>0.91666666666666663</v>
      </c>
      <c r="X105" s="177">
        <f t="shared" ca="1" si="41"/>
        <v>21.463636363636365</v>
      </c>
      <c r="Y105" s="177">
        <f t="shared" ca="1" si="42"/>
        <v>28.330303030303028</v>
      </c>
      <c r="Z105" s="177">
        <f t="shared" ca="1" si="43"/>
        <v>24.946487603305787</v>
      </c>
      <c r="AA105" s="10"/>
      <c r="AB105" s="357" t="str">
        <f>VLOOKUP($B105,'2007-2020 Metadata'!$A$4:$S$214,MATCH("Urban Area /Monitoring Zone",'2007-2020 Metadata'!$A$4:$S$4,0),FALSE)</f>
        <v>Wellington</v>
      </c>
      <c r="AC105" s="259" t="str">
        <f>VLOOKUP(B105,'2007-2020 Metadata'!$A$6:$A$214,1,FALSE)</f>
        <v>WEL031</v>
      </c>
      <c r="AD105" s="256" t="str">
        <f>VLOOKUP($AC105,'2007-2020 Metadata'!$A$6:$S$214,9,FALSE)</f>
        <v>Wellington</v>
      </c>
      <c r="AE105" s="263">
        <f>IF(ISBLANK(VLOOKUP($AC105,'2007-2020 Metadata'!$A$6:$S$214,19,FALSE)),"",VLOOKUP($AC105,'2007-2020 Metadata'!$A$6:$S$214,19,FALSE))</f>
        <v>5.3</v>
      </c>
      <c r="AF105" s="257" t="str">
        <f>VLOOKUP($B105,'2007-2020 Metadata'!$A$4:$S$214,MATCH("Site type",'2007-2020 Metadata'!$A$4:$S$4,0),FALSE)</f>
        <v>SH</v>
      </c>
      <c r="AG105" s="258">
        <f>MIN(AVERAGE(D$105:D$107),AVERAGE(E$105:E$107),AVERAGE(F$105:F$107),AVERAGE(G$105:G$107),AVERAGE(H$105:H$107),AVERAGE(I$105:I$107),AVERAGE(J$105:J$107),AVERAGE(K$105:K$107),AVERAGE(L$105:L$107),AVERAGE(M$105:M$107),AVERAGE(N$105:N$107),AVERAGE(O$105:O$107))</f>
        <v>18.766666666666669</v>
      </c>
      <c r="AH105" s="258">
        <f>MAX(AVERAGE(D$105:D$107),AVERAGE(E$105:E$107),AVERAGE(F$105:F$107),AVERAGE(G$105:G$107),AVERAGE(H$105:H$107),AVERAGE(I$105:I$107),AVERAGE(J$105:J$107),AVERAGE(K$105:K$107),AVERAGE(L$105:L$107),AVERAGE(M$105:M$107),AVERAGE(N$105:N$107),AVERAGE(O$105:O$107))</f>
        <v>37.966666666666669</v>
      </c>
      <c r="AI105" s="177">
        <f t="shared" ca="1" si="40"/>
        <v>24.946487603305787</v>
      </c>
    </row>
    <row r="106" spans="2:35" ht="12" customHeight="1" x14ac:dyDescent="0.15">
      <c r="B106" s="40" t="s">
        <v>120</v>
      </c>
      <c r="C106" s="52">
        <f>IF(ISERROR(VLOOKUP($B106,'Monthly Summary 2010'!$B$7:$Q$221,14,FALSE)=0),"",VLOOKUP($B106,'Monthly Summary 2010'!$B$7:$Q$221,14,FALSE))</f>
        <v>15.8</v>
      </c>
      <c r="D106" s="36">
        <v>20.3</v>
      </c>
      <c r="E106" s="36">
        <v>25.9</v>
      </c>
      <c r="F106" s="36">
        <v>31</v>
      </c>
      <c r="G106" s="36">
        <v>34.700000000000003</v>
      </c>
      <c r="H106" s="36">
        <v>33.5</v>
      </c>
      <c r="I106" s="36">
        <v>38</v>
      </c>
      <c r="J106" s="36">
        <v>33.799999999999997</v>
      </c>
      <c r="K106" s="36">
        <v>34.299999999999997</v>
      </c>
      <c r="L106" s="36">
        <v>33.299999999999997</v>
      </c>
      <c r="M106" s="36">
        <v>27.7</v>
      </c>
      <c r="N106" s="36">
        <v>26.6</v>
      </c>
      <c r="O106" s="36">
        <v>19.3</v>
      </c>
      <c r="P106" s="37">
        <f t="shared" si="27"/>
        <v>29.866666666666671</v>
      </c>
      <c r="Q106" s="38">
        <f t="shared" si="28"/>
        <v>1</v>
      </c>
      <c r="R106" s="260">
        <f t="shared" si="32"/>
        <v>25.733333333333334</v>
      </c>
      <c r="S106" s="264">
        <f t="shared" si="33"/>
        <v>1</v>
      </c>
      <c r="T106" s="260">
        <f t="shared" si="34"/>
        <v>33.799999999999997</v>
      </c>
      <c r="U106" s="264">
        <f t="shared" si="35"/>
        <v>1</v>
      </c>
      <c r="V106" s="260">
        <f t="shared" si="36"/>
        <v>29.866666666666671</v>
      </c>
      <c r="W106" s="261">
        <f t="shared" si="37"/>
        <v>1</v>
      </c>
      <c r="X106" s="177">
        <f t="shared" ca="1" si="41"/>
        <v>21.463636363636365</v>
      </c>
      <c r="Y106" s="177">
        <f t="shared" ca="1" si="42"/>
        <v>28.330303030303028</v>
      </c>
      <c r="Z106" s="177">
        <f t="shared" ca="1" si="43"/>
        <v>24.946487603305787</v>
      </c>
      <c r="AA106" s="10"/>
      <c r="AB106" s="357" t="str">
        <f>VLOOKUP($B106,'2007-2020 Metadata'!$A$4:$S$214,MATCH("Urban Area /Monitoring Zone",'2007-2020 Metadata'!$A$4:$S$4,0),FALSE)</f>
        <v>Wellington</v>
      </c>
      <c r="AC106" s="259" t="str">
        <f>VLOOKUP(B106,'2007-2020 Metadata'!$A$6:$A$214,1,FALSE)</f>
        <v>WEL032</v>
      </c>
      <c r="AD106" s="256" t="str">
        <f>VLOOKUP($AC106,'2007-2020 Metadata'!$A$6:$S$214,9,FALSE)</f>
        <v>Wellington</v>
      </c>
      <c r="AE106" s="263">
        <f>IF(ISBLANK(VLOOKUP($AC106,'2007-2020 Metadata'!$A$6:$S$214,19,FALSE)),"",VLOOKUP($AC106,'2007-2020 Metadata'!$A$6:$S$214,19,FALSE))</f>
        <v>5.3</v>
      </c>
      <c r="AF106" s="257" t="str">
        <f>VLOOKUP($B106,'2007-2020 Metadata'!$A$4:$S$214,MATCH("Site type",'2007-2020 Metadata'!$A$4:$S$4,0),FALSE)</f>
        <v>SH</v>
      </c>
      <c r="AG106" s="258">
        <f>MIN(AVERAGE(D$105:D$107),AVERAGE(E$105:E$107),AVERAGE(F$105:F$107),AVERAGE(G$105:G$107),AVERAGE(H$105:H$107),AVERAGE(I$105:I$107),AVERAGE(J$105:J$107),AVERAGE(K$105:K$107),AVERAGE(L$105:L$107),AVERAGE(M$105:M$107),AVERAGE(N$105:N$107),AVERAGE(O$105:O$107))</f>
        <v>18.766666666666669</v>
      </c>
      <c r="AH106" s="258">
        <f t="shared" ref="AH106:AH107" si="44">MAX(AVERAGE(D$105:D$107),AVERAGE(E$105:E$107),AVERAGE(F$105:F$107),AVERAGE(G$105:G$107),AVERAGE(H$105:H$107),AVERAGE(I$105:I$107),AVERAGE(J$105:J$107),AVERAGE(K$105:K$107),AVERAGE(L$105:L$107),AVERAGE(M$105:M$107),AVERAGE(N$105:N$107),AVERAGE(O$105:O$107))</f>
        <v>37.966666666666669</v>
      </c>
      <c r="AI106" s="177">
        <f t="shared" ca="1" si="40"/>
        <v>24.946487603305787</v>
      </c>
    </row>
    <row r="107" spans="2:35" ht="12" customHeight="1" x14ac:dyDescent="0.15">
      <c r="B107" s="40" t="s">
        <v>121</v>
      </c>
      <c r="C107" s="52">
        <f>IF(ISERROR(VLOOKUP($B107,'Monthly Summary 2010'!$B$7:$Q$221,14,FALSE)=0),"",VLOOKUP($B107,'Monthly Summary 2010'!$B$7:$Q$221,14,FALSE))</f>
        <v>15.4</v>
      </c>
      <c r="D107" s="36">
        <v>22.3</v>
      </c>
      <c r="E107" s="36">
        <v>26.7</v>
      </c>
      <c r="F107" s="36">
        <v>24.8</v>
      </c>
      <c r="G107" s="36">
        <v>33.700000000000003</v>
      </c>
      <c r="H107" s="36">
        <v>30.6</v>
      </c>
      <c r="I107" s="36">
        <v>36.5</v>
      </c>
      <c r="J107" s="36">
        <v>34.6</v>
      </c>
      <c r="K107" s="36">
        <v>37.9</v>
      </c>
      <c r="L107" s="36">
        <v>29.3</v>
      </c>
      <c r="M107" s="36">
        <v>25.9</v>
      </c>
      <c r="N107" s="36">
        <v>26.1</v>
      </c>
      <c r="O107" s="36">
        <v>20.9</v>
      </c>
      <c r="P107" s="37">
        <f t="shared" si="27"/>
        <v>29.108333333333331</v>
      </c>
      <c r="Q107" s="38">
        <f t="shared" si="28"/>
        <v>1</v>
      </c>
      <c r="R107" s="260">
        <f t="shared" si="32"/>
        <v>24.599999999999998</v>
      </c>
      <c r="S107" s="264">
        <f t="shared" si="33"/>
        <v>1</v>
      </c>
      <c r="T107" s="260">
        <f t="shared" si="34"/>
        <v>33.93333333333333</v>
      </c>
      <c r="U107" s="264">
        <f t="shared" si="35"/>
        <v>1</v>
      </c>
      <c r="V107" s="260">
        <f t="shared" si="36"/>
        <v>29.108333333333331</v>
      </c>
      <c r="W107" s="261">
        <f t="shared" si="37"/>
        <v>1</v>
      </c>
      <c r="X107" s="177">
        <f t="shared" ca="1" si="41"/>
        <v>21.463636363636365</v>
      </c>
      <c r="Y107" s="177">
        <f t="shared" ca="1" si="42"/>
        <v>28.330303030303028</v>
      </c>
      <c r="Z107" s="177">
        <f t="shared" ca="1" si="43"/>
        <v>24.946487603305787</v>
      </c>
      <c r="AA107" s="10"/>
      <c r="AB107" s="357" t="str">
        <f>VLOOKUP($B107,'2007-2020 Metadata'!$A$4:$S$214,MATCH("Urban Area /Monitoring Zone",'2007-2020 Metadata'!$A$4:$S$4,0),FALSE)</f>
        <v>Wellington</v>
      </c>
      <c r="AC107" s="259" t="str">
        <f>VLOOKUP(B107,'2007-2020 Metadata'!$A$6:$A$214,1,FALSE)</f>
        <v>WEL033</v>
      </c>
      <c r="AD107" s="256" t="str">
        <f>VLOOKUP($AC107,'2007-2020 Metadata'!$A$6:$S$214,9,FALSE)</f>
        <v>Wellington</v>
      </c>
      <c r="AE107" s="263">
        <f>IF(ISBLANK(VLOOKUP($AC107,'2007-2020 Metadata'!$A$6:$S$214,19,FALSE)),"",VLOOKUP($AC107,'2007-2020 Metadata'!$A$6:$S$214,19,FALSE))</f>
        <v>5.3</v>
      </c>
      <c r="AF107" s="257" t="str">
        <f>VLOOKUP($B107,'2007-2020 Metadata'!$A$4:$S$214,MATCH("Site type",'2007-2020 Metadata'!$A$4:$S$4,0),FALSE)</f>
        <v>SH</v>
      </c>
      <c r="AG107" s="258">
        <f>MIN(AVERAGE(D$105:D$107),AVERAGE(E$105:E$107),AVERAGE(F$105:F$107),AVERAGE(G$105:G$107),AVERAGE(H$105:H$107),AVERAGE(I$105:I$107),AVERAGE(J$105:J$107),AVERAGE(K$105:K$107),AVERAGE(L$105:L$107),AVERAGE(M$105:M$107),AVERAGE(N$105:N$107),AVERAGE(O$105:O$107))</f>
        <v>18.766666666666669</v>
      </c>
      <c r="AH107" s="258">
        <f t="shared" si="44"/>
        <v>37.966666666666669</v>
      </c>
      <c r="AI107" s="177">
        <f t="shared" ca="1" si="40"/>
        <v>24.946487603305787</v>
      </c>
    </row>
    <row r="108" spans="2:35" ht="12" customHeight="1" x14ac:dyDescent="0.15">
      <c r="B108" s="40" t="s">
        <v>122</v>
      </c>
      <c r="C108" s="52">
        <f>IF(ISERROR(VLOOKUP($B108,'Monthly Summary 2010'!$B$7:$Q$221,14,FALSE)=0),"",VLOOKUP($B108,'Monthly Summary 2010'!$B$7:$Q$221,14,FALSE))</f>
        <v>9.5</v>
      </c>
      <c r="D108" s="36">
        <v>8.3000000000000007</v>
      </c>
      <c r="E108" s="36">
        <v>7.2</v>
      </c>
      <c r="F108" s="36">
        <v>11.2</v>
      </c>
      <c r="G108" s="36">
        <v>14.9</v>
      </c>
      <c r="H108" s="36">
        <v>13.7</v>
      </c>
      <c r="I108" s="36">
        <v>16.100000000000001</v>
      </c>
      <c r="J108" s="36">
        <v>12.6</v>
      </c>
      <c r="K108" s="36">
        <v>15.3</v>
      </c>
      <c r="L108" s="36">
        <v>13.6</v>
      </c>
      <c r="M108" s="36"/>
      <c r="N108" s="36">
        <v>9.6</v>
      </c>
      <c r="O108" s="36">
        <v>9</v>
      </c>
      <c r="P108" s="37">
        <f t="shared" si="27"/>
        <v>11.954545454545455</v>
      </c>
      <c r="Q108" s="38">
        <f t="shared" si="28"/>
        <v>0.91666666666666663</v>
      </c>
      <c r="R108" s="260">
        <f t="shared" si="32"/>
        <v>8.9</v>
      </c>
      <c r="S108" s="264">
        <f t="shared" si="33"/>
        <v>1</v>
      </c>
      <c r="T108" s="260">
        <f t="shared" si="34"/>
        <v>13.833333333333334</v>
      </c>
      <c r="U108" s="264">
        <f t="shared" si="35"/>
        <v>1</v>
      </c>
      <c r="V108" s="260">
        <f t="shared" si="36"/>
        <v>11.954545454545455</v>
      </c>
      <c r="W108" s="261">
        <f t="shared" si="37"/>
        <v>0.91666666666666663</v>
      </c>
      <c r="X108" s="177">
        <f t="shared" ca="1" si="41"/>
        <v>9.3666666666666671</v>
      </c>
      <c r="Y108" s="177">
        <f t="shared" ca="1" si="42"/>
        <v>13.466666666666667</v>
      </c>
      <c r="Z108" s="177">
        <f t="shared" ca="1" si="43"/>
        <v>11.707070707070706</v>
      </c>
      <c r="AA108" s="10"/>
      <c r="AB108" s="357" t="str">
        <f>VLOOKUP($B108,'2007-2020 Metadata'!$A$4:$S$214,MATCH("Urban Area /Monitoring Zone",'2007-2020 Metadata'!$A$4:$S$4,0),FALSE)</f>
        <v>Wellington</v>
      </c>
      <c r="AC108" s="259" t="str">
        <f>VLOOKUP(B108,'2007-2020 Metadata'!$A$6:$A$214,1,FALSE)</f>
        <v>WEL034</v>
      </c>
      <c r="AD108" s="256" t="str">
        <f>VLOOKUP($AC108,'2007-2020 Metadata'!$A$6:$S$214,9,FALSE)</f>
        <v>Tawa</v>
      </c>
      <c r="AE108" s="263">
        <f>IF(ISBLANK(VLOOKUP($AC108,'2007-2020 Metadata'!$A$6:$S$214,19,FALSE)),"",VLOOKUP($AC108,'2007-2020 Metadata'!$A$6:$S$214,19,FALSE))</f>
        <v>3.6</v>
      </c>
      <c r="AF108" s="257" t="str">
        <f>VLOOKUP($B108,'2007-2020 Metadata'!$A$4:$S$214,MATCH("Site type",'2007-2020 Metadata'!$A$4:$S$4,0),FALSE)</f>
        <v>Background</v>
      </c>
      <c r="AG108" s="258">
        <f>MIN(AVERAGE(D$108:D$110),AVERAGE(E$108:E$110),AVERAGE(F$108:F$110),AVERAGE(G$108:G$110),AVERAGE(H$108:H$110),AVERAGE(I$108:I$110),AVERAGE(J$108:J$110),AVERAGE(K$108:K$110),AVERAGE(L$108:L$110),AVERAGE(M$108:M$110),AVERAGE(N$108:N$110),AVERAGE(O$108:O$110))</f>
        <v>8.1666666666666661</v>
      </c>
      <c r="AH108" s="258">
        <f>MAX(AVERAGE(D$108:D$110),AVERAGE(E$108:E$110),AVERAGE(F$108:F$110),AVERAGE(G$108:G$110),AVERAGE(H$108:H$110),AVERAGE(I$108:I$110),AVERAGE(J$108:J$110),AVERAGE(K$108:K$110),AVERAGE(L$108:L$110),AVERAGE(M$108:M$110),AVERAGE(N$108:N$110),AVERAGE(O$108:O$110))</f>
        <v>15.9</v>
      </c>
      <c r="AI108" s="177">
        <f t="shared" ca="1" si="40"/>
        <v>11.707070707070706</v>
      </c>
    </row>
    <row r="109" spans="2:35" ht="12" customHeight="1" x14ac:dyDescent="0.15">
      <c r="B109" s="40" t="s">
        <v>123</v>
      </c>
      <c r="C109" s="52">
        <f>IF(ISERROR(VLOOKUP($B109,'Monthly Summary 2010'!$B$7:$Q$221,14,FALSE)=0),"",VLOOKUP($B109,'Monthly Summary 2010'!$B$7:$Q$221,14,FALSE))</f>
        <v>6.6</v>
      </c>
      <c r="D109" s="36">
        <v>8.1999999999999993</v>
      </c>
      <c r="E109" s="36">
        <v>9</v>
      </c>
      <c r="F109" s="36">
        <v>11.5</v>
      </c>
      <c r="G109" s="36">
        <v>12.9</v>
      </c>
      <c r="H109" s="36">
        <v>13.1</v>
      </c>
      <c r="I109" s="36">
        <v>15.2</v>
      </c>
      <c r="J109" s="36">
        <v>13.5</v>
      </c>
      <c r="K109" s="36">
        <v>12.1</v>
      </c>
      <c r="L109" s="36">
        <v>11.5</v>
      </c>
      <c r="M109" s="36">
        <v>10</v>
      </c>
      <c r="N109" s="36">
        <v>9.1</v>
      </c>
      <c r="O109" s="36">
        <v>8</v>
      </c>
      <c r="P109" s="37">
        <f t="shared" si="27"/>
        <v>11.174999999999999</v>
      </c>
      <c r="Q109" s="38">
        <f t="shared" si="28"/>
        <v>1</v>
      </c>
      <c r="R109" s="260">
        <f t="shared" si="32"/>
        <v>9.5666666666666664</v>
      </c>
      <c r="S109" s="264">
        <f t="shared" si="33"/>
        <v>1</v>
      </c>
      <c r="T109" s="260">
        <f t="shared" si="34"/>
        <v>12.366666666666667</v>
      </c>
      <c r="U109" s="264">
        <f t="shared" si="35"/>
        <v>1</v>
      </c>
      <c r="V109" s="260">
        <f t="shared" si="36"/>
        <v>11.174999999999999</v>
      </c>
      <c r="W109" s="261">
        <f t="shared" si="37"/>
        <v>1</v>
      </c>
      <c r="X109" s="177">
        <f t="shared" ca="1" si="41"/>
        <v>9.3666666666666671</v>
      </c>
      <c r="Y109" s="177">
        <f t="shared" ca="1" si="42"/>
        <v>13.466666666666667</v>
      </c>
      <c r="Z109" s="177">
        <f t="shared" ca="1" si="43"/>
        <v>11.707070707070706</v>
      </c>
      <c r="AA109" s="10"/>
      <c r="AB109" s="357" t="str">
        <f>VLOOKUP($B109,'2007-2020 Metadata'!$A$4:$S$214,MATCH("Urban Area /Monitoring Zone",'2007-2020 Metadata'!$A$4:$S$4,0),FALSE)</f>
        <v>Wellington</v>
      </c>
      <c r="AC109" s="259" t="str">
        <f>VLOOKUP(B109,'2007-2020 Metadata'!$A$6:$A$214,1,FALSE)</f>
        <v>WEL035</v>
      </c>
      <c r="AD109" s="256" t="str">
        <f>VLOOKUP($AC109,'2007-2020 Metadata'!$A$6:$S$214,9,FALSE)</f>
        <v>Tawa</v>
      </c>
      <c r="AE109" s="263">
        <f>IF(ISBLANK(VLOOKUP($AC109,'2007-2020 Metadata'!$A$6:$S$214,19,FALSE)),"",VLOOKUP($AC109,'2007-2020 Metadata'!$A$6:$S$214,19,FALSE))</f>
        <v>3.6</v>
      </c>
      <c r="AF109" s="257" t="str">
        <f>VLOOKUP($B109,'2007-2020 Metadata'!$A$4:$S$214,MATCH("Site type",'2007-2020 Metadata'!$A$4:$S$4,0),FALSE)</f>
        <v>Background</v>
      </c>
      <c r="AG109" s="258">
        <f>MIN(AVERAGE(D$108:D$110),AVERAGE(E$108:E$110),AVERAGE(F$108:F$110),AVERAGE(G$108:G$110),AVERAGE(H$108:H$110),AVERAGE(I$108:I$110),AVERAGE(J$108:J$110),AVERAGE(K$108:K$110),AVERAGE(L$108:L$110),AVERAGE(M$108:M$110),AVERAGE(N$108:N$110),AVERAGE(O$108:O$110))</f>
        <v>8.1666666666666661</v>
      </c>
      <c r="AH109" s="258">
        <f t="shared" ref="AH109:AH110" si="45">MAX(AVERAGE(D$108:D$110),AVERAGE(E$108:E$110),AVERAGE(F$108:F$110),AVERAGE(G$108:G$110),AVERAGE(H$108:H$110),AVERAGE(I$108:I$110),AVERAGE(J$108:J$110),AVERAGE(K$108:K$110),AVERAGE(L$108:L$110),AVERAGE(M$108:M$110),AVERAGE(N$108:N$110),AVERAGE(O$108:O$110))</f>
        <v>15.9</v>
      </c>
      <c r="AI109" s="177">
        <f t="shared" ca="1" si="40"/>
        <v>11.707070707070706</v>
      </c>
    </row>
    <row r="110" spans="2:35" ht="12" customHeight="1" x14ac:dyDescent="0.15">
      <c r="B110" s="40" t="s">
        <v>124</v>
      </c>
      <c r="C110" s="52">
        <f>IF(ISERROR(VLOOKUP($B110,'Monthly Summary 2010'!$B$7:$Q$221,14,FALSE)=0),"",VLOOKUP($B110,'Monthly Summary 2010'!$B$7:$Q$221,14,FALSE))</f>
        <v>6.2</v>
      </c>
      <c r="D110" s="36">
        <v>8</v>
      </c>
      <c r="E110" s="36">
        <v>9.6</v>
      </c>
      <c r="F110" s="36">
        <v>11.3</v>
      </c>
      <c r="G110" s="36">
        <v>13.9</v>
      </c>
      <c r="H110" s="36">
        <v>14</v>
      </c>
      <c r="I110" s="36">
        <v>16.399999999999999</v>
      </c>
      <c r="J110" s="36">
        <v>14.2</v>
      </c>
      <c r="K110" s="36">
        <v>14.6</v>
      </c>
      <c r="L110" s="36">
        <v>13.8</v>
      </c>
      <c r="M110" s="36">
        <v>9.8000000000000007</v>
      </c>
      <c r="N110" s="36">
        <v>9.6</v>
      </c>
      <c r="O110" s="36">
        <v>8.6999999999999993</v>
      </c>
      <c r="P110" s="37">
        <f t="shared" si="27"/>
        <v>11.991666666666665</v>
      </c>
      <c r="Q110" s="38">
        <f t="shared" si="28"/>
        <v>1</v>
      </c>
      <c r="R110" s="260">
        <f t="shared" si="32"/>
        <v>9.6333333333333346</v>
      </c>
      <c r="S110" s="264">
        <f t="shared" si="33"/>
        <v>1</v>
      </c>
      <c r="T110" s="260">
        <f t="shared" si="34"/>
        <v>14.199999999999998</v>
      </c>
      <c r="U110" s="264">
        <f t="shared" si="35"/>
        <v>1</v>
      </c>
      <c r="V110" s="260">
        <f t="shared" si="36"/>
        <v>11.991666666666665</v>
      </c>
      <c r="W110" s="261">
        <f t="shared" si="37"/>
        <v>1</v>
      </c>
      <c r="X110" s="177">
        <f t="shared" ca="1" si="41"/>
        <v>9.3666666666666671</v>
      </c>
      <c r="Y110" s="177">
        <f t="shared" ca="1" si="42"/>
        <v>13.466666666666667</v>
      </c>
      <c r="Z110" s="177">
        <f t="shared" ca="1" si="43"/>
        <v>11.707070707070706</v>
      </c>
      <c r="AA110" s="10"/>
      <c r="AB110" s="357" t="str">
        <f>VLOOKUP($B110,'2007-2020 Metadata'!$A$4:$S$214,MATCH("Urban Area /Monitoring Zone",'2007-2020 Metadata'!$A$4:$S$4,0),FALSE)</f>
        <v>Wellington</v>
      </c>
      <c r="AC110" s="259" t="str">
        <f>VLOOKUP(B110,'2007-2020 Metadata'!$A$6:$A$214,1,FALSE)</f>
        <v>WEL036</v>
      </c>
      <c r="AD110" s="256" t="str">
        <f>VLOOKUP($AC110,'2007-2020 Metadata'!$A$6:$S$214,9,FALSE)</f>
        <v>Tawa</v>
      </c>
      <c r="AE110" s="263">
        <f>IF(ISBLANK(VLOOKUP($AC110,'2007-2020 Metadata'!$A$6:$S$214,19,FALSE)),"",VLOOKUP($AC110,'2007-2020 Metadata'!$A$6:$S$214,19,FALSE))</f>
        <v>3.6</v>
      </c>
      <c r="AF110" s="257" t="str">
        <f>VLOOKUP($B110,'2007-2020 Metadata'!$A$4:$S$214,MATCH("Site type",'2007-2020 Metadata'!$A$4:$S$4,0),FALSE)</f>
        <v>Background</v>
      </c>
      <c r="AG110" s="258">
        <f>MIN(AVERAGE(D$108:D$110),AVERAGE(E$108:E$110),AVERAGE(F$108:F$110),AVERAGE(G$108:G$110),AVERAGE(H$108:H$110),AVERAGE(I$108:I$110),AVERAGE(J$108:J$110),AVERAGE(K$108:K$110),AVERAGE(L$108:L$110),AVERAGE(M$108:M$110),AVERAGE(N$108:N$110),AVERAGE(O$108:O$110))</f>
        <v>8.1666666666666661</v>
      </c>
      <c r="AH110" s="258">
        <f t="shared" si="45"/>
        <v>15.9</v>
      </c>
      <c r="AI110" s="177">
        <f t="shared" ca="1" si="40"/>
        <v>11.707070707070706</v>
      </c>
    </row>
    <row r="111" spans="2:35" ht="12" customHeight="1" x14ac:dyDescent="0.15">
      <c r="B111" s="40" t="s">
        <v>125</v>
      </c>
      <c r="C111" s="52">
        <f>IF(ISERROR(VLOOKUP($B111,'Monthly Summary 2010'!$B$7:$Q$221,14,FALSE)=0),"",VLOOKUP($B111,'Monthly Summary 2010'!$B$7:$Q$221,14,FALSE))</f>
        <v>9</v>
      </c>
      <c r="D111" s="36">
        <v>9.1999999999999993</v>
      </c>
      <c r="E111" s="36">
        <v>11.3</v>
      </c>
      <c r="F111" s="36">
        <v>13.4</v>
      </c>
      <c r="G111" s="36">
        <v>13.9</v>
      </c>
      <c r="H111" s="36">
        <v>21.9</v>
      </c>
      <c r="I111" s="36">
        <v>16.3</v>
      </c>
      <c r="J111" s="36">
        <v>16.5</v>
      </c>
      <c r="K111" s="36">
        <v>17</v>
      </c>
      <c r="L111" s="36">
        <v>14.2</v>
      </c>
      <c r="M111" s="36">
        <v>9.9</v>
      </c>
      <c r="N111" s="36">
        <v>8.9</v>
      </c>
      <c r="O111" s="36">
        <v>8.6</v>
      </c>
      <c r="P111" s="37">
        <f t="shared" si="27"/>
        <v>13.424999999999999</v>
      </c>
      <c r="Q111" s="38">
        <f t="shared" si="28"/>
        <v>1</v>
      </c>
      <c r="R111" s="140">
        <f t="shared" si="32"/>
        <v>11.299999999999999</v>
      </c>
      <c r="S111" s="24">
        <f t="shared" si="33"/>
        <v>1</v>
      </c>
      <c r="T111" s="140">
        <f t="shared" si="34"/>
        <v>15.9</v>
      </c>
      <c r="U111" s="24">
        <f t="shared" si="35"/>
        <v>1</v>
      </c>
      <c r="V111" s="140">
        <f t="shared" si="36"/>
        <v>13.424999999999999</v>
      </c>
      <c r="W111" s="150">
        <f t="shared" si="37"/>
        <v>1</v>
      </c>
      <c r="X111" s="144">
        <f t="shared" ca="1" si="41"/>
        <v>21.463636363636365</v>
      </c>
      <c r="Y111" s="144">
        <f t="shared" ca="1" si="42"/>
        <v>28.330303030303028</v>
      </c>
      <c r="Z111" s="144">
        <f t="shared" ca="1" si="43"/>
        <v>24.946487603305787</v>
      </c>
      <c r="AA111" s="10"/>
      <c r="AB111" s="357" t="str">
        <f>VLOOKUP($B111,'2007-2020 Metadata'!$A$4:$S$214,MATCH("Urban Area /Monitoring Zone",'2007-2020 Metadata'!$A$4:$S$4,0),FALSE)</f>
        <v>Wellington</v>
      </c>
      <c r="AC111" s="87" t="str">
        <f>VLOOKUP(B111,'2007-2020 Metadata'!$A$6:$A$214,1,FALSE)</f>
        <v>WEL047</v>
      </c>
      <c r="AD111" s="230" t="str">
        <f>VLOOKUP($AC111,'2007-2020 Metadata'!$A$6:$S$214,9,FALSE)</f>
        <v>Wellington</v>
      </c>
      <c r="AE111" s="248">
        <f>IF(ISBLANK(VLOOKUP($AC111,'2007-2020 Metadata'!$A$6:$S$214,19,FALSE)),"",VLOOKUP($AC111,'2007-2020 Metadata'!$A$6:$S$214,19,FALSE))</f>
        <v>3.5</v>
      </c>
      <c r="AF111" s="88" t="str">
        <f>VLOOKUP($B111,'2007-2020 Metadata'!$A$4:$S$214,MATCH("Site type",'2007-2020 Metadata'!$A$4:$S$4,0),FALSE)</f>
        <v>Local</v>
      </c>
      <c r="AG111" s="143">
        <f t="shared" si="38"/>
        <v>8.6</v>
      </c>
      <c r="AH111" s="143">
        <f t="shared" si="39"/>
        <v>21.9</v>
      </c>
      <c r="AI111" s="144">
        <f t="shared" ca="1" si="40"/>
        <v>24.946487603305787</v>
      </c>
    </row>
    <row r="112" spans="2:35" ht="12" customHeight="1" x14ac:dyDescent="0.15">
      <c r="B112" s="40" t="s">
        <v>126</v>
      </c>
      <c r="C112" s="52">
        <f>IF(ISERROR(VLOOKUP($B112,'Monthly Summary 2010'!$B$7:$Q$221,14,FALSE)=0),"",VLOOKUP($B112,'Monthly Summary 2010'!$B$7:$Q$221,14,FALSE))</f>
        <v>7</v>
      </c>
      <c r="D112" s="36">
        <v>6.9</v>
      </c>
      <c r="E112" s="36">
        <v>9.8000000000000007</v>
      </c>
      <c r="F112" s="36">
        <v>9.9</v>
      </c>
      <c r="G112" s="36">
        <v>12.4</v>
      </c>
      <c r="H112" s="36">
        <v>12.9</v>
      </c>
      <c r="I112" s="36">
        <v>13</v>
      </c>
      <c r="J112" s="36">
        <v>11.8</v>
      </c>
      <c r="K112" s="36">
        <v>12.1</v>
      </c>
      <c r="L112" s="36">
        <v>12</v>
      </c>
      <c r="M112" s="36">
        <v>10.9</v>
      </c>
      <c r="N112" s="36">
        <v>8.1</v>
      </c>
      <c r="O112" s="36">
        <v>7.6</v>
      </c>
      <c r="P112" s="37">
        <f t="shared" si="27"/>
        <v>10.616666666666665</v>
      </c>
      <c r="Q112" s="38">
        <f t="shared" si="28"/>
        <v>1</v>
      </c>
      <c r="R112" s="140">
        <f t="shared" si="32"/>
        <v>8.8666666666666671</v>
      </c>
      <c r="S112" s="24">
        <f t="shared" si="33"/>
        <v>1</v>
      </c>
      <c r="T112" s="140">
        <f t="shared" si="34"/>
        <v>11.966666666666667</v>
      </c>
      <c r="U112" s="24">
        <f t="shared" si="35"/>
        <v>1</v>
      </c>
      <c r="V112" s="140">
        <f t="shared" si="36"/>
        <v>10.616666666666665</v>
      </c>
      <c r="W112" s="150">
        <f t="shared" si="37"/>
        <v>1</v>
      </c>
      <c r="X112" s="144">
        <f t="shared" ca="1" si="41"/>
        <v>21.463636363636365</v>
      </c>
      <c r="Y112" s="144">
        <f t="shared" ca="1" si="42"/>
        <v>28.330303030303028</v>
      </c>
      <c r="Z112" s="144">
        <f t="shared" ca="1" si="43"/>
        <v>24.946487603305787</v>
      </c>
      <c r="AA112" s="10"/>
      <c r="AB112" s="357" t="str">
        <f>VLOOKUP($B112,'2007-2020 Metadata'!$A$4:$S$214,MATCH("Urban Area /Monitoring Zone",'2007-2020 Metadata'!$A$4:$S$4,0),FALSE)</f>
        <v>Wellington</v>
      </c>
      <c r="AC112" s="87" t="str">
        <f>VLOOKUP(B112,'2007-2020 Metadata'!$A$6:$A$214,1,FALSE)</f>
        <v>WEL048</v>
      </c>
      <c r="AD112" s="230" t="str">
        <f>VLOOKUP($AC112,'2007-2020 Metadata'!$A$6:$S$214,9,FALSE)</f>
        <v>Wellington</v>
      </c>
      <c r="AE112" s="248">
        <f>IF(ISBLANK(VLOOKUP($AC112,'2007-2020 Metadata'!$A$6:$S$214,19,FALSE)),"",VLOOKUP($AC112,'2007-2020 Metadata'!$A$6:$S$214,19,FALSE))</f>
        <v>4</v>
      </c>
      <c r="AF112" s="88" t="str">
        <f>VLOOKUP($B112,'2007-2020 Metadata'!$A$4:$S$214,MATCH("Site type",'2007-2020 Metadata'!$A$4:$S$4,0),FALSE)</f>
        <v>Background</v>
      </c>
      <c r="AG112" s="143">
        <f t="shared" si="38"/>
        <v>6.9</v>
      </c>
      <c r="AH112" s="143">
        <f t="shared" si="39"/>
        <v>13</v>
      </c>
      <c r="AI112" s="144">
        <f t="shared" ca="1" si="40"/>
        <v>24.946487603305787</v>
      </c>
    </row>
    <row r="113" spans="2:36" ht="12" customHeight="1" x14ac:dyDescent="0.15">
      <c r="B113" s="40" t="s">
        <v>127</v>
      </c>
      <c r="C113" s="52">
        <f>IF(ISERROR(VLOOKUP($B113,'Monthly Summary 2010'!$B$7:$Q$221,14,FALSE)=0),"",VLOOKUP($B113,'Monthly Summary 2010'!$B$7:$Q$221,14,FALSE))</f>
        <v>30.9</v>
      </c>
      <c r="D113" s="36">
        <v>27.5</v>
      </c>
      <c r="E113" s="36">
        <v>38.1</v>
      </c>
      <c r="F113" s="36">
        <v>40.700000000000003</v>
      </c>
      <c r="G113" s="36">
        <v>42.5</v>
      </c>
      <c r="H113" s="36">
        <v>37.6</v>
      </c>
      <c r="I113" s="36">
        <v>44.4</v>
      </c>
      <c r="J113" s="36">
        <v>44.3</v>
      </c>
      <c r="K113" s="36">
        <v>49.5</v>
      </c>
      <c r="L113" s="36">
        <v>34.9</v>
      </c>
      <c r="M113" s="36"/>
      <c r="N113" s="36">
        <v>38.5</v>
      </c>
      <c r="O113" s="36">
        <v>31.3</v>
      </c>
      <c r="P113" s="37">
        <f t="shared" si="27"/>
        <v>39.027272727272731</v>
      </c>
      <c r="Q113" s="38">
        <f t="shared" si="28"/>
        <v>0.91666666666666663</v>
      </c>
      <c r="R113" s="140">
        <f t="shared" si="32"/>
        <v>35.43333333333333</v>
      </c>
      <c r="S113" s="24">
        <f t="shared" si="33"/>
        <v>1</v>
      </c>
      <c r="T113" s="140">
        <f t="shared" si="34"/>
        <v>42.9</v>
      </c>
      <c r="U113" s="24">
        <f t="shared" si="35"/>
        <v>1</v>
      </c>
      <c r="V113" s="140">
        <f t="shared" si="36"/>
        <v>39.027272727272731</v>
      </c>
      <c r="W113" s="150">
        <f t="shared" si="37"/>
        <v>0.91666666666666663</v>
      </c>
      <c r="X113" s="144">
        <f t="shared" ca="1" si="41"/>
        <v>21.463636363636365</v>
      </c>
      <c r="Y113" s="144">
        <f t="shared" ca="1" si="42"/>
        <v>28.330303030303028</v>
      </c>
      <c r="Z113" s="144">
        <f t="shared" ca="1" si="43"/>
        <v>24.946487603305787</v>
      </c>
      <c r="AA113" s="10"/>
      <c r="AB113" s="357" t="str">
        <f>VLOOKUP($B113,'2007-2020 Metadata'!$A$4:$S$214,MATCH("Urban Area /Monitoring Zone",'2007-2020 Metadata'!$A$4:$S$4,0),FALSE)</f>
        <v>Wellington</v>
      </c>
      <c r="AC113" s="87" t="str">
        <f>VLOOKUP(B113,'2007-2020 Metadata'!$A$6:$A$214,1,FALSE)</f>
        <v>WEL049</v>
      </c>
      <c r="AD113" s="230" t="str">
        <f>VLOOKUP($AC113,'2007-2020 Metadata'!$A$6:$S$214,9,FALSE)</f>
        <v>Wellington</v>
      </c>
      <c r="AE113" s="248">
        <f>IF(ISBLANK(VLOOKUP($AC113,'2007-2020 Metadata'!$A$6:$S$214,19,FALSE)),"",VLOOKUP($AC113,'2007-2020 Metadata'!$A$6:$S$214,19,FALSE))</f>
        <v>4</v>
      </c>
      <c r="AF113" s="88" t="str">
        <f>VLOOKUP($B113,'2007-2020 Metadata'!$A$4:$S$214,MATCH("Site type",'2007-2020 Metadata'!$A$4:$S$4,0),FALSE)</f>
        <v>Local</v>
      </c>
      <c r="AG113" s="143">
        <f t="shared" si="38"/>
        <v>27.5</v>
      </c>
      <c r="AH113" s="143">
        <f t="shared" si="39"/>
        <v>49.5</v>
      </c>
      <c r="AI113" s="144">
        <f t="shared" ca="1" si="40"/>
        <v>24.946487603305787</v>
      </c>
    </row>
    <row r="114" spans="2:36" ht="12" customHeight="1" x14ac:dyDescent="0.15">
      <c r="B114" s="40" t="s">
        <v>128</v>
      </c>
      <c r="C114" s="52">
        <f>IF(ISERROR(VLOOKUP($B114,'Monthly Summary 2010'!$B$7:$Q$221,14,FALSE)=0),"",VLOOKUP($B114,'Monthly Summary 2010'!$B$7:$Q$221,14,FALSE))</f>
        <v>16.100000000000001</v>
      </c>
      <c r="D114" s="36">
        <v>12.6</v>
      </c>
      <c r="E114" s="36">
        <v>20.9</v>
      </c>
      <c r="F114" s="36"/>
      <c r="G114" s="36">
        <v>24</v>
      </c>
      <c r="H114" s="36">
        <v>25.4</v>
      </c>
      <c r="I114" s="36">
        <v>26</v>
      </c>
      <c r="J114" s="36">
        <v>25.6</v>
      </c>
      <c r="K114" s="36">
        <v>25.8</v>
      </c>
      <c r="L114" s="36">
        <v>23.3</v>
      </c>
      <c r="M114" s="36">
        <v>39</v>
      </c>
      <c r="N114" s="36">
        <v>19.7</v>
      </c>
      <c r="O114" s="36">
        <v>17.5</v>
      </c>
      <c r="P114" s="37">
        <f t="shared" si="27"/>
        <v>23.618181818181821</v>
      </c>
      <c r="Q114" s="38">
        <f t="shared" si="28"/>
        <v>0.91666666666666663</v>
      </c>
      <c r="R114" s="140">
        <f t="shared" si="32"/>
        <v>16.75</v>
      </c>
      <c r="S114" s="24">
        <f t="shared" si="33"/>
        <v>0.66666666666666663</v>
      </c>
      <c r="T114" s="140">
        <f t="shared" si="34"/>
        <v>24.900000000000002</v>
      </c>
      <c r="U114" s="24">
        <f t="shared" si="35"/>
        <v>1</v>
      </c>
      <c r="V114" s="140">
        <f t="shared" si="36"/>
        <v>23.618181818181821</v>
      </c>
      <c r="W114" s="150">
        <f t="shared" si="37"/>
        <v>0.91666666666666663</v>
      </c>
      <c r="X114" s="144">
        <f t="shared" ca="1" si="41"/>
        <v>21.463636363636365</v>
      </c>
      <c r="Y114" s="144">
        <f t="shared" ca="1" si="42"/>
        <v>28.330303030303028</v>
      </c>
      <c r="Z114" s="144">
        <f t="shared" ca="1" si="43"/>
        <v>24.946487603305787</v>
      </c>
      <c r="AA114" s="10"/>
      <c r="AB114" s="357" t="str">
        <f>VLOOKUP($B114,'2007-2020 Metadata'!$A$4:$S$214,MATCH("Urban Area /Monitoring Zone",'2007-2020 Metadata'!$A$4:$S$4,0),FALSE)</f>
        <v>Wellington</v>
      </c>
      <c r="AC114" s="87" t="str">
        <f>VLOOKUP(B114,'2007-2020 Metadata'!$A$6:$A$214,1,FALSE)</f>
        <v>WEL050</v>
      </c>
      <c r="AD114" s="230" t="str">
        <f>VLOOKUP($AC114,'2007-2020 Metadata'!$A$6:$S$214,9,FALSE)</f>
        <v>Wellington</v>
      </c>
      <c r="AE114" s="248">
        <f>IF(ISBLANK(VLOOKUP($AC114,'2007-2020 Metadata'!$A$6:$S$214,19,FALSE)),"",VLOOKUP($AC114,'2007-2020 Metadata'!$A$6:$S$214,19,FALSE))</f>
        <v>4</v>
      </c>
      <c r="AF114" s="88" t="str">
        <f>VLOOKUP($B114,'2007-2020 Metadata'!$A$4:$S$214,MATCH("Site type",'2007-2020 Metadata'!$A$4:$S$4,0),FALSE)</f>
        <v>SH</v>
      </c>
      <c r="AG114" s="143">
        <f t="shared" si="38"/>
        <v>12.6</v>
      </c>
      <c r="AH114" s="143">
        <f t="shared" si="39"/>
        <v>39</v>
      </c>
      <c r="AI114" s="144">
        <f t="shared" ca="1" si="40"/>
        <v>24.946487603305787</v>
      </c>
    </row>
    <row r="115" spans="2:36" ht="12" customHeight="1" x14ac:dyDescent="0.15">
      <c r="B115" s="40" t="s">
        <v>129</v>
      </c>
      <c r="C115" s="52">
        <f>IF(ISERROR(VLOOKUP($B115,'Monthly Summary 2010'!$B$7:$Q$221,14,FALSE)=0),"",VLOOKUP($B115,'Monthly Summary 2010'!$B$7:$Q$221,14,FALSE))</f>
        <v>12.3</v>
      </c>
      <c r="D115" s="36">
        <v>12.4</v>
      </c>
      <c r="E115" s="36">
        <v>13.7</v>
      </c>
      <c r="F115" s="36">
        <v>16.5</v>
      </c>
      <c r="G115" s="36">
        <v>20</v>
      </c>
      <c r="H115" s="36">
        <v>19.5</v>
      </c>
      <c r="I115" s="36">
        <v>19.100000000000001</v>
      </c>
      <c r="J115" s="36">
        <v>18.899999999999999</v>
      </c>
      <c r="K115" s="36">
        <v>16.8</v>
      </c>
      <c r="L115" s="36">
        <v>17.2</v>
      </c>
      <c r="M115" s="36">
        <v>23</v>
      </c>
      <c r="N115" s="36">
        <v>12.3</v>
      </c>
      <c r="O115" s="36">
        <v>13.4</v>
      </c>
      <c r="P115" s="37">
        <f t="shared" si="27"/>
        <v>16.900000000000002</v>
      </c>
      <c r="Q115" s="38">
        <f t="shared" si="28"/>
        <v>1</v>
      </c>
      <c r="R115" s="140">
        <f t="shared" si="32"/>
        <v>14.200000000000001</v>
      </c>
      <c r="S115" s="24">
        <f t="shared" si="33"/>
        <v>1</v>
      </c>
      <c r="T115" s="140">
        <f t="shared" si="34"/>
        <v>17.633333333333336</v>
      </c>
      <c r="U115" s="24">
        <f t="shared" si="35"/>
        <v>1</v>
      </c>
      <c r="V115" s="140">
        <f t="shared" si="36"/>
        <v>16.900000000000002</v>
      </c>
      <c r="W115" s="150">
        <f t="shared" si="37"/>
        <v>1</v>
      </c>
      <c r="X115" s="144">
        <f t="shared" ca="1" si="41"/>
        <v>21.463636363636365</v>
      </c>
      <c r="Y115" s="144">
        <f t="shared" ca="1" si="42"/>
        <v>28.330303030303028</v>
      </c>
      <c r="Z115" s="144">
        <f t="shared" ca="1" si="43"/>
        <v>24.946487603305787</v>
      </c>
      <c r="AA115" s="10"/>
      <c r="AB115" s="357" t="str">
        <f>VLOOKUP($B115,'2007-2020 Metadata'!$A$4:$S$214,MATCH("Urban Area /Monitoring Zone",'2007-2020 Metadata'!$A$4:$S$4,0),FALSE)</f>
        <v>Wellington</v>
      </c>
      <c r="AC115" s="87" t="str">
        <f>VLOOKUP(B115,'2007-2020 Metadata'!$A$6:$A$214,1,FALSE)</f>
        <v>WEL051</v>
      </c>
      <c r="AD115" s="230" t="str">
        <f>VLOOKUP($AC115,'2007-2020 Metadata'!$A$6:$S$214,9,FALSE)</f>
        <v>Wellington</v>
      </c>
      <c r="AE115" s="248">
        <f>IF(ISBLANK(VLOOKUP($AC115,'2007-2020 Metadata'!$A$6:$S$214,19,FALSE)),"",VLOOKUP($AC115,'2007-2020 Metadata'!$A$6:$S$214,19,FALSE))</f>
        <v>4</v>
      </c>
      <c r="AF115" s="88" t="str">
        <f>VLOOKUP($B115,'2007-2020 Metadata'!$A$4:$S$214,MATCH("Site type",'2007-2020 Metadata'!$A$4:$S$4,0),FALSE)</f>
        <v>Local</v>
      </c>
      <c r="AG115" s="143">
        <f t="shared" si="38"/>
        <v>12.3</v>
      </c>
      <c r="AH115" s="143">
        <f t="shared" si="39"/>
        <v>23</v>
      </c>
      <c r="AI115" s="144">
        <f t="shared" ca="1" si="40"/>
        <v>24.946487603305787</v>
      </c>
    </row>
    <row r="116" spans="2:36" ht="12" customHeight="1" x14ac:dyDescent="0.15">
      <c r="B116" s="40" t="s">
        <v>130</v>
      </c>
      <c r="C116" s="52">
        <f>IF(ISERROR(VLOOKUP($B116,'Monthly Summary 2010'!$B$7:$Q$221,14,FALSE)=0),"",VLOOKUP($B116,'Monthly Summary 2010'!$B$7:$Q$221,14,FALSE))</f>
        <v>9.8000000000000007</v>
      </c>
      <c r="D116" s="36">
        <v>11.7</v>
      </c>
      <c r="E116" s="36">
        <v>19.100000000000001</v>
      </c>
      <c r="F116" s="36">
        <v>23.6</v>
      </c>
      <c r="G116" s="36">
        <v>30</v>
      </c>
      <c r="H116" s="36">
        <v>30.3</v>
      </c>
      <c r="I116" s="36">
        <v>29.7</v>
      </c>
      <c r="J116" s="36">
        <v>30.4</v>
      </c>
      <c r="K116" s="36">
        <v>31.3</v>
      </c>
      <c r="L116" s="36">
        <v>28.4</v>
      </c>
      <c r="M116" s="36">
        <v>17.5</v>
      </c>
      <c r="N116" s="36">
        <v>20.399999999999999</v>
      </c>
      <c r="O116" s="36">
        <v>18.3</v>
      </c>
      <c r="P116" s="37">
        <f t="shared" si="27"/>
        <v>24.225000000000005</v>
      </c>
      <c r="Q116" s="38">
        <f t="shared" si="28"/>
        <v>1</v>
      </c>
      <c r="R116" s="140">
        <f t="shared" si="32"/>
        <v>18.133333333333336</v>
      </c>
      <c r="S116" s="24">
        <f t="shared" si="33"/>
        <v>1</v>
      </c>
      <c r="T116" s="140">
        <f t="shared" si="34"/>
        <v>30.033333333333331</v>
      </c>
      <c r="U116" s="24">
        <f t="shared" si="35"/>
        <v>1</v>
      </c>
      <c r="V116" s="140">
        <f t="shared" si="36"/>
        <v>24.225000000000005</v>
      </c>
      <c r="W116" s="150">
        <f t="shared" si="37"/>
        <v>1</v>
      </c>
      <c r="X116" s="144">
        <f t="shared" ca="1" si="41"/>
        <v>16.090476190476188</v>
      </c>
      <c r="Y116" s="144">
        <f t="shared" ca="1" si="42"/>
        <v>24.509523809523809</v>
      </c>
      <c r="Z116" s="144">
        <f t="shared" ca="1" si="43"/>
        <v>20.118939393939396</v>
      </c>
      <c r="AA116" s="10"/>
      <c r="AB116" s="357" t="str">
        <f>VLOOKUP($B116,'2007-2020 Metadata'!$A$4:$S$214,MATCH("Urban Area /Monitoring Zone",'2007-2020 Metadata'!$A$4:$S$4,0),FALSE)</f>
        <v>Lower Hutt</v>
      </c>
      <c r="AC116" s="87" t="str">
        <f>VLOOKUP(B116,'2007-2020 Metadata'!$A$6:$A$214,1,FALSE)</f>
        <v>WEL052</v>
      </c>
      <c r="AD116" s="230" t="str">
        <f>VLOOKUP($AC116,'2007-2020 Metadata'!$A$6:$S$214,9,FALSE)</f>
        <v>Lower Hutt</v>
      </c>
      <c r="AE116" s="248">
        <f>IF(ISBLANK(VLOOKUP($AC116,'2007-2020 Metadata'!$A$6:$S$214,19,FALSE)),"",VLOOKUP($AC116,'2007-2020 Metadata'!$A$6:$S$214,19,FALSE))</f>
        <v>4</v>
      </c>
      <c r="AF116" s="88" t="str">
        <f>VLOOKUP($B116,'2007-2020 Metadata'!$A$4:$S$214,MATCH("Site type",'2007-2020 Metadata'!$A$4:$S$4,0),FALSE)</f>
        <v>SH</v>
      </c>
      <c r="AG116" s="143">
        <f t="shared" si="38"/>
        <v>11.7</v>
      </c>
      <c r="AH116" s="143">
        <f t="shared" si="39"/>
        <v>31.3</v>
      </c>
      <c r="AI116" s="144">
        <f t="shared" ca="1" si="40"/>
        <v>20.118939393939396</v>
      </c>
    </row>
    <row r="117" spans="2:36" ht="12" customHeight="1" x14ac:dyDescent="0.15">
      <c r="B117" s="40" t="s">
        <v>131</v>
      </c>
      <c r="C117" s="52">
        <f>IF(ISERROR(VLOOKUP($B117,'Monthly Summary 2010'!$B$7:$Q$221,14,FALSE)=0),"",VLOOKUP($B117,'Monthly Summary 2010'!$B$7:$Q$221,14,FALSE))</f>
        <v>15.5</v>
      </c>
      <c r="D117" s="36">
        <v>21.6</v>
      </c>
      <c r="E117" s="36">
        <v>27.4</v>
      </c>
      <c r="F117" s="36">
        <v>32.299999999999997</v>
      </c>
      <c r="G117" s="36">
        <v>37.5</v>
      </c>
      <c r="H117" s="36">
        <v>37.1</v>
      </c>
      <c r="I117" s="36">
        <v>33.6</v>
      </c>
      <c r="J117" s="36">
        <v>35.200000000000003</v>
      </c>
      <c r="K117" s="36">
        <v>42.3</v>
      </c>
      <c r="L117" s="36">
        <v>34.299999999999997</v>
      </c>
      <c r="M117" s="36">
        <v>21.9</v>
      </c>
      <c r="N117" s="36">
        <v>28.1</v>
      </c>
      <c r="O117" s="36"/>
      <c r="P117" s="37">
        <f t="shared" si="27"/>
        <v>31.936363636363637</v>
      </c>
      <c r="Q117" s="38">
        <f t="shared" si="28"/>
        <v>0.91666666666666663</v>
      </c>
      <c r="R117" s="140">
        <f t="shared" si="32"/>
        <v>27.099999999999998</v>
      </c>
      <c r="S117" s="24">
        <f t="shared" si="33"/>
        <v>1</v>
      </c>
      <c r="T117" s="140">
        <f t="shared" si="34"/>
        <v>37.266666666666666</v>
      </c>
      <c r="U117" s="24">
        <f t="shared" si="35"/>
        <v>1</v>
      </c>
      <c r="V117" s="140">
        <f t="shared" si="36"/>
        <v>31.936363636363637</v>
      </c>
      <c r="W117" s="150">
        <f t="shared" si="37"/>
        <v>0.91666666666666663</v>
      </c>
      <c r="X117" s="144">
        <f t="shared" ca="1" si="41"/>
        <v>16.090476190476188</v>
      </c>
      <c r="Y117" s="144">
        <f t="shared" ca="1" si="42"/>
        <v>24.509523809523809</v>
      </c>
      <c r="Z117" s="144">
        <f t="shared" ca="1" si="43"/>
        <v>20.118939393939396</v>
      </c>
      <c r="AA117" s="10"/>
      <c r="AB117" s="357" t="str">
        <f>VLOOKUP($B117,'2007-2020 Metadata'!$A$4:$S$214,MATCH("Urban Area /Monitoring Zone",'2007-2020 Metadata'!$A$4:$S$4,0),FALSE)</f>
        <v>Lower Hutt</v>
      </c>
      <c r="AC117" s="87" t="str">
        <f>VLOOKUP(B117,'2007-2020 Metadata'!$A$6:$A$214,1,FALSE)</f>
        <v>WEL053</v>
      </c>
      <c r="AD117" s="230" t="str">
        <f>VLOOKUP($AC117,'2007-2020 Metadata'!$A$6:$S$214,9,FALSE)</f>
        <v>Lower Hutt</v>
      </c>
      <c r="AE117" s="248">
        <f>IF(ISBLANK(VLOOKUP($AC117,'2007-2020 Metadata'!$A$6:$S$214,19,FALSE)),"",VLOOKUP($AC117,'2007-2020 Metadata'!$A$6:$S$214,19,FALSE))</f>
        <v>4</v>
      </c>
      <c r="AF117" s="88" t="str">
        <f>VLOOKUP($B117,'2007-2020 Metadata'!$A$4:$S$214,MATCH("Site type",'2007-2020 Metadata'!$A$4:$S$4,0),FALSE)</f>
        <v>Local</v>
      </c>
      <c r="AG117" s="143">
        <f t="shared" si="38"/>
        <v>21.6</v>
      </c>
      <c r="AH117" s="143">
        <f t="shared" si="39"/>
        <v>42.3</v>
      </c>
      <c r="AI117" s="144">
        <f t="shared" ca="1" si="40"/>
        <v>20.118939393939396</v>
      </c>
    </row>
    <row r="118" spans="2:36" ht="12" customHeight="1" x14ac:dyDescent="0.15">
      <c r="B118" s="40" t="s">
        <v>132</v>
      </c>
      <c r="C118" s="52">
        <f>IF(ISERROR(VLOOKUP($B118,'Monthly Summary 2010'!$B$7:$Q$221,14,FALSE)=0),"",VLOOKUP($B118,'Monthly Summary 2010'!$B$7:$Q$221,14,FALSE))</f>
        <v>6.4</v>
      </c>
      <c r="D118" s="36">
        <v>8.1</v>
      </c>
      <c r="E118" s="36">
        <v>10</v>
      </c>
      <c r="F118" s="36">
        <v>13.4</v>
      </c>
      <c r="G118" s="36">
        <v>16.5</v>
      </c>
      <c r="H118" s="36">
        <v>14.5</v>
      </c>
      <c r="I118" s="36">
        <v>17.399999999999999</v>
      </c>
      <c r="J118" s="36">
        <v>16.7</v>
      </c>
      <c r="K118" s="36">
        <v>17.399999999999999</v>
      </c>
      <c r="L118" s="36">
        <v>15.1</v>
      </c>
      <c r="M118" s="36"/>
      <c r="N118" s="36">
        <v>10.6</v>
      </c>
      <c r="O118" s="36">
        <v>11.5</v>
      </c>
      <c r="P118" s="37">
        <f t="shared" si="27"/>
        <v>13.745454545454544</v>
      </c>
      <c r="Q118" s="38">
        <f t="shared" si="28"/>
        <v>0.91666666666666663</v>
      </c>
      <c r="R118" s="260">
        <f t="shared" si="32"/>
        <v>10.5</v>
      </c>
      <c r="S118" s="264">
        <f t="shared" si="33"/>
        <v>1</v>
      </c>
      <c r="T118" s="260">
        <f t="shared" si="34"/>
        <v>16.399999999999999</v>
      </c>
      <c r="U118" s="264">
        <f t="shared" si="35"/>
        <v>1</v>
      </c>
      <c r="V118" s="260">
        <f t="shared" si="36"/>
        <v>13.745454545454544</v>
      </c>
      <c r="W118" s="261">
        <f t="shared" si="37"/>
        <v>0.91666666666666663</v>
      </c>
      <c r="X118" s="177">
        <f t="shared" ca="1" si="41"/>
        <v>16.090476190476188</v>
      </c>
      <c r="Y118" s="177">
        <f t="shared" ca="1" si="42"/>
        <v>24.509523809523809</v>
      </c>
      <c r="Z118" s="177">
        <f t="shared" ca="1" si="43"/>
        <v>20.118939393939396</v>
      </c>
      <c r="AA118" s="10"/>
      <c r="AB118" s="357" t="str">
        <f>VLOOKUP($B118,'2007-2020 Metadata'!$A$4:$S$214,MATCH("Urban Area /Monitoring Zone",'2007-2020 Metadata'!$A$4:$S$4,0),FALSE)</f>
        <v>Lower Hutt</v>
      </c>
      <c r="AC118" s="259" t="str">
        <f>VLOOKUP(B118,'2007-2020 Metadata'!$A$6:$A$214,1,FALSE)</f>
        <v>WEL054</v>
      </c>
      <c r="AD118" s="256" t="str">
        <f>VLOOKUP($AC118,'2007-2020 Metadata'!$A$6:$S$214,9,FALSE)</f>
        <v>Lower Hutt</v>
      </c>
      <c r="AE118" s="263">
        <f>IF(ISBLANK(VLOOKUP($AC118,'2007-2020 Metadata'!$A$6:$S$214,19,FALSE)),"",VLOOKUP($AC118,'2007-2020 Metadata'!$A$6:$S$214,19,FALSE))</f>
        <v>3.5</v>
      </c>
      <c r="AF118" s="257" t="str">
        <f>VLOOKUP($B118,'2007-2020 Metadata'!$A$4:$S$214,MATCH("Site type",'2007-2020 Metadata'!$A$4:$S$4,0),FALSE)</f>
        <v>Background</v>
      </c>
      <c r="AG118" s="258">
        <f>MIN(AVERAGE(D$118:D$120),AVERAGE(E$118:E$120),AVERAGE(F$118:F$120),AVERAGE(G$118:G$120),AVERAGE(H$118:H$120),AVERAGE(I$118:I$120),AVERAGE(J$118:J$120),AVERAGE(K$118:K$120),AVERAGE(L$118:L$120),AVERAGE(M$118:M$120),AVERAGE(N$118:N$120),AVERAGE(O$118:O$120))</f>
        <v>8.1</v>
      </c>
      <c r="AH118" s="258">
        <f>MAX(AVERAGE(D$118:D$120),AVERAGE(E$118:E$120),AVERAGE(F$118:F$120),AVERAGE(G$118:G$120),AVERAGE(H$118:H$120),AVERAGE(I$118:I$120),AVERAGE(J$118:J$120),AVERAGE(K$118:K$120),AVERAGE(L$118:L$120),AVERAGE(M$118:M$120),AVERAGE(N$118:N$120),AVERAGE(O$118:O$120))</f>
        <v>17.833333333333332</v>
      </c>
      <c r="AI118" s="177">
        <f t="shared" ca="1" si="40"/>
        <v>20.118939393939396</v>
      </c>
    </row>
    <row r="119" spans="2:36" ht="12" customHeight="1" x14ac:dyDescent="0.15">
      <c r="B119" s="40" t="s">
        <v>133</v>
      </c>
      <c r="C119" s="52">
        <f>IF(ISERROR(VLOOKUP($B119,'Monthly Summary 2010'!$B$7:$Q$221,14,FALSE)=0),"",VLOOKUP($B119,'Monthly Summary 2010'!$B$7:$Q$221,14,FALSE))</f>
        <v>6.4</v>
      </c>
      <c r="D119" s="36">
        <v>8.5</v>
      </c>
      <c r="E119" s="36">
        <v>9.3000000000000007</v>
      </c>
      <c r="F119" s="36">
        <v>12.7</v>
      </c>
      <c r="G119" s="36">
        <v>15.6</v>
      </c>
      <c r="H119" s="36">
        <v>16</v>
      </c>
      <c r="I119" s="36">
        <v>16.100000000000001</v>
      </c>
      <c r="J119" s="36">
        <v>14.4</v>
      </c>
      <c r="K119" s="36">
        <v>18.7</v>
      </c>
      <c r="L119" s="36">
        <v>15.4</v>
      </c>
      <c r="M119" s="36">
        <v>11</v>
      </c>
      <c r="N119" s="36">
        <v>10.3</v>
      </c>
      <c r="O119" s="36">
        <v>9</v>
      </c>
      <c r="P119" s="37">
        <f t="shared" si="27"/>
        <v>13.083333333333336</v>
      </c>
      <c r="Q119" s="38">
        <f t="shared" si="28"/>
        <v>1</v>
      </c>
      <c r="R119" s="260">
        <f t="shared" si="32"/>
        <v>10.166666666666666</v>
      </c>
      <c r="S119" s="264">
        <f t="shared" si="33"/>
        <v>1</v>
      </c>
      <c r="T119" s="260">
        <f t="shared" si="34"/>
        <v>16.166666666666668</v>
      </c>
      <c r="U119" s="264">
        <f t="shared" si="35"/>
        <v>1</v>
      </c>
      <c r="V119" s="260">
        <f t="shared" si="36"/>
        <v>13.083333333333336</v>
      </c>
      <c r="W119" s="261">
        <f t="shared" si="37"/>
        <v>1</v>
      </c>
      <c r="X119" s="177">
        <f t="shared" ca="1" si="41"/>
        <v>16.090476190476188</v>
      </c>
      <c r="Y119" s="177">
        <f t="shared" ca="1" si="42"/>
        <v>24.509523809523809</v>
      </c>
      <c r="Z119" s="177">
        <f t="shared" ca="1" si="43"/>
        <v>20.118939393939396</v>
      </c>
      <c r="AA119" s="10"/>
      <c r="AB119" s="357" t="str">
        <f>VLOOKUP($B119,'2007-2020 Metadata'!$A$4:$S$214,MATCH("Urban Area /Monitoring Zone",'2007-2020 Metadata'!$A$4:$S$4,0),FALSE)</f>
        <v>Lower Hutt</v>
      </c>
      <c r="AC119" s="259" t="str">
        <f>VLOOKUP(B119,'2007-2020 Metadata'!$A$6:$A$214,1,FALSE)</f>
        <v>WEL055</v>
      </c>
      <c r="AD119" s="256" t="str">
        <f>VLOOKUP($AC119,'2007-2020 Metadata'!$A$6:$S$214,9,FALSE)</f>
        <v>Lower Hutt</v>
      </c>
      <c r="AE119" s="263">
        <f>IF(ISBLANK(VLOOKUP($AC119,'2007-2020 Metadata'!$A$6:$S$214,19,FALSE)),"",VLOOKUP($AC119,'2007-2020 Metadata'!$A$6:$S$214,19,FALSE))</f>
        <v>3.5</v>
      </c>
      <c r="AF119" s="257" t="str">
        <f>VLOOKUP($B119,'2007-2020 Metadata'!$A$4:$S$214,MATCH("Site type",'2007-2020 Metadata'!$A$4:$S$4,0),FALSE)</f>
        <v>Background</v>
      </c>
      <c r="AG119" s="258">
        <f>MIN(AVERAGE(D$118:D$120),AVERAGE(E$118:E$120),AVERAGE(F$118:F$120),AVERAGE(G$118:G$120),AVERAGE(H$118:H$120),AVERAGE(I$118:I$120),AVERAGE(J$118:J$120),AVERAGE(K$118:K$120),AVERAGE(L$118:L$120),AVERAGE(M$118:M$120),AVERAGE(N$118:N$120),AVERAGE(O$118:O$120))</f>
        <v>8.1</v>
      </c>
      <c r="AH119" s="258">
        <f t="shared" ref="AH119:AH120" si="46">MAX(AVERAGE(D$118:D$120),AVERAGE(E$118:E$120),AVERAGE(F$118:F$120),AVERAGE(G$118:G$120),AVERAGE(H$118:H$120),AVERAGE(I$118:I$120),AVERAGE(J$118:J$120),AVERAGE(K$118:K$120),AVERAGE(L$118:L$120),AVERAGE(M$118:M$120),AVERAGE(N$118:N$120),AVERAGE(O$118:O$120))</f>
        <v>17.833333333333332</v>
      </c>
      <c r="AI119" s="177">
        <f t="shared" ca="1" si="40"/>
        <v>20.118939393939396</v>
      </c>
    </row>
    <row r="120" spans="2:36" ht="12" customHeight="1" x14ac:dyDescent="0.15">
      <c r="B120" s="40" t="s">
        <v>134</v>
      </c>
      <c r="C120" s="52">
        <f>IF(ISERROR(VLOOKUP($B120,'Monthly Summary 2010'!$B$7:$Q$221,14,FALSE)=0),"",VLOOKUP($B120,'Monthly Summary 2010'!$B$7:$Q$221,14,FALSE))</f>
        <v>6.8</v>
      </c>
      <c r="D120" s="36">
        <v>7.7</v>
      </c>
      <c r="E120" s="36">
        <v>9.8000000000000007</v>
      </c>
      <c r="F120" s="36">
        <v>12.8</v>
      </c>
      <c r="G120" s="36">
        <v>15.8</v>
      </c>
      <c r="H120" s="36">
        <v>13.7</v>
      </c>
      <c r="I120" s="36">
        <v>18.600000000000001</v>
      </c>
      <c r="J120" s="36">
        <v>16.399999999999999</v>
      </c>
      <c r="K120" s="36">
        <v>17.399999999999999</v>
      </c>
      <c r="L120" s="36">
        <v>15.1</v>
      </c>
      <c r="M120" s="36">
        <v>11.3</v>
      </c>
      <c r="N120" s="36">
        <v>10.1</v>
      </c>
      <c r="O120" s="36">
        <v>9.1999999999999993</v>
      </c>
      <c r="P120" s="37">
        <f t="shared" si="27"/>
        <v>13.158333333333333</v>
      </c>
      <c r="Q120" s="38">
        <f t="shared" si="28"/>
        <v>1</v>
      </c>
      <c r="R120" s="260">
        <f t="shared" si="32"/>
        <v>10.1</v>
      </c>
      <c r="S120" s="264">
        <f t="shared" si="33"/>
        <v>1</v>
      </c>
      <c r="T120" s="260">
        <f t="shared" si="34"/>
        <v>16.3</v>
      </c>
      <c r="U120" s="264">
        <f t="shared" si="35"/>
        <v>1</v>
      </c>
      <c r="V120" s="260">
        <f t="shared" si="36"/>
        <v>13.158333333333333</v>
      </c>
      <c r="W120" s="261">
        <f t="shared" si="37"/>
        <v>1</v>
      </c>
      <c r="X120" s="177">
        <f t="shared" ca="1" si="41"/>
        <v>16.090476190476188</v>
      </c>
      <c r="Y120" s="177">
        <f t="shared" ca="1" si="42"/>
        <v>24.509523809523809</v>
      </c>
      <c r="Z120" s="177">
        <f t="shared" ca="1" si="43"/>
        <v>20.118939393939396</v>
      </c>
      <c r="AA120" s="10"/>
      <c r="AB120" s="357" t="str">
        <f>VLOOKUP($B120,'2007-2020 Metadata'!$A$4:$S$214,MATCH("Urban Area /Monitoring Zone",'2007-2020 Metadata'!$A$4:$S$4,0),FALSE)</f>
        <v>Lower Hutt</v>
      </c>
      <c r="AC120" s="259" t="str">
        <f>VLOOKUP(B120,'2007-2020 Metadata'!$A$6:$A$214,1,FALSE)</f>
        <v>WEL056</v>
      </c>
      <c r="AD120" s="256" t="str">
        <f>VLOOKUP($AC120,'2007-2020 Metadata'!$A$6:$S$214,9,FALSE)</f>
        <v>Lower Hutt</v>
      </c>
      <c r="AE120" s="263">
        <f>IF(ISBLANK(VLOOKUP($AC120,'2007-2020 Metadata'!$A$6:$S$214,19,FALSE)),"",VLOOKUP($AC120,'2007-2020 Metadata'!$A$6:$S$214,19,FALSE))</f>
        <v>3.5</v>
      </c>
      <c r="AF120" s="257" t="str">
        <f>VLOOKUP($B120,'2007-2020 Metadata'!$A$4:$S$214,MATCH("Site type",'2007-2020 Metadata'!$A$4:$S$4,0),FALSE)</f>
        <v>Background</v>
      </c>
      <c r="AG120" s="258">
        <f>MIN(AVERAGE(D$118:D$120),AVERAGE(E$118:E$120),AVERAGE(F$118:F$120),AVERAGE(G$118:G$120),AVERAGE(H$118:H$120),AVERAGE(I$118:I$120),AVERAGE(J$118:J$120),AVERAGE(K$118:K$120),AVERAGE(L$118:L$120),AVERAGE(M$118:M$120),AVERAGE(N$118:N$120),AVERAGE(O$118:O$120))</f>
        <v>8.1</v>
      </c>
      <c r="AH120" s="258">
        <f t="shared" si="46"/>
        <v>17.833333333333332</v>
      </c>
      <c r="AI120" s="177">
        <f t="shared" ca="1" si="40"/>
        <v>20.118939393939396</v>
      </c>
    </row>
    <row r="121" spans="2:36" ht="12" customHeight="1" x14ac:dyDescent="0.15">
      <c r="B121" s="40" t="s">
        <v>135</v>
      </c>
      <c r="C121" s="52">
        <f>IF(ISERROR(VLOOKUP($B121,'Monthly Summary 2010'!$B$7:$Q$221,14,FALSE)=0),"",VLOOKUP($B121,'Monthly Summary 2010'!$B$7:$Q$221,14,FALSE))</f>
        <v>11</v>
      </c>
      <c r="D121" s="36">
        <v>14.3</v>
      </c>
      <c r="E121" s="36">
        <v>17.899999999999999</v>
      </c>
      <c r="F121" s="36">
        <v>22.3</v>
      </c>
      <c r="G121" s="36">
        <v>23.1</v>
      </c>
      <c r="H121" s="36">
        <v>23.4</v>
      </c>
      <c r="I121" s="36">
        <v>26.8</v>
      </c>
      <c r="J121" s="36">
        <v>28.5</v>
      </c>
      <c r="K121" s="36">
        <v>24</v>
      </c>
      <c r="L121" s="36">
        <v>27.3</v>
      </c>
      <c r="M121" s="36">
        <v>10.199999999999999</v>
      </c>
      <c r="N121" s="36">
        <v>20.9</v>
      </c>
      <c r="O121" s="36">
        <v>17.5</v>
      </c>
      <c r="P121" s="37">
        <f t="shared" si="27"/>
        <v>21.350000000000005</v>
      </c>
      <c r="Q121" s="38">
        <f t="shared" si="28"/>
        <v>1</v>
      </c>
      <c r="R121" s="140">
        <f t="shared" si="32"/>
        <v>18.166666666666668</v>
      </c>
      <c r="S121" s="24">
        <f t="shared" si="33"/>
        <v>1</v>
      </c>
      <c r="T121" s="140">
        <f t="shared" si="34"/>
        <v>26.599999999999998</v>
      </c>
      <c r="U121" s="24">
        <f t="shared" si="35"/>
        <v>1</v>
      </c>
      <c r="V121" s="140">
        <f t="shared" si="36"/>
        <v>21.350000000000005</v>
      </c>
      <c r="W121" s="150">
        <f t="shared" si="37"/>
        <v>1</v>
      </c>
      <c r="X121" s="144">
        <f t="shared" ca="1" si="41"/>
        <v>9.6166666666666671</v>
      </c>
      <c r="Y121" s="144">
        <f t="shared" ca="1" si="42"/>
        <v>15.208333333333332</v>
      </c>
      <c r="Z121" s="144">
        <f t="shared" ca="1" si="43"/>
        <v>12.22443181818182</v>
      </c>
      <c r="AA121" s="10"/>
      <c r="AB121" s="357" t="str">
        <f>VLOOKUP($B121,'2007-2020 Metadata'!$A$4:$S$214,MATCH("Urban Area /Monitoring Zone",'2007-2020 Metadata'!$A$4:$S$4,0),FALSE)</f>
        <v>Upper Hutt</v>
      </c>
      <c r="AC121" s="87" t="str">
        <f>VLOOKUP(B121,'2007-2020 Metadata'!$A$6:$A$214,1,FALSE)</f>
        <v>WEL057</v>
      </c>
      <c r="AD121" s="230" t="str">
        <f>VLOOKUP($AC121,'2007-2020 Metadata'!$A$6:$S$214,9,FALSE)</f>
        <v>Upper Hutt</v>
      </c>
      <c r="AE121" s="248">
        <f>IF(ISBLANK(VLOOKUP($AC121,'2007-2020 Metadata'!$A$6:$S$214,19,FALSE)),"",VLOOKUP($AC121,'2007-2020 Metadata'!$A$6:$S$214,19,FALSE))</f>
        <v>4</v>
      </c>
      <c r="AF121" s="88" t="str">
        <f>VLOOKUP($B121,'2007-2020 Metadata'!$A$4:$S$214,MATCH("Site type",'2007-2020 Metadata'!$A$4:$S$4,0),FALSE)</f>
        <v>SH</v>
      </c>
      <c r="AG121" s="143">
        <f t="shared" si="38"/>
        <v>10.199999999999999</v>
      </c>
      <c r="AH121" s="143">
        <f t="shared" si="39"/>
        <v>28.5</v>
      </c>
      <c r="AI121" s="144">
        <f t="shared" ca="1" si="40"/>
        <v>12.22443181818182</v>
      </c>
    </row>
    <row r="122" spans="2:36" ht="12" customHeight="1" x14ac:dyDescent="0.15">
      <c r="B122" s="40" t="s">
        <v>136</v>
      </c>
      <c r="C122" s="52">
        <f>IF(ISERROR(VLOOKUP($B122,'Monthly Summary 2010'!$B$7:$Q$221,14,FALSE)=0),"",VLOOKUP($B122,'Monthly Summary 2010'!$B$7:$Q$221,14,FALSE))</f>
        <v>4.5999999999999996</v>
      </c>
      <c r="D122" s="36">
        <v>5.7</v>
      </c>
      <c r="E122" s="36">
        <v>6.6</v>
      </c>
      <c r="F122" s="36">
        <v>9</v>
      </c>
      <c r="G122" s="36">
        <v>10.199999999999999</v>
      </c>
      <c r="H122" s="36">
        <v>10.8</v>
      </c>
      <c r="I122" s="36">
        <v>14.7</v>
      </c>
      <c r="J122" s="36">
        <v>12</v>
      </c>
      <c r="K122" s="36">
        <v>13.5</v>
      </c>
      <c r="L122" s="36">
        <v>8.3000000000000007</v>
      </c>
      <c r="M122" s="36"/>
      <c r="N122" s="36">
        <v>6.6</v>
      </c>
      <c r="O122" s="36">
        <v>5.7</v>
      </c>
      <c r="P122" s="37">
        <f t="shared" si="27"/>
        <v>9.372727272727273</v>
      </c>
      <c r="Q122" s="38">
        <f t="shared" si="28"/>
        <v>0.91666666666666663</v>
      </c>
      <c r="R122" s="260">
        <f t="shared" si="32"/>
        <v>7.1000000000000005</v>
      </c>
      <c r="S122" s="264">
        <f t="shared" si="33"/>
        <v>1</v>
      </c>
      <c r="T122" s="260">
        <f t="shared" si="34"/>
        <v>11.266666666666666</v>
      </c>
      <c r="U122" s="264">
        <f t="shared" si="35"/>
        <v>1</v>
      </c>
      <c r="V122" s="260">
        <f t="shared" si="36"/>
        <v>9.372727272727273</v>
      </c>
      <c r="W122" s="261">
        <f t="shared" si="37"/>
        <v>0.91666666666666663</v>
      </c>
      <c r="X122" s="177">
        <f t="shared" ca="1" si="41"/>
        <v>9.6166666666666671</v>
      </c>
      <c r="Y122" s="177">
        <f t="shared" ca="1" si="42"/>
        <v>15.208333333333332</v>
      </c>
      <c r="Z122" s="177">
        <f t="shared" ca="1" si="43"/>
        <v>12.22443181818182</v>
      </c>
      <c r="AA122" s="10"/>
      <c r="AB122" s="357" t="str">
        <f>VLOOKUP($B122,'2007-2020 Metadata'!$A$4:$S$214,MATCH("Urban Area /Monitoring Zone",'2007-2020 Metadata'!$A$4:$S$4,0),FALSE)</f>
        <v>Upper Hutt</v>
      </c>
      <c r="AC122" s="259" t="str">
        <f>VLOOKUP(B122,'2007-2020 Metadata'!$A$6:$A$214,1,FALSE)</f>
        <v>WEL058</v>
      </c>
      <c r="AD122" s="256" t="str">
        <f>VLOOKUP($AC122,'2007-2020 Metadata'!$A$6:$S$214,9,FALSE)</f>
        <v>Upper Hutt</v>
      </c>
      <c r="AE122" s="263">
        <f>IF(ISBLANK(VLOOKUP($AC122,'2007-2020 Metadata'!$A$6:$S$214,19,FALSE)),"",VLOOKUP($AC122,'2007-2020 Metadata'!$A$6:$S$214,19,FALSE))</f>
        <v>4</v>
      </c>
      <c r="AF122" s="257" t="str">
        <f>VLOOKUP($B122,'2007-2020 Metadata'!$A$4:$S$214,MATCH("Site type",'2007-2020 Metadata'!$A$4:$S$4,0),FALSE)</f>
        <v>Background</v>
      </c>
      <c r="AG122" s="258">
        <f>MIN(AVERAGE(D$122:D$124),AVERAGE(E$122:E$124),AVERAGE(F$122:F$124),AVERAGE(G$122:G$124),AVERAGE(H$122:H$124),AVERAGE(I$122:I$124),AVERAGE(J$122:J$124),AVERAGE(K$122:K$124),AVERAGE(L$122:L$124),AVERAGE(M$122:M$124),AVERAGE(N$122:N$124),AVERAGE(O$122:O$124))</f>
        <v>5.6333333333333329</v>
      </c>
      <c r="AH122" s="258">
        <f>MAX(AVERAGE(D$122:D$124),AVERAGE(E$122:E$124),AVERAGE(F$122:F$124),AVERAGE(G$122:G$124),AVERAGE(H$122:H$124),AVERAGE(I$122:I$124),AVERAGE(J$122:J$124),AVERAGE(K$122:K$124),AVERAGE(L$122:L$124),AVERAGE(M$122:M$124),AVERAGE(N$122:N$124),AVERAGE(O$122:O$124))</f>
        <v>14.366666666666667</v>
      </c>
      <c r="AI122" s="177">
        <f t="shared" ca="1" si="40"/>
        <v>12.22443181818182</v>
      </c>
      <c r="AJ122" s="273"/>
    </row>
    <row r="123" spans="2:36" ht="12" customHeight="1" x14ac:dyDescent="0.15">
      <c r="B123" s="40" t="s">
        <v>137</v>
      </c>
      <c r="C123" s="52">
        <f>IF(ISERROR(VLOOKUP($B123,'Monthly Summary 2010'!$B$7:$Q$221,14,FALSE)=0),"",VLOOKUP($B123,'Monthly Summary 2010'!$B$7:$Q$221,14,FALSE))</f>
        <v>3.1</v>
      </c>
      <c r="D123" s="36">
        <v>5.8</v>
      </c>
      <c r="E123" s="36">
        <v>5</v>
      </c>
      <c r="F123" s="36">
        <v>8.3000000000000007</v>
      </c>
      <c r="G123" s="36">
        <v>9.5</v>
      </c>
      <c r="H123" s="36">
        <v>11.3</v>
      </c>
      <c r="I123" s="36">
        <v>14.3</v>
      </c>
      <c r="J123" s="36">
        <v>11.1</v>
      </c>
      <c r="K123" s="36">
        <v>12.9</v>
      </c>
      <c r="L123" s="36">
        <v>10.199999999999999</v>
      </c>
      <c r="M123" s="36">
        <v>7.4</v>
      </c>
      <c r="N123" s="36">
        <v>6.9</v>
      </c>
      <c r="O123" s="36">
        <v>5.7</v>
      </c>
      <c r="P123" s="37">
        <f t="shared" si="27"/>
        <v>9.033333333333335</v>
      </c>
      <c r="Q123" s="38">
        <f t="shared" si="28"/>
        <v>1</v>
      </c>
      <c r="R123" s="260">
        <f t="shared" si="32"/>
        <v>6.3666666666666671</v>
      </c>
      <c r="S123" s="264">
        <f t="shared" si="33"/>
        <v>1</v>
      </c>
      <c r="T123" s="260">
        <f t="shared" si="34"/>
        <v>11.4</v>
      </c>
      <c r="U123" s="264">
        <f t="shared" si="35"/>
        <v>1</v>
      </c>
      <c r="V123" s="260">
        <f t="shared" si="36"/>
        <v>9.033333333333335</v>
      </c>
      <c r="W123" s="261">
        <f t="shared" si="37"/>
        <v>1</v>
      </c>
      <c r="X123" s="177">
        <f t="shared" ca="1" si="41"/>
        <v>9.6166666666666671</v>
      </c>
      <c r="Y123" s="177">
        <f t="shared" ca="1" si="42"/>
        <v>15.208333333333332</v>
      </c>
      <c r="Z123" s="177">
        <f t="shared" ca="1" si="43"/>
        <v>12.22443181818182</v>
      </c>
      <c r="AA123" s="10"/>
      <c r="AB123" s="357" t="str">
        <f>VLOOKUP($B123,'2007-2020 Metadata'!$A$4:$S$214,MATCH("Urban Area /Monitoring Zone",'2007-2020 Metadata'!$A$4:$S$4,0),FALSE)</f>
        <v>Upper Hutt</v>
      </c>
      <c r="AC123" s="259" t="str">
        <f>VLOOKUP(B123,'2007-2020 Metadata'!$A$6:$A$214,1,FALSE)</f>
        <v>WEL059</v>
      </c>
      <c r="AD123" s="256" t="str">
        <f>VLOOKUP($AC123,'2007-2020 Metadata'!$A$6:$S$214,9,FALSE)</f>
        <v>Upper Hutt</v>
      </c>
      <c r="AE123" s="263">
        <f>IF(ISBLANK(VLOOKUP($AC123,'2007-2020 Metadata'!$A$6:$S$214,19,FALSE)),"",VLOOKUP($AC123,'2007-2020 Metadata'!$A$6:$S$214,19,FALSE))</f>
        <v>4</v>
      </c>
      <c r="AF123" s="257" t="str">
        <f>VLOOKUP($B123,'2007-2020 Metadata'!$A$4:$S$214,MATCH("Site type",'2007-2020 Metadata'!$A$4:$S$4,0),FALSE)</f>
        <v>Background</v>
      </c>
      <c r="AG123" s="258">
        <f>MIN(AVERAGE(D$122:D$124),AVERAGE(E$122:E$124),AVERAGE(F$122:F$124),AVERAGE(G$122:G$124),AVERAGE(H$122:H$124),AVERAGE(I$122:I$124),AVERAGE(J$122:J$124),AVERAGE(K$122:K$124),AVERAGE(L$122:L$124),AVERAGE(M$122:M$124),AVERAGE(N$122:N$124),AVERAGE(O$122:O$124))</f>
        <v>5.6333333333333329</v>
      </c>
      <c r="AH123" s="258">
        <f>MAX(AVERAGE(D$122:D$124),AVERAGE(E$122:E$124),AVERAGE(F$122:F$124),AVERAGE(G$122:G$124),AVERAGE(H$122:H$124),AVERAGE(I$122:I$124),AVERAGE(J$122:J$124),AVERAGE(K$122:K$124),AVERAGE(L$122:L$124),AVERAGE(M$122:M$124),AVERAGE(N$122:N$124),AVERAGE(O$122:O$124))</f>
        <v>14.366666666666667</v>
      </c>
      <c r="AI123" s="177">
        <f t="shared" ca="1" si="40"/>
        <v>12.22443181818182</v>
      </c>
    </row>
    <row r="124" spans="2:36" ht="12" customHeight="1" x14ac:dyDescent="0.15">
      <c r="B124" s="40" t="s">
        <v>138</v>
      </c>
      <c r="C124" s="52">
        <f>IF(ISERROR(VLOOKUP($B124,'Monthly Summary 2010'!$B$7:$Q$221,14,FALSE)=0),"",VLOOKUP($B124,'Monthly Summary 2010'!$B$7:$Q$221,14,FALSE))</f>
        <v>3.5</v>
      </c>
      <c r="D124" s="36">
        <v>5.4</v>
      </c>
      <c r="E124" s="36">
        <v>6.6</v>
      </c>
      <c r="F124" s="36">
        <v>8.5</v>
      </c>
      <c r="G124" s="36">
        <v>12.1</v>
      </c>
      <c r="H124" s="36">
        <v>9.6999999999999993</v>
      </c>
      <c r="I124" s="36">
        <v>14.1</v>
      </c>
      <c r="J124" s="36">
        <v>11.3</v>
      </c>
      <c r="K124" s="36">
        <v>13.4</v>
      </c>
      <c r="L124" s="36">
        <v>10</v>
      </c>
      <c r="M124" s="36">
        <v>6.4</v>
      </c>
      <c r="N124" s="36">
        <v>6.5</v>
      </c>
      <c r="O124" s="36">
        <v>5.7</v>
      </c>
      <c r="P124" s="37">
        <f t="shared" si="27"/>
        <v>9.1416666666666675</v>
      </c>
      <c r="Q124" s="38">
        <f t="shared" si="28"/>
        <v>1</v>
      </c>
      <c r="R124" s="260">
        <f t="shared" si="32"/>
        <v>6.833333333333333</v>
      </c>
      <c r="S124" s="264">
        <f t="shared" si="33"/>
        <v>1</v>
      </c>
      <c r="T124" s="260">
        <f t="shared" si="34"/>
        <v>11.566666666666668</v>
      </c>
      <c r="U124" s="264">
        <f t="shared" si="35"/>
        <v>1</v>
      </c>
      <c r="V124" s="260">
        <f t="shared" si="36"/>
        <v>9.1416666666666675</v>
      </c>
      <c r="W124" s="261">
        <f t="shared" si="37"/>
        <v>1</v>
      </c>
      <c r="X124" s="177">
        <f t="shared" ca="1" si="41"/>
        <v>9.6166666666666671</v>
      </c>
      <c r="Y124" s="177">
        <f t="shared" ca="1" si="42"/>
        <v>15.208333333333332</v>
      </c>
      <c r="Z124" s="177">
        <f t="shared" ca="1" si="43"/>
        <v>12.22443181818182</v>
      </c>
      <c r="AA124" s="10"/>
      <c r="AB124" s="357" t="str">
        <f>VLOOKUP($B124,'2007-2020 Metadata'!$A$4:$S$214,MATCH("Urban Area /Monitoring Zone",'2007-2020 Metadata'!$A$4:$S$4,0),FALSE)</f>
        <v>Upper Hutt</v>
      </c>
      <c r="AC124" s="259" t="str">
        <f>VLOOKUP(B124,'2007-2020 Metadata'!$A$6:$A$214,1,FALSE)</f>
        <v>WEL060</v>
      </c>
      <c r="AD124" s="256" t="str">
        <f>VLOOKUP($AC124,'2007-2020 Metadata'!$A$6:$S$214,9,FALSE)</f>
        <v>Upper Hutt</v>
      </c>
      <c r="AE124" s="263">
        <f>IF(ISBLANK(VLOOKUP($AC124,'2007-2020 Metadata'!$A$6:$S$214,19,FALSE)),"",VLOOKUP($AC124,'2007-2020 Metadata'!$A$6:$S$214,19,FALSE))</f>
        <v>4</v>
      </c>
      <c r="AF124" s="257" t="str">
        <f>VLOOKUP($B124,'2007-2020 Metadata'!$A$4:$S$214,MATCH("Site type",'2007-2020 Metadata'!$A$4:$S$4,0),FALSE)</f>
        <v>Background</v>
      </c>
      <c r="AG124" s="258">
        <f>MIN(AVERAGE(D$122:D$124),AVERAGE(E$122:E$124),AVERAGE(F$122:F$124),AVERAGE(G$122:G$124),AVERAGE(H$122:H$124),AVERAGE(I$122:I$124),AVERAGE(J$122:J$124),AVERAGE(K$122:K$124),AVERAGE(L$122:L$124),AVERAGE(M$122:M$124),AVERAGE(N$122:N$124),AVERAGE(O$122:O$124))</f>
        <v>5.6333333333333329</v>
      </c>
      <c r="AH124" s="258">
        <f>MAX(AVERAGE(E$122:E$124),AVERAGE(F$122:F$124),AVERAGE(G$122:G$124),AVERAGE(H$122:H$124),AVERAGE(I$122:I$124),AVERAGE(J$122:J$124),AVERAGE(K$122:K$124),AVERAGE(L$122:L$124),AVERAGE(M$122:M$124),AVERAGE(N$122:N$124),AVERAGE(O$122:O$124),AVERAGE(P$122:P$124))</f>
        <v>14.366666666666667</v>
      </c>
      <c r="AI124" s="177">
        <f t="shared" ca="1" si="40"/>
        <v>12.22443181818182</v>
      </c>
    </row>
    <row r="125" spans="2:36" ht="12" customHeight="1" x14ac:dyDescent="0.15">
      <c r="B125" s="40" t="s">
        <v>139</v>
      </c>
      <c r="C125" s="52">
        <f>IF(ISERROR(VLOOKUP($B125,'Monthly Summary 2010'!$B$7:$Q$221,14,FALSE)=0),"",VLOOKUP($B125,'Monthly Summary 2010'!$B$7:$Q$221,14,FALSE))</f>
        <v>9.1</v>
      </c>
      <c r="D125" s="36">
        <v>15.2</v>
      </c>
      <c r="E125" s="36">
        <v>17.8</v>
      </c>
      <c r="F125" s="36">
        <v>18.7</v>
      </c>
      <c r="G125" s="36">
        <v>24.5</v>
      </c>
      <c r="H125" s="36">
        <v>19.2</v>
      </c>
      <c r="I125" s="36">
        <v>22</v>
      </c>
      <c r="J125" s="36">
        <v>19.899999999999999</v>
      </c>
      <c r="K125" s="36">
        <v>24</v>
      </c>
      <c r="L125" s="36">
        <v>21.75</v>
      </c>
      <c r="M125" s="36">
        <v>19.8</v>
      </c>
      <c r="N125" s="36">
        <v>13.65</v>
      </c>
      <c r="O125" s="36"/>
      <c r="P125" s="37">
        <f t="shared" si="27"/>
        <v>19.681818181818183</v>
      </c>
      <c r="Q125" s="38">
        <f t="shared" si="28"/>
        <v>0.91666666666666663</v>
      </c>
      <c r="R125" s="140">
        <f t="shared" si="32"/>
        <v>17.233333333333334</v>
      </c>
      <c r="S125" s="24">
        <f t="shared" si="33"/>
        <v>1</v>
      </c>
      <c r="T125" s="140">
        <f t="shared" si="34"/>
        <v>21.883333333333336</v>
      </c>
      <c r="U125" s="24">
        <f t="shared" si="35"/>
        <v>1</v>
      </c>
      <c r="V125" s="140">
        <f t="shared" si="36"/>
        <v>19.681818181818183</v>
      </c>
      <c r="W125" s="150">
        <f t="shared" si="37"/>
        <v>0.91666666666666663</v>
      </c>
      <c r="X125" s="144">
        <f t="shared" ca="1" si="41"/>
        <v>17.233333333333334</v>
      </c>
      <c r="Y125" s="144">
        <f t="shared" ca="1" si="42"/>
        <v>21.825000000000003</v>
      </c>
      <c r="Z125" s="144">
        <f t="shared" ca="1" si="43"/>
        <v>19.345454545454544</v>
      </c>
      <c r="AA125" s="10"/>
      <c r="AB125" s="357" t="str">
        <f>VLOOKUP($B125,'2007-2020 Metadata'!$A$4:$S$214,MATCH("Urban Area /Monitoring Zone",'2007-2020 Metadata'!$A$4:$S$4,0),FALSE)</f>
        <v>Otaki</v>
      </c>
      <c r="AC125" s="87" t="str">
        <f>VLOOKUP(B125,'2007-2020 Metadata'!$A$6:$A$214,1,FALSE)</f>
        <v>WEL061</v>
      </c>
      <c r="AD125" s="230" t="str">
        <f>VLOOKUP($AC125,'2007-2020 Metadata'!$A$6:$S$214,9,FALSE)</f>
        <v>Kapiti Coast</v>
      </c>
      <c r="AE125" s="248">
        <f>IF(ISBLANK(VLOOKUP($AC125,'2007-2020 Metadata'!$A$6:$S$214,19,FALSE)),"",VLOOKUP($AC125,'2007-2020 Metadata'!$A$6:$S$214,19,FALSE))</f>
        <v>4</v>
      </c>
      <c r="AF125" s="88" t="str">
        <f>VLOOKUP($B125,'2007-2020 Metadata'!$A$4:$S$214,MATCH("Site type",'2007-2020 Metadata'!$A$4:$S$4,0),FALSE)</f>
        <v>SH</v>
      </c>
      <c r="AG125" s="143">
        <f t="shared" si="38"/>
        <v>13.65</v>
      </c>
      <c r="AH125" s="143">
        <f t="shared" si="39"/>
        <v>24.5</v>
      </c>
      <c r="AI125" s="144">
        <f t="shared" ca="1" si="40"/>
        <v>19.345454545454544</v>
      </c>
    </row>
    <row r="126" spans="2:36" ht="12" customHeight="1" x14ac:dyDescent="0.15">
      <c r="B126" s="40" t="s">
        <v>140</v>
      </c>
      <c r="C126" s="52">
        <f>IF(ISERROR(VLOOKUP($B126,'Monthly Summary 2010'!$B$7:$Q$221,14,FALSE)=0),"",VLOOKUP($B126,'Monthly Summary 2010'!$B$7:$Q$221,14,FALSE))</f>
        <v>7.3</v>
      </c>
      <c r="D126" s="36">
        <v>7.6</v>
      </c>
      <c r="E126" s="36">
        <v>8.8000000000000007</v>
      </c>
      <c r="F126" s="36"/>
      <c r="G126" s="36">
        <v>14.8</v>
      </c>
      <c r="H126" s="36">
        <v>14.5</v>
      </c>
      <c r="I126" s="36"/>
      <c r="J126" s="36">
        <v>18.600000000000001</v>
      </c>
      <c r="K126" s="36">
        <v>15</v>
      </c>
      <c r="L126" s="36"/>
      <c r="M126" s="36">
        <v>8</v>
      </c>
      <c r="N126" s="36">
        <v>7</v>
      </c>
      <c r="O126" s="36">
        <v>9.6999999999999993</v>
      </c>
      <c r="P126" s="37">
        <f t="shared" si="27"/>
        <v>11.555555555555557</v>
      </c>
      <c r="Q126" s="38">
        <f t="shared" si="28"/>
        <v>0.75</v>
      </c>
      <c r="R126" s="140">
        <f t="shared" si="32"/>
        <v>8.1999999999999993</v>
      </c>
      <c r="S126" s="24">
        <f t="shared" si="33"/>
        <v>0.66666666666666663</v>
      </c>
      <c r="T126" s="140">
        <f t="shared" si="34"/>
        <v>16.8</v>
      </c>
      <c r="U126" s="24">
        <f t="shared" si="35"/>
        <v>0.66666666666666663</v>
      </c>
      <c r="V126" s="140">
        <f t="shared" si="36"/>
        <v>11.555555555555557</v>
      </c>
      <c r="W126" s="150">
        <f t="shared" si="37"/>
        <v>0.75</v>
      </c>
      <c r="X126" s="144">
        <f t="shared" ca="1" si="41"/>
        <v>14.033333333333337</v>
      </c>
      <c r="Y126" s="144">
        <f t="shared" ca="1" si="42"/>
        <v>23.188888888888886</v>
      </c>
      <c r="Z126" s="144">
        <f t="shared" ca="1" si="43"/>
        <v>18.552457912457914</v>
      </c>
      <c r="AA126" s="10"/>
      <c r="AB126" s="357" t="str">
        <f>VLOOKUP($B126,'2007-2020 Metadata'!$A$4:$S$214,MATCH("Urban Area /Monitoring Zone",'2007-2020 Metadata'!$A$4:$S$4,0),FALSE)</f>
        <v>Nelson</v>
      </c>
      <c r="AC126" s="87" t="str">
        <f>VLOOKUP(B126,'2007-2020 Metadata'!$A$6:$A$214,1,FALSE)</f>
        <v>WEL062</v>
      </c>
      <c r="AD126" s="230" t="str">
        <f>VLOOKUP($AC126,'2007-2020 Metadata'!$A$6:$S$214,9,FALSE)</f>
        <v>Nelson</v>
      </c>
      <c r="AE126" s="248">
        <f>IF(ISBLANK(VLOOKUP($AC126,'2007-2020 Metadata'!$A$6:$S$214,19,FALSE)),"",VLOOKUP($AC126,'2007-2020 Metadata'!$A$6:$S$214,19,FALSE))</f>
        <v>2.2000000000000002</v>
      </c>
      <c r="AF126" s="88" t="str">
        <f>VLOOKUP($B126,'2007-2020 Metadata'!$A$4:$S$214,MATCH("Site type",'2007-2020 Metadata'!$A$4:$S$4,0),FALSE)</f>
        <v>Background</v>
      </c>
      <c r="AG126" s="143">
        <f t="shared" si="38"/>
        <v>7</v>
      </c>
      <c r="AH126" s="143">
        <f t="shared" si="39"/>
        <v>18.600000000000001</v>
      </c>
      <c r="AI126" s="144">
        <f t="shared" ca="1" si="40"/>
        <v>18.552457912457914</v>
      </c>
    </row>
    <row r="127" spans="2:36" ht="12" customHeight="1" x14ac:dyDescent="0.15">
      <c r="B127" s="40" t="s">
        <v>141</v>
      </c>
      <c r="C127" s="52">
        <f>IF(ISERROR(VLOOKUP($B127,'Monthly Summary 2010'!$B$7:$Q$221,14,FALSE)=0),"",VLOOKUP($B127,'Monthly Summary 2010'!$B$7:$Q$221,14,FALSE))</f>
        <v>15.2</v>
      </c>
      <c r="D127" s="36">
        <v>14.3</v>
      </c>
      <c r="E127" s="36">
        <v>16.2</v>
      </c>
      <c r="F127" s="36">
        <v>21.2</v>
      </c>
      <c r="G127" s="36">
        <v>22.3</v>
      </c>
      <c r="H127" s="36">
        <v>21.6</v>
      </c>
      <c r="I127" s="36">
        <v>22.9</v>
      </c>
      <c r="J127" s="36">
        <v>21.7</v>
      </c>
      <c r="K127" s="36">
        <v>21.9</v>
      </c>
      <c r="L127" s="36">
        <v>21.7</v>
      </c>
      <c r="M127" s="36">
        <v>9.5</v>
      </c>
      <c r="N127" s="36">
        <v>15.8</v>
      </c>
      <c r="O127" s="36"/>
      <c r="P127" s="37">
        <f t="shared" si="27"/>
        <v>19.009090909090908</v>
      </c>
      <c r="Q127" s="38">
        <f t="shared" si="28"/>
        <v>0.91666666666666663</v>
      </c>
      <c r="R127" s="140">
        <f t="shared" si="32"/>
        <v>17.233333333333334</v>
      </c>
      <c r="S127" s="24">
        <f t="shared" si="33"/>
        <v>1</v>
      </c>
      <c r="T127" s="140">
        <f t="shared" si="34"/>
        <v>21.766666666666666</v>
      </c>
      <c r="U127" s="24">
        <f t="shared" si="35"/>
        <v>1</v>
      </c>
      <c r="V127" s="140">
        <f t="shared" si="36"/>
        <v>19.009090909090908</v>
      </c>
      <c r="W127" s="150">
        <f t="shared" si="37"/>
        <v>0.91666666666666663</v>
      </c>
      <c r="X127" s="144">
        <f t="shared" ca="1" si="41"/>
        <v>17.233333333333334</v>
      </c>
      <c r="Y127" s="144">
        <f t="shared" ca="1" si="42"/>
        <v>21.825000000000003</v>
      </c>
      <c r="Z127" s="144">
        <f t="shared" ca="1" si="43"/>
        <v>19.345454545454544</v>
      </c>
      <c r="AA127" s="10"/>
      <c r="AB127" s="357" t="str">
        <f>VLOOKUP($B127,'2007-2020 Metadata'!$A$4:$S$214,MATCH("Urban Area /Monitoring Zone",'2007-2020 Metadata'!$A$4:$S$4,0),FALSE)</f>
        <v xml:space="preserve">Kapiti </v>
      </c>
      <c r="AC127" s="87" t="str">
        <f>VLOOKUP(B127,'2007-2020 Metadata'!$A$6:$A$214,1,FALSE)</f>
        <v>WEL063</v>
      </c>
      <c r="AD127" s="230" t="str">
        <f>VLOOKUP($AC127,'2007-2020 Metadata'!$A$6:$S$214,9,FALSE)</f>
        <v>Kapiti Coast</v>
      </c>
      <c r="AE127" s="248">
        <f>IF(ISBLANK(VLOOKUP($AC127,'2007-2020 Metadata'!$A$6:$S$214,19,FALSE)),"",VLOOKUP($AC127,'2007-2020 Metadata'!$A$6:$S$214,19,FALSE))</f>
        <v>3.5</v>
      </c>
      <c r="AF127" s="88" t="str">
        <f>VLOOKUP($B127,'2007-2020 Metadata'!$A$4:$S$214,MATCH("Site type",'2007-2020 Metadata'!$A$4:$S$4,0),FALSE)</f>
        <v>Local (ex SH)</v>
      </c>
      <c r="AG127" s="143">
        <f t="shared" si="38"/>
        <v>9.5</v>
      </c>
      <c r="AH127" s="143">
        <f t="shared" si="39"/>
        <v>22.9</v>
      </c>
      <c r="AI127" s="144">
        <f t="shared" ca="1" si="40"/>
        <v>19.345454545454544</v>
      </c>
    </row>
    <row r="128" spans="2:36" ht="12" customHeight="1" x14ac:dyDescent="0.15">
      <c r="B128" s="40" t="s">
        <v>142</v>
      </c>
      <c r="C128" s="52">
        <f>IF(ISERROR(VLOOKUP($B128,'Monthly Summary 2010'!$B$7:$Q$221,14,FALSE)=0),"",VLOOKUP($B128,'Monthly Summary 2010'!$B$7:$Q$221,14,FALSE))</f>
        <v>10.7</v>
      </c>
      <c r="D128" s="36">
        <v>16.399999999999999</v>
      </c>
      <c r="E128" s="36">
        <v>24.4</v>
      </c>
      <c r="F128" s="36">
        <v>25.9</v>
      </c>
      <c r="G128" s="36">
        <v>26</v>
      </c>
      <c r="H128" s="36">
        <v>26.8</v>
      </c>
      <c r="I128" s="36">
        <v>34.9</v>
      </c>
      <c r="J128" s="36">
        <v>30.1</v>
      </c>
      <c r="K128" s="36">
        <v>31.3</v>
      </c>
      <c r="L128" s="36">
        <v>32.1</v>
      </c>
      <c r="M128" s="36">
        <v>20.6</v>
      </c>
      <c r="N128" s="36">
        <v>24.8</v>
      </c>
      <c r="O128" s="36">
        <v>19.8</v>
      </c>
      <c r="P128" s="37">
        <f t="shared" si="27"/>
        <v>26.091666666666669</v>
      </c>
      <c r="Q128" s="38">
        <f t="shared" si="28"/>
        <v>1</v>
      </c>
      <c r="R128" s="140">
        <f t="shared" si="32"/>
        <v>22.233333333333331</v>
      </c>
      <c r="S128" s="24">
        <f t="shared" si="33"/>
        <v>1</v>
      </c>
      <c r="T128" s="140">
        <f t="shared" si="34"/>
        <v>31.166666666666668</v>
      </c>
      <c r="U128" s="24">
        <f t="shared" si="35"/>
        <v>1</v>
      </c>
      <c r="V128" s="140">
        <f t="shared" si="36"/>
        <v>26.091666666666669</v>
      </c>
      <c r="W128" s="150">
        <f t="shared" si="37"/>
        <v>1</v>
      </c>
      <c r="X128" s="144">
        <f t="shared" ca="1" si="41"/>
        <v>21.463636363636365</v>
      </c>
      <c r="Y128" s="144">
        <f t="shared" ca="1" si="42"/>
        <v>28.330303030303028</v>
      </c>
      <c r="Z128" s="144">
        <f t="shared" ca="1" si="43"/>
        <v>24.946487603305787</v>
      </c>
      <c r="AA128" s="10"/>
      <c r="AB128" s="357" t="str">
        <f>VLOOKUP($B128,'2007-2020 Metadata'!$A$4:$S$214,MATCH("Urban Area /Monitoring Zone",'2007-2020 Metadata'!$A$4:$S$4,0),FALSE)</f>
        <v>Wellington</v>
      </c>
      <c r="AC128" s="87" t="str">
        <f>VLOOKUP(B128,'2007-2020 Metadata'!$A$6:$A$214,1,FALSE)</f>
        <v>WEL064</v>
      </c>
      <c r="AD128" s="230" t="str">
        <f>VLOOKUP($AC128,'2007-2020 Metadata'!$A$6:$S$214,9,FALSE)</f>
        <v>Wellington</v>
      </c>
      <c r="AE128" s="248">
        <f>IF(ISBLANK(VLOOKUP($AC128,'2007-2020 Metadata'!$A$6:$S$214,19,FALSE)),"",VLOOKUP($AC128,'2007-2020 Metadata'!$A$6:$S$214,19,FALSE))</f>
        <v>4</v>
      </c>
      <c r="AF128" s="88" t="str">
        <f>VLOOKUP($B128,'2007-2020 Metadata'!$A$4:$S$214,MATCH("Site type",'2007-2020 Metadata'!$A$4:$S$4,0),FALSE)</f>
        <v>SH</v>
      </c>
      <c r="AG128" s="143">
        <f t="shared" si="38"/>
        <v>16.399999999999999</v>
      </c>
      <c r="AH128" s="143">
        <f t="shared" si="39"/>
        <v>34.9</v>
      </c>
      <c r="AI128" s="144">
        <f t="shared" ca="1" si="40"/>
        <v>24.946487603305787</v>
      </c>
    </row>
    <row r="129" spans="2:36" ht="12" customHeight="1" x14ac:dyDescent="0.15">
      <c r="B129" s="40" t="s">
        <v>21</v>
      </c>
      <c r="C129" s="52">
        <f>IF(ISERROR(VLOOKUP($B129,'Monthly Summary 2010'!$B$7:$Q$221,14,FALSE)=0),"",VLOOKUP($B129,'Monthly Summary 2010'!$B$7:$Q$221,14,FALSE))</f>
        <v>5.5</v>
      </c>
      <c r="D129" s="36">
        <v>10.4</v>
      </c>
      <c r="E129" s="36">
        <v>12.6</v>
      </c>
      <c r="F129" s="36">
        <v>13.5</v>
      </c>
      <c r="G129" s="36">
        <v>16.100000000000001</v>
      </c>
      <c r="H129" s="36">
        <v>18.8</v>
      </c>
      <c r="I129" s="36">
        <v>18.600000000000001</v>
      </c>
      <c r="J129" s="36">
        <v>17.3</v>
      </c>
      <c r="K129" s="36">
        <v>19.8</v>
      </c>
      <c r="L129" s="36">
        <v>15.5</v>
      </c>
      <c r="M129" s="36">
        <v>24</v>
      </c>
      <c r="N129" s="36"/>
      <c r="O129" s="36">
        <v>9.6999999999999993</v>
      </c>
      <c r="P129" s="37">
        <f t="shared" si="27"/>
        <v>16.027272727272727</v>
      </c>
      <c r="Q129" s="38">
        <f t="shared" si="28"/>
        <v>0.91666666666666663</v>
      </c>
      <c r="R129" s="140">
        <f t="shared" si="32"/>
        <v>12.166666666666666</v>
      </c>
      <c r="S129" s="24">
        <f t="shared" si="33"/>
        <v>1</v>
      </c>
      <c r="T129" s="140">
        <f t="shared" si="34"/>
        <v>17.533333333333335</v>
      </c>
      <c r="U129" s="24">
        <f t="shared" si="35"/>
        <v>1</v>
      </c>
      <c r="V129" s="140">
        <f t="shared" si="36"/>
        <v>16.027272727272727</v>
      </c>
      <c r="W129" s="150">
        <f t="shared" si="37"/>
        <v>0.91666666666666663</v>
      </c>
      <c r="X129" s="144">
        <f t="shared" ca="1" si="41"/>
        <v>12.166666666666666</v>
      </c>
      <c r="Y129" s="144">
        <f t="shared" ca="1" si="42"/>
        <v>17.533333333333335</v>
      </c>
      <c r="Z129" s="144">
        <f t="shared" ca="1" si="43"/>
        <v>16.027272727272727</v>
      </c>
      <c r="AA129" s="10"/>
      <c r="AB129" s="357" t="str">
        <f>VLOOKUP($B129,'2007-2020 Metadata'!$A$4:$S$214,MATCH("Urban Area /Monitoring Zone",'2007-2020 Metadata'!$A$4:$S$4,0),FALSE)</f>
        <v>Greymouth</v>
      </c>
      <c r="AC129" s="87" t="str">
        <f>VLOOKUP(B129,'2007-2020 Metadata'!$A$6:$A$214,1,FALSE)</f>
        <v>CHR001</v>
      </c>
      <c r="AD129" s="230" t="str">
        <f>VLOOKUP($AC129,'2007-2020 Metadata'!$A$6:$S$214,9,FALSE)</f>
        <v>Greymouth</v>
      </c>
      <c r="AE129" s="248">
        <f>IF(ISBLANK(VLOOKUP($AC129,'2007-2020 Metadata'!$A$6:$S$214,19,FALSE)),"",VLOOKUP($AC129,'2007-2020 Metadata'!$A$6:$S$214,19,FALSE))</f>
        <v>2.2999999999999998</v>
      </c>
      <c r="AF129" s="88" t="str">
        <f>VLOOKUP($B129,'2007-2020 Metadata'!$A$4:$S$214,MATCH("Site type",'2007-2020 Metadata'!$A$4:$S$4,0),FALSE)</f>
        <v>SH</v>
      </c>
      <c r="AG129" s="143">
        <f t="shared" si="38"/>
        <v>9.6999999999999993</v>
      </c>
      <c r="AH129" s="143">
        <f t="shared" si="39"/>
        <v>24</v>
      </c>
      <c r="AI129" s="144">
        <f t="shared" ca="1" si="40"/>
        <v>16.027272727272727</v>
      </c>
    </row>
    <row r="130" spans="2:36" ht="12" customHeight="1" x14ac:dyDescent="0.15">
      <c r="B130" s="40" t="s">
        <v>22</v>
      </c>
      <c r="C130" s="52">
        <f>IF(ISERROR(VLOOKUP($B130,'Monthly Summary 2010'!$B$7:$Q$221,14,FALSE)=0),"",VLOOKUP($B130,'Monthly Summary 2010'!$B$7:$Q$221,14,FALSE))</f>
        <v>19.3</v>
      </c>
      <c r="D130" s="36">
        <v>17.600000000000001</v>
      </c>
      <c r="E130" s="36">
        <v>26.7</v>
      </c>
      <c r="F130" s="36">
        <v>25.2</v>
      </c>
      <c r="G130" s="36">
        <v>37.200000000000003</v>
      </c>
      <c r="H130" s="36">
        <v>34.5</v>
      </c>
      <c r="I130" s="36">
        <v>38.5</v>
      </c>
      <c r="J130" s="36">
        <v>42.4</v>
      </c>
      <c r="K130" s="36">
        <v>40.200000000000003</v>
      </c>
      <c r="L130" s="36">
        <v>31.1</v>
      </c>
      <c r="M130" s="36">
        <v>14.4</v>
      </c>
      <c r="N130" s="36">
        <v>19</v>
      </c>
      <c r="O130" s="36">
        <v>21.2</v>
      </c>
      <c r="P130" s="37">
        <f t="shared" si="27"/>
        <v>29</v>
      </c>
      <c r="Q130" s="38">
        <f t="shared" si="28"/>
        <v>1</v>
      </c>
      <c r="R130" s="140">
        <f t="shared" si="32"/>
        <v>23.166666666666668</v>
      </c>
      <c r="S130" s="24">
        <f t="shared" si="33"/>
        <v>1</v>
      </c>
      <c r="T130" s="140">
        <f t="shared" si="34"/>
        <v>37.9</v>
      </c>
      <c r="U130" s="24">
        <f t="shared" si="35"/>
        <v>1</v>
      </c>
      <c r="V130" s="140">
        <f t="shared" si="36"/>
        <v>29</v>
      </c>
      <c r="W130" s="150">
        <f t="shared" si="37"/>
        <v>1</v>
      </c>
      <c r="X130" s="144">
        <f t="shared" ca="1" si="41"/>
        <v>22.511111111111109</v>
      </c>
      <c r="Y130" s="144">
        <f t="shared" ca="1" si="42"/>
        <v>35.74111111111111</v>
      </c>
      <c r="Z130" s="144">
        <f t="shared" ca="1" si="43"/>
        <v>29.364175084175081</v>
      </c>
      <c r="AA130" s="10"/>
      <c r="AB130" s="357" t="str">
        <f>VLOOKUP($B130,'2007-2020 Metadata'!$A$4:$S$214,MATCH("Urban Area /Monitoring Zone",'2007-2020 Metadata'!$A$4:$S$4,0),FALSE)</f>
        <v>Christchurch</v>
      </c>
      <c r="AC130" s="87" t="str">
        <f>VLOOKUP(B130,'2007-2020 Metadata'!$A$6:$A$214,1,FALSE)</f>
        <v>CHR002</v>
      </c>
      <c r="AD130" s="230" t="str">
        <f>VLOOKUP($AC130,'2007-2020 Metadata'!$A$6:$S$214,9,FALSE)</f>
        <v>Christchurch</v>
      </c>
      <c r="AE130" s="248">
        <f>IF(ISBLANK(VLOOKUP($AC130,'2007-2020 Metadata'!$A$6:$S$214,19,FALSE)),"",VLOOKUP($AC130,'2007-2020 Metadata'!$A$6:$S$214,19,FALSE))</f>
        <v>3.2</v>
      </c>
      <c r="AF130" s="88" t="str">
        <f>VLOOKUP($B130,'2007-2020 Metadata'!$A$4:$S$214,MATCH("Site type",'2007-2020 Metadata'!$A$4:$S$4,0),FALSE)</f>
        <v>SH</v>
      </c>
      <c r="AG130" s="143">
        <f t="shared" si="38"/>
        <v>14.4</v>
      </c>
      <c r="AH130" s="143">
        <f t="shared" si="39"/>
        <v>42.4</v>
      </c>
      <c r="AI130" s="144">
        <f t="shared" ca="1" si="40"/>
        <v>29.364175084175081</v>
      </c>
    </row>
    <row r="131" spans="2:36" ht="12" customHeight="1" x14ac:dyDescent="0.15">
      <c r="B131" s="40" t="s">
        <v>23</v>
      </c>
      <c r="C131" s="52">
        <f>IF(ISERROR(VLOOKUP($B131,'Monthly Summary 2010'!$B$7:$Q$221,14,FALSE)=0),"",VLOOKUP($B131,'Monthly Summary 2010'!$B$7:$Q$221,14,FALSE))</f>
        <v>17.100000000000001</v>
      </c>
      <c r="D131" s="36">
        <v>17.5</v>
      </c>
      <c r="E131" s="36">
        <v>21.8</v>
      </c>
      <c r="F131" s="36">
        <v>20.3</v>
      </c>
      <c r="G131" s="36">
        <v>30</v>
      </c>
      <c r="H131" s="36">
        <v>31.4</v>
      </c>
      <c r="I131" s="36">
        <v>37.700000000000003</v>
      </c>
      <c r="J131" s="36">
        <v>41.6</v>
      </c>
      <c r="K131" s="36">
        <v>40</v>
      </c>
      <c r="L131" s="36">
        <v>34.799999999999997</v>
      </c>
      <c r="M131" s="36">
        <v>30.5</v>
      </c>
      <c r="N131" s="36">
        <v>24.5</v>
      </c>
      <c r="O131" s="36"/>
      <c r="P131" s="37">
        <f t="shared" si="27"/>
        <v>30.009090909090904</v>
      </c>
      <c r="Q131" s="38">
        <f t="shared" si="28"/>
        <v>0.91666666666666663</v>
      </c>
      <c r="R131" s="140">
        <f t="shared" si="32"/>
        <v>19.866666666666664</v>
      </c>
      <c r="S131" s="24">
        <f t="shared" si="33"/>
        <v>1</v>
      </c>
      <c r="T131" s="140">
        <f t="shared" si="34"/>
        <v>38.799999999999997</v>
      </c>
      <c r="U131" s="24">
        <f t="shared" si="35"/>
        <v>1</v>
      </c>
      <c r="V131" s="140">
        <f t="shared" si="36"/>
        <v>30.009090909090904</v>
      </c>
      <c r="W131" s="150">
        <f t="shared" si="37"/>
        <v>0.91666666666666663</v>
      </c>
      <c r="X131" s="144">
        <f t="shared" ca="1" si="41"/>
        <v>22.511111111111109</v>
      </c>
      <c r="Y131" s="144">
        <f t="shared" ca="1" si="42"/>
        <v>35.74111111111111</v>
      </c>
      <c r="Z131" s="144">
        <f t="shared" ca="1" si="43"/>
        <v>29.364175084175081</v>
      </c>
      <c r="AA131" s="10"/>
      <c r="AB131" s="357" t="str">
        <f>VLOOKUP($B131,'2007-2020 Metadata'!$A$4:$S$214,MATCH("Urban Area /Monitoring Zone",'2007-2020 Metadata'!$A$4:$S$4,0),FALSE)</f>
        <v>Christchurch</v>
      </c>
      <c r="AC131" s="87" t="str">
        <f>VLOOKUP(B131,'2007-2020 Metadata'!$A$6:$A$214,1,FALSE)</f>
        <v>CHR003</v>
      </c>
      <c r="AD131" s="230" t="str">
        <f>VLOOKUP($AC131,'2007-2020 Metadata'!$A$6:$S$214,9,FALSE)</f>
        <v>Christchurch</v>
      </c>
      <c r="AE131" s="248">
        <f>IF(ISBLANK(VLOOKUP($AC131,'2007-2020 Metadata'!$A$6:$S$214,19,FALSE)),"",VLOOKUP($AC131,'2007-2020 Metadata'!$A$6:$S$214,19,FALSE))</f>
        <v>3.3</v>
      </c>
      <c r="AF131" s="88" t="str">
        <f>VLOOKUP($B131,'2007-2020 Metadata'!$A$4:$S$214,MATCH("Site type",'2007-2020 Metadata'!$A$4:$S$4,0),FALSE)</f>
        <v>SH</v>
      </c>
      <c r="AG131" s="143">
        <f t="shared" si="38"/>
        <v>17.5</v>
      </c>
      <c r="AH131" s="143">
        <f t="shared" si="39"/>
        <v>41.6</v>
      </c>
      <c r="AI131" s="144">
        <f t="shared" ca="1" si="40"/>
        <v>29.364175084175081</v>
      </c>
    </row>
    <row r="132" spans="2:36" ht="12" customHeight="1" x14ac:dyDescent="0.15">
      <c r="B132" s="40" t="s">
        <v>24</v>
      </c>
      <c r="C132" s="52">
        <f>IF(ISERROR(VLOOKUP($B132,'Monthly Summary 2010'!$B$7:$Q$221,14,FALSE)=0),"",VLOOKUP($B132,'Monthly Summary 2010'!$B$7:$Q$221,14,FALSE))</f>
        <v>7.9</v>
      </c>
      <c r="D132" s="36">
        <v>6.6</v>
      </c>
      <c r="E132" s="36">
        <v>10.8</v>
      </c>
      <c r="F132" s="36">
        <v>12.5</v>
      </c>
      <c r="G132" s="36">
        <v>19.899999999999999</v>
      </c>
      <c r="H132" s="36">
        <v>22.1</v>
      </c>
      <c r="I132" s="36">
        <v>22.6</v>
      </c>
      <c r="J132" s="36">
        <v>29.1</v>
      </c>
      <c r="K132" s="36">
        <v>21.2</v>
      </c>
      <c r="L132" s="36">
        <v>13.9</v>
      </c>
      <c r="M132" s="36">
        <v>17.5</v>
      </c>
      <c r="N132" s="36">
        <v>9.9</v>
      </c>
      <c r="O132" s="36">
        <v>9.1</v>
      </c>
      <c r="P132" s="37">
        <f t="shared" si="27"/>
        <v>16.266666666666666</v>
      </c>
      <c r="Q132" s="38">
        <f t="shared" si="28"/>
        <v>1</v>
      </c>
      <c r="R132" s="140">
        <f t="shared" si="32"/>
        <v>9.9666666666666668</v>
      </c>
      <c r="S132" s="24">
        <f t="shared" si="33"/>
        <v>1</v>
      </c>
      <c r="T132" s="140">
        <f t="shared" si="34"/>
        <v>21.400000000000002</v>
      </c>
      <c r="U132" s="24">
        <f t="shared" si="35"/>
        <v>1</v>
      </c>
      <c r="V132" s="140">
        <f t="shared" si="36"/>
        <v>16.266666666666666</v>
      </c>
      <c r="W132" s="150">
        <f t="shared" si="37"/>
        <v>1</v>
      </c>
      <c r="X132" s="144">
        <f t="shared" ca="1" si="41"/>
        <v>22.511111111111109</v>
      </c>
      <c r="Y132" s="144">
        <f t="shared" ca="1" si="42"/>
        <v>35.74111111111111</v>
      </c>
      <c r="Z132" s="144">
        <f t="shared" ca="1" si="43"/>
        <v>29.364175084175081</v>
      </c>
      <c r="AA132" s="10"/>
      <c r="AB132" s="357" t="str">
        <f>VLOOKUP($B132,'2007-2020 Metadata'!$A$4:$S$214,MATCH("Urban Area /Monitoring Zone",'2007-2020 Metadata'!$A$4:$S$4,0),FALSE)</f>
        <v>Christchurch</v>
      </c>
      <c r="AC132" s="87" t="str">
        <f>VLOOKUP(B132,'2007-2020 Metadata'!$A$6:$A$214,1,FALSE)</f>
        <v>CHR004</v>
      </c>
      <c r="AD132" s="230" t="str">
        <f>VLOOKUP($AC132,'2007-2020 Metadata'!$A$6:$S$214,9,FALSE)</f>
        <v>Christchurch</v>
      </c>
      <c r="AE132" s="248">
        <f>IF(ISBLANK(VLOOKUP($AC132,'2007-2020 Metadata'!$A$6:$S$214,19,FALSE)),"",VLOOKUP($AC132,'2007-2020 Metadata'!$A$6:$S$214,19,FALSE))</f>
        <v>3.1</v>
      </c>
      <c r="AF132" s="88" t="str">
        <f>VLOOKUP($B132,'2007-2020 Metadata'!$A$4:$S$214,MATCH("Site type",'2007-2020 Metadata'!$A$4:$S$4,0),FALSE)</f>
        <v>Background</v>
      </c>
      <c r="AG132" s="143">
        <f t="shared" si="38"/>
        <v>6.6</v>
      </c>
      <c r="AH132" s="143">
        <f t="shared" si="39"/>
        <v>29.1</v>
      </c>
      <c r="AI132" s="144">
        <f t="shared" ca="1" si="40"/>
        <v>29.364175084175081</v>
      </c>
    </row>
    <row r="133" spans="2:36" ht="12" customHeight="1" x14ac:dyDescent="0.15">
      <c r="B133" s="40" t="s">
        <v>25</v>
      </c>
      <c r="C133" s="52">
        <f>IF(ISERROR(VLOOKUP($B133,'Monthly Summary 2010'!$B$7:$Q$221,14,FALSE)=0),"",VLOOKUP($B133,'Monthly Summary 2010'!$B$7:$Q$221,14,FALSE))</f>
        <v>20.6</v>
      </c>
      <c r="D133" s="36">
        <v>17.8</v>
      </c>
      <c r="E133" s="36">
        <v>19</v>
      </c>
      <c r="F133" s="36">
        <v>31</v>
      </c>
      <c r="G133" s="36">
        <v>27.4</v>
      </c>
      <c r="H133" s="36">
        <v>34.6</v>
      </c>
      <c r="I133" s="36">
        <v>34</v>
      </c>
      <c r="J133" s="36">
        <v>36.4</v>
      </c>
      <c r="K133" s="36">
        <v>33.799999999999997</v>
      </c>
      <c r="L133" s="36"/>
      <c r="M133" s="36">
        <v>10.9</v>
      </c>
      <c r="N133" s="36">
        <v>19.3</v>
      </c>
      <c r="O133" s="36">
        <v>22.2</v>
      </c>
      <c r="P133" s="37">
        <f t="shared" si="27"/>
        <v>26.036363636363635</v>
      </c>
      <c r="Q133" s="38">
        <f t="shared" si="28"/>
        <v>0.91666666666666663</v>
      </c>
      <c r="R133" s="140">
        <f t="shared" si="32"/>
        <v>22.599999999999998</v>
      </c>
      <c r="S133" s="24">
        <f t="shared" si="33"/>
        <v>1</v>
      </c>
      <c r="T133" s="140">
        <f t="shared" si="34"/>
        <v>35.099999999999994</v>
      </c>
      <c r="U133" s="24">
        <f t="shared" si="35"/>
        <v>0.66666666666666663</v>
      </c>
      <c r="V133" s="140">
        <f t="shared" si="36"/>
        <v>26.036363636363635</v>
      </c>
      <c r="W133" s="150">
        <f t="shared" si="37"/>
        <v>0.91666666666666663</v>
      </c>
      <c r="X133" s="144">
        <f t="shared" ca="1" si="41"/>
        <v>22.511111111111109</v>
      </c>
      <c r="Y133" s="144">
        <f t="shared" ca="1" si="42"/>
        <v>35.74111111111111</v>
      </c>
      <c r="Z133" s="144">
        <f t="shared" ca="1" si="43"/>
        <v>29.364175084175081</v>
      </c>
      <c r="AA133" s="10"/>
      <c r="AB133" s="357" t="str">
        <f>VLOOKUP($B133,'2007-2020 Metadata'!$A$4:$S$214,MATCH("Urban Area /Monitoring Zone",'2007-2020 Metadata'!$A$4:$S$4,0),FALSE)</f>
        <v>Christchurch</v>
      </c>
      <c r="AC133" s="87" t="str">
        <f>VLOOKUP(B133,'2007-2020 Metadata'!$A$6:$A$214,1,FALSE)</f>
        <v>CHR006</v>
      </c>
      <c r="AD133" s="230" t="str">
        <f>VLOOKUP($AC133,'2007-2020 Metadata'!$A$6:$S$214,9,FALSE)</f>
        <v>Christchurch</v>
      </c>
      <c r="AE133" s="248">
        <f>IF(ISBLANK(VLOOKUP($AC133,'2007-2020 Metadata'!$A$6:$S$214,19,FALSE)),"",VLOOKUP($AC133,'2007-2020 Metadata'!$A$6:$S$214,19,FALSE))</f>
        <v>3.4</v>
      </c>
      <c r="AF133" s="88" t="str">
        <f>VLOOKUP($B133,'2007-2020 Metadata'!$A$4:$S$214,MATCH("Site type",'2007-2020 Metadata'!$A$4:$S$4,0),FALSE)</f>
        <v>SH</v>
      </c>
      <c r="AG133" s="143">
        <f t="shared" si="38"/>
        <v>10.9</v>
      </c>
      <c r="AH133" s="143">
        <f t="shared" si="39"/>
        <v>36.4</v>
      </c>
      <c r="AI133" s="144">
        <f t="shared" ca="1" si="40"/>
        <v>29.364175084175081</v>
      </c>
    </row>
    <row r="134" spans="2:36" ht="12" customHeight="1" x14ac:dyDescent="0.15">
      <c r="B134" s="40" t="s">
        <v>143</v>
      </c>
      <c r="C134" s="52">
        <f>IF(ISERROR(VLOOKUP($B134,'Monthly Summary 2010'!$B$7:$Q$221,14,FALSE)=0),"",VLOOKUP($B134,'Monthly Summary 2010'!$B$7:$Q$221,14,FALSE))</f>
        <v>18.2</v>
      </c>
      <c r="D134" s="36">
        <v>17.600000000000001</v>
      </c>
      <c r="E134" s="36">
        <v>22.2</v>
      </c>
      <c r="F134" s="36">
        <v>26.7</v>
      </c>
      <c r="G134" s="36">
        <v>40.799999999999997</v>
      </c>
      <c r="H134" s="36">
        <v>31.8</v>
      </c>
      <c r="I134" s="36">
        <v>37.799999999999997</v>
      </c>
      <c r="J134" s="36"/>
      <c r="K134" s="36"/>
      <c r="L134" s="36"/>
      <c r="M134" s="36"/>
      <c r="N134" s="36"/>
      <c r="O134" s="36"/>
      <c r="P134" s="37">
        <f t="shared" si="27"/>
        <v>29.483333333333331</v>
      </c>
      <c r="Q134" s="38">
        <f t="shared" si="28"/>
        <v>0.5</v>
      </c>
      <c r="R134" s="140">
        <f t="shared" si="32"/>
        <v>22.166666666666668</v>
      </c>
      <c r="S134" s="24">
        <f t="shared" si="33"/>
        <v>1</v>
      </c>
      <c r="T134" s="140" t="str">
        <f t="shared" si="34"/>
        <v/>
      </c>
      <c r="U134" s="24">
        <f t="shared" si="35"/>
        <v>0</v>
      </c>
      <c r="V134" s="140" t="str">
        <f t="shared" si="36"/>
        <v>-</v>
      </c>
      <c r="W134" s="150">
        <f t="shared" si="37"/>
        <v>0.5</v>
      </c>
      <c r="X134" s="144">
        <f t="shared" ca="1" si="41"/>
        <v>22.511111111111109</v>
      </c>
      <c r="Y134" s="144">
        <f t="shared" ca="1" si="42"/>
        <v>35.74111111111111</v>
      </c>
      <c r="Z134" s="144">
        <f t="shared" ca="1" si="43"/>
        <v>29.364175084175081</v>
      </c>
      <c r="AA134" s="10"/>
      <c r="AB134" s="357" t="str">
        <f>VLOOKUP($B134,'2007-2020 Metadata'!$A$4:$S$214,MATCH("Urban Area /Monitoring Zone",'2007-2020 Metadata'!$A$4:$S$4,0),FALSE)</f>
        <v>Christchurch</v>
      </c>
      <c r="AC134" s="87" t="str">
        <f>VLOOKUP(B134,'2007-2020 Metadata'!$A$6:$A$214,1,FALSE)</f>
        <v>CHR011</v>
      </c>
      <c r="AD134" s="230" t="str">
        <f>VLOOKUP($AC134,'2007-2020 Metadata'!$A$6:$S$214,9,FALSE)</f>
        <v>Christchurch</v>
      </c>
      <c r="AE134" s="248">
        <f>IF(ISBLANK(VLOOKUP($AC134,'2007-2020 Metadata'!$A$6:$S$214,19,FALSE)),"",VLOOKUP($AC134,'2007-2020 Metadata'!$A$6:$S$214,19,FALSE))</f>
        <v>2.85</v>
      </c>
      <c r="AF134" s="88" t="str">
        <f>VLOOKUP($B134,'2007-2020 Metadata'!$A$4:$S$214,MATCH("Site type",'2007-2020 Metadata'!$A$4:$S$4,0),FALSE)</f>
        <v>SH</v>
      </c>
      <c r="AG134" s="143">
        <f t="shared" si="38"/>
        <v>17.600000000000001</v>
      </c>
      <c r="AH134" s="143">
        <f t="shared" si="39"/>
        <v>40.799999999999997</v>
      </c>
      <c r="AI134" s="144" t="str">
        <f t="shared" si="40"/>
        <v xml:space="preserve"> </v>
      </c>
    </row>
    <row r="135" spans="2:36" ht="12" customHeight="1" x14ac:dyDescent="0.15">
      <c r="B135" s="40" t="s">
        <v>144</v>
      </c>
      <c r="C135" s="52">
        <f>IF(ISERROR(VLOOKUP($B135,'Monthly Summary 2010'!$B$7:$Q$221,14,FALSE)=0),"",VLOOKUP($B135,'Monthly Summary 2010'!$B$7:$Q$221,14,FALSE))</f>
        <v>22.9</v>
      </c>
      <c r="D135" s="36"/>
      <c r="E135" s="36">
        <v>33.299999999999997</v>
      </c>
      <c r="F135" s="36">
        <v>23.1</v>
      </c>
      <c r="G135" s="36">
        <v>35.6</v>
      </c>
      <c r="H135" s="36">
        <v>36.1</v>
      </c>
      <c r="I135" s="36">
        <v>35.6</v>
      </c>
      <c r="J135" s="36">
        <v>38.200000000000003</v>
      </c>
      <c r="K135" s="36">
        <v>34.299999999999997</v>
      </c>
      <c r="L135" s="36">
        <v>33.1</v>
      </c>
      <c r="M135" s="36"/>
      <c r="N135" s="36">
        <v>26.2</v>
      </c>
      <c r="O135" s="36">
        <v>20.7</v>
      </c>
      <c r="P135" s="37">
        <f t="shared" si="27"/>
        <v>31.619999999999997</v>
      </c>
      <c r="Q135" s="38">
        <f t="shared" si="28"/>
        <v>0.83333333333333337</v>
      </c>
      <c r="R135" s="140">
        <f t="shared" si="32"/>
        <v>28.2</v>
      </c>
      <c r="S135" s="24">
        <f t="shared" si="33"/>
        <v>0.66666666666666663</v>
      </c>
      <c r="T135" s="140">
        <f t="shared" si="34"/>
        <v>35.199999999999996</v>
      </c>
      <c r="U135" s="24">
        <f t="shared" si="35"/>
        <v>1</v>
      </c>
      <c r="V135" s="140">
        <f t="shared" si="36"/>
        <v>31.619999999999997</v>
      </c>
      <c r="W135" s="150">
        <f t="shared" si="37"/>
        <v>0.83333333333333337</v>
      </c>
      <c r="X135" s="144">
        <f t="shared" ca="1" si="41"/>
        <v>22.511111111111109</v>
      </c>
      <c r="Y135" s="144">
        <f t="shared" ca="1" si="42"/>
        <v>35.74111111111111</v>
      </c>
      <c r="Z135" s="144">
        <f t="shared" ca="1" si="43"/>
        <v>29.364175084175081</v>
      </c>
      <c r="AA135" s="10"/>
      <c r="AB135" s="357" t="str">
        <f>VLOOKUP($B135,'2007-2020 Metadata'!$A$4:$S$214,MATCH("Urban Area /Monitoring Zone",'2007-2020 Metadata'!$A$4:$S$4,0),FALSE)</f>
        <v>Christchurch</v>
      </c>
      <c r="AC135" s="87" t="str">
        <f>VLOOKUP(B135,'2007-2020 Metadata'!$A$6:$A$214,1,FALSE)</f>
        <v>CHR012</v>
      </c>
      <c r="AD135" s="230" t="str">
        <f>VLOOKUP($AC135,'2007-2020 Metadata'!$A$6:$S$214,9,FALSE)</f>
        <v>Christchurch</v>
      </c>
      <c r="AE135" s="248">
        <f>IF(ISBLANK(VLOOKUP($AC135,'2007-2020 Metadata'!$A$6:$S$214,19,FALSE)),"",VLOOKUP($AC135,'2007-2020 Metadata'!$A$6:$S$214,19,FALSE))</f>
        <v>3</v>
      </c>
      <c r="AF135" s="88" t="str">
        <f>VLOOKUP($B135,'2007-2020 Metadata'!$A$4:$S$214,MATCH("Site type",'2007-2020 Metadata'!$A$4:$S$4,0),FALSE)</f>
        <v>Local</v>
      </c>
      <c r="AG135" s="143">
        <f t="shared" si="38"/>
        <v>20.7</v>
      </c>
      <c r="AH135" s="143">
        <f t="shared" si="39"/>
        <v>38.200000000000003</v>
      </c>
      <c r="AI135" s="144">
        <f t="shared" ca="1" si="40"/>
        <v>29.364175084175081</v>
      </c>
    </row>
    <row r="136" spans="2:36" ht="12" customHeight="1" x14ac:dyDescent="0.15">
      <c r="B136" s="40" t="s">
        <v>145</v>
      </c>
      <c r="C136" s="52">
        <f>IF(ISERROR(VLOOKUP($B136,'Monthly Summary 2010'!$B$7:$Q$221,14,FALSE)=0),"",VLOOKUP($B136,'Monthly Summary 2010'!$B$7:$Q$221,14,FALSE))</f>
        <v>22.1</v>
      </c>
      <c r="D136" s="36">
        <v>21.1</v>
      </c>
      <c r="E136" s="36">
        <v>24.5</v>
      </c>
      <c r="F136" s="36">
        <v>31</v>
      </c>
      <c r="G136" s="36">
        <v>38</v>
      </c>
      <c r="H136" s="36">
        <v>35</v>
      </c>
      <c r="I136" s="36">
        <v>41.4</v>
      </c>
      <c r="J136" s="36">
        <v>45.5</v>
      </c>
      <c r="K136" s="36">
        <v>40.9</v>
      </c>
      <c r="L136" s="36"/>
      <c r="M136" s="36">
        <v>28.9</v>
      </c>
      <c r="N136" s="36">
        <v>26.1</v>
      </c>
      <c r="O136" s="36">
        <v>16.600000000000001</v>
      </c>
      <c r="P136" s="37">
        <f t="shared" ref="P136:P156" si="47">(AVERAGE(D136:O136))</f>
        <v>31.727272727272727</v>
      </c>
      <c r="Q136" s="38">
        <f t="shared" ref="Q136:Q156" si="48">COUNT(D136:O136)/COUNT($D$6:$O$6)</f>
        <v>0.91666666666666663</v>
      </c>
      <c r="R136" s="140">
        <f t="shared" si="32"/>
        <v>25.533333333333331</v>
      </c>
      <c r="S136" s="24">
        <f t="shared" si="33"/>
        <v>1</v>
      </c>
      <c r="T136" s="140">
        <f t="shared" si="34"/>
        <v>43.2</v>
      </c>
      <c r="U136" s="24">
        <f t="shared" si="35"/>
        <v>0.66666666666666663</v>
      </c>
      <c r="V136" s="140">
        <f t="shared" si="36"/>
        <v>31.727272727272727</v>
      </c>
      <c r="W136" s="150">
        <f t="shared" si="37"/>
        <v>0.91666666666666663</v>
      </c>
      <c r="X136" s="144">
        <f t="shared" ca="1" si="41"/>
        <v>22.511111111111109</v>
      </c>
      <c r="Y136" s="144">
        <f t="shared" ref="Y136:Y156" ca="1" si="49">IF(VLOOKUP($B136,$AC$6:$AI$159,3,FALSE)="",$T136,IF(ISERROR(AVERAGEIF($AD$6:$AD$161,VLOOKUP($B136,$AC$6:$AI$159,2,FALSE),$T$6:$T$159)),"",AVERAGEIF($AD$6:$AD$161,VLOOKUP($B136,$AC$6:$AI$159,2,FALSE),$T$6:$T$159)))</f>
        <v>35.74111111111111</v>
      </c>
      <c r="Z136" s="144">
        <f t="shared" ca="1" si="43"/>
        <v>29.364175084175081</v>
      </c>
      <c r="AA136" s="10"/>
      <c r="AB136" s="357" t="str">
        <f>VLOOKUP($B136,'2007-2020 Metadata'!$A$4:$S$214,MATCH("Urban Area /Monitoring Zone",'2007-2020 Metadata'!$A$4:$S$4,0),FALSE)</f>
        <v>Christchurch</v>
      </c>
      <c r="AC136" s="87" t="str">
        <f>VLOOKUP(B136,'2007-2020 Metadata'!$A$6:$A$214,1,FALSE)</f>
        <v>CHR013</v>
      </c>
      <c r="AD136" s="230" t="str">
        <f>VLOOKUP($AC136,'2007-2020 Metadata'!$A$6:$S$214,9,FALSE)</f>
        <v>Christchurch</v>
      </c>
      <c r="AE136" s="248">
        <f>IF(ISBLANK(VLOOKUP($AC136,'2007-2020 Metadata'!$A$6:$S$214,19,FALSE)),"",VLOOKUP($AC136,'2007-2020 Metadata'!$A$6:$S$214,19,FALSE))</f>
        <v>3.15</v>
      </c>
      <c r="AF136" s="88" t="str">
        <f>VLOOKUP($B136,'2007-2020 Metadata'!$A$4:$S$214,MATCH("Site type",'2007-2020 Metadata'!$A$4:$S$4,0),FALSE)</f>
        <v>SH</v>
      </c>
      <c r="AG136" s="143">
        <f t="shared" si="38"/>
        <v>16.600000000000001</v>
      </c>
      <c r="AH136" s="143">
        <f t="shared" si="39"/>
        <v>45.5</v>
      </c>
      <c r="AI136" s="144">
        <f t="shared" ca="1" si="40"/>
        <v>29.364175084175081</v>
      </c>
    </row>
    <row r="137" spans="2:36" ht="12" customHeight="1" x14ac:dyDescent="0.15">
      <c r="B137" s="40" t="s">
        <v>146</v>
      </c>
      <c r="C137" s="52">
        <f>IF(ISERROR(VLOOKUP($B137,'Monthly Summary 2010'!$B$7:$Q$221,14,FALSE)=0),"",VLOOKUP($B137,'Monthly Summary 2010'!$B$7:$Q$221,14,FALSE))</f>
        <v>24</v>
      </c>
      <c r="D137" s="36">
        <v>25.5</v>
      </c>
      <c r="E137" s="36">
        <v>28</v>
      </c>
      <c r="F137" s="36">
        <v>34</v>
      </c>
      <c r="G137" s="36">
        <v>40.700000000000003</v>
      </c>
      <c r="H137" s="36">
        <v>40.6</v>
      </c>
      <c r="I137" s="36">
        <v>37.9</v>
      </c>
      <c r="J137" s="36"/>
      <c r="K137" s="36">
        <v>43.6</v>
      </c>
      <c r="L137" s="36">
        <v>34.5</v>
      </c>
      <c r="M137" s="36">
        <v>27.8</v>
      </c>
      <c r="N137" s="36">
        <v>28.3</v>
      </c>
      <c r="O137" s="36">
        <v>22.2</v>
      </c>
      <c r="P137" s="37">
        <f t="shared" si="47"/>
        <v>33.009090909090908</v>
      </c>
      <c r="Q137" s="38">
        <f t="shared" si="48"/>
        <v>0.91666666666666663</v>
      </c>
      <c r="R137" s="140">
        <f t="shared" ref="R137:R156" si="50">IF($S137=0%,"",IF($S137&gt;66%,AVERAGE($D137:$F137),"-"))</f>
        <v>29.166666666666668</v>
      </c>
      <c r="S137" s="24">
        <f t="shared" ref="S137:S156" si="51">COUNT(D137:F137)/3</f>
        <v>1</v>
      </c>
      <c r="T137" s="140">
        <f t="shared" ref="T137:T156" si="52">IF($U137=0%,"",IF($U137&gt;66%,AVERAGE($J137:$L137),"-"))</f>
        <v>39.049999999999997</v>
      </c>
      <c r="U137" s="24">
        <f t="shared" ref="U137:U156" si="53">COUNT(J137:L137)/3</f>
        <v>0.66666666666666663</v>
      </c>
      <c r="V137" s="140">
        <f t="shared" ref="V137:V156" si="54">IF(AND(($S137&gt;33%),($U137&gt;33%),($W137&gt;=75%)),AVERAGE($D137:$O137),"-")</f>
        <v>33.009090909090908</v>
      </c>
      <c r="W137" s="150">
        <f t="shared" ref="W137:W155" si="55">Q137</f>
        <v>0.91666666666666663</v>
      </c>
      <c r="X137" s="144">
        <f t="shared" ca="1" si="41"/>
        <v>22.511111111111109</v>
      </c>
      <c r="Y137" s="144">
        <f t="shared" ca="1" si="49"/>
        <v>35.74111111111111</v>
      </c>
      <c r="Z137" s="144">
        <f t="shared" ca="1" si="43"/>
        <v>29.364175084175081</v>
      </c>
      <c r="AA137" s="10"/>
      <c r="AB137" s="357" t="str">
        <f>VLOOKUP($B137,'2007-2020 Metadata'!$A$4:$S$214,MATCH("Urban Area /Monitoring Zone",'2007-2020 Metadata'!$A$4:$S$4,0),FALSE)</f>
        <v>Christchurch</v>
      </c>
      <c r="AC137" s="87" t="str">
        <f>VLOOKUP(B137,'2007-2020 Metadata'!$A$6:$A$214,1,FALSE)</f>
        <v>CHR014</v>
      </c>
      <c r="AD137" s="230" t="str">
        <f>VLOOKUP($AC137,'2007-2020 Metadata'!$A$6:$S$214,9,FALSE)</f>
        <v>Christchurch</v>
      </c>
      <c r="AE137" s="248">
        <f>IF(ISBLANK(VLOOKUP($AC137,'2007-2020 Metadata'!$A$6:$S$214,19,FALSE)),"",VLOOKUP($AC137,'2007-2020 Metadata'!$A$6:$S$214,19,FALSE))</f>
        <v>2.9</v>
      </c>
      <c r="AF137" s="88" t="str">
        <f>VLOOKUP($B137,'2007-2020 Metadata'!$A$4:$S$214,MATCH("Site type",'2007-2020 Metadata'!$A$4:$S$4,0),FALSE)</f>
        <v>SH</v>
      </c>
      <c r="AG137" s="143">
        <f t="shared" ref="AG137:AG156" si="56">MIN($D137:$O137)</f>
        <v>22.2</v>
      </c>
      <c r="AH137" s="143">
        <f t="shared" ref="AH137:AH156" si="57">MAX($D137:$O137)</f>
        <v>43.6</v>
      </c>
      <c r="AI137" s="144">
        <f t="shared" ref="AI137:AI156" ca="1" si="58">IF($W137&gt;=75%,$Z137," ")</f>
        <v>29.364175084175081</v>
      </c>
    </row>
    <row r="138" spans="2:36" ht="12" customHeight="1" x14ac:dyDescent="0.15">
      <c r="B138" s="40" t="s">
        <v>147</v>
      </c>
      <c r="C138" s="52">
        <f>IF(ISERROR(VLOOKUP($B138,'Monthly Summary 2010'!$B$7:$Q$221,14,FALSE)=0),"",VLOOKUP($B138,'Monthly Summary 2010'!$B$7:$Q$221,14,FALSE))</f>
        <v>25.4</v>
      </c>
      <c r="D138" s="36">
        <v>20.7</v>
      </c>
      <c r="E138" s="36">
        <v>21.2</v>
      </c>
      <c r="F138" s="36">
        <v>23.9</v>
      </c>
      <c r="G138" s="36">
        <v>34.6</v>
      </c>
      <c r="H138" s="36">
        <v>33.4</v>
      </c>
      <c r="I138" s="36"/>
      <c r="J138" s="36">
        <v>46.8</v>
      </c>
      <c r="K138" s="36">
        <v>37.6</v>
      </c>
      <c r="L138" s="36">
        <v>31.2</v>
      </c>
      <c r="M138" s="36">
        <v>34.299999999999997</v>
      </c>
      <c r="N138" s="36">
        <v>25.1</v>
      </c>
      <c r="O138" s="36">
        <v>19.100000000000001</v>
      </c>
      <c r="P138" s="37">
        <f t="shared" si="47"/>
        <v>29.809090909090912</v>
      </c>
      <c r="Q138" s="38">
        <f t="shared" si="48"/>
        <v>0.91666666666666663</v>
      </c>
      <c r="R138" s="140">
        <f t="shared" si="50"/>
        <v>21.933333333333334</v>
      </c>
      <c r="S138" s="24">
        <f t="shared" si="51"/>
        <v>1</v>
      </c>
      <c r="T138" s="140">
        <f t="shared" si="52"/>
        <v>38.533333333333339</v>
      </c>
      <c r="U138" s="24">
        <f t="shared" si="53"/>
        <v>1</v>
      </c>
      <c r="V138" s="140">
        <f t="shared" si="54"/>
        <v>29.809090909090912</v>
      </c>
      <c r="W138" s="150">
        <f t="shared" si="55"/>
        <v>0.91666666666666663</v>
      </c>
      <c r="X138" s="144">
        <f t="shared" ca="1" si="41"/>
        <v>22.511111111111109</v>
      </c>
      <c r="Y138" s="144">
        <f t="shared" ca="1" si="49"/>
        <v>35.74111111111111</v>
      </c>
      <c r="Z138" s="144">
        <f t="shared" ca="1" si="43"/>
        <v>29.364175084175081</v>
      </c>
      <c r="AA138" s="10"/>
      <c r="AB138" s="357" t="str">
        <f>VLOOKUP($B138,'2007-2020 Metadata'!$A$4:$S$214,MATCH("Urban Area /Monitoring Zone",'2007-2020 Metadata'!$A$4:$S$4,0),FALSE)</f>
        <v>Christchurch</v>
      </c>
      <c r="AC138" s="87" t="str">
        <f>VLOOKUP(B138,'2007-2020 Metadata'!$A$6:$A$214,1,FALSE)</f>
        <v>CHR015</v>
      </c>
      <c r="AD138" s="230" t="str">
        <f>VLOOKUP($AC138,'2007-2020 Metadata'!$A$6:$S$214,9,FALSE)</f>
        <v>Christchurch</v>
      </c>
      <c r="AE138" s="248">
        <f>IF(ISBLANK(VLOOKUP($AC138,'2007-2020 Metadata'!$A$6:$S$214,19,FALSE)),"",VLOOKUP($AC138,'2007-2020 Metadata'!$A$6:$S$214,19,FALSE))</f>
        <v>3.1</v>
      </c>
      <c r="AF138" s="88" t="str">
        <f>VLOOKUP($B138,'2007-2020 Metadata'!$A$4:$S$214,MATCH("Site type",'2007-2020 Metadata'!$A$4:$S$4,0),FALSE)</f>
        <v>Local</v>
      </c>
      <c r="AG138" s="143">
        <f t="shared" si="56"/>
        <v>19.100000000000001</v>
      </c>
      <c r="AH138" s="143">
        <f t="shared" si="57"/>
        <v>46.8</v>
      </c>
      <c r="AI138" s="144">
        <f t="shared" ca="1" si="58"/>
        <v>29.364175084175081</v>
      </c>
    </row>
    <row r="139" spans="2:36" ht="12" customHeight="1" x14ac:dyDescent="0.15">
      <c r="B139" s="40" t="s">
        <v>148</v>
      </c>
      <c r="C139" s="52">
        <f>IF(ISERROR(VLOOKUP($B139,'Monthly Summary 2010'!$B$7:$Q$221,14,FALSE)=0),"",VLOOKUP($B139,'Monthly Summary 2010'!$B$7:$Q$221,14,FALSE))</f>
        <v>31.7</v>
      </c>
      <c r="D139" s="36">
        <v>32</v>
      </c>
      <c r="E139" s="36"/>
      <c r="F139" s="36"/>
      <c r="G139" s="36"/>
      <c r="H139" s="36">
        <v>41.1</v>
      </c>
      <c r="I139" s="36">
        <v>39.5</v>
      </c>
      <c r="J139" s="36">
        <v>49.2</v>
      </c>
      <c r="K139" s="36">
        <v>34</v>
      </c>
      <c r="L139" s="36">
        <v>35.9</v>
      </c>
      <c r="M139" s="36">
        <v>28.5</v>
      </c>
      <c r="N139" s="36">
        <v>47.9</v>
      </c>
      <c r="O139" s="36">
        <v>23.1</v>
      </c>
      <c r="P139" s="37">
        <f t="shared" si="47"/>
        <v>36.800000000000004</v>
      </c>
      <c r="Q139" s="38">
        <f t="shared" si="48"/>
        <v>0.75</v>
      </c>
      <c r="R139" s="140" t="str">
        <f t="shared" si="50"/>
        <v>-</v>
      </c>
      <c r="S139" s="24">
        <f t="shared" si="51"/>
        <v>0.33333333333333331</v>
      </c>
      <c r="T139" s="140">
        <f t="shared" si="52"/>
        <v>39.699999999999996</v>
      </c>
      <c r="U139" s="24">
        <f t="shared" si="53"/>
        <v>1</v>
      </c>
      <c r="V139" s="140">
        <f t="shared" si="54"/>
        <v>36.800000000000004</v>
      </c>
      <c r="W139" s="150">
        <f t="shared" si="55"/>
        <v>0.75</v>
      </c>
      <c r="X139" s="144">
        <f t="shared" ca="1" si="41"/>
        <v>22.511111111111109</v>
      </c>
      <c r="Y139" s="144">
        <f t="shared" ca="1" si="49"/>
        <v>35.74111111111111</v>
      </c>
      <c r="Z139" s="144">
        <f t="shared" ca="1" si="43"/>
        <v>29.364175084175081</v>
      </c>
      <c r="AA139" s="10"/>
      <c r="AB139" s="357" t="str">
        <f>VLOOKUP($B139,'2007-2020 Metadata'!$A$4:$S$214,MATCH("Urban Area /Monitoring Zone",'2007-2020 Metadata'!$A$4:$S$4,0),FALSE)</f>
        <v>Christchurch</v>
      </c>
      <c r="AC139" s="87" t="str">
        <f>VLOOKUP(B139,'2007-2020 Metadata'!$A$6:$A$214,1,FALSE)</f>
        <v>CHR016</v>
      </c>
      <c r="AD139" s="230" t="str">
        <f>VLOOKUP($AC139,'2007-2020 Metadata'!$A$6:$S$214,9,FALSE)</f>
        <v>Christchurch</v>
      </c>
      <c r="AE139" s="248">
        <f>IF(ISBLANK(VLOOKUP($AC139,'2007-2020 Metadata'!$A$6:$S$214,19,FALSE)),"",VLOOKUP($AC139,'2007-2020 Metadata'!$A$6:$S$214,19,FALSE))</f>
        <v>3</v>
      </c>
      <c r="AF139" s="88" t="str">
        <f>VLOOKUP($B139,'2007-2020 Metadata'!$A$4:$S$214,MATCH("Site type",'2007-2020 Metadata'!$A$4:$S$4,0),FALSE)</f>
        <v>Local</v>
      </c>
      <c r="AG139" s="143">
        <f t="shared" si="56"/>
        <v>23.1</v>
      </c>
      <c r="AH139" s="143">
        <f t="shared" si="57"/>
        <v>49.2</v>
      </c>
      <c r="AI139" s="144">
        <f t="shared" ca="1" si="58"/>
        <v>29.364175084175081</v>
      </c>
    </row>
    <row r="140" spans="2:36" ht="12" customHeight="1" x14ac:dyDescent="0.15">
      <c r="B140" s="40" t="s">
        <v>149</v>
      </c>
      <c r="C140" s="52">
        <f>IF(ISERROR(VLOOKUP($B140,'Monthly Summary 2010'!$B$7:$Q$221,14,FALSE)=0),"",VLOOKUP($B140,'Monthly Summary 2010'!$B$7:$Q$221,14,FALSE))</f>
        <v>28.1</v>
      </c>
      <c r="D140" s="36">
        <v>33.700000000000003</v>
      </c>
      <c r="E140" s="36"/>
      <c r="F140" s="36"/>
      <c r="G140" s="36">
        <v>47</v>
      </c>
      <c r="H140" s="36">
        <v>48.8</v>
      </c>
      <c r="I140" s="36">
        <v>47.9</v>
      </c>
      <c r="J140" s="36">
        <v>47.8</v>
      </c>
      <c r="K140" s="36">
        <v>46.8</v>
      </c>
      <c r="L140" s="36">
        <v>48.6</v>
      </c>
      <c r="M140" s="36">
        <v>37.200000000000003</v>
      </c>
      <c r="N140" s="36"/>
      <c r="O140" s="36"/>
      <c r="P140" s="37">
        <f t="shared" si="47"/>
        <v>44.725000000000001</v>
      </c>
      <c r="Q140" s="38">
        <f t="shared" si="48"/>
        <v>0.66666666666666663</v>
      </c>
      <c r="R140" s="260" t="str">
        <f t="shared" si="50"/>
        <v>-</v>
      </c>
      <c r="S140" s="24">
        <f t="shared" si="51"/>
        <v>0.33333333333333331</v>
      </c>
      <c r="T140" s="260">
        <f t="shared" si="52"/>
        <v>47.733333333333327</v>
      </c>
      <c r="U140" s="24">
        <f t="shared" si="53"/>
        <v>1</v>
      </c>
      <c r="V140" s="260" t="str">
        <f t="shared" si="54"/>
        <v>-</v>
      </c>
      <c r="W140" s="150">
        <f t="shared" si="55"/>
        <v>0.66666666666666663</v>
      </c>
      <c r="X140" s="177" t="s">
        <v>493</v>
      </c>
      <c r="Y140" s="177">
        <f t="shared" ca="1" si="49"/>
        <v>35.74111111111111</v>
      </c>
      <c r="Z140" s="177" t="s">
        <v>493</v>
      </c>
      <c r="AA140" s="10"/>
      <c r="AB140" s="357" t="str">
        <f>VLOOKUP($B140,'2007-2020 Metadata'!$A$4:$S$214,MATCH("Urban Area /Monitoring Zone",'2007-2020 Metadata'!$A$4:$S$4,0),FALSE)</f>
        <v>Christchurch</v>
      </c>
      <c r="AC140" s="259" t="str">
        <f>VLOOKUP(B140,'2007-2020 Metadata'!$A$6:$A$214,1,FALSE)</f>
        <v>CHR017</v>
      </c>
      <c r="AD140" s="256" t="str">
        <f>VLOOKUP($AC140,'2007-2020 Metadata'!$A$6:$S$214,9,FALSE)</f>
        <v>Christchurch</v>
      </c>
      <c r="AE140" s="263">
        <f>IF(ISBLANK(VLOOKUP($AC140,'2007-2020 Metadata'!$A$6:$S$214,19,FALSE)),"",VLOOKUP($AC140,'2007-2020 Metadata'!$A$6:$S$214,19,FALSE))</f>
        <v>3</v>
      </c>
      <c r="AF140" s="257" t="str">
        <f>VLOOKUP($B140,'2007-2020 Metadata'!$A$4:$S$214,MATCH("Site type",'2007-2020 Metadata'!$A$4:$S$4,0),FALSE)</f>
        <v>Local</v>
      </c>
      <c r="AG140" s="258">
        <f>MIN(AVERAGE(D$140:D$142),AVERAGE(G$140:G$142),AVERAGE(H$140:H$142),AVERAGE(I$140:I$142),AVERAGE(J$140:J$142),AVERAGE(K$140:K$142),AVERAGE(L$140:L$142),AVERAGE(M$140:M$142))</f>
        <v>34.366666666666667</v>
      </c>
      <c r="AH140" s="258">
        <f>MAX(AVERAGE(D$140:D$142),AVERAGE(G$140:G$142),AVERAGE(H$140:H$142),AVERAGE(I$140:I$142),AVERAGE(J$140:J$142),AVERAGE(K$140:K$142),AVERAGE(L$140:L$142),AVERAGE(M$140:M$142))</f>
        <v>48.29999999999999</v>
      </c>
      <c r="AI140" s="177" t="str">
        <f t="shared" si="58"/>
        <v xml:space="preserve"> </v>
      </c>
      <c r="AJ140" s="39" t="s">
        <v>549</v>
      </c>
    </row>
    <row r="141" spans="2:36" ht="12" customHeight="1" x14ac:dyDescent="0.15">
      <c r="B141" s="40" t="s">
        <v>150</v>
      </c>
      <c r="C141" s="52">
        <f>IF(ISERROR(VLOOKUP($B141,'Monthly Summary 2010'!$B$7:$Q$221,14,FALSE)=0),"",VLOOKUP($B141,'Monthly Summary 2010'!$B$7:$Q$221,14,FALSE))</f>
        <v>40.700000000000003</v>
      </c>
      <c r="D141" s="36">
        <v>34.299999999999997</v>
      </c>
      <c r="E141" s="36"/>
      <c r="F141" s="36"/>
      <c r="G141" s="36">
        <v>48.4</v>
      </c>
      <c r="H141" s="36">
        <v>46.7</v>
      </c>
      <c r="I141" s="36">
        <v>37.6</v>
      </c>
      <c r="J141" s="36">
        <v>47.3</v>
      </c>
      <c r="K141" s="36">
        <v>45.9</v>
      </c>
      <c r="L141" s="36">
        <v>44.1</v>
      </c>
      <c r="M141" s="36">
        <v>47.6</v>
      </c>
      <c r="N141" s="36"/>
      <c r="O141" s="36"/>
      <c r="P141" s="37">
        <f t="shared" si="47"/>
        <v>43.987499999999997</v>
      </c>
      <c r="Q141" s="38">
        <f t="shared" si="48"/>
        <v>0.66666666666666663</v>
      </c>
      <c r="R141" s="260" t="str">
        <f t="shared" si="50"/>
        <v>-</v>
      </c>
      <c r="S141" s="24">
        <f t="shared" si="51"/>
        <v>0.33333333333333331</v>
      </c>
      <c r="T141" s="260">
        <f t="shared" si="52"/>
        <v>45.766666666666659</v>
      </c>
      <c r="U141" s="24">
        <f t="shared" si="53"/>
        <v>1</v>
      </c>
      <c r="V141" s="260" t="str">
        <f t="shared" si="54"/>
        <v>-</v>
      </c>
      <c r="W141" s="150">
        <f t="shared" si="55"/>
        <v>0.66666666666666663</v>
      </c>
      <c r="X141" s="177" t="s">
        <v>493</v>
      </c>
      <c r="Y141" s="177">
        <f t="shared" ca="1" si="49"/>
        <v>35.74111111111111</v>
      </c>
      <c r="Z141" s="177" t="s">
        <v>493</v>
      </c>
      <c r="AA141" s="10"/>
      <c r="AB141" s="357" t="str">
        <f>VLOOKUP($B141,'2007-2020 Metadata'!$A$4:$S$214,MATCH("Urban Area /Monitoring Zone",'2007-2020 Metadata'!$A$4:$S$4,0),FALSE)</f>
        <v>Christchurch</v>
      </c>
      <c r="AC141" s="259" t="str">
        <f>VLOOKUP(B141,'2007-2020 Metadata'!$A$6:$A$214,1,FALSE)</f>
        <v>CHR018</v>
      </c>
      <c r="AD141" s="256" t="str">
        <f>VLOOKUP($AC141,'2007-2020 Metadata'!$A$6:$S$214,9,FALSE)</f>
        <v>Christchurch</v>
      </c>
      <c r="AE141" s="263">
        <f>IF(ISBLANK(VLOOKUP($AC141,'2007-2020 Metadata'!$A$6:$S$214,19,FALSE)),"",VLOOKUP($AC141,'2007-2020 Metadata'!$A$6:$S$214,19,FALSE))</f>
        <v>3</v>
      </c>
      <c r="AF141" s="257" t="str">
        <f>VLOOKUP($B141,'2007-2020 Metadata'!$A$4:$S$214,MATCH("Site type",'2007-2020 Metadata'!$A$4:$S$4,0),FALSE)</f>
        <v>Local</v>
      </c>
      <c r="AG141" s="258">
        <f t="shared" ref="AG141:AG142" si="59">MIN(AVERAGE(D$140:D$142),AVERAGE(G$140:G$142),AVERAGE(H$140:H$142),AVERAGE(I$140:I$142),AVERAGE(J$140:J$142),AVERAGE(K$140:K$142),AVERAGE(L$140:L$142),AVERAGE(M$140:M$142))</f>
        <v>34.366666666666667</v>
      </c>
      <c r="AH141" s="258">
        <f t="shared" ref="AH141:AH142" si="60">MAX(AVERAGE(D$140:D$142),AVERAGE(G$140:G$142),AVERAGE(H$140:H$142),AVERAGE(I$140:I$142),AVERAGE(J$140:J$142),AVERAGE(K$140:K$142),AVERAGE(L$140:L$142),AVERAGE(M$140:M$142))</f>
        <v>48.29999999999999</v>
      </c>
      <c r="AI141" s="177" t="str">
        <f t="shared" si="58"/>
        <v xml:space="preserve"> </v>
      </c>
      <c r="AJ141" s="39" t="s">
        <v>549</v>
      </c>
    </row>
    <row r="142" spans="2:36" ht="12" customHeight="1" x14ac:dyDescent="0.15">
      <c r="B142" s="40" t="s">
        <v>151</v>
      </c>
      <c r="C142" s="52">
        <f>IF(ISERROR(VLOOKUP($B142,'Monthly Summary 2010'!$B$7:$Q$221,14,FALSE)=0),"",VLOOKUP($B142,'Monthly Summary 2010'!$B$7:$Q$221,14,FALSE))</f>
        <v>35.299999999999997</v>
      </c>
      <c r="D142" s="36">
        <v>35.1</v>
      </c>
      <c r="E142" s="36"/>
      <c r="F142" s="36"/>
      <c r="G142" s="36">
        <v>47.6</v>
      </c>
      <c r="H142" s="36">
        <v>47.5</v>
      </c>
      <c r="I142" s="36">
        <v>47.8</v>
      </c>
      <c r="J142" s="36">
        <v>49.8</v>
      </c>
      <c r="K142" s="36">
        <v>50.5</v>
      </c>
      <c r="L142" s="36">
        <v>49.5</v>
      </c>
      <c r="M142" s="36">
        <v>44.9</v>
      </c>
      <c r="N142" s="36"/>
      <c r="O142" s="36"/>
      <c r="P142" s="37">
        <f t="shared" si="47"/>
        <v>46.587499999999999</v>
      </c>
      <c r="Q142" s="38">
        <f t="shared" si="48"/>
        <v>0.66666666666666663</v>
      </c>
      <c r="R142" s="260" t="str">
        <f t="shared" si="50"/>
        <v>-</v>
      </c>
      <c r="S142" s="24">
        <f t="shared" si="51"/>
        <v>0.33333333333333331</v>
      </c>
      <c r="T142" s="260">
        <f t="shared" si="52"/>
        <v>49.933333333333337</v>
      </c>
      <c r="U142" s="24">
        <f t="shared" si="53"/>
        <v>1</v>
      </c>
      <c r="V142" s="260" t="str">
        <f t="shared" si="54"/>
        <v>-</v>
      </c>
      <c r="W142" s="150">
        <f t="shared" si="55"/>
        <v>0.66666666666666663</v>
      </c>
      <c r="X142" s="177" t="s">
        <v>493</v>
      </c>
      <c r="Y142" s="177">
        <f t="shared" ca="1" si="49"/>
        <v>35.74111111111111</v>
      </c>
      <c r="Z142" s="177" t="s">
        <v>493</v>
      </c>
      <c r="AA142" s="10"/>
      <c r="AB142" s="357" t="str">
        <f>VLOOKUP($B142,'2007-2020 Metadata'!$A$4:$S$214,MATCH("Urban Area /Monitoring Zone",'2007-2020 Metadata'!$A$4:$S$4,0),FALSE)</f>
        <v>Christchurch</v>
      </c>
      <c r="AC142" s="259" t="str">
        <f>VLOOKUP(B142,'2007-2020 Metadata'!$A$6:$A$214,1,FALSE)</f>
        <v>CHR019</v>
      </c>
      <c r="AD142" s="256" t="str">
        <f>VLOOKUP($AC142,'2007-2020 Metadata'!$A$6:$S$214,9,FALSE)</f>
        <v>Christchurch</v>
      </c>
      <c r="AE142" s="263">
        <f>IF(ISBLANK(VLOOKUP($AC142,'2007-2020 Metadata'!$A$6:$S$214,19,FALSE)),"",VLOOKUP($AC142,'2007-2020 Metadata'!$A$6:$S$214,19,FALSE))</f>
        <v>3</v>
      </c>
      <c r="AF142" s="257" t="str">
        <f>VLOOKUP($B142,'2007-2020 Metadata'!$A$4:$S$214,MATCH("Site type",'2007-2020 Metadata'!$A$4:$S$4,0),FALSE)</f>
        <v>Local</v>
      </c>
      <c r="AG142" s="258">
        <f t="shared" si="59"/>
        <v>34.366666666666667</v>
      </c>
      <c r="AH142" s="258">
        <f t="shared" si="60"/>
        <v>48.29999999999999</v>
      </c>
      <c r="AI142" s="177" t="str">
        <f t="shared" si="58"/>
        <v xml:space="preserve"> </v>
      </c>
      <c r="AJ142" s="39" t="s">
        <v>549</v>
      </c>
    </row>
    <row r="143" spans="2:36" ht="12" customHeight="1" x14ac:dyDescent="0.15">
      <c r="B143" s="40" t="s">
        <v>152</v>
      </c>
      <c r="C143" s="52">
        <f>IF(ISERROR(VLOOKUP($B143,'Monthly Summary 2010'!$B$7:$Q$221,14,FALSE)=0),"",VLOOKUP($B143,'Monthly Summary 2010'!$B$7:$Q$221,14,FALSE))</f>
        <v>7.5</v>
      </c>
      <c r="D143" s="36">
        <v>9.1999999999999993</v>
      </c>
      <c r="E143" s="36"/>
      <c r="F143" s="36"/>
      <c r="G143" s="36">
        <v>20</v>
      </c>
      <c r="H143" s="36">
        <v>20.5</v>
      </c>
      <c r="I143" s="36">
        <v>22.1</v>
      </c>
      <c r="J143" s="36">
        <v>26.2</v>
      </c>
      <c r="K143" s="36">
        <v>21.3</v>
      </c>
      <c r="L143" s="36">
        <v>17.7</v>
      </c>
      <c r="M143" s="36"/>
      <c r="N143" s="36"/>
      <c r="O143" s="36"/>
      <c r="P143" s="37">
        <f t="shared" si="47"/>
        <v>19.571428571428573</v>
      </c>
      <c r="Q143" s="38">
        <f t="shared" si="48"/>
        <v>0.58333333333333337</v>
      </c>
      <c r="R143" s="260" t="str">
        <f t="shared" si="50"/>
        <v>-</v>
      </c>
      <c r="S143" s="24">
        <f t="shared" si="51"/>
        <v>0.33333333333333331</v>
      </c>
      <c r="T143" s="260">
        <f t="shared" si="52"/>
        <v>21.733333333333334</v>
      </c>
      <c r="U143" s="24">
        <f t="shared" si="53"/>
        <v>1</v>
      </c>
      <c r="V143" s="260" t="str">
        <f t="shared" si="54"/>
        <v>-</v>
      </c>
      <c r="W143" s="150">
        <f t="shared" si="55"/>
        <v>0.58333333333333337</v>
      </c>
      <c r="X143" s="177" t="s">
        <v>493</v>
      </c>
      <c r="Y143" s="177">
        <f t="shared" ca="1" si="49"/>
        <v>35.74111111111111</v>
      </c>
      <c r="Z143" s="177" t="s">
        <v>493</v>
      </c>
      <c r="AA143" s="10"/>
      <c r="AB143" s="357" t="str">
        <f>VLOOKUP($B143,'2007-2020 Metadata'!$A$4:$S$214,MATCH("Urban Area /Monitoring Zone",'2007-2020 Metadata'!$A$4:$S$4,0),FALSE)</f>
        <v>Christchurch</v>
      </c>
      <c r="AC143" s="259" t="str">
        <f>VLOOKUP(B143,'2007-2020 Metadata'!$A$6:$A$214,1,FALSE)</f>
        <v>CHR020</v>
      </c>
      <c r="AD143" s="256" t="str">
        <f>VLOOKUP($AC143,'2007-2020 Metadata'!$A$6:$S$214,9,FALSE)</f>
        <v>Christchurch</v>
      </c>
      <c r="AE143" s="263">
        <f>IF(ISBLANK(VLOOKUP($AC143,'2007-2020 Metadata'!$A$6:$S$214,19,FALSE)),"",VLOOKUP($AC143,'2007-2020 Metadata'!$A$6:$S$214,19,FALSE))</f>
        <v>3.5</v>
      </c>
      <c r="AF143" s="257" t="str">
        <f>VLOOKUP($B143,'2007-2020 Metadata'!$A$4:$S$214,MATCH("Site type",'2007-2020 Metadata'!$A$4:$S$4,0),FALSE)</f>
        <v>Background</v>
      </c>
      <c r="AG143" s="258">
        <f>MIN(AVERAGE(D$143:D$145),AVERAGE(G$143:G$145),AVERAGE(H$143:H$145),AVERAGE(I$143:I$145),AVERAGE(J$143:J$145),AVERAGE(K$143:K$145),AVERAGE(L$143:L$145),AVERAGE(M$143:M$145))</f>
        <v>9.2666666666666657</v>
      </c>
      <c r="AH143" s="258">
        <f>MAX(AVERAGE(D$143:D$145),AVERAGE(G$143:G$145),AVERAGE(H$143:H$145),AVERAGE(I$143:I$145),AVERAGE(J$143:J$145),AVERAGE(K$143:K$145),AVERAGE(L$143:L$145),AVERAGE(M$143:M$145))</f>
        <v>25.566666666666663</v>
      </c>
      <c r="AI143" s="177" t="str">
        <f t="shared" si="58"/>
        <v xml:space="preserve"> </v>
      </c>
      <c r="AJ143" s="39" t="s">
        <v>549</v>
      </c>
    </row>
    <row r="144" spans="2:36" ht="12" customHeight="1" x14ac:dyDescent="0.15">
      <c r="B144" s="40" t="s">
        <v>153</v>
      </c>
      <c r="C144" s="52">
        <f>IF(ISERROR(VLOOKUP($B144,'Monthly Summary 2010'!$B$7:$Q$221,14,FALSE)=0),"",VLOOKUP($B144,'Monthly Summary 2010'!$B$7:$Q$221,14,FALSE))</f>
        <v>8.6</v>
      </c>
      <c r="D144" s="36">
        <v>9</v>
      </c>
      <c r="E144" s="36"/>
      <c r="F144" s="36"/>
      <c r="G144" s="36">
        <v>21.2</v>
      </c>
      <c r="H144" s="36">
        <v>20</v>
      </c>
      <c r="I144" s="36">
        <v>24.6</v>
      </c>
      <c r="J144" s="36">
        <v>24.4</v>
      </c>
      <c r="K144" s="36">
        <v>21.3</v>
      </c>
      <c r="L144" s="36">
        <v>16.2</v>
      </c>
      <c r="M144" s="36">
        <v>12</v>
      </c>
      <c r="N144" s="36"/>
      <c r="O144" s="36"/>
      <c r="P144" s="37">
        <f t="shared" si="47"/>
        <v>18.587500000000002</v>
      </c>
      <c r="Q144" s="38">
        <f t="shared" si="48"/>
        <v>0.66666666666666663</v>
      </c>
      <c r="R144" s="260" t="str">
        <f t="shared" si="50"/>
        <v>-</v>
      </c>
      <c r="S144" s="24">
        <f t="shared" si="51"/>
        <v>0.33333333333333331</v>
      </c>
      <c r="T144" s="260">
        <f t="shared" si="52"/>
        <v>20.633333333333336</v>
      </c>
      <c r="U144" s="24">
        <f t="shared" si="53"/>
        <v>1</v>
      </c>
      <c r="V144" s="260" t="str">
        <f t="shared" si="54"/>
        <v>-</v>
      </c>
      <c r="W144" s="150">
        <f t="shared" si="55"/>
        <v>0.66666666666666663</v>
      </c>
      <c r="X144" s="177" t="s">
        <v>493</v>
      </c>
      <c r="Y144" s="177">
        <f t="shared" ca="1" si="49"/>
        <v>35.74111111111111</v>
      </c>
      <c r="Z144" s="177" t="s">
        <v>493</v>
      </c>
      <c r="AA144" s="10"/>
      <c r="AB144" s="357" t="str">
        <f>VLOOKUP($B144,'2007-2020 Metadata'!$A$4:$S$214,MATCH("Urban Area /Monitoring Zone",'2007-2020 Metadata'!$A$4:$S$4,0),FALSE)</f>
        <v>Christchurch</v>
      </c>
      <c r="AC144" s="259" t="str">
        <f>VLOOKUP(B144,'2007-2020 Metadata'!$A$6:$A$214,1,FALSE)</f>
        <v>CHR021</v>
      </c>
      <c r="AD144" s="256" t="str">
        <f>VLOOKUP($AC144,'2007-2020 Metadata'!$A$6:$S$214,9,FALSE)</f>
        <v>Christchurch</v>
      </c>
      <c r="AE144" s="263">
        <f>IF(ISBLANK(VLOOKUP($AC144,'2007-2020 Metadata'!$A$6:$S$214,19,FALSE)),"",VLOOKUP($AC144,'2007-2020 Metadata'!$A$6:$S$214,19,FALSE))</f>
        <v>3.5</v>
      </c>
      <c r="AF144" s="257" t="str">
        <f>VLOOKUP($B144,'2007-2020 Metadata'!$A$4:$S$214,MATCH("Site type",'2007-2020 Metadata'!$A$4:$S$4,0),FALSE)</f>
        <v>Background</v>
      </c>
      <c r="AG144" s="258">
        <f t="shared" ref="AG144:AG145" si="61">MIN(AVERAGE(D$143:D$145),AVERAGE(G$143:G$145),AVERAGE(H$143:H$145),AVERAGE(I$143:I$145),AVERAGE(J$143:J$145),AVERAGE(K$143:K$145),AVERAGE(L$143:L$145),AVERAGE(M$143:M$145))</f>
        <v>9.2666666666666657</v>
      </c>
      <c r="AH144" s="258">
        <f t="shared" ref="AH144:AH145" si="62">MAX(AVERAGE(D$143:D$145),AVERAGE(G$143:G$145),AVERAGE(H$143:H$145),AVERAGE(I$143:I$145),AVERAGE(J$143:J$145),AVERAGE(K$143:K$145),AVERAGE(L$143:L$145),AVERAGE(M$143:M$145))</f>
        <v>25.566666666666663</v>
      </c>
      <c r="AI144" s="177" t="str">
        <f t="shared" si="58"/>
        <v xml:space="preserve"> </v>
      </c>
      <c r="AJ144" s="39" t="s">
        <v>549</v>
      </c>
    </row>
    <row r="145" spans="2:36" ht="12" customHeight="1" x14ac:dyDescent="0.15">
      <c r="B145" s="40" t="s">
        <v>154</v>
      </c>
      <c r="C145" s="52">
        <f>IF(ISERROR(VLOOKUP($B145,'Monthly Summary 2010'!$B$7:$Q$221,14,FALSE)=0),"",VLOOKUP($B145,'Monthly Summary 2010'!$B$7:$Q$221,14,FALSE))</f>
        <v>3.7</v>
      </c>
      <c r="D145" s="36">
        <v>9.6</v>
      </c>
      <c r="E145" s="36"/>
      <c r="F145" s="36"/>
      <c r="G145" s="36">
        <v>21.2</v>
      </c>
      <c r="H145" s="36">
        <v>21.4</v>
      </c>
      <c r="I145" s="36">
        <v>23.5</v>
      </c>
      <c r="J145" s="36">
        <v>26.1</v>
      </c>
      <c r="K145" s="36">
        <v>21.9</v>
      </c>
      <c r="L145" s="36">
        <v>16.3</v>
      </c>
      <c r="M145" s="36">
        <v>11.9</v>
      </c>
      <c r="N145" s="36"/>
      <c r="O145" s="36"/>
      <c r="P145" s="37">
        <f t="shared" si="47"/>
        <v>18.987500000000001</v>
      </c>
      <c r="Q145" s="38">
        <f t="shared" si="48"/>
        <v>0.66666666666666663</v>
      </c>
      <c r="R145" s="260" t="str">
        <f t="shared" si="50"/>
        <v>-</v>
      </c>
      <c r="S145" s="24">
        <f t="shared" si="51"/>
        <v>0.33333333333333331</v>
      </c>
      <c r="T145" s="260">
        <f t="shared" si="52"/>
        <v>21.433333333333334</v>
      </c>
      <c r="U145" s="24">
        <f t="shared" si="53"/>
        <v>1</v>
      </c>
      <c r="V145" s="260" t="str">
        <f t="shared" si="54"/>
        <v>-</v>
      </c>
      <c r="W145" s="150">
        <f t="shared" si="55"/>
        <v>0.66666666666666663</v>
      </c>
      <c r="X145" s="177" t="s">
        <v>493</v>
      </c>
      <c r="Y145" s="177">
        <f t="shared" ca="1" si="49"/>
        <v>35.74111111111111</v>
      </c>
      <c r="Z145" s="177" t="s">
        <v>493</v>
      </c>
      <c r="AA145" s="10"/>
      <c r="AB145" s="357" t="str">
        <f>VLOOKUP($B145,'2007-2020 Metadata'!$A$4:$S$214,MATCH("Urban Area /Monitoring Zone",'2007-2020 Metadata'!$A$4:$S$4,0),FALSE)</f>
        <v>Christchurch</v>
      </c>
      <c r="AC145" s="259" t="str">
        <f>VLOOKUP(B145,'2007-2020 Metadata'!$A$6:$A$214,1,FALSE)</f>
        <v>CHR022</v>
      </c>
      <c r="AD145" s="256" t="str">
        <f>VLOOKUP($AC145,'2007-2020 Metadata'!$A$6:$S$214,9,FALSE)</f>
        <v>Christchurch</v>
      </c>
      <c r="AE145" s="263">
        <f>IF(ISBLANK(VLOOKUP($AC145,'2007-2020 Metadata'!$A$6:$S$214,19,FALSE)),"",VLOOKUP($AC145,'2007-2020 Metadata'!$A$6:$S$214,19,FALSE))</f>
        <v>3.5</v>
      </c>
      <c r="AF145" s="257" t="str">
        <f>VLOOKUP($B145,'2007-2020 Metadata'!$A$4:$S$214,MATCH("Site type",'2007-2020 Metadata'!$A$4:$S$4,0),FALSE)</f>
        <v>Background</v>
      </c>
      <c r="AG145" s="258">
        <f t="shared" si="61"/>
        <v>9.2666666666666657</v>
      </c>
      <c r="AH145" s="258">
        <f t="shared" si="62"/>
        <v>25.566666666666663</v>
      </c>
      <c r="AI145" s="177" t="str">
        <f t="shared" si="58"/>
        <v xml:space="preserve"> </v>
      </c>
      <c r="AJ145" s="39" t="s">
        <v>549</v>
      </c>
    </row>
    <row r="146" spans="2:36" ht="12" customHeight="1" x14ac:dyDescent="0.15">
      <c r="B146" s="40" t="s">
        <v>26</v>
      </c>
      <c r="C146" s="52">
        <f>IF(ISERROR(VLOOKUP($B146,'Monthly Summary 2010'!$B$7:$Q$221,14,FALSE)=0),"",VLOOKUP($B146,'Monthly Summary 2010'!$B$7:$Q$221,14,FALSE))</f>
        <v>14</v>
      </c>
      <c r="D146" s="36">
        <v>16.600000000000001</v>
      </c>
      <c r="E146" s="36">
        <v>23.9</v>
      </c>
      <c r="F146" s="36">
        <v>29.3</v>
      </c>
      <c r="G146" s="36">
        <v>35.5</v>
      </c>
      <c r="H146" s="36">
        <v>38.6</v>
      </c>
      <c r="I146" s="36">
        <v>38.4</v>
      </c>
      <c r="J146" s="36">
        <v>14.8</v>
      </c>
      <c r="K146" s="36">
        <v>34</v>
      </c>
      <c r="L146" s="36">
        <v>27.6</v>
      </c>
      <c r="M146" s="36">
        <v>12.7</v>
      </c>
      <c r="N146" s="36">
        <v>24.2</v>
      </c>
      <c r="O146" s="36">
        <v>21.6</v>
      </c>
      <c r="P146" s="37">
        <f t="shared" si="47"/>
        <v>26.433333333333337</v>
      </c>
      <c r="Q146" s="38">
        <f t="shared" si="48"/>
        <v>1</v>
      </c>
      <c r="R146" s="140">
        <f t="shared" si="50"/>
        <v>23.266666666666666</v>
      </c>
      <c r="S146" s="24">
        <f t="shared" si="51"/>
        <v>1</v>
      </c>
      <c r="T146" s="140">
        <f t="shared" si="52"/>
        <v>25.466666666666669</v>
      </c>
      <c r="U146" s="24">
        <f t="shared" si="53"/>
        <v>1</v>
      </c>
      <c r="V146" s="140">
        <f t="shared" si="54"/>
        <v>26.433333333333337</v>
      </c>
      <c r="W146" s="150">
        <f t="shared" si="55"/>
        <v>1</v>
      </c>
      <c r="X146" s="144">
        <f t="shared" ref="X146:X156" ca="1" si="63">IF(VLOOKUP($B146,$AC$6:$AI$159,3,FALSE)="",$R146,IF(ISERROR(AVERAGEIF($AD$6:$AD$161,VLOOKUP($B146,$AC$6:$AI$159,2,FALSE),$R$6:$R$159)),"",AVERAGEIF($AD$6:$AD$161,VLOOKUP($B146,$AC$6:$AI$159,2,FALSE),$R$6:$R$159)))</f>
        <v>15.612500000000001</v>
      </c>
      <c r="Y146" s="144">
        <f t="shared" ca="1" si="49"/>
        <v>19.440476190476193</v>
      </c>
      <c r="Z146" s="144">
        <f t="shared" ref="Z146:Z156" ca="1" si="64">IF(VLOOKUP($B146,$AC$6:$AI$159,3,FALSE)="",$V146,IF(ISERROR(AVERAGEIF($AD$6:$AD$161,VLOOKUP($B146,$AC$6:$AI$159,2,FALSE),$V$6:$V$159)),"",AVERAGEIF($AD$6:$AD$161,VLOOKUP($B146,$AC$6:$AI$159,2,FALSE),$V$6:$V$159)))</f>
        <v>19.325631313131314</v>
      </c>
      <c r="AA146" s="10"/>
      <c r="AB146" s="357" t="str">
        <f>VLOOKUP($B146,'2007-2020 Metadata'!$A$4:$S$214,MATCH("Urban Area /Monitoring Zone",'2007-2020 Metadata'!$A$4:$S$4,0),FALSE)</f>
        <v>Dunedin</v>
      </c>
      <c r="AC146" s="87" t="str">
        <f>VLOOKUP(B146,'2007-2020 Metadata'!$A$6:$A$214,1,FALSE)</f>
        <v>DUN001</v>
      </c>
      <c r="AD146" s="230" t="str">
        <f>VLOOKUP($AC146,'2007-2020 Metadata'!$A$6:$S$214,9,FALSE)</f>
        <v>Dunedin</v>
      </c>
      <c r="AE146" s="248">
        <f>IF(ISBLANK(VLOOKUP($AC146,'2007-2020 Metadata'!$A$6:$S$214,19,FALSE)),"",VLOOKUP($AC146,'2007-2020 Metadata'!$A$6:$S$214,19,FALSE))</f>
        <v>3</v>
      </c>
      <c r="AF146" s="88" t="str">
        <f>VLOOKUP($B146,'2007-2020 Metadata'!$A$4:$S$214,MATCH("Site type",'2007-2020 Metadata'!$A$4:$S$4,0),FALSE)</f>
        <v>SH</v>
      </c>
      <c r="AG146" s="143">
        <f t="shared" si="56"/>
        <v>12.7</v>
      </c>
      <c r="AH146" s="143">
        <f t="shared" si="57"/>
        <v>38.6</v>
      </c>
      <c r="AI146" s="144">
        <f t="shared" ca="1" si="58"/>
        <v>19.325631313131314</v>
      </c>
    </row>
    <row r="147" spans="2:36" ht="12" customHeight="1" x14ac:dyDescent="0.15">
      <c r="B147" s="40" t="s">
        <v>27</v>
      </c>
      <c r="C147" s="52">
        <f>IF(ISERROR(VLOOKUP($B147,'Monthly Summary 2010'!$B$7:$Q$221,14,FALSE)=0),"",VLOOKUP($B147,'Monthly Summary 2010'!$B$7:$Q$221,14,FALSE))</f>
        <v>7.2</v>
      </c>
      <c r="D147" s="36">
        <v>12.4</v>
      </c>
      <c r="E147" s="36">
        <v>16.5</v>
      </c>
      <c r="F147" s="36">
        <v>17.2</v>
      </c>
      <c r="G147" s="36">
        <v>23.8</v>
      </c>
      <c r="H147" s="36">
        <v>22.2</v>
      </c>
      <c r="I147" s="36">
        <v>17.7</v>
      </c>
      <c r="J147" s="36">
        <v>32.299999999999997</v>
      </c>
      <c r="K147" s="36">
        <v>20.2</v>
      </c>
      <c r="L147" s="36">
        <v>15.4</v>
      </c>
      <c r="M147" s="36">
        <v>30.2</v>
      </c>
      <c r="N147" s="36">
        <v>13.9</v>
      </c>
      <c r="O147" s="36">
        <v>8.8000000000000007</v>
      </c>
      <c r="P147" s="37">
        <f>(AVERAGE(D147:O147))</f>
        <v>19.216666666666665</v>
      </c>
      <c r="Q147" s="38">
        <f>COUNT(D147:O147)/COUNT($D$6:$O$6)</f>
        <v>1</v>
      </c>
      <c r="R147" s="140">
        <f t="shared" si="50"/>
        <v>15.366666666666665</v>
      </c>
      <c r="S147" s="24">
        <f t="shared" si="51"/>
        <v>1</v>
      </c>
      <c r="T147" s="140">
        <f t="shared" si="52"/>
        <v>22.633333333333336</v>
      </c>
      <c r="U147" s="24">
        <f t="shared" si="53"/>
        <v>1</v>
      </c>
      <c r="V147" s="140">
        <f t="shared" si="54"/>
        <v>19.216666666666665</v>
      </c>
      <c r="W147" s="150">
        <f t="shared" si="55"/>
        <v>1</v>
      </c>
      <c r="X147" s="144">
        <f t="shared" ca="1" si="63"/>
        <v>15.612500000000001</v>
      </c>
      <c r="Y147" s="144">
        <f t="shared" ca="1" si="49"/>
        <v>19.440476190476193</v>
      </c>
      <c r="Z147" s="144">
        <f t="shared" ca="1" si="64"/>
        <v>19.325631313131314</v>
      </c>
      <c r="AA147" s="10"/>
      <c r="AB147" s="357" t="str">
        <f>VLOOKUP($B147,'2007-2020 Metadata'!$A$4:$S$214,MATCH("Urban Area /Monitoring Zone",'2007-2020 Metadata'!$A$4:$S$4,0),FALSE)</f>
        <v>Dunedin</v>
      </c>
      <c r="AC147" s="87" t="str">
        <f>VLOOKUP(B147,'2007-2020 Metadata'!$A$6:$A$214,1,FALSE)</f>
        <v>DUN002</v>
      </c>
      <c r="AD147" s="230" t="str">
        <f>VLOOKUP($AC147,'2007-2020 Metadata'!$A$6:$S$214,9,FALSE)</f>
        <v>Dunedin</v>
      </c>
      <c r="AE147" s="248">
        <f>IF(ISBLANK(VLOOKUP($AC147,'2007-2020 Metadata'!$A$6:$S$214,19,FALSE)),"",VLOOKUP($AC147,'2007-2020 Metadata'!$A$6:$S$214,19,FALSE))</f>
        <v>3</v>
      </c>
      <c r="AF147" s="88" t="str">
        <f>VLOOKUP($B147,'2007-2020 Metadata'!$A$4:$S$214,MATCH("Site type",'2007-2020 Metadata'!$A$4:$S$4,0),FALSE)</f>
        <v>SH</v>
      </c>
      <c r="AG147" s="143">
        <f t="shared" si="56"/>
        <v>8.8000000000000007</v>
      </c>
      <c r="AH147" s="143">
        <f t="shared" si="57"/>
        <v>32.299999999999997</v>
      </c>
      <c r="AI147" s="144">
        <f t="shared" ca="1" si="58"/>
        <v>19.325631313131314</v>
      </c>
    </row>
    <row r="148" spans="2:36" ht="12" customHeight="1" x14ac:dyDescent="0.15">
      <c r="B148" s="40" t="s">
        <v>28</v>
      </c>
      <c r="C148" s="52">
        <f>IF(ISERROR(VLOOKUP($B148,'Monthly Summary 2010'!$B$7:$Q$221,14,FALSE)=0),"",VLOOKUP($B148,'Monthly Summary 2010'!$B$7:$Q$221,14,FALSE))</f>
        <v>5.7</v>
      </c>
      <c r="D148" s="54">
        <v>7.6</v>
      </c>
      <c r="E148" s="54">
        <v>11.5</v>
      </c>
      <c r="F148" s="36">
        <v>11</v>
      </c>
      <c r="G148" s="344"/>
      <c r="H148" s="344"/>
      <c r="I148" s="344"/>
      <c r="J148" s="344"/>
      <c r="K148" s="344"/>
      <c r="L148" s="344"/>
      <c r="M148" s="344"/>
      <c r="N148" s="344"/>
      <c r="O148" s="344"/>
      <c r="P148" s="37">
        <f>(AVERAGE(D148:O148))</f>
        <v>10.033333333333333</v>
      </c>
      <c r="Q148" s="38">
        <f>COUNT(D148:O148)/COUNT($D$6:$O$6)</f>
        <v>0.25</v>
      </c>
      <c r="R148" s="140">
        <f t="shared" si="50"/>
        <v>10.033333333333333</v>
      </c>
      <c r="S148" s="24">
        <f t="shared" si="51"/>
        <v>1</v>
      </c>
      <c r="T148" s="140" t="str">
        <f t="shared" si="52"/>
        <v/>
      </c>
      <c r="U148" s="24">
        <f t="shared" si="53"/>
        <v>0</v>
      </c>
      <c r="V148" s="140" t="str">
        <f t="shared" si="54"/>
        <v>-</v>
      </c>
      <c r="W148" s="150">
        <f t="shared" si="55"/>
        <v>0.25</v>
      </c>
      <c r="X148" s="144">
        <f t="shared" ca="1" si="63"/>
        <v>15.612500000000001</v>
      </c>
      <c r="Y148" s="144">
        <f t="shared" ca="1" si="49"/>
        <v>19.440476190476193</v>
      </c>
      <c r="Z148" s="144">
        <f t="shared" ca="1" si="64"/>
        <v>19.325631313131314</v>
      </c>
      <c r="AA148" s="10"/>
      <c r="AB148" s="357" t="str">
        <f>VLOOKUP($B148,'2007-2020 Metadata'!$A$4:$S$214,MATCH("Urban Area /Monitoring Zone",'2007-2020 Metadata'!$A$4:$S$4,0),FALSE)</f>
        <v>Dunedin</v>
      </c>
      <c r="AC148" s="87" t="str">
        <f>VLOOKUP(B148,'2007-2020 Metadata'!$A$6:$A$214,1,FALSE)</f>
        <v>DUN003</v>
      </c>
      <c r="AD148" s="230" t="str">
        <f>VLOOKUP($AC148,'2007-2020 Metadata'!$A$6:$S$214,9,FALSE)</f>
        <v>Dunedin</v>
      </c>
      <c r="AE148" s="248">
        <f>IF(ISBLANK(VLOOKUP($AC148,'2007-2020 Metadata'!$A$6:$S$214,19,FALSE)),"",VLOOKUP($AC148,'2007-2020 Metadata'!$A$6:$S$214,19,FALSE))</f>
        <v>3</v>
      </c>
      <c r="AF148" s="88" t="str">
        <f>VLOOKUP($B148,'2007-2020 Metadata'!$A$4:$S$214,MATCH("Site type",'2007-2020 Metadata'!$A$4:$S$4,0),FALSE)</f>
        <v>Local</v>
      </c>
      <c r="AG148" s="143">
        <f t="shared" si="56"/>
        <v>7.6</v>
      </c>
      <c r="AH148" s="143">
        <f t="shared" si="57"/>
        <v>11.5</v>
      </c>
      <c r="AI148" s="144" t="str">
        <f t="shared" si="58"/>
        <v xml:space="preserve"> </v>
      </c>
    </row>
    <row r="149" spans="2:36" ht="12" customHeight="1" x14ac:dyDescent="0.15">
      <c r="B149" s="40" t="s">
        <v>29</v>
      </c>
      <c r="C149" s="52">
        <f>IF(ISERROR(VLOOKUP($B149,'Monthly Summary 2010'!$B$7:$Q$221,14,FALSE)=0),"",VLOOKUP($B149,'Monthly Summary 2010'!$B$7:$Q$221,14,FALSE))</f>
        <v>14.9</v>
      </c>
      <c r="D149" s="36">
        <v>13.7</v>
      </c>
      <c r="E149" s="36">
        <v>20.399999999999999</v>
      </c>
      <c r="F149" s="36">
        <v>22.3</v>
      </c>
      <c r="G149" s="36">
        <v>22</v>
      </c>
      <c r="H149" s="36">
        <v>26.6</v>
      </c>
      <c r="I149" s="36"/>
      <c r="J149" s="36">
        <v>17</v>
      </c>
      <c r="K149" s="36"/>
      <c r="L149" s="36"/>
      <c r="M149" s="36">
        <v>11.1</v>
      </c>
      <c r="N149" s="36">
        <v>18</v>
      </c>
      <c r="O149" s="36">
        <v>17.2</v>
      </c>
      <c r="P149" s="37">
        <f>(AVERAGE(D149:O149))</f>
        <v>18.7</v>
      </c>
      <c r="Q149" s="38">
        <f>COUNT(D149:O149)/COUNT($D$6:$O$6)</f>
        <v>0.75</v>
      </c>
      <c r="R149" s="140">
        <f t="shared" si="50"/>
        <v>18.799999999999997</v>
      </c>
      <c r="S149" s="24">
        <f t="shared" si="51"/>
        <v>1</v>
      </c>
      <c r="T149" s="140" t="str">
        <f t="shared" si="52"/>
        <v>-</v>
      </c>
      <c r="U149" s="24">
        <f t="shared" si="53"/>
        <v>0.33333333333333331</v>
      </c>
      <c r="V149" s="140">
        <f t="shared" si="54"/>
        <v>18.7</v>
      </c>
      <c r="W149" s="150">
        <f t="shared" si="55"/>
        <v>0.75</v>
      </c>
      <c r="X149" s="144">
        <f t="shared" ca="1" si="63"/>
        <v>18.799999999999997</v>
      </c>
      <c r="Y149" s="144" t="str">
        <f t="shared" ca="1" si="49"/>
        <v/>
      </c>
      <c r="Z149" s="144">
        <f t="shared" ca="1" si="64"/>
        <v>18.7</v>
      </c>
      <c r="AA149" s="10"/>
      <c r="AB149" s="357" t="str">
        <f>VLOOKUP($B149,'2007-2020 Metadata'!$A$4:$S$214,MATCH("Urban Area /Monitoring Zone",'2007-2020 Metadata'!$A$4:$S$4,0),FALSE)</f>
        <v>Queenstown</v>
      </c>
      <c r="AC149" s="87" t="str">
        <f>VLOOKUP(B149,'2007-2020 Metadata'!$A$6:$A$214,1,FALSE)</f>
        <v>DUN004</v>
      </c>
      <c r="AD149" s="230" t="str">
        <f>VLOOKUP($AC149,'2007-2020 Metadata'!$A$6:$S$214,9,FALSE)</f>
        <v>Queenstown</v>
      </c>
      <c r="AE149" s="248">
        <f>IF(ISBLANK(VLOOKUP($AC149,'2007-2020 Metadata'!$A$6:$S$214,19,FALSE)),"",VLOOKUP($AC149,'2007-2020 Metadata'!$A$6:$S$214,19,FALSE))</f>
        <v>3</v>
      </c>
      <c r="AF149" s="88" t="str">
        <f>VLOOKUP($B149,'2007-2020 Metadata'!$A$4:$S$214,MATCH("Site type",'2007-2020 Metadata'!$A$4:$S$4,0),FALSE)</f>
        <v>SH</v>
      </c>
      <c r="AG149" s="143">
        <f t="shared" si="56"/>
        <v>11.1</v>
      </c>
      <c r="AH149" s="143">
        <f t="shared" si="57"/>
        <v>26.6</v>
      </c>
      <c r="AI149" s="144">
        <f t="shared" ca="1" si="58"/>
        <v>18.7</v>
      </c>
    </row>
    <row r="150" spans="2:36" ht="12" customHeight="1" x14ac:dyDescent="0.15">
      <c r="B150" s="40" t="s">
        <v>30</v>
      </c>
      <c r="C150" s="52">
        <f>IF(ISERROR(VLOOKUP($B150,'Monthly Summary 2010'!$B$7:$Q$221,14,FALSE)=0),"",VLOOKUP($B150,'Monthly Summary 2010'!$B$7:$Q$221,14,FALSE))</f>
        <v>0</v>
      </c>
      <c r="D150" s="36"/>
      <c r="E150" s="36">
        <v>19.3</v>
      </c>
      <c r="F150" s="36">
        <v>32.4</v>
      </c>
      <c r="G150" s="36"/>
      <c r="H150" s="36"/>
      <c r="I150" s="36"/>
      <c r="J150" s="36">
        <v>31.6</v>
      </c>
      <c r="K150" s="36"/>
      <c r="L150" s="36"/>
      <c r="M150" s="36">
        <v>20.8</v>
      </c>
      <c r="N150" s="36">
        <v>20.100000000000001</v>
      </c>
      <c r="O150" s="36"/>
      <c r="P150" s="37">
        <f t="shared" si="47"/>
        <v>24.840000000000003</v>
      </c>
      <c r="Q150" s="38">
        <f t="shared" si="48"/>
        <v>0.41666666666666669</v>
      </c>
      <c r="R150" s="140">
        <f t="shared" si="50"/>
        <v>25.85</v>
      </c>
      <c r="S150" s="24">
        <f t="shared" si="51"/>
        <v>0.66666666666666663</v>
      </c>
      <c r="T150" s="140" t="str">
        <f t="shared" si="52"/>
        <v>-</v>
      </c>
      <c r="U150" s="24">
        <f t="shared" si="53"/>
        <v>0.33333333333333331</v>
      </c>
      <c r="V150" s="140" t="str">
        <f t="shared" si="54"/>
        <v>-</v>
      </c>
      <c r="W150" s="150">
        <f t="shared" si="55"/>
        <v>0.41666666666666669</v>
      </c>
      <c r="X150" s="144">
        <f t="shared" ca="1" si="63"/>
        <v>25.85</v>
      </c>
      <c r="Y150" s="144" t="str">
        <f t="shared" ca="1" si="49"/>
        <v/>
      </c>
      <c r="Z150" s="144" t="str">
        <f t="shared" ca="1" si="64"/>
        <v/>
      </c>
      <c r="AA150" s="10"/>
      <c r="AB150" s="357" t="str">
        <f>VLOOKUP($B150,'2007-2020 Metadata'!$A$4:$S$214,MATCH("Urban Area /Monitoring Zone",'2007-2020 Metadata'!$A$4:$S$4,0),FALSE)</f>
        <v>Invercargill</v>
      </c>
      <c r="AC150" s="87" t="str">
        <f>VLOOKUP(B150,'2007-2020 Metadata'!$A$6:$A$214,1,FALSE)</f>
        <v>DUN005</v>
      </c>
      <c r="AD150" s="230" t="str">
        <f>VLOOKUP($AC150,'2007-2020 Metadata'!$A$6:$S$214,9,FALSE)</f>
        <v>Invercargill</v>
      </c>
      <c r="AE150" s="248">
        <f>IF(ISBLANK(VLOOKUP($AC150,'2007-2020 Metadata'!$A$6:$S$214,19,FALSE)),"",VLOOKUP($AC150,'2007-2020 Metadata'!$A$6:$S$214,19,FALSE))</f>
        <v>3</v>
      </c>
      <c r="AF150" s="88" t="str">
        <f>VLOOKUP($B150,'2007-2020 Metadata'!$A$4:$S$214,MATCH("Site type",'2007-2020 Metadata'!$A$4:$S$4,0),FALSE)</f>
        <v>SH</v>
      </c>
      <c r="AG150" s="143">
        <f t="shared" si="56"/>
        <v>19.3</v>
      </c>
      <c r="AH150" s="143">
        <f t="shared" si="57"/>
        <v>32.4</v>
      </c>
      <c r="AI150" s="144" t="str">
        <f t="shared" si="58"/>
        <v xml:space="preserve"> </v>
      </c>
    </row>
    <row r="151" spans="2:36" ht="12" customHeight="1" x14ac:dyDescent="0.15">
      <c r="B151" s="40" t="s">
        <v>155</v>
      </c>
      <c r="C151" s="52">
        <f>IF(ISERROR(VLOOKUP($B151,'Monthly Summary 2010'!$B$7:$Q$221,14,FALSE)=0),"",VLOOKUP($B151,'Monthly Summary 2010'!$B$7:$Q$221,14,FALSE))</f>
        <v>9.4</v>
      </c>
      <c r="D151" s="36">
        <v>13.7</v>
      </c>
      <c r="E151" s="36">
        <v>20.5</v>
      </c>
      <c r="F151" s="36">
        <v>21.4</v>
      </c>
      <c r="G151" s="36">
        <v>26.3</v>
      </c>
      <c r="H151" s="36">
        <v>27.3</v>
      </c>
      <c r="I151" s="36">
        <v>25.6</v>
      </c>
      <c r="J151" s="36"/>
      <c r="K151" s="36">
        <v>22.4</v>
      </c>
      <c r="L151" s="36">
        <v>20.6</v>
      </c>
      <c r="M151" s="36">
        <v>21.9</v>
      </c>
      <c r="N151" s="36">
        <v>15.6</v>
      </c>
      <c r="O151" s="36">
        <v>14</v>
      </c>
      <c r="P151" s="37">
        <f t="shared" si="47"/>
        <v>20.845454545454547</v>
      </c>
      <c r="Q151" s="38">
        <f t="shared" si="48"/>
        <v>0.91666666666666663</v>
      </c>
      <c r="R151" s="140">
        <f t="shared" si="50"/>
        <v>18.533333333333335</v>
      </c>
      <c r="S151" s="24">
        <f t="shared" si="51"/>
        <v>1</v>
      </c>
      <c r="T151" s="140">
        <f t="shared" si="52"/>
        <v>21.5</v>
      </c>
      <c r="U151" s="24">
        <f t="shared" si="53"/>
        <v>0.66666666666666663</v>
      </c>
      <c r="V151" s="140">
        <f t="shared" si="54"/>
        <v>20.845454545454547</v>
      </c>
      <c r="W151" s="150">
        <f t="shared" si="55"/>
        <v>0.91666666666666663</v>
      </c>
      <c r="X151" s="144">
        <f t="shared" ca="1" si="63"/>
        <v>15.612500000000001</v>
      </c>
      <c r="Y151" s="144">
        <f t="shared" ca="1" si="49"/>
        <v>19.440476190476193</v>
      </c>
      <c r="Z151" s="144">
        <f t="shared" ca="1" si="64"/>
        <v>19.325631313131314</v>
      </c>
      <c r="AA151" s="10"/>
      <c r="AB151" s="357" t="str">
        <f>VLOOKUP($B151,'2007-2020 Metadata'!$A$4:$S$214,MATCH("Urban Area /Monitoring Zone",'2007-2020 Metadata'!$A$4:$S$4,0),FALSE)</f>
        <v>Dunedin</v>
      </c>
      <c r="AC151" s="87" t="str">
        <f>VLOOKUP(B151,'2007-2020 Metadata'!$A$6:$A$214,1,FALSE)</f>
        <v>DUN006</v>
      </c>
      <c r="AD151" s="230" t="str">
        <f>VLOOKUP($AC151,'2007-2020 Metadata'!$A$6:$S$214,9,FALSE)</f>
        <v>Dunedin</v>
      </c>
      <c r="AE151" s="248">
        <f>IF(ISBLANK(VLOOKUP($AC151,'2007-2020 Metadata'!$A$6:$S$214,19,FALSE)),"",VLOOKUP($AC151,'2007-2020 Metadata'!$A$6:$S$214,19,FALSE))</f>
        <v>3</v>
      </c>
      <c r="AF151" s="88" t="str">
        <f>VLOOKUP($B151,'2007-2020 Metadata'!$A$4:$S$214,MATCH("Site type",'2007-2020 Metadata'!$A$4:$S$4,0),FALSE)</f>
        <v>SH</v>
      </c>
      <c r="AG151" s="143">
        <f t="shared" si="56"/>
        <v>13.7</v>
      </c>
      <c r="AH151" s="143">
        <f t="shared" si="57"/>
        <v>27.3</v>
      </c>
      <c r="AI151" s="144">
        <f t="shared" ca="1" si="58"/>
        <v>19.325631313131314</v>
      </c>
    </row>
    <row r="152" spans="2:36" ht="12" customHeight="1" x14ac:dyDescent="0.15">
      <c r="B152" s="40" t="s">
        <v>156</v>
      </c>
      <c r="C152" s="52">
        <f>IF(ISERROR(VLOOKUP($B152,'Monthly Summary 2010'!$B$7:$Q$221,14,FALSE)=0),"",VLOOKUP($B152,'Monthly Summary 2010'!$B$7:$Q$221,14,FALSE))</f>
        <v>6.9</v>
      </c>
      <c r="D152" s="36">
        <v>7.3</v>
      </c>
      <c r="E152" s="36">
        <v>10.8</v>
      </c>
      <c r="F152" s="36">
        <v>11</v>
      </c>
      <c r="G152" s="36">
        <v>20.6</v>
      </c>
      <c r="H152" s="36">
        <v>15.1</v>
      </c>
      <c r="I152" s="36">
        <v>14.8</v>
      </c>
      <c r="J152" s="36">
        <v>21.5</v>
      </c>
      <c r="K152" s="36">
        <v>14.2</v>
      </c>
      <c r="L152" s="36">
        <v>9.4</v>
      </c>
      <c r="M152" s="36">
        <v>21.4</v>
      </c>
      <c r="N152" s="36">
        <v>7.6</v>
      </c>
      <c r="O152" s="36">
        <v>8.9</v>
      </c>
      <c r="P152" s="37">
        <f t="shared" si="47"/>
        <v>13.549999999999999</v>
      </c>
      <c r="Q152" s="38">
        <f t="shared" si="48"/>
        <v>1</v>
      </c>
      <c r="R152" s="140">
        <f t="shared" si="50"/>
        <v>9.7000000000000011</v>
      </c>
      <c r="S152" s="24">
        <f t="shared" si="51"/>
        <v>1</v>
      </c>
      <c r="T152" s="140">
        <f t="shared" si="52"/>
        <v>15.033333333333333</v>
      </c>
      <c r="U152" s="24">
        <f t="shared" si="53"/>
        <v>1</v>
      </c>
      <c r="V152" s="140">
        <f t="shared" si="54"/>
        <v>13.549999999999999</v>
      </c>
      <c r="W152" s="150">
        <f t="shared" si="55"/>
        <v>1</v>
      </c>
      <c r="X152" s="144">
        <f t="shared" ca="1" si="63"/>
        <v>15.612500000000001</v>
      </c>
      <c r="Y152" s="144">
        <f t="shared" ca="1" si="49"/>
        <v>19.440476190476193</v>
      </c>
      <c r="Z152" s="144">
        <f t="shared" ca="1" si="64"/>
        <v>19.325631313131314</v>
      </c>
      <c r="AA152" s="10"/>
      <c r="AB152" s="357" t="str">
        <f>VLOOKUP($B152,'2007-2020 Metadata'!$A$4:$S$214,MATCH("Urban Area /Monitoring Zone",'2007-2020 Metadata'!$A$4:$S$4,0),FALSE)</f>
        <v>Dunedin</v>
      </c>
      <c r="AC152" s="87" t="str">
        <f>VLOOKUP(B152,'2007-2020 Metadata'!$A$6:$A$214,1,FALSE)</f>
        <v>DUN007</v>
      </c>
      <c r="AD152" s="230" t="str">
        <f>VLOOKUP($AC152,'2007-2020 Metadata'!$A$6:$S$214,9,FALSE)</f>
        <v>Dunedin</v>
      </c>
      <c r="AE152" s="248">
        <f>IF(ISBLANK(VLOOKUP($AC152,'2007-2020 Metadata'!$A$6:$S$214,19,FALSE)),"",VLOOKUP($AC152,'2007-2020 Metadata'!$A$6:$S$214,19,FALSE))</f>
        <v>3</v>
      </c>
      <c r="AF152" s="88" t="str">
        <f>VLOOKUP($B152,'2007-2020 Metadata'!$A$4:$S$214,MATCH("Site type",'2007-2020 Metadata'!$A$4:$S$4,0),FALSE)</f>
        <v>Background</v>
      </c>
      <c r="AG152" s="143">
        <f t="shared" si="56"/>
        <v>7.3</v>
      </c>
      <c r="AH152" s="143">
        <f t="shared" si="57"/>
        <v>21.5</v>
      </c>
      <c r="AI152" s="144">
        <f t="shared" ca="1" si="58"/>
        <v>19.325631313131314</v>
      </c>
    </row>
    <row r="153" spans="2:36" ht="12" customHeight="1" x14ac:dyDescent="0.15">
      <c r="B153" s="40" t="s">
        <v>157</v>
      </c>
      <c r="C153" s="52">
        <f>IF(ISERROR(VLOOKUP($B153,'Monthly Summary 2010'!$B$7:$Q$221,14,FALSE)=0),"",VLOOKUP($B153,'Monthly Summary 2010'!$B$7:$Q$221,14,FALSE))</f>
        <v>10.6</v>
      </c>
      <c r="D153" s="36">
        <v>11.9</v>
      </c>
      <c r="E153" s="36">
        <v>16.3</v>
      </c>
      <c r="F153" s="36">
        <v>17.2</v>
      </c>
      <c r="G153" s="36">
        <v>23.7</v>
      </c>
      <c r="H153" s="36">
        <v>18.8</v>
      </c>
      <c r="I153" s="36">
        <v>17.600000000000001</v>
      </c>
      <c r="J153" s="36"/>
      <c r="K153" s="36">
        <v>19.899999999999999</v>
      </c>
      <c r="L153" s="36">
        <v>15.6</v>
      </c>
      <c r="M153" s="36">
        <v>9.1999999999999993</v>
      </c>
      <c r="N153" s="36">
        <v>13.6</v>
      </c>
      <c r="O153" s="36">
        <v>14.4</v>
      </c>
      <c r="P153" s="37">
        <f t="shared" si="47"/>
        <v>16.2</v>
      </c>
      <c r="Q153" s="38">
        <f t="shared" si="48"/>
        <v>0.91666666666666663</v>
      </c>
      <c r="R153" s="140">
        <f t="shared" si="50"/>
        <v>15.133333333333335</v>
      </c>
      <c r="S153" s="24">
        <f t="shared" si="51"/>
        <v>1</v>
      </c>
      <c r="T153" s="140">
        <f t="shared" si="52"/>
        <v>17.75</v>
      </c>
      <c r="U153" s="24">
        <f t="shared" si="53"/>
        <v>0.66666666666666663</v>
      </c>
      <c r="V153" s="140">
        <f t="shared" si="54"/>
        <v>16.2</v>
      </c>
      <c r="W153" s="150">
        <f t="shared" si="55"/>
        <v>0.91666666666666663</v>
      </c>
      <c r="X153" s="144">
        <f t="shared" ca="1" si="63"/>
        <v>15.612500000000001</v>
      </c>
      <c r="Y153" s="144">
        <f t="shared" ca="1" si="49"/>
        <v>19.440476190476193</v>
      </c>
      <c r="Z153" s="144">
        <f t="shared" ca="1" si="64"/>
        <v>19.325631313131314</v>
      </c>
      <c r="AA153" s="10"/>
      <c r="AB153" s="357" t="str">
        <f>VLOOKUP($B153,'2007-2020 Metadata'!$A$4:$S$214,MATCH("Urban Area /Monitoring Zone",'2007-2020 Metadata'!$A$4:$S$4,0),FALSE)</f>
        <v>Dunedin</v>
      </c>
      <c r="AC153" s="87" t="str">
        <f>VLOOKUP(B153,'2007-2020 Metadata'!$A$6:$A$214,1,FALSE)</f>
        <v>DUN008</v>
      </c>
      <c r="AD153" s="230" t="str">
        <f>VLOOKUP($AC151,'2007-2020 Metadata'!$A$6:$S$214,9,FALSE)</f>
        <v>Dunedin</v>
      </c>
      <c r="AE153" s="248">
        <f>IF(ISBLANK(VLOOKUP($AC151,'2007-2020 Metadata'!$A$6:$S$214,19,FALSE)),"",VLOOKUP($AC151,'2007-2020 Metadata'!$A$6:$S$214,19,FALSE))</f>
        <v>3</v>
      </c>
      <c r="AF153" s="88" t="str">
        <f>VLOOKUP($B153,'2007-2020 Metadata'!$A$4:$S$214,MATCH("Site type",'2007-2020 Metadata'!$A$4:$S$4,0),FALSE)</f>
        <v>Local</v>
      </c>
      <c r="AG153" s="143">
        <f t="shared" si="56"/>
        <v>9.1999999999999993</v>
      </c>
      <c r="AH153" s="143">
        <f t="shared" si="57"/>
        <v>23.7</v>
      </c>
      <c r="AI153" s="144">
        <f t="shared" ca="1" si="58"/>
        <v>19.325631313131314</v>
      </c>
    </row>
    <row r="154" spans="2:36" ht="12" customHeight="1" x14ac:dyDescent="0.15">
      <c r="B154" s="40" t="s">
        <v>158</v>
      </c>
      <c r="C154" s="52">
        <f>IF(ISERROR(VLOOKUP($B154,'Monthly Summary 2010'!$B$7:$Q$221,14,FALSE)=0),"",VLOOKUP($B154,'Monthly Summary 2010'!$B$7:$Q$221,14,FALSE))</f>
        <v>8.5</v>
      </c>
      <c r="D154" s="36">
        <v>13.1</v>
      </c>
      <c r="E154" s="36">
        <v>17.100000000000001</v>
      </c>
      <c r="F154" s="36">
        <v>17.7</v>
      </c>
      <c r="G154" s="36">
        <v>29.4</v>
      </c>
      <c r="H154" s="36">
        <v>30.5</v>
      </c>
      <c r="I154" s="36">
        <v>27.7</v>
      </c>
      <c r="J154" s="36">
        <v>14.4</v>
      </c>
      <c r="K154" s="36">
        <v>26</v>
      </c>
      <c r="L154" s="36">
        <v>20.3</v>
      </c>
      <c r="M154" s="36">
        <v>13.9</v>
      </c>
      <c r="N154" s="36">
        <v>13.7</v>
      </c>
      <c r="O154" s="36">
        <v>12.7</v>
      </c>
      <c r="P154" s="37">
        <f t="shared" si="47"/>
        <v>19.708333333333332</v>
      </c>
      <c r="Q154" s="38">
        <f t="shared" si="48"/>
        <v>1</v>
      </c>
      <c r="R154" s="140">
        <f t="shared" si="50"/>
        <v>15.966666666666669</v>
      </c>
      <c r="S154" s="24">
        <f t="shared" si="51"/>
        <v>1</v>
      </c>
      <c r="T154" s="140">
        <f t="shared" si="52"/>
        <v>20.233333333333334</v>
      </c>
      <c r="U154" s="24">
        <f t="shared" si="53"/>
        <v>1</v>
      </c>
      <c r="V154" s="140">
        <f t="shared" si="54"/>
        <v>19.708333333333332</v>
      </c>
      <c r="W154" s="150">
        <f t="shared" si="55"/>
        <v>1</v>
      </c>
      <c r="X154" s="144">
        <f t="shared" ca="1" si="63"/>
        <v>15.612500000000001</v>
      </c>
      <c r="Y154" s="144">
        <f t="shared" ca="1" si="49"/>
        <v>19.440476190476193</v>
      </c>
      <c r="Z154" s="144">
        <f t="shared" ca="1" si="64"/>
        <v>19.325631313131314</v>
      </c>
      <c r="AA154" s="10"/>
      <c r="AB154" s="357" t="str">
        <f>VLOOKUP($B154,'2007-2020 Metadata'!$A$4:$S$214,MATCH("Urban Area /Monitoring Zone",'2007-2020 Metadata'!$A$4:$S$4,0),FALSE)</f>
        <v>Dunedin</v>
      </c>
      <c r="AC154" s="87" t="str">
        <f>VLOOKUP(B154,'2007-2020 Metadata'!$A$6:$A$214,1,FALSE)</f>
        <v>DUN009</v>
      </c>
      <c r="AD154" s="230" t="str">
        <f>VLOOKUP($AC152,'2007-2020 Metadata'!$A$6:$S$214,9,FALSE)</f>
        <v>Dunedin</v>
      </c>
      <c r="AE154" s="248">
        <f>IF(ISBLANK(VLOOKUP($AC152,'2007-2020 Metadata'!$A$6:$S$214,19,FALSE)),"",VLOOKUP($AC152,'2007-2020 Metadata'!$A$6:$S$214,19,FALSE))</f>
        <v>3</v>
      </c>
      <c r="AF154" s="88" t="str">
        <f>VLOOKUP($B154,'2007-2020 Metadata'!$A$4:$S$214,MATCH("Site type",'2007-2020 Metadata'!$A$4:$S$4,0),FALSE)</f>
        <v>Local</v>
      </c>
      <c r="AG154" s="143">
        <f t="shared" si="56"/>
        <v>12.7</v>
      </c>
      <c r="AH154" s="143">
        <f t="shared" si="57"/>
        <v>30.5</v>
      </c>
      <c r="AI154" s="144">
        <f t="shared" ca="1" si="58"/>
        <v>19.325631313131314</v>
      </c>
    </row>
    <row r="155" spans="2:36" ht="12" customHeight="1" x14ac:dyDescent="0.15">
      <c r="B155" s="40" t="s">
        <v>31</v>
      </c>
      <c r="C155" s="52">
        <f>IF(ISERROR(VLOOKUP($B155,'Monthly Summary 2010'!$B$7:$Q$221,14,FALSE)=0),"",VLOOKUP($B155,'Monthly Summary 2010'!$B$7:$Q$221,14,FALSE))</f>
        <v>2.6</v>
      </c>
      <c r="D155" s="36"/>
      <c r="E155" s="36">
        <v>24.2</v>
      </c>
      <c r="F155" s="36">
        <v>9.6</v>
      </c>
      <c r="G155" s="36"/>
      <c r="H155" s="36"/>
      <c r="I155" s="36"/>
      <c r="J155" s="36"/>
      <c r="K155" s="36"/>
      <c r="L155" s="36"/>
      <c r="M155" s="36">
        <v>14.7</v>
      </c>
      <c r="N155" s="36">
        <v>4.9000000000000004</v>
      </c>
      <c r="O155" s="36">
        <v>3.4</v>
      </c>
      <c r="P155" s="37">
        <f t="shared" si="47"/>
        <v>11.36</v>
      </c>
      <c r="Q155" s="38">
        <f t="shared" si="48"/>
        <v>0.41666666666666669</v>
      </c>
      <c r="R155" s="140">
        <f t="shared" si="50"/>
        <v>16.899999999999999</v>
      </c>
      <c r="S155" s="24">
        <f t="shared" si="51"/>
        <v>0.66666666666666663</v>
      </c>
      <c r="T155" s="140" t="str">
        <f t="shared" si="52"/>
        <v/>
      </c>
      <c r="U155" s="24">
        <f t="shared" si="53"/>
        <v>0</v>
      </c>
      <c r="V155" s="140" t="str">
        <f t="shared" si="54"/>
        <v>-</v>
      </c>
      <c r="W155" s="150">
        <f t="shared" si="55"/>
        <v>0.41666666666666669</v>
      </c>
      <c r="X155" s="144">
        <f t="shared" ca="1" si="63"/>
        <v>15.612500000000001</v>
      </c>
      <c r="Y155" s="144">
        <f t="shared" ca="1" si="49"/>
        <v>19.440476190476193</v>
      </c>
      <c r="Z155" s="144">
        <f t="shared" ca="1" si="64"/>
        <v>19.325631313131314</v>
      </c>
      <c r="AA155" s="10"/>
      <c r="AB155" s="357" t="str">
        <f>VLOOKUP($B155,'2007-2020 Metadata'!$A$4:$S$214,MATCH("Urban Area /Monitoring Zone",'2007-2020 Metadata'!$A$4:$S$4,0),FALSE)</f>
        <v>Invercargill</v>
      </c>
      <c r="AC155" s="87" t="str">
        <f>VLOOKUP(B155,'2007-2020 Metadata'!$A$6:$A$214,1,FALSE)</f>
        <v>DUN010</v>
      </c>
      <c r="AD155" s="230" t="str">
        <f>VLOOKUP($AC152,'2007-2020 Metadata'!$A$6:$S$214,9,FALSE)</f>
        <v>Dunedin</v>
      </c>
      <c r="AE155" s="248">
        <f>IF(ISBLANK(VLOOKUP($AC152,'2007-2020 Metadata'!$A$6:$S$214,19,FALSE)),"",VLOOKUP($AC152,'2007-2020 Metadata'!$A$6:$S$214,19,FALSE))</f>
        <v>3</v>
      </c>
      <c r="AF155" s="88" t="str">
        <f>VLOOKUP($B155,'2007-2020 Metadata'!$A$4:$S$214,MATCH("Site type",'2007-2020 Metadata'!$A$4:$S$4,0),FALSE)</f>
        <v>Background</v>
      </c>
      <c r="AG155" s="143">
        <f t="shared" si="56"/>
        <v>3.4</v>
      </c>
      <c r="AH155" s="143">
        <f t="shared" si="57"/>
        <v>24.2</v>
      </c>
      <c r="AI155" s="144" t="str">
        <f t="shared" si="58"/>
        <v xml:space="preserve"> </v>
      </c>
    </row>
    <row r="156" spans="2:36" ht="12" customHeight="1" x14ac:dyDescent="0.15">
      <c r="B156" s="40" t="s">
        <v>468</v>
      </c>
      <c r="C156" s="52" t="str">
        <f>IF(ISERROR(VLOOKUP($B156,'Monthly Summary 2010'!$B$7:$Q$221,14,FALSE)=0),"",VLOOKUP($B156,'Monthly Summary 2010'!$B$7:$Q$221,14,FALSE))</f>
        <v/>
      </c>
      <c r="D156" s="344"/>
      <c r="E156" s="344"/>
      <c r="F156" s="344"/>
      <c r="G156" s="36">
        <v>17.100000000000001</v>
      </c>
      <c r="H156" s="36">
        <v>18.3</v>
      </c>
      <c r="I156" s="36">
        <v>14.2</v>
      </c>
      <c r="J156" s="36">
        <v>14.6</v>
      </c>
      <c r="K156" s="36">
        <v>14.2</v>
      </c>
      <c r="L156" s="36">
        <v>11.6</v>
      </c>
      <c r="M156" s="36">
        <v>15.9</v>
      </c>
      <c r="N156" s="36">
        <v>10.4</v>
      </c>
      <c r="O156" s="36">
        <v>10.3</v>
      </c>
      <c r="P156" s="37">
        <f t="shared" si="47"/>
        <v>14.066666666666668</v>
      </c>
      <c r="Q156" s="38">
        <f t="shared" si="48"/>
        <v>0.75</v>
      </c>
      <c r="R156" s="140" t="str">
        <f t="shared" si="50"/>
        <v/>
      </c>
      <c r="S156" s="24">
        <f t="shared" si="51"/>
        <v>0</v>
      </c>
      <c r="T156" s="140">
        <f t="shared" si="52"/>
        <v>13.466666666666667</v>
      </c>
      <c r="U156" s="24">
        <f t="shared" si="53"/>
        <v>1</v>
      </c>
      <c r="V156" s="140" t="str">
        <f t="shared" si="54"/>
        <v>-</v>
      </c>
      <c r="W156" s="150">
        <f>Q156</f>
        <v>0.75</v>
      </c>
      <c r="X156" s="144">
        <f t="shared" ca="1" si="63"/>
        <v>15.612500000000001</v>
      </c>
      <c r="Y156" s="144">
        <f t="shared" ca="1" si="49"/>
        <v>19.440476190476193</v>
      </c>
      <c r="Z156" s="144">
        <f t="shared" ca="1" si="64"/>
        <v>19.325631313131314</v>
      </c>
      <c r="AA156" s="10"/>
      <c r="AB156" s="357" t="str">
        <f>VLOOKUP($B156,'2007-2020 Metadata'!$A$4:$S$214,MATCH("Urban Area /Monitoring Zone",'2007-2020 Metadata'!$A$4:$S$4,0),FALSE)</f>
        <v>Dunedin</v>
      </c>
      <c r="AC156" s="87" t="str">
        <f>VLOOKUP(B156,'2007-2020 Metadata'!$A$6:$A$214,1,FALSE)</f>
        <v>DUN011</v>
      </c>
      <c r="AD156" s="230" t="str">
        <f>VLOOKUP($AC153,'2007-2020 Metadata'!$A$6:$S$214,9,FALSE)</f>
        <v>Dunedin</v>
      </c>
      <c r="AE156" s="248">
        <f>IF(ISBLANK(VLOOKUP($AC153,'2007-2020 Metadata'!$A$6:$S$214,19,FALSE)),"",VLOOKUP($AC153,'2007-2020 Metadata'!$A$6:$S$214,19,FALSE))</f>
        <v>3</v>
      </c>
      <c r="AF156" s="88" t="str">
        <f>VLOOKUP($B156,'2007-2020 Metadata'!$A$4:$S$214,MATCH("Site type",'2007-2020 Metadata'!$A$4:$S$4,0),FALSE)</f>
        <v>SH</v>
      </c>
      <c r="AG156" s="143">
        <f t="shared" si="56"/>
        <v>10.3</v>
      </c>
      <c r="AH156" s="143">
        <f t="shared" si="57"/>
        <v>18.3</v>
      </c>
      <c r="AI156" s="144">
        <f t="shared" ca="1" si="58"/>
        <v>19.325631313131314</v>
      </c>
    </row>
    <row r="157" spans="2:36" ht="6" customHeight="1" thickBot="1" x14ac:dyDescent="0.2">
      <c r="B157" s="41"/>
      <c r="C157" s="53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3"/>
      <c r="Q157" s="44"/>
      <c r="R157" s="89"/>
      <c r="S157" s="90"/>
      <c r="T157" s="90"/>
      <c r="U157" s="108"/>
      <c r="V157" s="90"/>
      <c r="W157" s="108"/>
      <c r="X157" s="108"/>
      <c r="Y157" s="108"/>
      <c r="Z157" s="108"/>
      <c r="AA157" s="45"/>
      <c r="AB157" s="101"/>
      <c r="AC157" s="90"/>
      <c r="AD157" s="90"/>
      <c r="AE157" s="90"/>
      <c r="AF157" s="92"/>
      <c r="AG157" s="91"/>
      <c r="AH157" s="91"/>
      <c r="AI157" s="92"/>
    </row>
    <row r="158" spans="2:36" ht="11.25" thickTop="1" x14ac:dyDescent="0.15">
      <c r="B158" s="32"/>
      <c r="C158" s="32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AA158" s="45"/>
      <c r="AC158" s="45"/>
      <c r="AG158" s="86"/>
      <c r="AH158" s="86"/>
    </row>
    <row r="159" spans="2:36" x14ac:dyDescent="0.15">
      <c r="D159" s="46" t="s">
        <v>455</v>
      </c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AA159" s="45"/>
      <c r="AC159" s="45"/>
      <c r="AG159" s="86"/>
      <c r="AH159" s="86"/>
    </row>
    <row r="160" spans="2:36" x14ac:dyDescent="0.15">
      <c r="D160" s="321"/>
      <c r="E160" s="301" t="s">
        <v>456</v>
      </c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AA160" s="45"/>
      <c r="AC160" s="45"/>
      <c r="AG160" s="86"/>
      <c r="AH160" s="86"/>
    </row>
    <row r="161" spans="2:34" x14ac:dyDescent="0.15">
      <c r="D161" s="371"/>
      <c r="E161" s="301" t="s">
        <v>1085</v>
      </c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AA161" s="45"/>
      <c r="AC161" s="45"/>
      <c r="AG161" s="86"/>
      <c r="AH161" s="86"/>
    </row>
    <row r="162" spans="2:34" x14ac:dyDescent="0.15">
      <c r="D162" s="47"/>
      <c r="E162" s="31" t="s">
        <v>469</v>
      </c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AA162" s="45"/>
      <c r="AC162" s="45"/>
      <c r="AG162" s="86"/>
      <c r="AH162" s="86"/>
    </row>
    <row r="163" spans="2:34" x14ac:dyDescent="0.15">
      <c r="D163" s="48"/>
      <c r="E163" s="31" t="s">
        <v>457</v>
      </c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AA163" s="45"/>
      <c r="AC163" s="45"/>
      <c r="AG163" s="86"/>
      <c r="AH163" s="86"/>
    </row>
    <row r="164" spans="2:34" x14ac:dyDescent="0.15">
      <c r="B164" s="32"/>
      <c r="D164" s="49"/>
      <c r="E164" s="31" t="s">
        <v>458</v>
      </c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AA164" s="45"/>
      <c r="AC164" s="45"/>
      <c r="AG164" s="86"/>
      <c r="AH164" s="86"/>
    </row>
    <row r="165" spans="2:34" x14ac:dyDescent="0.15">
      <c r="B165" s="32"/>
      <c r="C165" s="32"/>
      <c r="D165" s="176"/>
      <c r="E165" s="112" t="s">
        <v>510</v>
      </c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AA165" s="45"/>
      <c r="AC165" s="45"/>
      <c r="AG165" s="86"/>
      <c r="AH165" s="86"/>
    </row>
    <row r="166" spans="2:34" x14ac:dyDescent="0.15">
      <c r="B166" s="32"/>
      <c r="C166" s="32"/>
      <c r="D166" s="372"/>
      <c r="E166" s="10" t="s">
        <v>1086</v>
      </c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AA166" s="45"/>
      <c r="AC166" s="45"/>
      <c r="AG166" s="86"/>
      <c r="AH166" s="86"/>
    </row>
    <row r="167" spans="2:34" x14ac:dyDescent="0.15">
      <c r="B167" s="32"/>
      <c r="C167" s="32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AA167" s="45"/>
      <c r="AC167" s="45"/>
      <c r="AG167" s="86"/>
      <c r="AH167" s="86"/>
    </row>
    <row r="168" spans="2:34" x14ac:dyDescent="0.15">
      <c r="B168" s="32"/>
      <c r="C168" s="32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AA168" s="45"/>
      <c r="AC168" s="45"/>
      <c r="AG168" s="86"/>
      <c r="AH168" s="86"/>
    </row>
    <row r="169" spans="2:34" x14ac:dyDescent="0.15">
      <c r="B169" s="32"/>
      <c r="C169" s="32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AA169" s="45"/>
      <c r="AC169" s="45"/>
      <c r="AG169" s="86"/>
      <c r="AH169" s="86"/>
    </row>
    <row r="170" spans="2:34" x14ac:dyDescent="0.15">
      <c r="B170" s="32"/>
      <c r="C170" s="32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AA170" s="45"/>
      <c r="AC170" s="45"/>
      <c r="AG170" s="86"/>
      <c r="AH170" s="86"/>
    </row>
    <row r="171" spans="2:34" x14ac:dyDescent="0.15">
      <c r="B171" s="32"/>
      <c r="C171" s="32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AA171" s="45"/>
      <c r="AC171" s="45"/>
      <c r="AG171" s="86"/>
      <c r="AH171" s="86"/>
    </row>
    <row r="172" spans="2:34" x14ac:dyDescent="0.15">
      <c r="B172" s="32"/>
      <c r="C172" s="32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AA172" s="45"/>
      <c r="AC172" s="45"/>
      <c r="AG172" s="86"/>
      <c r="AH172" s="86"/>
    </row>
    <row r="173" spans="2:34" x14ac:dyDescent="0.15">
      <c r="B173" s="32"/>
      <c r="C173" s="32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AA173" s="45"/>
      <c r="AC173" s="45"/>
      <c r="AG173" s="86"/>
      <c r="AH173" s="86"/>
    </row>
    <row r="174" spans="2:34" x14ac:dyDescent="0.15">
      <c r="B174" s="32"/>
      <c r="C174" s="32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AA174" s="45"/>
      <c r="AC174" s="45"/>
      <c r="AG174" s="86"/>
      <c r="AH174" s="86"/>
    </row>
    <row r="175" spans="2:34" x14ac:dyDescent="0.15">
      <c r="B175" s="32"/>
      <c r="C175" s="32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AA175" s="45"/>
      <c r="AC175" s="45"/>
      <c r="AG175" s="86"/>
      <c r="AH175" s="86"/>
    </row>
    <row r="176" spans="2:34" x14ac:dyDescent="0.15">
      <c r="B176" s="32"/>
      <c r="C176" s="32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AA176" s="45"/>
      <c r="AC176" s="45"/>
      <c r="AG176" s="86"/>
      <c r="AH176" s="86"/>
    </row>
    <row r="177" spans="2:34" x14ac:dyDescent="0.15">
      <c r="B177" s="32"/>
      <c r="C177" s="32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AA177" s="45"/>
      <c r="AC177" s="45"/>
      <c r="AG177" s="86"/>
      <c r="AH177" s="86"/>
    </row>
    <row r="178" spans="2:34" x14ac:dyDescent="0.15">
      <c r="B178" s="32"/>
      <c r="C178" s="32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AA178" s="45"/>
      <c r="AC178" s="45"/>
      <c r="AG178" s="86"/>
      <c r="AH178" s="86"/>
    </row>
    <row r="179" spans="2:34" x14ac:dyDescent="0.15">
      <c r="B179" s="32"/>
      <c r="C179" s="32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AA179" s="45"/>
      <c r="AC179" s="45"/>
      <c r="AG179" s="86"/>
      <c r="AH179" s="86"/>
    </row>
    <row r="180" spans="2:34" x14ac:dyDescent="0.15">
      <c r="B180" s="32"/>
      <c r="C180" s="32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45"/>
      <c r="Q180" s="45"/>
      <c r="R180" s="45"/>
      <c r="S180" s="45"/>
      <c r="T180" s="45"/>
      <c r="U180" s="45"/>
      <c r="AA180" s="45"/>
      <c r="AC180" s="45"/>
      <c r="AG180" s="86"/>
      <c r="AH180" s="86"/>
    </row>
    <row r="181" spans="2:34" x14ac:dyDescent="0.15">
      <c r="B181" s="32"/>
      <c r="C181" s="32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45"/>
      <c r="Q181" s="45"/>
      <c r="R181" s="45"/>
      <c r="S181" s="45"/>
      <c r="T181" s="45"/>
      <c r="U181" s="45"/>
      <c r="AA181" s="45"/>
      <c r="AC181" s="45"/>
      <c r="AG181" s="86"/>
      <c r="AH181" s="86"/>
    </row>
    <row r="182" spans="2:34" x14ac:dyDescent="0.15">
      <c r="B182" s="32"/>
      <c r="C182" s="32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45"/>
      <c r="Q182" s="45"/>
      <c r="R182" s="45"/>
      <c r="S182" s="45"/>
      <c r="T182" s="45"/>
      <c r="U182" s="45"/>
      <c r="AA182" s="45"/>
      <c r="AC182" s="45"/>
      <c r="AG182" s="86"/>
      <c r="AH182" s="86"/>
    </row>
    <row r="183" spans="2:34" x14ac:dyDescent="0.15">
      <c r="B183" s="32"/>
      <c r="C183" s="32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45"/>
      <c r="Q183" s="45"/>
      <c r="R183" s="45"/>
      <c r="S183" s="45"/>
      <c r="T183" s="45"/>
      <c r="U183" s="45"/>
      <c r="AA183" s="45"/>
      <c r="AC183" s="45"/>
    </row>
    <row r="184" spans="2:34" x14ac:dyDescent="0.15">
      <c r="B184" s="32"/>
      <c r="C184" s="32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45"/>
      <c r="Q184" s="45"/>
      <c r="R184" s="45"/>
      <c r="S184" s="45"/>
      <c r="T184" s="45"/>
      <c r="U184" s="45"/>
      <c r="AA184" s="45"/>
      <c r="AC184" s="45"/>
    </row>
    <row r="185" spans="2:34" x14ac:dyDescent="0.15">
      <c r="B185" s="32"/>
      <c r="C185" s="32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45"/>
      <c r="Q185" s="45"/>
      <c r="R185" s="45"/>
      <c r="S185" s="45"/>
      <c r="T185" s="45"/>
      <c r="U185" s="45"/>
      <c r="AA185" s="45"/>
      <c r="AC185" s="45"/>
    </row>
    <row r="186" spans="2:34" x14ac:dyDescent="0.15">
      <c r="B186" s="32"/>
      <c r="C186" s="32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45"/>
      <c r="Q186" s="45"/>
      <c r="R186" s="25"/>
      <c r="S186" s="25"/>
    </row>
    <row r="187" spans="2:34" x14ac:dyDescent="0.15">
      <c r="B187" s="32"/>
      <c r="C187" s="32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45"/>
      <c r="Q187" s="45"/>
      <c r="R187" s="25"/>
      <c r="S187" s="25"/>
    </row>
    <row r="188" spans="2:34" x14ac:dyDescent="0.15">
      <c r="B188" s="32"/>
      <c r="C188" s="32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45"/>
      <c r="Q188" s="45"/>
      <c r="R188" s="25"/>
      <c r="S188" s="25"/>
    </row>
    <row r="189" spans="2:34" x14ac:dyDescent="0.15">
      <c r="B189" s="32"/>
      <c r="C189" s="32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45"/>
      <c r="Q189" s="45"/>
      <c r="R189" s="25"/>
      <c r="S189" s="25"/>
    </row>
    <row r="190" spans="2:34" x14ac:dyDescent="0.15">
      <c r="B190" s="32"/>
      <c r="C190" s="32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45"/>
      <c r="Q190" s="45"/>
      <c r="R190" s="25"/>
      <c r="S190" s="25"/>
    </row>
    <row r="191" spans="2:34" x14ac:dyDescent="0.15">
      <c r="B191" s="32"/>
      <c r="C191" s="32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45"/>
      <c r="Q191" s="45"/>
      <c r="R191" s="25"/>
      <c r="S191" s="25"/>
    </row>
    <row r="192" spans="2:34" x14ac:dyDescent="0.15">
      <c r="B192" s="32"/>
      <c r="C192" s="32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45"/>
      <c r="Q192" s="45"/>
      <c r="R192" s="25"/>
      <c r="S192" s="25"/>
    </row>
    <row r="193" spans="2:19" x14ac:dyDescent="0.15">
      <c r="B193" s="32"/>
      <c r="C193" s="32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45"/>
      <c r="Q193" s="45"/>
      <c r="R193" s="25"/>
      <c r="S193" s="25"/>
    </row>
    <row r="194" spans="2:19" x14ac:dyDescent="0.15">
      <c r="B194" s="32"/>
      <c r="C194" s="32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45"/>
      <c r="Q194" s="45"/>
      <c r="R194" s="25"/>
      <c r="S194" s="25"/>
    </row>
    <row r="195" spans="2:19" x14ac:dyDescent="0.15">
      <c r="B195" s="32"/>
      <c r="C195" s="32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45"/>
      <c r="Q195" s="45"/>
      <c r="R195" s="25"/>
      <c r="S195" s="25"/>
    </row>
    <row r="196" spans="2:19" x14ac:dyDescent="0.15">
      <c r="B196" s="32"/>
      <c r="C196" s="32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45"/>
      <c r="Q196" s="45"/>
      <c r="R196" s="25"/>
      <c r="S196" s="25"/>
    </row>
    <row r="197" spans="2:19" x14ac:dyDescent="0.15">
      <c r="B197" s="32"/>
      <c r="C197" s="32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45"/>
      <c r="Q197" s="45"/>
      <c r="R197" s="25"/>
      <c r="S197" s="25"/>
    </row>
    <row r="198" spans="2:19" x14ac:dyDescent="0.15">
      <c r="B198" s="32"/>
      <c r="C198" s="32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45"/>
      <c r="Q198" s="45"/>
      <c r="R198" s="25"/>
      <c r="S198" s="25"/>
    </row>
    <row r="199" spans="2:19" x14ac:dyDescent="0.15">
      <c r="B199" s="32"/>
      <c r="C199" s="32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45"/>
      <c r="Q199" s="45"/>
      <c r="R199" s="25"/>
      <c r="S199" s="25"/>
    </row>
    <row r="200" spans="2:19" x14ac:dyDescent="0.15">
      <c r="B200" s="32"/>
      <c r="C200" s="32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45"/>
      <c r="Q200" s="45"/>
      <c r="R200" s="25"/>
      <c r="S200" s="25"/>
    </row>
    <row r="201" spans="2:19" x14ac:dyDescent="0.15">
      <c r="B201" s="32"/>
      <c r="C201" s="32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45"/>
      <c r="Q201" s="45"/>
      <c r="R201" s="25"/>
      <c r="S201" s="25"/>
    </row>
    <row r="202" spans="2:19" x14ac:dyDescent="0.15">
      <c r="B202" s="32"/>
      <c r="C202" s="32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45"/>
      <c r="Q202" s="45"/>
      <c r="R202" s="25"/>
      <c r="S202" s="25"/>
    </row>
    <row r="203" spans="2:19" x14ac:dyDescent="0.15">
      <c r="B203" s="32"/>
      <c r="C203" s="32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45"/>
      <c r="Q203" s="45"/>
      <c r="R203" s="25"/>
      <c r="S203" s="25"/>
    </row>
    <row r="204" spans="2:19" x14ac:dyDescent="0.15">
      <c r="B204" s="32"/>
      <c r="C204" s="32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45"/>
      <c r="Q204" s="45"/>
      <c r="R204" s="25"/>
      <c r="S204" s="25"/>
    </row>
    <row r="205" spans="2:19" x14ac:dyDescent="0.15">
      <c r="B205" s="32"/>
      <c r="C205" s="32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45"/>
      <c r="Q205" s="45"/>
      <c r="R205" s="25"/>
      <c r="S205" s="25"/>
    </row>
    <row r="206" spans="2:19" x14ac:dyDescent="0.15">
      <c r="B206" s="32"/>
      <c r="C206" s="32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45"/>
      <c r="Q206" s="45"/>
      <c r="R206" s="25"/>
      <c r="S206" s="25"/>
    </row>
    <row r="207" spans="2:19" x14ac:dyDescent="0.15">
      <c r="B207" s="32"/>
      <c r="C207" s="32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45"/>
      <c r="Q207" s="45"/>
      <c r="R207" s="25"/>
      <c r="S207" s="25"/>
    </row>
    <row r="208" spans="2:19" x14ac:dyDescent="0.15">
      <c r="B208" s="32"/>
      <c r="C208" s="32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45"/>
      <c r="Q208" s="45"/>
      <c r="R208" s="25"/>
      <c r="S208" s="25"/>
    </row>
    <row r="209" spans="2:19" x14ac:dyDescent="0.15">
      <c r="B209" s="32"/>
      <c r="C209" s="32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45"/>
      <c r="Q209" s="45"/>
      <c r="R209" s="25"/>
      <c r="S209" s="25"/>
    </row>
    <row r="210" spans="2:19" x14ac:dyDescent="0.15">
      <c r="B210" s="32"/>
      <c r="C210" s="32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45"/>
      <c r="Q210" s="45"/>
      <c r="R210" s="25"/>
      <c r="S210" s="25"/>
    </row>
    <row r="211" spans="2:19" x14ac:dyDescent="0.15">
      <c r="B211" s="32"/>
      <c r="C211" s="32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45"/>
      <c r="Q211" s="45"/>
      <c r="R211" s="25"/>
      <c r="S211" s="25"/>
    </row>
    <row r="212" spans="2:19" x14ac:dyDescent="0.15">
      <c r="B212" s="32"/>
      <c r="C212" s="32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45"/>
      <c r="Q212" s="45"/>
      <c r="R212" s="25"/>
      <c r="S212" s="25"/>
    </row>
    <row r="213" spans="2:19" x14ac:dyDescent="0.15">
      <c r="B213" s="32"/>
      <c r="C213" s="32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45"/>
      <c r="Q213" s="45"/>
      <c r="R213" s="25"/>
      <c r="S213" s="25"/>
    </row>
    <row r="214" spans="2:19" x14ac:dyDescent="0.15">
      <c r="B214" s="32"/>
      <c r="C214" s="32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45"/>
      <c r="Q214" s="45"/>
      <c r="R214" s="25"/>
      <c r="S214" s="25"/>
    </row>
    <row r="215" spans="2:19" x14ac:dyDescent="0.15">
      <c r="B215" s="32"/>
      <c r="C215" s="32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45"/>
      <c r="Q215" s="45"/>
      <c r="R215" s="25"/>
      <c r="S215" s="25"/>
    </row>
    <row r="216" spans="2:19" x14ac:dyDescent="0.15">
      <c r="B216" s="32"/>
      <c r="C216" s="32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45"/>
      <c r="Q216" s="45"/>
      <c r="R216" s="25"/>
      <c r="S216" s="25"/>
    </row>
    <row r="217" spans="2:19" x14ac:dyDescent="0.15">
      <c r="B217" s="32"/>
      <c r="C217" s="32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45"/>
      <c r="Q217" s="45"/>
      <c r="R217" s="25"/>
      <c r="S217" s="25"/>
    </row>
    <row r="218" spans="2:19" x14ac:dyDescent="0.15">
      <c r="B218" s="32"/>
      <c r="C218" s="32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45"/>
      <c r="Q218" s="45"/>
      <c r="R218" s="25"/>
      <c r="S218" s="25"/>
    </row>
    <row r="219" spans="2:19" x14ac:dyDescent="0.15">
      <c r="B219" s="32"/>
      <c r="C219" s="32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45"/>
      <c r="Q219" s="45"/>
      <c r="R219" s="25"/>
      <c r="S219" s="25"/>
    </row>
    <row r="220" spans="2:19" x14ac:dyDescent="0.15">
      <c r="B220" s="32"/>
      <c r="C220" s="32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45"/>
      <c r="Q220" s="45"/>
      <c r="R220" s="25"/>
      <c r="S220" s="25"/>
    </row>
    <row r="221" spans="2:19" x14ac:dyDescent="0.15">
      <c r="B221" s="32"/>
      <c r="C221" s="32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45"/>
      <c r="Q221" s="45"/>
      <c r="R221" s="25"/>
      <c r="S221" s="25"/>
    </row>
    <row r="222" spans="2:19" x14ac:dyDescent="0.15">
      <c r="B222" s="32"/>
      <c r="C222" s="32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45"/>
      <c r="Q222" s="45"/>
      <c r="R222" s="25"/>
      <c r="S222" s="25"/>
    </row>
    <row r="223" spans="2:19" x14ac:dyDescent="0.15">
      <c r="B223" s="32"/>
      <c r="C223" s="32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45"/>
      <c r="Q223" s="45"/>
      <c r="R223" s="25"/>
      <c r="S223" s="25"/>
    </row>
    <row r="224" spans="2:19" x14ac:dyDescent="0.15">
      <c r="B224" s="32"/>
      <c r="C224" s="32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45"/>
      <c r="Q224" s="45"/>
      <c r="R224" s="25"/>
      <c r="S224" s="25"/>
    </row>
    <row r="225" spans="2:19" x14ac:dyDescent="0.15">
      <c r="B225" s="32"/>
      <c r="C225" s="32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45"/>
      <c r="Q225" s="45"/>
      <c r="R225" s="25"/>
      <c r="S225" s="25"/>
    </row>
    <row r="226" spans="2:19" x14ac:dyDescent="0.15">
      <c r="B226" s="32"/>
      <c r="C226" s="32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45"/>
      <c r="Q226" s="45"/>
      <c r="R226" s="25"/>
      <c r="S226" s="25"/>
    </row>
    <row r="227" spans="2:19" x14ac:dyDescent="0.15">
      <c r="B227" s="32"/>
      <c r="C227" s="32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45"/>
      <c r="Q227" s="45"/>
      <c r="R227" s="25"/>
      <c r="S227" s="25"/>
    </row>
    <row r="228" spans="2:19" x14ac:dyDescent="0.15">
      <c r="B228" s="32"/>
      <c r="C228" s="32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45"/>
      <c r="Q228" s="45"/>
      <c r="R228" s="25"/>
      <c r="S228" s="25"/>
    </row>
    <row r="229" spans="2:19" x14ac:dyDescent="0.15">
      <c r="B229" s="32"/>
      <c r="C229" s="32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45"/>
      <c r="Q229" s="45"/>
      <c r="R229" s="25"/>
      <c r="S229" s="25"/>
    </row>
    <row r="230" spans="2:19" x14ac:dyDescent="0.15">
      <c r="B230" s="32"/>
      <c r="C230" s="32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45"/>
      <c r="Q230" s="45"/>
      <c r="R230" s="25"/>
      <c r="S230" s="25"/>
    </row>
    <row r="231" spans="2:19" x14ac:dyDescent="0.15">
      <c r="B231" s="32"/>
      <c r="C231" s="32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45"/>
      <c r="Q231" s="45"/>
      <c r="R231" s="25"/>
      <c r="S231" s="25"/>
    </row>
    <row r="232" spans="2:19" x14ac:dyDescent="0.15">
      <c r="B232" s="32"/>
      <c r="C232" s="32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45"/>
      <c r="Q232" s="45"/>
      <c r="R232" s="25"/>
      <c r="S232" s="25"/>
    </row>
    <row r="233" spans="2:19" x14ac:dyDescent="0.15">
      <c r="B233" s="32"/>
      <c r="C233" s="32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45"/>
      <c r="Q233" s="45"/>
      <c r="R233" s="25"/>
      <c r="S233" s="25"/>
    </row>
    <row r="234" spans="2:19" x14ac:dyDescent="0.15">
      <c r="B234" s="32"/>
      <c r="C234" s="32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45"/>
      <c r="Q234" s="45"/>
      <c r="R234" s="25"/>
      <c r="S234" s="25"/>
    </row>
    <row r="235" spans="2:19" x14ac:dyDescent="0.15">
      <c r="B235" s="32"/>
      <c r="C235" s="32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45"/>
      <c r="Q235" s="45"/>
      <c r="R235" s="25"/>
      <c r="S235" s="25"/>
    </row>
    <row r="236" spans="2:19" x14ac:dyDescent="0.15">
      <c r="B236" s="32"/>
      <c r="C236" s="32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45"/>
      <c r="Q236" s="45"/>
      <c r="R236" s="25"/>
      <c r="S236" s="25"/>
    </row>
    <row r="237" spans="2:19" x14ac:dyDescent="0.15">
      <c r="B237" s="32"/>
      <c r="C237" s="32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45"/>
      <c r="Q237" s="45"/>
      <c r="R237" s="25"/>
      <c r="S237" s="25"/>
    </row>
    <row r="238" spans="2:19" x14ac:dyDescent="0.15">
      <c r="B238" s="32"/>
      <c r="C238" s="32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45"/>
      <c r="Q238" s="45"/>
      <c r="R238" s="25"/>
      <c r="S238" s="25"/>
    </row>
    <row r="239" spans="2:19" x14ac:dyDescent="0.15">
      <c r="B239" s="32"/>
      <c r="C239" s="32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45"/>
      <c r="Q239" s="45"/>
      <c r="R239" s="25"/>
      <c r="S239" s="25"/>
    </row>
    <row r="240" spans="2:19" x14ac:dyDescent="0.15">
      <c r="B240" s="32"/>
      <c r="C240" s="32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45"/>
      <c r="Q240" s="45"/>
      <c r="R240" s="25"/>
      <c r="S240" s="25"/>
    </row>
    <row r="241" spans="2:19" x14ac:dyDescent="0.15">
      <c r="B241" s="32"/>
      <c r="C241" s="32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45"/>
      <c r="Q241" s="45"/>
      <c r="R241" s="25"/>
      <c r="S241" s="25"/>
    </row>
    <row r="242" spans="2:19" x14ac:dyDescent="0.15">
      <c r="B242" s="32"/>
      <c r="C242" s="32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45"/>
      <c r="Q242" s="45"/>
      <c r="R242" s="25"/>
      <c r="S242" s="25"/>
    </row>
    <row r="243" spans="2:19" x14ac:dyDescent="0.15">
      <c r="B243" s="32"/>
      <c r="C243" s="32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45"/>
      <c r="Q243" s="45"/>
      <c r="R243" s="25"/>
      <c r="S243" s="25"/>
    </row>
    <row r="244" spans="2:19" x14ac:dyDescent="0.15">
      <c r="B244" s="32"/>
      <c r="C244" s="32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45"/>
      <c r="Q244" s="45"/>
      <c r="R244" s="25"/>
      <c r="S244" s="25"/>
    </row>
    <row r="245" spans="2:19" x14ac:dyDescent="0.15">
      <c r="B245" s="32"/>
      <c r="C245" s="32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45"/>
      <c r="Q245" s="45"/>
      <c r="R245" s="25"/>
      <c r="S245" s="25"/>
    </row>
    <row r="246" spans="2:19" x14ac:dyDescent="0.15">
      <c r="B246" s="32"/>
      <c r="C246" s="32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45"/>
      <c r="Q246" s="45"/>
      <c r="R246" s="25"/>
      <c r="S246" s="25"/>
    </row>
    <row r="247" spans="2:19" x14ac:dyDescent="0.15">
      <c r="B247" s="32"/>
      <c r="C247" s="32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45"/>
      <c r="Q247" s="45"/>
      <c r="R247" s="25"/>
      <c r="S247" s="25"/>
    </row>
    <row r="248" spans="2:19" x14ac:dyDescent="0.15">
      <c r="B248" s="32"/>
      <c r="C248" s="32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45"/>
      <c r="Q248" s="45"/>
      <c r="R248" s="25"/>
      <c r="S248" s="25"/>
    </row>
    <row r="249" spans="2:19" x14ac:dyDescent="0.15">
      <c r="B249" s="32"/>
      <c r="C249" s="32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45"/>
      <c r="Q249" s="45"/>
      <c r="R249" s="25"/>
      <c r="S249" s="25"/>
    </row>
    <row r="250" spans="2:19" x14ac:dyDescent="0.15">
      <c r="B250" s="32"/>
      <c r="C250" s="32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45"/>
      <c r="Q250" s="45"/>
      <c r="R250" s="25"/>
      <c r="S250" s="25"/>
    </row>
    <row r="251" spans="2:19" x14ac:dyDescent="0.15">
      <c r="B251" s="32"/>
      <c r="C251" s="32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45"/>
      <c r="Q251" s="45"/>
      <c r="R251" s="25"/>
      <c r="S251" s="25"/>
    </row>
    <row r="252" spans="2:19" x14ac:dyDescent="0.15">
      <c r="B252" s="32"/>
      <c r="C252" s="32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45"/>
      <c r="Q252" s="45"/>
      <c r="R252" s="25"/>
      <c r="S252" s="25"/>
    </row>
    <row r="253" spans="2:19" x14ac:dyDescent="0.15">
      <c r="B253" s="32"/>
      <c r="C253" s="32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45"/>
      <c r="Q253" s="45"/>
      <c r="R253" s="25"/>
      <c r="S253" s="25"/>
    </row>
    <row r="254" spans="2:19" x14ac:dyDescent="0.15">
      <c r="B254" s="32"/>
      <c r="C254" s="32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45"/>
      <c r="Q254" s="45"/>
      <c r="R254" s="25"/>
      <c r="S254" s="25"/>
    </row>
    <row r="255" spans="2:19" x14ac:dyDescent="0.15">
      <c r="B255" s="32"/>
      <c r="C255" s="32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45"/>
      <c r="Q255" s="45"/>
      <c r="R255" s="25"/>
      <c r="S255" s="25"/>
    </row>
    <row r="256" spans="2:19" x14ac:dyDescent="0.15">
      <c r="B256" s="32"/>
      <c r="C256" s="32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45"/>
      <c r="Q256" s="45"/>
      <c r="R256" s="25"/>
      <c r="S256" s="25"/>
    </row>
    <row r="257" spans="2:19" x14ac:dyDescent="0.15">
      <c r="B257" s="32"/>
      <c r="C257" s="32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45"/>
      <c r="Q257" s="45"/>
      <c r="R257" s="25"/>
      <c r="S257" s="25"/>
    </row>
    <row r="258" spans="2:19" x14ac:dyDescent="0.15">
      <c r="B258" s="32"/>
      <c r="C258" s="32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45"/>
      <c r="Q258" s="45"/>
      <c r="R258" s="25"/>
      <c r="S258" s="25"/>
    </row>
    <row r="259" spans="2:19" x14ac:dyDescent="0.15">
      <c r="B259" s="32"/>
      <c r="C259" s="32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45"/>
      <c r="Q259" s="45"/>
      <c r="R259" s="25"/>
      <c r="S259" s="25"/>
    </row>
    <row r="260" spans="2:19" x14ac:dyDescent="0.15">
      <c r="B260" s="32"/>
      <c r="C260" s="32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45"/>
      <c r="Q260" s="45"/>
      <c r="R260" s="25"/>
      <c r="S260" s="25"/>
    </row>
    <row r="261" spans="2:19" x14ac:dyDescent="0.15">
      <c r="B261" s="32"/>
      <c r="C261" s="32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45"/>
      <c r="Q261" s="45"/>
      <c r="R261" s="25"/>
      <c r="S261" s="25"/>
    </row>
    <row r="262" spans="2:19" x14ac:dyDescent="0.15">
      <c r="B262" s="32"/>
      <c r="C262" s="32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45"/>
      <c r="Q262" s="45"/>
      <c r="R262" s="25"/>
      <c r="S262" s="25"/>
    </row>
    <row r="263" spans="2:19" x14ac:dyDescent="0.15">
      <c r="B263" s="32"/>
      <c r="C263" s="32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45"/>
      <c r="Q263" s="45"/>
      <c r="R263" s="25"/>
      <c r="S263" s="25"/>
    </row>
    <row r="264" spans="2:19" x14ac:dyDescent="0.15">
      <c r="B264" s="32"/>
      <c r="C264" s="32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45"/>
      <c r="Q264" s="45"/>
      <c r="R264" s="25"/>
      <c r="S264" s="25"/>
    </row>
    <row r="265" spans="2:19" x14ac:dyDescent="0.15">
      <c r="B265" s="32"/>
      <c r="C265" s="32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45"/>
      <c r="Q265" s="45"/>
      <c r="R265" s="25"/>
      <c r="S265" s="25"/>
    </row>
    <row r="266" spans="2:19" x14ac:dyDescent="0.15">
      <c r="B266" s="32"/>
      <c r="C266" s="32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45"/>
      <c r="Q266" s="45"/>
      <c r="R266" s="25"/>
      <c r="S266" s="25"/>
    </row>
    <row r="267" spans="2:19" x14ac:dyDescent="0.15">
      <c r="B267" s="32"/>
      <c r="C267" s="32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45"/>
      <c r="Q267" s="45"/>
      <c r="R267" s="25"/>
      <c r="S267" s="25"/>
    </row>
    <row r="268" spans="2:19" x14ac:dyDescent="0.15">
      <c r="B268" s="32"/>
      <c r="C268" s="32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45"/>
      <c r="Q268" s="45"/>
      <c r="R268" s="25"/>
      <c r="S268" s="25"/>
    </row>
    <row r="269" spans="2:19" x14ac:dyDescent="0.15">
      <c r="B269" s="32"/>
      <c r="C269" s="32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45"/>
      <c r="Q269" s="45"/>
      <c r="R269" s="25"/>
      <c r="S269" s="25"/>
    </row>
    <row r="270" spans="2:19" x14ac:dyDescent="0.15">
      <c r="B270" s="32"/>
      <c r="C270" s="32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45"/>
      <c r="Q270" s="45"/>
      <c r="R270" s="25"/>
      <c r="S270" s="25"/>
    </row>
    <row r="271" spans="2:19" x14ac:dyDescent="0.15">
      <c r="B271" s="32"/>
      <c r="C271" s="32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45"/>
      <c r="Q271" s="45"/>
      <c r="R271" s="25"/>
      <c r="S271" s="25"/>
    </row>
    <row r="272" spans="2:19" x14ac:dyDescent="0.15">
      <c r="B272" s="32"/>
      <c r="C272" s="32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45"/>
      <c r="Q272" s="45"/>
      <c r="R272" s="25"/>
      <c r="S272" s="25"/>
    </row>
    <row r="273" spans="2:19" x14ac:dyDescent="0.15">
      <c r="B273" s="32"/>
      <c r="C273" s="32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45"/>
      <c r="Q273" s="45"/>
      <c r="R273" s="25"/>
      <c r="S273" s="25"/>
    </row>
    <row r="274" spans="2:19" x14ac:dyDescent="0.15">
      <c r="B274" s="32"/>
      <c r="C274" s="32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45"/>
      <c r="Q274" s="45"/>
      <c r="R274" s="25"/>
      <c r="S274" s="25"/>
    </row>
    <row r="275" spans="2:19" x14ac:dyDescent="0.15">
      <c r="B275" s="32"/>
      <c r="C275" s="32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45"/>
      <c r="Q275" s="45"/>
      <c r="R275" s="25"/>
      <c r="S275" s="25"/>
    </row>
    <row r="276" spans="2:19" x14ac:dyDescent="0.15">
      <c r="B276" s="32"/>
      <c r="C276" s="32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45"/>
      <c r="Q276" s="45"/>
      <c r="R276" s="25"/>
      <c r="S276" s="25"/>
    </row>
    <row r="277" spans="2:19" x14ac:dyDescent="0.15">
      <c r="B277" s="32"/>
      <c r="C277" s="32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45"/>
      <c r="Q277" s="45"/>
      <c r="R277" s="25"/>
      <c r="S277" s="25"/>
    </row>
    <row r="278" spans="2:19" x14ac:dyDescent="0.15">
      <c r="B278" s="32"/>
      <c r="C278" s="32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45"/>
      <c r="Q278" s="45"/>
      <c r="R278" s="25"/>
      <c r="S278" s="25"/>
    </row>
    <row r="279" spans="2:19" x14ac:dyDescent="0.15">
      <c r="B279" s="32"/>
      <c r="C279" s="32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45"/>
      <c r="Q279" s="45"/>
      <c r="R279" s="25"/>
      <c r="S279" s="25"/>
    </row>
    <row r="280" spans="2:19" x14ac:dyDescent="0.15">
      <c r="B280" s="32"/>
      <c r="C280" s="32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45"/>
      <c r="Q280" s="45"/>
      <c r="R280" s="25"/>
      <c r="S280" s="25"/>
    </row>
    <row r="281" spans="2:19" x14ac:dyDescent="0.15">
      <c r="B281" s="32"/>
      <c r="C281" s="32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45"/>
      <c r="Q281" s="45"/>
      <c r="R281" s="25"/>
      <c r="S281" s="25"/>
    </row>
    <row r="282" spans="2:19" x14ac:dyDescent="0.15">
      <c r="B282" s="32"/>
      <c r="C282" s="32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45"/>
      <c r="Q282" s="45"/>
      <c r="R282" s="25"/>
      <c r="S282" s="25"/>
    </row>
    <row r="283" spans="2:19" x14ac:dyDescent="0.15">
      <c r="B283" s="32"/>
      <c r="C283" s="32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45"/>
      <c r="Q283" s="45"/>
      <c r="R283" s="25"/>
      <c r="S283" s="25"/>
    </row>
    <row r="284" spans="2:19" x14ac:dyDescent="0.15">
      <c r="B284" s="32"/>
      <c r="C284" s="32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45"/>
      <c r="Q284" s="45"/>
      <c r="R284" s="25"/>
      <c r="S284" s="25"/>
    </row>
    <row r="285" spans="2:19" x14ac:dyDescent="0.15">
      <c r="B285" s="32"/>
      <c r="C285" s="32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45"/>
      <c r="Q285" s="45"/>
      <c r="R285" s="25"/>
      <c r="S285" s="25"/>
    </row>
    <row r="286" spans="2:19" x14ac:dyDescent="0.15">
      <c r="B286" s="32"/>
      <c r="C286" s="32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45"/>
      <c r="Q286" s="45"/>
      <c r="R286" s="25"/>
      <c r="S286" s="25"/>
    </row>
    <row r="287" spans="2:19" x14ac:dyDescent="0.15">
      <c r="B287" s="32"/>
      <c r="C287" s="32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45"/>
      <c r="Q287" s="45"/>
      <c r="R287" s="25"/>
      <c r="S287" s="25"/>
    </row>
    <row r="288" spans="2:19" x14ac:dyDescent="0.15">
      <c r="B288" s="32"/>
      <c r="C288" s="32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45"/>
      <c r="Q288" s="45"/>
      <c r="R288" s="25"/>
      <c r="S288" s="25"/>
    </row>
    <row r="289" spans="2:26" x14ac:dyDescent="0.15">
      <c r="B289" s="32"/>
      <c r="C289" s="32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45"/>
      <c r="Q289" s="45"/>
      <c r="R289" s="25"/>
      <c r="S289" s="25"/>
    </row>
    <row r="290" spans="2:26" x14ac:dyDescent="0.15">
      <c r="B290" s="32"/>
      <c r="C290" s="32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45"/>
      <c r="Q290" s="45"/>
      <c r="R290" s="25"/>
      <c r="S290" s="25"/>
    </row>
    <row r="291" spans="2:26" x14ac:dyDescent="0.15">
      <c r="B291" s="32"/>
      <c r="C291" s="32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45"/>
      <c r="Q291" s="45"/>
      <c r="R291" s="25"/>
      <c r="S291" s="25"/>
    </row>
    <row r="292" spans="2:26" x14ac:dyDescent="0.15">
      <c r="B292" s="32"/>
      <c r="C292" s="32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45"/>
      <c r="Q292" s="45"/>
      <c r="R292" s="25"/>
      <c r="S292" s="25"/>
    </row>
    <row r="293" spans="2:26" x14ac:dyDescent="0.15">
      <c r="B293" s="32"/>
      <c r="C293" s="32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45"/>
      <c r="Q293" s="45"/>
      <c r="R293" s="25"/>
      <c r="S293" s="25"/>
    </row>
    <row r="294" spans="2:26" x14ac:dyDescent="0.15">
      <c r="B294" s="32"/>
      <c r="C294" s="32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45"/>
      <c r="Q294" s="45"/>
      <c r="R294" s="25"/>
      <c r="S294" s="25"/>
    </row>
    <row r="295" spans="2:26" x14ac:dyDescent="0.15">
      <c r="B295" s="32"/>
      <c r="C295" s="32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45"/>
      <c r="Q295" s="45"/>
      <c r="R295" s="25"/>
      <c r="S295" s="25"/>
    </row>
    <row r="296" spans="2:26" x14ac:dyDescent="0.15">
      <c r="B296" s="32"/>
      <c r="C296" s="32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R296" s="25"/>
      <c r="S296" s="25"/>
    </row>
    <row r="297" spans="2:26" x14ac:dyDescent="0.15">
      <c r="B297" s="32"/>
      <c r="C297" s="32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R297" s="25"/>
      <c r="S297" s="25"/>
    </row>
    <row r="298" spans="2:26" x14ac:dyDescent="0.15">
      <c r="B298" s="32"/>
      <c r="C298" s="32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R298" s="25"/>
      <c r="S298" s="25"/>
      <c r="Z298" s="50"/>
    </row>
    <row r="299" spans="2:26" x14ac:dyDescent="0.15">
      <c r="B299" s="32"/>
      <c r="C299" s="32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R299" s="25"/>
      <c r="S299" s="25"/>
      <c r="Z299" s="50"/>
    </row>
    <row r="300" spans="2:26" x14ac:dyDescent="0.15">
      <c r="B300" s="32"/>
      <c r="C300" s="32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R300" s="25"/>
      <c r="S300" s="25"/>
      <c r="Z300" s="50"/>
    </row>
    <row r="301" spans="2:26" x14ac:dyDescent="0.15">
      <c r="B301" s="32"/>
      <c r="C301" s="32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R301" s="25"/>
      <c r="S301" s="25"/>
      <c r="Z301" s="50"/>
    </row>
    <row r="302" spans="2:26" x14ac:dyDescent="0.15">
      <c r="B302" s="32"/>
      <c r="C302" s="32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R302" s="25"/>
      <c r="S302" s="25"/>
      <c r="Z302" s="50"/>
    </row>
    <row r="303" spans="2:26" x14ac:dyDescent="0.15">
      <c r="B303" s="32"/>
      <c r="C303" s="32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R303" s="25"/>
      <c r="S303" s="25"/>
      <c r="Z303" s="50"/>
    </row>
    <row r="304" spans="2:26" x14ac:dyDescent="0.15">
      <c r="B304" s="32"/>
      <c r="C304" s="32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R304" s="25"/>
      <c r="S304" s="25"/>
      <c r="Z304" s="50"/>
    </row>
    <row r="305" spans="2:31" s="50" customFormat="1" x14ac:dyDescent="0.15">
      <c r="B305" s="32"/>
      <c r="C305" s="32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R305" s="25"/>
      <c r="S305" s="25"/>
      <c r="T305" s="21"/>
      <c r="U305" s="10"/>
      <c r="V305" s="10"/>
      <c r="W305" s="10"/>
      <c r="X305" s="10"/>
      <c r="Y305" s="10"/>
      <c r="AD305" s="230"/>
      <c r="AE305" s="230"/>
    </row>
    <row r="306" spans="2:31" s="50" customFormat="1" x14ac:dyDescent="0.15">
      <c r="B306" s="32"/>
      <c r="C306" s="32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R306" s="25"/>
      <c r="S306" s="25"/>
      <c r="T306" s="21"/>
      <c r="U306" s="10"/>
      <c r="V306" s="10"/>
      <c r="W306" s="10"/>
      <c r="X306" s="10"/>
      <c r="Y306" s="10"/>
      <c r="AD306" s="230"/>
      <c r="AE306" s="230"/>
    </row>
    <row r="307" spans="2:31" s="50" customFormat="1" x14ac:dyDescent="0.15">
      <c r="B307" s="32"/>
      <c r="C307" s="32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R307" s="25"/>
      <c r="S307" s="25"/>
      <c r="T307" s="21"/>
      <c r="U307" s="10"/>
      <c r="V307" s="10"/>
      <c r="W307" s="10"/>
      <c r="X307" s="10"/>
      <c r="Y307" s="10"/>
      <c r="AD307" s="230"/>
      <c r="AE307" s="230"/>
    </row>
    <row r="308" spans="2:31" s="50" customFormat="1" x14ac:dyDescent="0.15">
      <c r="B308" s="32"/>
      <c r="C308" s="32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R308" s="25"/>
      <c r="S308" s="25"/>
      <c r="T308" s="21"/>
      <c r="U308" s="10"/>
      <c r="V308" s="10"/>
      <c r="W308" s="10"/>
      <c r="X308" s="10"/>
      <c r="Y308" s="10"/>
      <c r="AD308" s="230"/>
      <c r="AE308" s="230"/>
    </row>
    <row r="309" spans="2:31" s="50" customFormat="1" x14ac:dyDescent="0.15">
      <c r="B309" s="32"/>
      <c r="C309" s="32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R309" s="25"/>
      <c r="S309" s="25"/>
      <c r="T309" s="21"/>
      <c r="U309" s="10"/>
      <c r="V309" s="10"/>
      <c r="W309" s="10"/>
      <c r="X309" s="10"/>
      <c r="Y309" s="10"/>
      <c r="AD309" s="247"/>
      <c r="AE309" s="247"/>
    </row>
    <row r="310" spans="2:31" s="50" customFormat="1" x14ac:dyDescent="0.15">
      <c r="B310" s="32"/>
      <c r="C310" s="32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R310" s="25"/>
      <c r="S310" s="25"/>
      <c r="T310" s="21"/>
      <c r="U310" s="10"/>
      <c r="V310" s="10"/>
      <c r="W310" s="10"/>
      <c r="X310" s="10"/>
      <c r="Y310" s="10"/>
      <c r="AD310" s="247"/>
      <c r="AE310" s="247"/>
    </row>
    <row r="311" spans="2:31" s="50" customFormat="1" x14ac:dyDescent="0.15">
      <c r="B311" s="32"/>
      <c r="C311" s="32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R311" s="25"/>
      <c r="S311" s="25"/>
      <c r="T311" s="21"/>
      <c r="U311" s="10"/>
      <c r="V311" s="10"/>
      <c r="W311" s="10"/>
      <c r="X311" s="10"/>
      <c r="Y311" s="10"/>
      <c r="AD311" s="247"/>
      <c r="AE311" s="247"/>
    </row>
    <row r="312" spans="2:31" s="50" customFormat="1" x14ac:dyDescent="0.15">
      <c r="B312" s="32"/>
      <c r="C312" s="32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R312" s="25"/>
      <c r="S312" s="25"/>
      <c r="T312" s="21"/>
      <c r="U312" s="10"/>
      <c r="V312" s="10"/>
      <c r="W312" s="10"/>
      <c r="X312" s="10"/>
      <c r="Y312" s="10"/>
      <c r="AD312" s="247"/>
      <c r="AE312" s="247"/>
    </row>
    <row r="313" spans="2:31" s="50" customFormat="1" x14ac:dyDescent="0.15">
      <c r="B313" s="32"/>
      <c r="C313" s="32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R313" s="25"/>
      <c r="S313" s="25"/>
      <c r="T313" s="21"/>
      <c r="U313" s="10"/>
      <c r="V313" s="10"/>
      <c r="W313" s="10"/>
      <c r="X313" s="10"/>
      <c r="Y313" s="10"/>
      <c r="AD313" s="247"/>
      <c r="AE313" s="247"/>
    </row>
    <row r="314" spans="2:31" s="50" customFormat="1" x14ac:dyDescent="0.15">
      <c r="B314" s="32"/>
      <c r="C314" s="32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R314" s="25"/>
      <c r="S314" s="25"/>
      <c r="T314" s="21"/>
      <c r="U314" s="10"/>
      <c r="V314" s="10"/>
      <c r="W314" s="10"/>
      <c r="X314" s="10"/>
      <c r="Y314" s="10"/>
      <c r="AD314" s="247"/>
      <c r="AE314" s="247"/>
    </row>
    <row r="315" spans="2:31" s="50" customFormat="1" x14ac:dyDescent="0.15">
      <c r="B315" s="32"/>
      <c r="C315" s="32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R315" s="25"/>
      <c r="S315" s="25"/>
      <c r="T315" s="21"/>
      <c r="U315" s="10"/>
      <c r="V315" s="10"/>
      <c r="W315" s="10"/>
      <c r="X315" s="10"/>
      <c r="Y315" s="10"/>
      <c r="AD315" s="247"/>
      <c r="AE315" s="247"/>
    </row>
    <row r="316" spans="2:31" s="50" customFormat="1" x14ac:dyDescent="0.15">
      <c r="B316" s="32"/>
      <c r="C316" s="32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R316" s="25"/>
      <c r="S316" s="25"/>
      <c r="T316" s="21"/>
      <c r="U316" s="10"/>
      <c r="V316" s="10"/>
      <c r="W316" s="10"/>
      <c r="X316" s="10"/>
      <c r="Y316" s="10"/>
      <c r="AD316" s="247"/>
      <c r="AE316" s="247"/>
    </row>
    <row r="317" spans="2:31" s="50" customFormat="1" x14ac:dyDescent="0.15">
      <c r="B317" s="32"/>
      <c r="C317" s="32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R317" s="25"/>
      <c r="S317" s="25"/>
      <c r="T317" s="21"/>
      <c r="U317" s="10"/>
      <c r="V317" s="10"/>
      <c r="W317" s="10"/>
      <c r="X317" s="10"/>
      <c r="Y317" s="10"/>
      <c r="AD317" s="247"/>
      <c r="AE317" s="247"/>
    </row>
    <row r="318" spans="2:31" s="50" customFormat="1" x14ac:dyDescent="0.15">
      <c r="B318" s="32"/>
      <c r="C318" s="32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R318" s="25"/>
      <c r="S318" s="25"/>
      <c r="T318" s="21"/>
      <c r="U318" s="10"/>
      <c r="V318" s="10"/>
      <c r="W318" s="10"/>
      <c r="X318" s="10"/>
      <c r="Y318" s="10"/>
      <c r="AD318" s="247"/>
      <c r="AE318" s="247"/>
    </row>
    <row r="319" spans="2:31" s="50" customFormat="1" x14ac:dyDescent="0.15">
      <c r="B319" s="32"/>
      <c r="C319" s="32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R319" s="25"/>
      <c r="S319" s="25"/>
      <c r="T319" s="21"/>
      <c r="U319" s="10"/>
      <c r="V319" s="10"/>
      <c r="W319" s="10"/>
      <c r="X319" s="10"/>
      <c r="Y319" s="10"/>
      <c r="AD319" s="247"/>
      <c r="AE319" s="247"/>
    </row>
    <row r="320" spans="2:31" s="50" customFormat="1" x14ac:dyDescent="0.15">
      <c r="B320" s="32"/>
      <c r="C320" s="32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R320" s="25"/>
      <c r="S320" s="25"/>
      <c r="T320" s="21"/>
      <c r="U320" s="10"/>
      <c r="V320" s="10"/>
      <c r="W320" s="10"/>
      <c r="X320" s="10"/>
      <c r="Y320" s="10"/>
      <c r="AD320" s="247"/>
      <c r="AE320" s="247"/>
    </row>
    <row r="321" spans="2:31" s="50" customFormat="1" x14ac:dyDescent="0.15">
      <c r="B321" s="32"/>
      <c r="C321" s="32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R321" s="25"/>
      <c r="S321" s="25"/>
      <c r="T321" s="21"/>
      <c r="U321" s="10"/>
      <c r="V321" s="10"/>
      <c r="W321" s="10"/>
      <c r="X321" s="10"/>
      <c r="Y321" s="10"/>
      <c r="AD321" s="247"/>
      <c r="AE321" s="247"/>
    </row>
    <row r="322" spans="2:31" s="50" customFormat="1" x14ac:dyDescent="0.15">
      <c r="B322" s="32"/>
      <c r="C322" s="32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R322" s="25"/>
      <c r="S322" s="25"/>
      <c r="T322" s="21"/>
      <c r="U322" s="10"/>
      <c r="V322" s="10"/>
      <c r="W322" s="10"/>
      <c r="X322" s="10"/>
      <c r="Y322" s="10"/>
      <c r="AD322" s="247"/>
      <c r="AE322" s="247"/>
    </row>
    <row r="323" spans="2:31" s="50" customFormat="1" x14ac:dyDescent="0.15">
      <c r="B323" s="32"/>
      <c r="C323" s="32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R323" s="25"/>
      <c r="S323" s="25"/>
      <c r="T323" s="21"/>
      <c r="U323" s="10"/>
      <c r="V323" s="10"/>
      <c r="W323" s="10"/>
      <c r="X323" s="10"/>
      <c r="Y323" s="10"/>
      <c r="AD323" s="247"/>
      <c r="AE323" s="247"/>
    </row>
    <row r="324" spans="2:31" s="50" customFormat="1" x14ac:dyDescent="0.15">
      <c r="B324" s="32"/>
      <c r="C324" s="32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R324" s="26"/>
      <c r="S324" s="26"/>
      <c r="T324" s="21"/>
      <c r="U324" s="10"/>
      <c r="V324" s="10"/>
      <c r="W324" s="10"/>
      <c r="X324" s="10"/>
      <c r="Y324" s="10"/>
      <c r="AD324" s="247"/>
      <c r="AE324" s="247"/>
    </row>
    <row r="325" spans="2:31" s="50" customFormat="1" x14ac:dyDescent="0.15">
      <c r="B325" s="32"/>
      <c r="C325" s="32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R325" s="26"/>
      <c r="S325" s="26"/>
      <c r="T325" s="21"/>
      <c r="U325" s="10"/>
      <c r="V325" s="10"/>
      <c r="W325" s="10"/>
      <c r="X325" s="10"/>
      <c r="Y325" s="10"/>
      <c r="AD325" s="247"/>
      <c r="AE325" s="247"/>
    </row>
    <row r="326" spans="2:31" s="50" customFormat="1" x14ac:dyDescent="0.15">
      <c r="B326" s="32"/>
      <c r="C326" s="32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R326" s="26"/>
      <c r="S326" s="26"/>
      <c r="T326" s="21"/>
      <c r="U326" s="10"/>
      <c r="V326" s="10"/>
      <c r="W326" s="10"/>
      <c r="X326" s="10"/>
      <c r="Y326" s="10"/>
      <c r="AD326" s="247"/>
      <c r="AE326" s="247"/>
    </row>
    <row r="327" spans="2:31" s="50" customFormat="1" x14ac:dyDescent="0.15">
      <c r="B327" s="32"/>
      <c r="C327" s="32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R327" s="26"/>
      <c r="S327" s="26"/>
      <c r="T327" s="21"/>
      <c r="U327" s="10"/>
      <c r="V327" s="20"/>
      <c r="W327" s="20"/>
      <c r="X327" s="20"/>
      <c r="Y327" s="20"/>
      <c r="AD327" s="247"/>
      <c r="AE327" s="247"/>
    </row>
    <row r="328" spans="2:31" s="50" customFormat="1" x14ac:dyDescent="0.15">
      <c r="B328" s="32"/>
      <c r="C328" s="32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R328" s="26"/>
      <c r="S328" s="26"/>
      <c r="T328" s="21"/>
      <c r="U328" s="10"/>
      <c r="V328" s="20"/>
      <c r="W328" s="20"/>
      <c r="X328" s="20"/>
      <c r="Y328" s="20"/>
      <c r="AD328" s="247"/>
      <c r="AE328" s="247"/>
    </row>
    <row r="329" spans="2:31" s="50" customFormat="1" x14ac:dyDescent="0.15">
      <c r="B329" s="32"/>
      <c r="C329" s="32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R329" s="26"/>
      <c r="S329" s="26"/>
      <c r="T329" s="21"/>
      <c r="U329" s="10"/>
      <c r="V329" s="20"/>
      <c r="W329" s="20"/>
      <c r="X329" s="20"/>
      <c r="Y329" s="20"/>
      <c r="AD329" s="247"/>
      <c r="AE329" s="247"/>
    </row>
    <row r="330" spans="2:31" s="50" customFormat="1" x14ac:dyDescent="0.15">
      <c r="B330" s="32"/>
      <c r="C330" s="32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R330" s="26"/>
      <c r="S330" s="26"/>
      <c r="T330" s="21"/>
      <c r="U330" s="10"/>
      <c r="V330" s="20"/>
      <c r="W330" s="20"/>
      <c r="X330" s="20"/>
      <c r="Y330" s="20"/>
      <c r="AD330" s="247"/>
      <c r="AE330" s="247"/>
    </row>
    <row r="331" spans="2:31" s="50" customFormat="1" x14ac:dyDescent="0.15">
      <c r="B331" s="32"/>
      <c r="C331" s="32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R331" s="26"/>
      <c r="S331" s="26"/>
      <c r="T331" s="21"/>
      <c r="U331" s="10"/>
      <c r="V331" s="20"/>
      <c r="W331" s="20"/>
      <c r="X331" s="20"/>
      <c r="Y331" s="20"/>
      <c r="AD331" s="247"/>
      <c r="AE331" s="247"/>
    </row>
    <row r="332" spans="2:31" s="50" customFormat="1" x14ac:dyDescent="0.15">
      <c r="B332" s="32"/>
      <c r="C332" s="32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R332" s="26"/>
      <c r="S332" s="26"/>
      <c r="T332" s="21"/>
      <c r="U332" s="10"/>
      <c r="V332" s="20"/>
      <c r="W332" s="20"/>
      <c r="X332" s="20"/>
      <c r="Y332" s="20"/>
      <c r="AD332" s="247"/>
      <c r="AE332" s="247"/>
    </row>
    <row r="333" spans="2:31" s="50" customFormat="1" x14ac:dyDescent="0.15">
      <c r="B333" s="32"/>
      <c r="C333" s="32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R333" s="26"/>
      <c r="S333" s="26"/>
      <c r="T333" s="21"/>
      <c r="U333" s="20"/>
      <c r="V333" s="20"/>
      <c r="W333" s="20"/>
      <c r="X333" s="20"/>
      <c r="Y333" s="20"/>
      <c r="AD333" s="247"/>
      <c r="AE333" s="247"/>
    </row>
    <row r="334" spans="2:31" s="50" customFormat="1" x14ac:dyDescent="0.15">
      <c r="B334" s="32"/>
      <c r="C334" s="32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R334" s="26"/>
      <c r="S334" s="26"/>
      <c r="T334" s="21"/>
      <c r="U334" s="20"/>
      <c r="V334" s="20"/>
      <c r="W334" s="20"/>
      <c r="X334" s="20"/>
      <c r="Y334" s="20"/>
      <c r="AD334" s="247"/>
      <c r="AE334" s="247"/>
    </row>
    <row r="335" spans="2:31" s="50" customFormat="1" x14ac:dyDescent="0.15">
      <c r="B335" s="32"/>
      <c r="C335" s="32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R335" s="26"/>
      <c r="S335" s="26"/>
      <c r="T335" s="21"/>
      <c r="U335" s="20"/>
      <c r="V335" s="20"/>
      <c r="W335" s="20"/>
      <c r="X335" s="20"/>
      <c r="Y335" s="20"/>
      <c r="AD335" s="247"/>
      <c r="AE335" s="247"/>
    </row>
    <row r="336" spans="2:31" s="50" customFormat="1" x14ac:dyDescent="0.15">
      <c r="B336" s="32"/>
      <c r="C336" s="32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R336" s="26"/>
      <c r="S336" s="26"/>
      <c r="T336" s="21"/>
      <c r="U336" s="20"/>
      <c r="V336" s="20"/>
      <c r="W336" s="20"/>
      <c r="X336" s="20"/>
      <c r="Y336" s="20"/>
      <c r="AD336" s="247"/>
      <c r="AE336" s="247"/>
    </row>
    <row r="337" spans="2:31" s="50" customFormat="1" x14ac:dyDescent="0.15">
      <c r="B337" s="32"/>
      <c r="C337" s="32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R337" s="26"/>
      <c r="S337" s="26"/>
      <c r="T337" s="21"/>
      <c r="U337" s="20"/>
      <c r="V337" s="20"/>
      <c r="W337" s="20"/>
      <c r="X337" s="20"/>
      <c r="Y337" s="20"/>
      <c r="AD337" s="247"/>
      <c r="AE337" s="247"/>
    </row>
    <row r="338" spans="2:31" s="50" customFormat="1" x14ac:dyDescent="0.15">
      <c r="B338" s="32"/>
      <c r="C338" s="32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R338" s="26"/>
      <c r="S338" s="26"/>
      <c r="T338" s="21"/>
      <c r="U338" s="20"/>
      <c r="V338" s="20"/>
      <c r="W338" s="20"/>
      <c r="X338" s="20"/>
      <c r="Y338" s="20"/>
      <c r="AD338" s="247"/>
      <c r="AE338" s="247"/>
    </row>
    <row r="339" spans="2:31" s="50" customFormat="1" x14ac:dyDescent="0.15">
      <c r="B339" s="32"/>
      <c r="C339" s="32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R339" s="26"/>
      <c r="S339" s="26"/>
      <c r="T339" s="21"/>
      <c r="U339" s="20"/>
      <c r="V339" s="20"/>
      <c r="W339" s="20"/>
      <c r="X339" s="20"/>
      <c r="Y339" s="20"/>
      <c r="AD339" s="247"/>
      <c r="AE339" s="247"/>
    </row>
    <row r="340" spans="2:31" s="50" customFormat="1" x14ac:dyDescent="0.15">
      <c r="B340" s="32"/>
      <c r="C340" s="32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R340" s="26"/>
      <c r="S340" s="26"/>
      <c r="T340" s="21"/>
      <c r="U340" s="20"/>
      <c r="V340" s="20"/>
      <c r="W340" s="20"/>
      <c r="X340" s="20"/>
      <c r="Y340" s="20"/>
      <c r="AD340" s="247"/>
      <c r="AE340" s="247"/>
    </row>
    <row r="341" spans="2:31" s="50" customFormat="1" x14ac:dyDescent="0.15">
      <c r="B341" s="32"/>
      <c r="C341" s="32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R341" s="26"/>
      <c r="S341" s="26"/>
      <c r="T341" s="21"/>
      <c r="U341" s="20"/>
      <c r="V341" s="20"/>
      <c r="W341" s="20"/>
      <c r="X341" s="20"/>
      <c r="Y341" s="20"/>
      <c r="AD341" s="247"/>
      <c r="AE341" s="247"/>
    </row>
    <row r="342" spans="2:31" s="50" customFormat="1" x14ac:dyDescent="0.15">
      <c r="B342" s="32"/>
      <c r="C342" s="32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R342" s="26"/>
      <c r="S342" s="26"/>
      <c r="T342" s="21"/>
      <c r="U342" s="20"/>
      <c r="V342" s="20"/>
      <c r="W342" s="20"/>
      <c r="X342" s="20"/>
      <c r="Y342" s="20"/>
      <c r="AD342" s="247"/>
      <c r="AE342" s="247"/>
    </row>
    <row r="343" spans="2:31" s="50" customFormat="1" x14ac:dyDescent="0.15">
      <c r="B343" s="32"/>
      <c r="C343" s="32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R343" s="26"/>
      <c r="S343" s="26"/>
      <c r="T343" s="21"/>
      <c r="U343" s="20"/>
      <c r="V343" s="20"/>
      <c r="W343" s="20"/>
      <c r="X343" s="20"/>
      <c r="Y343" s="20"/>
      <c r="AD343" s="247"/>
      <c r="AE343" s="247"/>
    </row>
    <row r="344" spans="2:31" s="50" customFormat="1" x14ac:dyDescent="0.15">
      <c r="B344" s="32"/>
      <c r="C344" s="32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R344" s="26"/>
      <c r="S344" s="26"/>
      <c r="T344" s="21"/>
      <c r="U344" s="20"/>
      <c r="V344" s="20"/>
      <c r="W344" s="20"/>
      <c r="X344" s="20"/>
      <c r="Y344" s="20"/>
      <c r="AD344" s="247"/>
      <c r="AE344" s="247"/>
    </row>
    <row r="345" spans="2:31" s="50" customFormat="1" x14ac:dyDescent="0.15">
      <c r="B345" s="32"/>
      <c r="C345" s="32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R345" s="26"/>
      <c r="S345" s="26"/>
      <c r="T345" s="21"/>
      <c r="U345" s="20"/>
      <c r="V345" s="20"/>
      <c r="W345" s="20"/>
      <c r="X345" s="20"/>
      <c r="Y345" s="20"/>
      <c r="AD345" s="247"/>
      <c r="AE345" s="247"/>
    </row>
    <row r="346" spans="2:31" s="50" customFormat="1" x14ac:dyDescent="0.15">
      <c r="B346" s="32"/>
      <c r="C346" s="32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R346" s="26"/>
      <c r="S346" s="26"/>
      <c r="T346" s="21"/>
      <c r="U346" s="20"/>
      <c r="V346" s="20"/>
      <c r="W346" s="20"/>
      <c r="X346" s="20"/>
      <c r="Y346" s="20"/>
      <c r="AD346" s="247"/>
      <c r="AE346" s="247"/>
    </row>
    <row r="347" spans="2:31" s="50" customFormat="1" x14ac:dyDescent="0.15">
      <c r="B347" s="32"/>
      <c r="C347" s="32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R347" s="26"/>
      <c r="S347" s="26"/>
      <c r="T347" s="21"/>
      <c r="U347" s="20"/>
      <c r="V347" s="20"/>
      <c r="W347" s="20"/>
      <c r="X347" s="20"/>
      <c r="Y347" s="20"/>
      <c r="AD347" s="247"/>
      <c r="AE347" s="247"/>
    </row>
    <row r="348" spans="2:31" s="50" customFormat="1" x14ac:dyDescent="0.15">
      <c r="B348" s="32"/>
      <c r="C348" s="32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R348" s="26"/>
      <c r="S348" s="26"/>
      <c r="T348" s="21"/>
      <c r="U348" s="20"/>
      <c r="V348" s="20"/>
      <c r="W348" s="20"/>
      <c r="X348" s="20"/>
      <c r="Y348" s="20"/>
      <c r="AD348" s="247"/>
      <c r="AE348" s="247"/>
    </row>
    <row r="349" spans="2:31" s="50" customFormat="1" x14ac:dyDescent="0.15">
      <c r="B349" s="32"/>
      <c r="C349" s="32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R349" s="26"/>
      <c r="S349" s="26"/>
      <c r="T349" s="21"/>
      <c r="U349" s="20"/>
      <c r="V349" s="20"/>
      <c r="W349" s="20"/>
      <c r="X349" s="20"/>
      <c r="Y349" s="20"/>
      <c r="AD349" s="247"/>
      <c r="AE349" s="247"/>
    </row>
    <row r="350" spans="2:31" s="50" customFormat="1" x14ac:dyDescent="0.15">
      <c r="B350" s="32"/>
      <c r="C350" s="32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R350" s="26"/>
      <c r="S350" s="26"/>
      <c r="T350" s="21"/>
      <c r="U350" s="20"/>
      <c r="V350" s="20"/>
      <c r="W350" s="20"/>
      <c r="X350" s="20"/>
      <c r="Y350" s="20"/>
      <c r="AD350" s="247"/>
      <c r="AE350" s="247"/>
    </row>
    <row r="351" spans="2:31" s="50" customFormat="1" x14ac:dyDescent="0.15">
      <c r="B351" s="32"/>
      <c r="C351" s="32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R351" s="26"/>
      <c r="S351" s="26"/>
      <c r="T351" s="21"/>
      <c r="U351" s="20"/>
      <c r="V351" s="20"/>
      <c r="W351" s="20"/>
      <c r="X351" s="20"/>
      <c r="Y351" s="20"/>
      <c r="AD351" s="247"/>
      <c r="AE351" s="247"/>
    </row>
    <row r="352" spans="2:31" s="50" customFormat="1" x14ac:dyDescent="0.15">
      <c r="B352" s="32"/>
      <c r="C352" s="32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R352" s="26"/>
      <c r="S352" s="26"/>
      <c r="T352" s="21"/>
      <c r="U352" s="20"/>
      <c r="V352" s="20"/>
      <c r="W352" s="20"/>
      <c r="X352" s="20"/>
      <c r="Y352" s="20"/>
      <c r="AD352" s="247"/>
      <c r="AE352" s="247"/>
    </row>
    <row r="353" spans="2:31" s="50" customFormat="1" x14ac:dyDescent="0.15">
      <c r="B353" s="32"/>
      <c r="C353" s="32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R353" s="26"/>
      <c r="S353" s="26"/>
      <c r="T353" s="21"/>
      <c r="U353" s="20"/>
      <c r="V353" s="20"/>
      <c r="W353" s="20"/>
      <c r="X353" s="20"/>
      <c r="Y353" s="20"/>
      <c r="AD353" s="247"/>
      <c r="AE353" s="247"/>
    </row>
    <row r="354" spans="2:31" s="50" customFormat="1" x14ac:dyDescent="0.15">
      <c r="B354" s="32"/>
      <c r="C354" s="32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R354" s="26"/>
      <c r="S354" s="26"/>
      <c r="T354" s="21"/>
      <c r="U354" s="20"/>
      <c r="V354" s="20"/>
      <c r="W354" s="20"/>
      <c r="X354" s="20"/>
      <c r="Y354" s="20"/>
      <c r="AD354" s="247"/>
      <c r="AE354" s="247"/>
    </row>
    <row r="355" spans="2:31" s="50" customFormat="1" x14ac:dyDescent="0.15">
      <c r="B355" s="32"/>
      <c r="C355" s="32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R355" s="26"/>
      <c r="S355" s="26"/>
      <c r="T355" s="21"/>
      <c r="U355" s="20"/>
      <c r="V355" s="20"/>
      <c r="W355" s="20"/>
      <c r="X355" s="20"/>
      <c r="Y355" s="20"/>
      <c r="AD355" s="247"/>
      <c r="AE355" s="247"/>
    </row>
    <row r="356" spans="2:31" s="50" customFormat="1" x14ac:dyDescent="0.15">
      <c r="B356" s="32"/>
      <c r="C356" s="32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R356" s="26"/>
      <c r="S356" s="26"/>
      <c r="T356" s="21"/>
      <c r="U356" s="20"/>
      <c r="V356" s="20"/>
      <c r="W356" s="20"/>
      <c r="X356" s="20"/>
      <c r="Y356" s="20"/>
      <c r="AD356" s="247"/>
      <c r="AE356" s="247"/>
    </row>
    <row r="357" spans="2:31" s="50" customFormat="1" x14ac:dyDescent="0.15">
      <c r="B357" s="32"/>
      <c r="C357" s="32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R357" s="26"/>
      <c r="S357" s="26"/>
      <c r="T357" s="21"/>
      <c r="U357" s="20"/>
      <c r="V357" s="20"/>
      <c r="W357" s="20"/>
      <c r="X357" s="20"/>
      <c r="Y357" s="20"/>
      <c r="AD357" s="247"/>
      <c r="AE357" s="247"/>
    </row>
    <row r="358" spans="2:31" s="50" customFormat="1" x14ac:dyDescent="0.15">
      <c r="B358" s="32"/>
      <c r="C358" s="32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R358" s="26"/>
      <c r="S358" s="26"/>
      <c r="T358" s="21"/>
      <c r="U358" s="20"/>
      <c r="V358" s="20"/>
      <c r="W358" s="20"/>
      <c r="X358" s="20"/>
      <c r="Y358" s="20"/>
      <c r="AD358" s="247"/>
      <c r="AE358" s="247"/>
    </row>
    <row r="359" spans="2:31" s="50" customFormat="1" x14ac:dyDescent="0.15">
      <c r="B359" s="32"/>
      <c r="C359" s="32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R359" s="26"/>
      <c r="S359" s="26"/>
      <c r="T359" s="21"/>
      <c r="U359" s="20"/>
      <c r="V359" s="20"/>
      <c r="W359" s="20"/>
      <c r="X359" s="20"/>
      <c r="Y359" s="20"/>
      <c r="AD359" s="247"/>
      <c r="AE359" s="247"/>
    </row>
    <row r="360" spans="2:31" s="50" customFormat="1" x14ac:dyDescent="0.15">
      <c r="B360" s="32"/>
      <c r="C360" s="32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R360" s="26"/>
      <c r="S360" s="26"/>
      <c r="T360" s="21"/>
      <c r="U360" s="20"/>
      <c r="V360" s="20"/>
      <c r="W360" s="20"/>
      <c r="X360" s="20"/>
      <c r="Y360" s="20"/>
      <c r="AD360" s="247"/>
      <c r="AE360" s="247"/>
    </row>
    <row r="361" spans="2:31" s="50" customFormat="1" x14ac:dyDescent="0.15">
      <c r="B361" s="32"/>
      <c r="C361" s="32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R361" s="26"/>
      <c r="S361" s="26"/>
      <c r="T361" s="21"/>
      <c r="U361" s="20"/>
      <c r="V361" s="20"/>
      <c r="W361" s="20"/>
      <c r="X361" s="20"/>
      <c r="Y361" s="20"/>
      <c r="AD361" s="247"/>
      <c r="AE361" s="247"/>
    </row>
    <row r="362" spans="2:31" s="50" customFormat="1" x14ac:dyDescent="0.15">
      <c r="B362" s="32"/>
      <c r="C362" s="32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R362" s="26"/>
      <c r="S362" s="26"/>
      <c r="T362" s="21"/>
      <c r="U362" s="20"/>
      <c r="V362" s="20"/>
      <c r="W362" s="20"/>
      <c r="X362" s="20"/>
      <c r="Y362" s="20"/>
      <c r="AD362" s="247"/>
      <c r="AE362" s="247"/>
    </row>
    <row r="363" spans="2:31" s="50" customFormat="1" x14ac:dyDescent="0.15">
      <c r="B363" s="32"/>
      <c r="C363" s="32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R363" s="26"/>
      <c r="S363" s="26"/>
      <c r="T363" s="21"/>
      <c r="U363" s="20"/>
      <c r="V363" s="20"/>
      <c r="W363" s="20"/>
      <c r="X363" s="20"/>
      <c r="Y363" s="20"/>
      <c r="AD363" s="247"/>
      <c r="AE363" s="247"/>
    </row>
    <row r="364" spans="2:31" s="50" customFormat="1" x14ac:dyDescent="0.15">
      <c r="B364" s="32"/>
      <c r="C364" s="32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R364" s="26"/>
      <c r="S364" s="26"/>
      <c r="T364" s="21"/>
      <c r="U364" s="20"/>
      <c r="V364" s="20"/>
      <c r="W364" s="20"/>
      <c r="X364" s="20"/>
      <c r="Y364" s="20"/>
      <c r="AD364" s="247"/>
      <c r="AE364" s="247"/>
    </row>
    <row r="365" spans="2:31" s="50" customFormat="1" x14ac:dyDescent="0.15">
      <c r="B365" s="32"/>
      <c r="C365" s="32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R365" s="26"/>
      <c r="S365" s="26"/>
      <c r="T365" s="21"/>
      <c r="U365" s="20"/>
      <c r="V365" s="20"/>
      <c r="W365" s="20"/>
      <c r="X365" s="20"/>
      <c r="Y365" s="20"/>
      <c r="AD365" s="247"/>
      <c r="AE365" s="247"/>
    </row>
    <row r="366" spans="2:31" s="50" customFormat="1" x14ac:dyDescent="0.15">
      <c r="B366" s="32"/>
      <c r="C366" s="32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R366" s="26"/>
      <c r="S366" s="26"/>
      <c r="T366" s="21"/>
      <c r="U366" s="20"/>
      <c r="V366" s="20"/>
      <c r="W366" s="20"/>
      <c r="X366" s="20"/>
      <c r="Y366" s="20"/>
      <c r="AD366" s="247"/>
      <c r="AE366" s="247"/>
    </row>
    <row r="367" spans="2:31" s="50" customFormat="1" x14ac:dyDescent="0.15">
      <c r="B367" s="32"/>
      <c r="C367" s="32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R367" s="26"/>
      <c r="S367" s="26"/>
      <c r="T367" s="21"/>
      <c r="U367" s="20"/>
      <c r="V367" s="20"/>
      <c r="W367" s="20"/>
      <c r="X367" s="20"/>
      <c r="Y367" s="20"/>
      <c r="AD367" s="247"/>
      <c r="AE367" s="247"/>
    </row>
    <row r="368" spans="2:31" s="50" customFormat="1" x14ac:dyDescent="0.15">
      <c r="B368" s="32"/>
      <c r="C368" s="32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R368" s="26"/>
      <c r="S368" s="26"/>
      <c r="T368" s="21"/>
      <c r="U368" s="20"/>
      <c r="V368" s="20"/>
      <c r="W368" s="20"/>
      <c r="X368" s="20"/>
      <c r="Y368" s="20"/>
      <c r="AD368" s="247"/>
      <c r="AE368" s="247"/>
    </row>
    <row r="369" spans="2:31" s="50" customFormat="1" x14ac:dyDescent="0.15">
      <c r="B369" s="32"/>
      <c r="C369" s="32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R369" s="26"/>
      <c r="S369" s="26"/>
      <c r="T369" s="21"/>
      <c r="U369" s="20"/>
      <c r="V369" s="20"/>
      <c r="W369" s="20"/>
      <c r="X369" s="20"/>
      <c r="Y369" s="20"/>
      <c r="AD369" s="247"/>
      <c r="AE369" s="247"/>
    </row>
    <row r="370" spans="2:31" s="50" customFormat="1" x14ac:dyDescent="0.15">
      <c r="B370" s="32"/>
      <c r="C370" s="32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R370" s="26"/>
      <c r="S370" s="26"/>
      <c r="T370" s="21"/>
      <c r="U370" s="20"/>
      <c r="V370" s="20"/>
      <c r="W370" s="20"/>
      <c r="X370" s="20"/>
      <c r="Y370" s="20"/>
      <c r="AD370" s="247"/>
      <c r="AE370" s="247"/>
    </row>
    <row r="371" spans="2:31" s="50" customFormat="1" x14ac:dyDescent="0.15">
      <c r="B371" s="32"/>
      <c r="C371" s="32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R371" s="26"/>
      <c r="S371" s="26"/>
      <c r="T371" s="21"/>
      <c r="U371" s="20"/>
      <c r="V371" s="20"/>
      <c r="W371" s="20"/>
      <c r="X371" s="20"/>
      <c r="Y371" s="20"/>
      <c r="AD371" s="247"/>
      <c r="AE371" s="247"/>
    </row>
    <row r="372" spans="2:31" s="50" customFormat="1" x14ac:dyDescent="0.15">
      <c r="B372" s="32"/>
      <c r="C372" s="32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R372" s="26"/>
      <c r="S372" s="26"/>
      <c r="T372" s="21"/>
      <c r="U372" s="20"/>
      <c r="V372" s="20"/>
      <c r="W372" s="20"/>
      <c r="X372" s="20"/>
      <c r="Y372" s="20"/>
      <c r="AD372" s="247"/>
      <c r="AE372" s="247"/>
    </row>
    <row r="373" spans="2:31" s="50" customFormat="1" x14ac:dyDescent="0.15">
      <c r="B373" s="32"/>
      <c r="C373" s="32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R373" s="26"/>
      <c r="S373" s="26"/>
      <c r="T373" s="21"/>
      <c r="U373" s="20"/>
      <c r="V373" s="20"/>
      <c r="W373" s="20"/>
      <c r="X373" s="20"/>
      <c r="Y373" s="20"/>
      <c r="AD373" s="247"/>
      <c r="AE373" s="247"/>
    </row>
    <row r="374" spans="2:31" s="50" customFormat="1" x14ac:dyDescent="0.15">
      <c r="B374" s="32"/>
      <c r="C374" s="32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R374" s="26"/>
      <c r="S374" s="26"/>
      <c r="T374" s="21"/>
      <c r="U374" s="20"/>
      <c r="V374" s="20"/>
      <c r="W374" s="20"/>
      <c r="X374" s="20"/>
      <c r="Y374" s="20"/>
      <c r="AD374" s="247"/>
      <c r="AE374" s="247"/>
    </row>
    <row r="375" spans="2:31" s="50" customFormat="1" x14ac:dyDescent="0.15">
      <c r="B375" s="32"/>
      <c r="C375" s="32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R375" s="26"/>
      <c r="S375" s="26"/>
      <c r="T375" s="21"/>
      <c r="U375" s="20"/>
      <c r="V375" s="20"/>
      <c r="W375" s="20"/>
      <c r="X375" s="20"/>
      <c r="Y375" s="20"/>
      <c r="AD375" s="247"/>
      <c r="AE375" s="247"/>
    </row>
    <row r="376" spans="2:31" s="50" customFormat="1" x14ac:dyDescent="0.15">
      <c r="B376" s="32"/>
      <c r="C376" s="32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R376" s="26"/>
      <c r="S376" s="26"/>
      <c r="T376" s="21"/>
      <c r="U376" s="20"/>
      <c r="V376" s="20"/>
      <c r="W376" s="20"/>
      <c r="X376" s="20"/>
      <c r="Y376" s="20"/>
      <c r="AD376" s="247"/>
      <c r="AE376" s="247"/>
    </row>
    <row r="377" spans="2:31" s="50" customFormat="1" x14ac:dyDescent="0.15">
      <c r="B377" s="32"/>
      <c r="C377" s="32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R377" s="26"/>
      <c r="S377" s="26"/>
      <c r="T377" s="21"/>
      <c r="U377" s="20"/>
      <c r="V377" s="20"/>
      <c r="W377" s="20"/>
      <c r="X377" s="20"/>
      <c r="Y377" s="20"/>
      <c r="AD377" s="247"/>
      <c r="AE377" s="247"/>
    </row>
    <row r="378" spans="2:31" s="50" customFormat="1" x14ac:dyDescent="0.15">
      <c r="B378" s="32"/>
      <c r="C378" s="32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R378" s="26"/>
      <c r="S378" s="26"/>
      <c r="T378" s="21"/>
      <c r="U378" s="20"/>
      <c r="V378" s="20"/>
      <c r="W378" s="20"/>
      <c r="X378" s="20"/>
      <c r="Y378" s="20"/>
      <c r="AD378" s="247"/>
      <c r="AE378" s="247"/>
    </row>
    <row r="379" spans="2:31" s="50" customFormat="1" x14ac:dyDescent="0.15">
      <c r="B379" s="32"/>
      <c r="C379" s="32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R379" s="26"/>
      <c r="S379" s="26"/>
      <c r="T379" s="21"/>
      <c r="U379" s="20"/>
      <c r="V379" s="20"/>
      <c r="W379" s="20"/>
      <c r="X379" s="20"/>
      <c r="Y379" s="20"/>
      <c r="AD379" s="247"/>
      <c r="AE379" s="247"/>
    </row>
    <row r="380" spans="2:31" s="50" customFormat="1" x14ac:dyDescent="0.15">
      <c r="B380" s="32"/>
      <c r="C380" s="32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R380" s="26"/>
      <c r="S380" s="26"/>
      <c r="T380" s="21"/>
      <c r="U380" s="20"/>
      <c r="V380" s="20"/>
      <c r="W380" s="20"/>
      <c r="X380" s="20"/>
      <c r="Y380" s="20"/>
      <c r="AD380" s="247"/>
      <c r="AE380" s="247"/>
    </row>
    <row r="381" spans="2:31" s="50" customFormat="1" x14ac:dyDescent="0.15">
      <c r="B381" s="32"/>
      <c r="C381" s="32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R381" s="26"/>
      <c r="S381" s="26"/>
      <c r="T381" s="21"/>
      <c r="U381" s="20"/>
      <c r="V381" s="20"/>
      <c r="W381" s="20"/>
      <c r="X381" s="20"/>
      <c r="Y381" s="20"/>
      <c r="AD381" s="247"/>
      <c r="AE381" s="247"/>
    </row>
    <row r="382" spans="2:31" s="50" customFormat="1" x14ac:dyDescent="0.15">
      <c r="B382" s="32"/>
      <c r="C382" s="32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R382" s="26"/>
      <c r="S382" s="26"/>
      <c r="T382" s="21"/>
      <c r="U382" s="20"/>
      <c r="V382" s="20"/>
      <c r="W382" s="20"/>
      <c r="X382" s="20"/>
      <c r="Y382" s="20"/>
      <c r="AD382" s="247"/>
      <c r="AE382" s="247"/>
    </row>
    <row r="383" spans="2:31" s="50" customFormat="1" x14ac:dyDescent="0.15">
      <c r="B383" s="32"/>
      <c r="C383" s="32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R383" s="26"/>
      <c r="S383" s="26"/>
      <c r="T383" s="21"/>
      <c r="U383" s="20"/>
      <c r="V383" s="20"/>
      <c r="W383" s="20"/>
      <c r="X383" s="20"/>
      <c r="Y383" s="20"/>
      <c r="AD383" s="247"/>
      <c r="AE383" s="247"/>
    </row>
    <row r="384" spans="2:31" s="50" customFormat="1" x14ac:dyDescent="0.15">
      <c r="B384" s="32"/>
      <c r="C384" s="32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R384" s="26"/>
      <c r="S384" s="26"/>
      <c r="T384" s="21"/>
      <c r="U384" s="20"/>
      <c r="V384" s="20"/>
      <c r="W384" s="20"/>
      <c r="X384" s="20"/>
      <c r="Y384" s="20"/>
      <c r="AD384" s="247"/>
      <c r="AE384" s="247"/>
    </row>
    <row r="385" spans="2:31" s="50" customFormat="1" x14ac:dyDescent="0.15">
      <c r="B385" s="32"/>
      <c r="C385" s="32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R385" s="26"/>
      <c r="S385" s="26"/>
      <c r="T385" s="21"/>
      <c r="U385" s="20"/>
      <c r="V385" s="20"/>
      <c r="W385" s="20"/>
      <c r="X385" s="20"/>
      <c r="Y385" s="20"/>
      <c r="AD385" s="247"/>
      <c r="AE385" s="247"/>
    </row>
    <row r="386" spans="2:31" s="50" customFormat="1" x14ac:dyDescent="0.15">
      <c r="B386" s="32"/>
      <c r="C386" s="32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R386" s="26"/>
      <c r="S386" s="26"/>
      <c r="T386" s="21"/>
      <c r="U386" s="20"/>
      <c r="V386" s="20"/>
      <c r="W386" s="20"/>
      <c r="X386" s="20"/>
      <c r="Y386" s="20"/>
      <c r="AD386" s="247"/>
      <c r="AE386" s="247"/>
    </row>
    <row r="387" spans="2:31" s="50" customFormat="1" x14ac:dyDescent="0.15">
      <c r="B387" s="32"/>
      <c r="C387" s="32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R387" s="26"/>
      <c r="S387" s="26"/>
      <c r="T387" s="21"/>
      <c r="U387" s="20"/>
      <c r="V387" s="20"/>
      <c r="W387" s="20"/>
      <c r="X387" s="20"/>
      <c r="Y387" s="20"/>
      <c r="AD387" s="247"/>
      <c r="AE387" s="247"/>
    </row>
    <row r="388" spans="2:31" s="50" customFormat="1" x14ac:dyDescent="0.15">
      <c r="B388" s="32"/>
      <c r="C388" s="32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R388" s="26"/>
      <c r="S388" s="26"/>
      <c r="T388" s="21"/>
      <c r="U388" s="20"/>
      <c r="V388" s="20"/>
      <c r="W388" s="20"/>
      <c r="X388" s="20"/>
      <c r="Y388" s="20"/>
      <c r="AD388" s="247"/>
      <c r="AE388" s="247"/>
    </row>
    <row r="389" spans="2:31" s="50" customFormat="1" x14ac:dyDescent="0.15">
      <c r="B389" s="32"/>
      <c r="C389" s="32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R389" s="26"/>
      <c r="S389" s="26"/>
      <c r="T389" s="21"/>
      <c r="U389" s="20"/>
      <c r="V389" s="20"/>
      <c r="W389" s="20"/>
      <c r="X389" s="20"/>
      <c r="Y389" s="20"/>
      <c r="AD389" s="247"/>
      <c r="AE389" s="247"/>
    </row>
    <row r="390" spans="2:31" s="50" customFormat="1" x14ac:dyDescent="0.15">
      <c r="B390" s="32"/>
      <c r="C390" s="32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R390" s="26"/>
      <c r="S390" s="26"/>
      <c r="T390" s="21"/>
      <c r="U390" s="20"/>
      <c r="V390" s="20"/>
      <c r="W390" s="20"/>
      <c r="X390" s="20"/>
      <c r="Y390" s="20"/>
      <c r="AD390" s="247"/>
      <c r="AE390" s="247"/>
    </row>
    <row r="391" spans="2:31" s="50" customFormat="1" x14ac:dyDescent="0.15">
      <c r="B391" s="32"/>
      <c r="C391" s="32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R391" s="26"/>
      <c r="S391" s="26"/>
      <c r="T391" s="21"/>
      <c r="U391" s="20"/>
      <c r="V391" s="20"/>
      <c r="W391" s="20"/>
      <c r="X391" s="20"/>
      <c r="Y391" s="20"/>
      <c r="AD391" s="247"/>
      <c r="AE391" s="247"/>
    </row>
    <row r="392" spans="2:31" s="50" customFormat="1" x14ac:dyDescent="0.15">
      <c r="B392" s="32"/>
      <c r="C392" s="32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R392" s="26"/>
      <c r="S392" s="26"/>
      <c r="T392" s="21"/>
      <c r="U392" s="20"/>
      <c r="V392" s="20"/>
      <c r="W392" s="20"/>
      <c r="X392" s="20"/>
      <c r="Y392" s="20"/>
      <c r="AD392" s="247"/>
      <c r="AE392" s="247"/>
    </row>
    <row r="393" spans="2:31" s="50" customFormat="1" x14ac:dyDescent="0.15">
      <c r="B393" s="32"/>
      <c r="C393" s="32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R393" s="26"/>
      <c r="S393" s="26"/>
      <c r="T393" s="21"/>
      <c r="U393" s="20"/>
      <c r="V393" s="20"/>
      <c r="W393" s="20"/>
      <c r="X393" s="20"/>
      <c r="Y393" s="20"/>
      <c r="AD393" s="247"/>
      <c r="AE393" s="247"/>
    </row>
    <row r="394" spans="2:31" s="50" customFormat="1" x14ac:dyDescent="0.15">
      <c r="B394" s="32"/>
      <c r="C394" s="32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R394" s="26"/>
      <c r="S394" s="26"/>
      <c r="T394" s="21"/>
      <c r="U394" s="20"/>
      <c r="V394" s="20"/>
      <c r="W394" s="20"/>
      <c r="X394" s="20"/>
      <c r="Y394" s="20"/>
      <c r="AD394" s="247"/>
      <c r="AE394" s="247"/>
    </row>
    <row r="395" spans="2:31" s="50" customFormat="1" x14ac:dyDescent="0.15">
      <c r="B395" s="32"/>
      <c r="C395" s="32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R395" s="26"/>
      <c r="S395" s="26"/>
      <c r="T395" s="21"/>
      <c r="U395" s="20"/>
      <c r="V395" s="20"/>
      <c r="W395" s="20"/>
      <c r="X395" s="20"/>
      <c r="Y395" s="20"/>
      <c r="AD395" s="247"/>
      <c r="AE395" s="247"/>
    </row>
    <row r="396" spans="2:31" s="50" customFormat="1" x14ac:dyDescent="0.15">
      <c r="B396" s="32"/>
      <c r="C396" s="32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R396" s="26"/>
      <c r="S396" s="26"/>
      <c r="T396" s="21"/>
      <c r="U396" s="20"/>
      <c r="V396" s="20"/>
      <c r="W396" s="20"/>
      <c r="X396" s="20"/>
      <c r="Y396" s="20"/>
      <c r="AD396" s="247"/>
      <c r="AE396" s="247"/>
    </row>
    <row r="397" spans="2:31" s="50" customFormat="1" x14ac:dyDescent="0.15">
      <c r="B397" s="32"/>
      <c r="C397" s="32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R397" s="26"/>
      <c r="S397" s="26"/>
      <c r="T397" s="21"/>
      <c r="U397" s="20"/>
      <c r="V397" s="20"/>
      <c r="W397" s="20"/>
      <c r="X397" s="20"/>
      <c r="Y397" s="20"/>
      <c r="AD397" s="247"/>
      <c r="AE397" s="247"/>
    </row>
    <row r="398" spans="2:31" s="50" customFormat="1" x14ac:dyDescent="0.15">
      <c r="B398" s="32"/>
      <c r="C398" s="32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R398" s="26"/>
      <c r="S398" s="26"/>
      <c r="T398" s="21"/>
      <c r="U398" s="20"/>
      <c r="V398" s="20"/>
      <c r="W398" s="20"/>
      <c r="X398" s="20"/>
      <c r="Y398" s="20"/>
      <c r="AD398" s="247"/>
      <c r="AE398" s="247"/>
    </row>
    <row r="399" spans="2:31" s="50" customFormat="1" x14ac:dyDescent="0.15">
      <c r="B399" s="32"/>
      <c r="C399" s="32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R399" s="26"/>
      <c r="S399" s="26"/>
      <c r="T399" s="21"/>
      <c r="U399" s="20"/>
      <c r="V399" s="20"/>
      <c r="W399" s="20"/>
      <c r="X399" s="20"/>
      <c r="Y399" s="20"/>
      <c r="AD399" s="247"/>
      <c r="AE399" s="247"/>
    </row>
    <row r="400" spans="2:31" s="50" customFormat="1" x14ac:dyDescent="0.15">
      <c r="B400" s="32"/>
      <c r="C400" s="32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R400" s="26"/>
      <c r="S400" s="26"/>
      <c r="T400" s="21"/>
      <c r="U400" s="20"/>
      <c r="V400" s="20"/>
      <c r="W400" s="20"/>
      <c r="X400" s="20"/>
      <c r="Y400" s="20"/>
      <c r="AD400" s="247"/>
      <c r="AE400" s="247"/>
    </row>
    <row r="401" spans="2:31" s="50" customFormat="1" x14ac:dyDescent="0.15">
      <c r="B401" s="32"/>
      <c r="C401" s="32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R401" s="26"/>
      <c r="S401" s="26"/>
      <c r="T401" s="21"/>
      <c r="U401" s="20"/>
      <c r="V401" s="20"/>
      <c r="W401" s="20"/>
      <c r="X401" s="20"/>
      <c r="Y401" s="20"/>
      <c r="AD401" s="247"/>
      <c r="AE401" s="247"/>
    </row>
    <row r="402" spans="2:31" s="50" customFormat="1" x14ac:dyDescent="0.15">
      <c r="B402" s="32"/>
      <c r="C402" s="32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R402" s="26"/>
      <c r="S402" s="26"/>
      <c r="T402" s="21"/>
      <c r="U402" s="20"/>
      <c r="V402" s="20"/>
      <c r="W402" s="20"/>
      <c r="X402" s="20"/>
      <c r="Y402" s="20"/>
      <c r="AD402" s="247"/>
      <c r="AE402" s="247"/>
    </row>
    <row r="403" spans="2:31" s="50" customFormat="1" x14ac:dyDescent="0.15">
      <c r="B403" s="32"/>
      <c r="C403" s="32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R403" s="26"/>
      <c r="S403" s="26"/>
      <c r="T403" s="21"/>
      <c r="U403" s="20"/>
      <c r="V403" s="20"/>
      <c r="W403" s="20"/>
      <c r="X403" s="20"/>
      <c r="Y403" s="20"/>
      <c r="AD403" s="247"/>
      <c r="AE403" s="247"/>
    </row>
    <row r="404" spans="2:31" s="50" customFormat="1" x14ac:dyDescent="0.15">
      <c r="B404" s="32"/>
      <c r="C404" s="32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R404" s="26"/>
      <c r="S404" s="26"/>
      <c r="T404" s="21"/>
      <c r="U404" s="20"/>
      <c r="V404" s="20"/>
      <c r="W404" s="20"/>
      <c r="X404" s="20"/>
      <c r="Y404" s="20"/>
      <c r="AD404" s="247"/>
      <c r="AE404" s="247"/>
    </row>
    <row r="405" spans="2:31" s="50" customFormat="1" x14ac:dyDescent="0.15">
      <c r="B405" s="32"/>
      <c r="C405" s="32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R405" s="26"/>
      <c r="S405" s="26"/>
      <c r="T405" s="21"/>
      <c r="U405" s="20"/>
      <c r="V405" s="20"/>
      <c r="W405" s="20"/>
      <c r="X405" s="20"/>
      <c r="Y405" s="20"/>
      <c r="AD405" s="247"/>
      <c r="AE405" s="247"/>
    </row>
    <row r="406" spans="2:31" s="50" customFormat="1" x14ac:dyDescent="0.15">
      <c r="B406" s="32"/>
      <c r="C406" s="32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R406" s="26"/>
      <c r="S406" s="26"/>
      <c r="T406" s="21"/>
      <c r="U406" s="20"/>
      <c r="V406" s="20"/>
      <c r="W406" s="20"/>
      <c r="X406" s="20"/>
      <c r="Y406" s="20"/>
      <c r="AD406" s="247"/>
      <c r="AE406" s="247"/>
    </row>
    <row r="407" spans="2:31" s="50" customFormat="1" x14ac:dyDescent="0.15">
      <c r="B407" s="32"/>
      <c r="C407" s="32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R407" s="26"/>
      <c r="S407" s="26"/>
      <c r="T407" s="21"/>
      <c r="U407" s="20"/>
      <c r="V407" s="20"/>
      <c r="W407" s="20"/>
      <c r="X407" s="20"/>
      <c r="Y407" s="20"/>
      <c r="AD407" s="247"/>
      <c r="AE407" s="247"/>
    </row>
    <row r="408" spans="2:31" s="50" customFormat="1" x14ac:dyDescent="0.15">
      <c r="B408" s="32"/>
      <c r="C408" s="32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R408" s="26"/>
      <c r="S408" s="26"/>
      <c r="T408" s="21"/>
      <c r="U408" s="20"/>
      <c r="V408" s="20"/>
      <c r="W408" s="20"/>
      <c r="X408" s="20"/>
      <c r="Y408" s="20"/>
      <c r="Z408" s="39"/>
      <c r="AD408" s="247"/>
      <c r="AE408" s="247"/>
    </row>
    <row r="409" spans="2:31" s="50" customFormat="1" x14ac:dyDescent="0.15">
      <c r="B409" s="32"/>
      <c r="C409" s="32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R409" s="26"/>
      <c r="S409" s="26"/>
      <c r="T409" s="21"/>
      <c r="U409" s="20"/>
      <c r="V409" s="20"/>
      <c r="W409" s="20"/>
      <c r="X409" s="20"/>
      <c r="Y409" s="20"/>
      <c r="Z409" s="39"/>
      <c r="AD409" s="247"/>
      <c r="AE409" s="247"/>
    </row>
    <row r="410" spans="2:31" s="50" customFormat="1" x14ac:dyDescent="0.15">
      <c r="B410" s="32"/>
      <c r="C410" s="32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R410" s="26"/>
      <c r="S410" s="26"/>
      <c r="T410" s="21"/>
      <c r="U410" s="20"/>
      <c r="V410" s="20"/>
      <c r="W410" s="20"/>
      <c r="X410" s="20"/>
      <c r="Y410" s="20"/>
      <c r="Z410" s="39"/>
      <c r="AD410" s="247"/>
      <c r="AE410" s="247"/>
    </row>
    <row r="411" spans="2:31" s="50" customFormat="1" x14ac:dyDescent="0.15">
      <c r="B411" s="32"/>
      <c r="C411" s="32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R411" s="26"/>
      <c r="S411" s="26"/>
      <c r="T411" s="21"/>
      <c r="U411" s="20"/>
      <c r="V411" s="20"/>
      <c r="W411" s="20"/>
      <c r="X411" s="20"/>
      <c r="Y411" s="20"/>
      <c r="Z411" s="39"/>
      <c r="AD411" s="247"/>
      <c r="AE411" s="247"/>
    </row>
    <row r="412" spans="2:31" s="50" customFormat="1" x14ac:dyDescent="0.15">
      <c r="B412" s="32"/>
      <c r="C412" s="32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R412" s="26"/>
      <c r="S412" s="26"/>
      <c r="T412" s="21"/>
      <c r="U412" s="20"/>
      <c r="V412" s="20"/>
      <c r="W412" s="20"/>
      <c r="X412" s="20"/>
      <c r="Y412" s="20"/>
      <c r="Z412" s="39"/>
      <c r="AD412" s="247"/>
      <c r="AE412" s="247"/>
    </row>
    <row r="413" spans="2:31" s="50" customFormat="1" x14ac:dyDescent="0.15">
      <c r="B413" s="32"/>
      <c r="C413" s="32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R413" s="26"/>
      <c r="S413" s="26"/>
      <c r="T413" s="21"/>
      <c r="U413" s="20"/>
      <c r="V413" s="20"/>
      <c r="W413" s="20"/>
      <c r="X413" s="20"/>
      <c r="Y413" s="20"/>
      <c r="Z413" s="39"/>
      <c r="AD413" s="247"/>
      <c r="AE413" s="247"/>
    </row>
    <row r="414" spans="2:31" s="50" customFormat="1" x14ac:dyDescent="0.15">
      <c r="B414" s="32"/>
      <c r="C414" s="32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R414" s="26"/>
      <c r="S414" s="26"/>
      <c r="T414" s="21"/>
      <c r="U414" s="20"/>
      <c r="V414" s="20"/>
      <c r="W414" s="20"/>
      <c r="X414" s="20"/>
      <c r="Y414" s="20"/>
      <c r="Z414" s="39"/>
      <c r="AD414" s="247"/>
      <c r="AE414" s="247"/>
    </row>
    <row r="415" spans="2:31" x14ac:dyDescent="0.15">
      <c r="U415" s="20"/>
      <c r="V415" s="20"/>
      <c r="W415" s="20"/>
      <c r="X415" s="20"/>
      <c r="Y415" s="20"/>
      <c r="AD415" s="247"/>
      <c r="AE415" s="247"/>
    </row>
    <row r="416" spans="2:31" x14ac:dyDescent="0.15">
      <c r="U416" s="20"/>
      <c r="V416" s="20"/>
      <c r="W416" s="20"/>
      <c r="X416" s="20"/>
      <c r="Y416" s="20"/>
      <c r="AD416" s="247"/>
      <c r="AE416" s="247"/>
    </row>
    <row r="417" spans="21:31" x14ac:dyDescent="0.15">
      <c r="U417" s="20"/>
      <c r="V417" s="20"/>
      <c r="W417" s="20"/>
      <c r="X417" s="20"/>
      <c r="Y417" s="20"/>
      <c r="AD417" s="247"/>
      <c r="AE417" s="247"/>
    </row>
    <row r="418" spans="21:31" x14ac:dyDescent="0.15">
      <c r="U418" s="20"/>
      <c r="V418" s="20"/>
      <c r="W418" s="20"/>
      <c r="X418" s="20"/>
      <c r="Y418" s="20"/>
      <c r="AD418" s="247"/>
      <c r="AE418" s="247"/>
    </row>
    <row r="419" spans="21:31" x14ac:dyDescent="0.15">
      <c r="U419" s="20"/>
      <c r="V419" s="20"/>
      <c r="W419" s="20"/>
      <c r="X419" s="20"/>
      <c r="Y419" s="20"/>
    </row>
    <row r="420" spans="21:31" x14ac:dyDescent="0.15">
      <c r="U420" s="20"/>
      <c r="V420" s="20"/>
      <c r="W420" s="20"/>
      <c r="X420" s="20"/>
      <c r="Y420" s="20"/>
    </row>
    <row r="421" spans="21:31" x14ac:dyDescent="0.15">
      <c r="U421" s="20"/>
      <c r="V421" s="20"/>
      <c r="W421" s="20"/>
      <c r="X421" s="20"/>
      <c r="Y421" s="20"/>
    </row>
    <row r="422" spans="21:31" x14ac:dyDescent="0.15">
      <c r="U422" s="20"/>
      <c r="V422" s="20"/>
      <c r="W422" s="20"/>
      <c r="X422" s="20"/>
      <c r="Y422" s="20"/>
    </row>
    <row r="423" spans="21:31" x14ac:dyDescent="0.15">
      <c r="U423" s="20"/>
      <c r="V423" s="20"/>
      <c r="W423" s="20"/>
      <c r="X423" s="20"/>
      <c r="Y423" s="20"/>
    </row>
    <row r="424" spans="21:31" x14ac:dyDescent="0.15">
      <c r="U424" s="20"/>
      <c r="V424" s="20"/>
      <c r="W424" s="20"/>
      <c r="X424" s="20"/>
      <c r="Y424" s="20"/>
    </row>
    <row r="425" spans="21:31" x14ac:dyDescent="0.15">
      <c r="U425" s="20"/>
      <c r="V425" s="20"/>
      <c r="W425" s="20"/>
      <c r="X425" s="20"/>
      <c r="Y425" s="20"/>
    </row>
    <row r="426" spans="21:31" x14ac:dyDescent="0.15">
      <c r="U426" s="20"/>
      <c r="V426" s="20"/>
      <c r="W426" s="20"/>
      <c r="X426" s="20"/>
      <c r="Y426" s="20"/>
    </row>
    <row r="427" spans="21:31" x14ac:dyDescent="0.15">
      <c r="U427" s="20"/>
      <c r="V427" s="20"/>
      <c r="W427" s="20"/>
      <c r="X427" s="20"/>
      <c r="Y427" s="20"/>
    </row>
    <row r="428" spans="21:31" x14ac:dyDescent="0.15">
      <c r="U428" s="20"/>
      <c r="V428" s="20"/>
      <c r="W428" s="20"/>
      <c r="X428" s="20"/>
      <c r="Y428" s="20"/>
    </row>
    <row r="429" spans="21:31" x14ac:dyDescent="0.15">
      <c r="U429" s="20"/>
      <c r="V429" s="20"/>
      <c r="W429" s="20"/>
      <c r="X429" s="20"/>
      <c r="Y429" s="20"/>
    </row>
    <row r="430" spans="21:31" x14ac:dyDescent="0.15">
      <c r="U430" s="20"/>
      <c r="V430" s="20"/>
      <c r="W430" s="20"/>
      <c r="X430" s="20"/>
      <c r="Y430" s="20"/>
    </row>
    <row r="431" spans="21:31" x14ac:dyDescent="0.15">
      <c r="U431" s="20"/>
      <c r="V431" s="20"/>
      <c r="W431" s="20"/>
      <c r="X431" s="20"/>
      <c r="Y431" s="20"/>
    </row>
    <row r="432" spans="21:31" x14ac:dyDescent="0.15">
      <c r="U432" s="20"/>
      <c r="V432" s="20"/>
      <c r="W432" s="20"/>
      <c r="X432" s="20"/>
      <c r="Y432" s="20"/>
    </row>
    <row r="433" spans="21:25" x14ac:dyDescent="0.15">
      <c r="U433" s="20"/>
      <c r="V433" s="20"/>
      <c r="W433" s="20"/>
      <c r="X433" s="20"/>
      <c r="Y433" s="20"/>
    </row>
    <row r="434" spans="21:25" x14ac:dyDescent="0.15">
      <c r="U434" s="20"/>
      <c r="V434" s="20"/>
      <c r="W434" s="20"/>
      <c r="X434" s="20"/>
      <c r="Y434" s="20"/>
    </row>
    <row r="435" spans="21:25" x14ac:dyDescent="0.15">
      <c r="U435" s="20"/>
      <c r="V435" s="20"/>
      <c r="W435" s="20"/>
      <c r="X435" s="20"/>
      <c r="Y435" s="20"/>
    </row>
    <row r="436" spans="21:25" x14ac:dyDescent="0.15">
      <c r="U436" s="20"/>
      <c r="V436" s="20"/>
      <c r="W436" s="20"/>
      <c r="X436" s="20"/>
      <c r="Y436" s="20"/>
    </row>
    <row r="437" spans="21:25" x14ac:dyDescent="0.15">
      <c r="U437" s="20"/>
    </row>
    <row r="438" spans="21:25" x14ac:dyDescent="0.15">
      <c r="U438" s="20"/>
    </row>
    <row r="439" spans="21:25" x14ac:dyDescent="0.15">
      <c r="U439" s="20"/>
    </row>
    <row r="440" spans="21:25" x14ac:dyDescent="0.15">
      <c r="U440" s="20"/>
    </row>
    <row r="441" spans="21:25" x14ac:dyDescent="0.15">
      <c r="U441" s="20"/>
    </row>
    <row r="442" spans="21:25" x14ac:dyDescent="0.15">
      <c r="U442" s="20"/>
    </row>
  </sheetData>
  <sheetProtection formatCells="0" formatColumns="0" formatRows="0" insertColumns="0" insertRows="0" insertHyperlinks="0" deleteColumns="0" deleteRows="0" sort="0" autoFilter="0" pivotTables="0"/>
  <dataConsolidate function="average">
    <dataRefs count="1">
      <dataRef ref="A6:B221" sheet="Monthly Summary Jan-Mar" r:id="rId1"/>
    </dataRefs>
  </dataConsolidate>
  <mergeCells count="10">
    <mergeCell ref="Z5:Z6"/>
    <mergeCell ref="W5:W6"/>
    <mergeCell ref="S5:S6"/>
    <mergeCell ref="U5:U6"/>
    <mergeCell ref="B1:Q1"/>
    <mergeCell ref="B2:Q2"/>
    <mergeCell ref="B3:Q3"/>
    <mergeCell ref="Q5:Q6"/>
    <mergeCell ref="D5:P5"/>
    <mergeCell ref="X4:Z4"/>
  </mergeCells>
  <phoneticPr fontId="9" type="noConversion"/>
  <conditionalFormatting sqref="D7:P36 D39:P147 D37:H37 P37 I38:P38 D149:P155 D148:F148 P148 G156:P156">
    <cfRule type="cellIs" dxfId="24" priority="6" stopIfTrue="1" operator="greaterThan">
      <formula>30</formula>
    </cfRule>
    <cfRule type="cellIs" dxfId="23" priority="7" stopIfTrue="1" operator="between">
      <formula>0.1</formula>
      <formula>10</formula>
    </cfRule>
    <cfRule type="cellIs" dxfId="22" priority="8" stopIfTrue="1" operator="lessThan">
      <formula>0.1</formula>
    </cfRule>
  </conditionalFormatting>
  <conditionalFormatting sqref="W7:W156 Q7:Q156 S7:S156 U7:U156">
    <cfRule type="cellIs" dxfId="21" priority="1" stopIfTrue="1" operator="lessThan">
      <formula>0.5</formula>
    </cfRule>
    <cfRule type="cellIs" dxfId="20" priority="4" stopIfTrue="1" operator="lessThan">
      <formula>0.75</formula>
    </cfRule>
  </conditionalFormatting>
  <printOptions horizontalCentered="1"/>
  <pageMargins left="0.74803149606299213" right="0.74803149606299213" top="0.98425196850393704" bottom="0.98425196850393704" header="0.51181102362204722" footer="0.51181102362204722"/>
  <pageSetup paperSize="8" scale="54" orientation="portrait" r:id="rId2"/>
  <headerFooter alignWithMargins="0"/>
  <rowBreaks count="1" manualBreakCount="1">
    <brk id="79" max="7" man="1"/>
  </rowBreaks>
  <ignoredErrors>
    <ignoredError sqref="U7 S7 S39:U156 S8:U37" formulaRange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pageSetUpPr fitToPage="1"/>
  </sheetPr>
  <dimension ref="B1:AJ435"/>
  <sheetViews>
    <sheetView zoomScaleNormal="100" workbookViewId="0">
      <pane xSplit="2" ySplit="6" topLeftCell="D7" activePane="bottomRight" state="frozen"/>
      <selection activeCell="W155" sqref="W155"/>
      <selection pane="topRight" activeCell="W155" sqref="W155"/>
      <selection pane="bottomLeft" activeCell="W155" sqref="W155"/>
      <selection pane="bottomRight" activeCell="AD7" sqref="AD7"/>
    </sheetView>
  </sheetViews>
  <sheetFormatPr defaultColWidth="9.140625" defaultRowHeight="10.5" x14ac:dyDescent="0.15"/>
  <cols>
    <col min="1" max="1" width="9.140625" style="10"/>
    <col min="2" max="2" width="18.140625" style="21" customWidth="1"/>
    <col min="3" max="3" width="18.140625" style="21" hidden="1" customWidth="1"/>
    <col min="4" max="15" width="18.140625" style="10" customWidth="1"/>
    <col min="16" max="17" width="18.140625" style="20" customWidth="1"/>
    <col min="18" max="19" width="11.7109375" style="26" customWidth="1"/>
    <col min="20" max="20" width="11.7109375" style="21" customWidth="1"/>
    <col min="21" max="25" width="11.7109375" style="10" customWidth="1"/>
    <col min="26" max="26" width="11.7109375" style="39" customWidth="1"/>
    <col min="27" max="27" width="10.7109375" style="39" customWidth="1"/>
    <col min="28" max="28" width="21" style="39" bestFit="1" customWidth="1"/>
    <col min="29" max="29" width="10.7109375" style="39" customWidth="1"/>
    <col min="30" max="30" width="16.7109375" style="230" bestFit="1" customWidth="1"/>
    <col min="31" max="31" width="10.7109375" style="230"/>
    <col min="32" max="32" width="12.42578125" style="39" bestFit="1" customWidth="1"/>
    <col min="33" max="35" width="9.140625" style="39"/>
    <col min="36" max="16384" width="9.140625" style="10"/>
  </cols>
  <sheetData>
    <row r="1" spans="2:35" s="2" customFormat="1" ht="18" customHeight="1" thickTop="1" x14ac:dyDescent="0.15">
      <c r="B1" s="482" t="s">
        <v>448</v>
      </c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483"/>
      <c r="P1" s="483"/>
      <c r="Q1" s="484"/>
      <c r="R1" s="23"/>
      <c r="S1" s="23"/>
      <c r="T1" s="3"/>
      <c r="Z1" s="31"/>
      <c r="AA1" s="31"/>
      <c r="AB1" s="93"/>
      <c r="AC1" s="93"/>
      <c r="AD1" s="206"/>
      <c r="AE1" s="206"/>
      <c r="AF1" s="93"/>
      <c r="AG1" s="93"/>
      <c r="AH1" s="93"/>
      <c r="AI1" s="31"/>
    </row>
    <row r="2" spans="2:35" s="2" customFormat="1" ht="18" customHeight="1" x14ac:dyDescent="0.15">
      <c r="B2" s="485" t="s">
        <v>449</v>
      </c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7"/>
      <c r="R2" s="23"/>
      <c r="S2" s="23"/>
      <c r="T2" s="3"/>
      <c r="Z2" s="31"/>
      <c r="AA2" s="31"/>
      <c r="AB2" s="93"/>
      <c r="AC2" s="93"/>
      <c r="AD2" s="206"/>
      <c r="AE2" s="206"/>
      <c r="AF2" s="93"/>
      <c r="AG2" s="93"/>
      <c r="AH2" s="93"/>
      <c r="AI2" s="31"/>
    </row>
    <row r="3" spans="2:35" s="2" customFormat="1" ht="18" customHeight="1" thickBot="1" x14ac:dyDescent="0.2">
      <c r="B3" s="488" t="s">
        <v>450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489"/>
      <c r="Q3" s="490"/>
      <c r="R3" s="23"/>
      <c r="S3" s="23"/>
      <c r="T3" s="3"/>
      <c r="Z3" s="31"/>
      <c r="AA3" s="31"/>
      <c r="AB3" s="94"/>
      <c r="AC3" s="94"/>
      <c r="AD3" s="206"/>
      <c r="AE3" s="206"/>
      <c r="AF3" s="94"/>
      <c r="AG3" s="94"/>
      <c r="AH3" s="94"/>
      <c r="AI3" s="31"/>
    </row>
    <row r="4" spans="2:35" s="2" customFormat="1" ht="14.25" thickTop="1" thickBot="1" x14ac:dyDescent="0.25">
      <c r="B4" s="3"/>
      <c r="C4" s="3"/>
      <c r="P4" s="4"/>
      <c r="Q4" s="4"/>
      <c r="R4" s="21" t="s">
        <v>497</v>
      </c>
      <c r="S4" s="21"/>
      <c r="T4" s="21" t="s">
        <v>498</v>
      </c>
      <c r="U4" s="1"/>
      <c r="V4" s="1"/>
      <c r="W4" s="1"/>
      <c r="X4" s="449" t="s">
        <v>508</v>
      </c>
      <c r="Y4" s="449"/>
      <c r="Z4" s="449"/>
      <c r="AA4" s="31"/>
      <c r="AB4" s="31"/>
      <c r="AC4" s="31"/>
      <c r="AD4" s="206"/>
      <c r="AE4" s="206"/>
      <c r="AF4" s="31"/>
      <c r="AG4" s="31"/>
      <c r="AH4" s="31"/>
      <c r="AI4" s="31"/>
    </row>
    <row r="5" spans="2:35" s="2" customFormat="1" ht="14.25" customHeight="1" thickTop="1" thickBot="1" x14ac:dyDescent="0.2">
      <c r="B5" s="152"/>
      <c r="C5" s="106"/>
      <c r="D5" s="491" t="s">
        <v>451</v>
      </c>
      <c r="E5" s="491"/>
      <c r="F5" s="491"/>
      <c r="G5" s="491"/>
      <c r="H5" s="491"/>
      <c r="I5" s="491"/>
      <c r="J5" s="491"/>
      <c r="K5" s="491"/>
      <c r="L5" s="491"/>
      <c r="M5" s="491"/>
      <c r="N5" s="491"/>
      <c r="O5" s="491"/>
      <c r="P5" s="491"/>
      <c r="Q5" s="450" t="s">
        <v>452</v>
      </c>
      <c r="R5" s="139" t="s">
        <v>461</v>
      </c>
      <c r="S5" s="466" t="s">
        <v>452</v>
      </c>
      <c r="T5" s="139" t="s">
        <v>460</v>
      </c>
      <c r="U5" s="450" t="s">
        <v>452</v>
      </c>
      <c r="V5" s="168" t="s">
        <v>494</v>
      </c>
      <c r="W5" s="450" t="s">
        <v>452</v>
      </c>
      <c r="X5" s="139" t="s">
        <v>461</v>
      </c>
      <c r="Y5" s="139" t="s">
        <v>460</v>
      </c>
      <c r="Z5" s="450" t="s">
        <v>509</v>
      </c>
      <c r="AA5" s="31"/>
      <c r="AB5" s="95"/>
      <c r="AC5" s="96"/>
      <c r="AD5" s="96"/>
      <c r="AE5" s="96"/>
      <c r="AF5" s="96"/>
      <c r="AG5" s="96"/>
      <c r="AH5" s="96"/>
      <c r="AI5" s="97"/>
    </row>
    <row r="6" spans="2:35" s="2" customFormat="1" ht="14.25" customHeight="1" thickTop="1" x14ac:dyDescent="0.15">
      <c r="B6" s="157" t="s">
        <v>453</v>
      </c>
      <c r="C6" s="158">
        <v>40148</v>
      </c>
      <c r="D6" s="158">
        <v>40179</v>
      </c>
      <c r="E6" s="158">
        <v>40210</v>
      </c>
      <c r="F6" s="158">
        <v>40238</v>
      </c>
      <c r="G6" s="158">
        <v>40269</v>
      </c>
      <c r="H6" s="158">
        <v>40299</v>
      </c>
      <c r="I6" s="158">
        <v>40330</v>
      </c>
      <c r="J6" s="158">
        <v>40360</v>
      </c>
      <c r="K6" s="158">
        <v>40391</v>
      </c>
      <c r="L6" s="158">
        <v>40422</v>
      </c>
      <c r="M6" s="158">
        <v>40452</v>
      </c>
      <c r="N6" s="158">
        <v>40483</v>
      </c>
      <c r="O6" s="158">
        <v>40513</v>
      </c>
      <c r="P6" s="5" t="s">
        <v>459</v>
      </c>
      <c r="Q6" s="451"/>
      <c r="R6" s="149" t="s">
        <v>454</v>
      </c>
      <c r="S6" s="467"/>
      <c r="T6" s="149" t="s">
        <v>454</v>
      </c>
      <c r="U6" s="451"/>
      <c r="V6" s="158" t="s">
        <v>454</v>
      </c>
      <c r="W6" s="451"/>
      <c r="X6" s="149" t="s">
        <v>454</v>
      </c>
      <c r="Y6" s="149" t="s">
        <v>454</v>
      </c>
      <c r="Z6" s="451"/>
      <c r="AA6" s="31"/>
      <c r="AB6" s="98" t="s">
        <v>166</v>
      </c>
      <c r="AC6" s="34" t="s">
        <v>476</v>
      </c>
      <c r="AD6" s="34" t="s">
        <v>1087</v>
      </c>
      <c r="AE6" s="34" t="s">
        <v>1088</v>
      </c>
      <c r="AF6" s="34" t="s">
        <v>472</v>
      </c>
      <c r="AG6" s="34" t="s">
        <v>474</v>
      </c>
      <c r="AH6" s="34" t="s">
        <v>473</v>
      </c>
      <c r="AI6" s="99" t="s">
        <v>475</v>
      </c>
    </row>
    <row r="7" spans="2:35" ht="12" customHeight="1" x14ac:dyDescent="0.15">
      <c r="B7" s="6" t="s">
        <v>2</v>
      </c>
      <c r="C7" s="29" t="str">
        <f>IF(ISBLANK(VLOOKUP($B7,'Monthly Summary 2009'!$B$7:$Q$106,14,FALSE)),"",IF(ISERROR(VLOOKUP(B7,'Monthly Summary 2009'!$B$7:$Q$106,14,FALSE)),"",VLOOKUP(B7,'Monthly Summary 2009'!$B$7:$Q$106,14,FALSE)))</f>
        <v/>
      </c>
      <c r="D7" s="7"/>
      <c r="E7" s="7">
        <v>18.899999999999999</v>
      </c>
      <c r="F7" s="7"/>
      <c r="G7" s="7"/>
      <c r="H7" s="7"/>
      <c r="I7" s="7"/>
      <c r="J7" s="7"/>
      <c r="K7" s="7"/>
      <c r="L7" s="7">
        <v>31.6</v>
      </c>
      <c r="M7" s="7">
        <v>23.9</v>
      </c>
      <c r="N7" s="7">
        <v>24.3</v>
      </c>
      <c r="O7" s="7">
        <v>17.100000000000001</v>
      </c>
      <c r="P7" s="8">
        <f>AVERAGE(D7:O7)</f>
        <v>23.160000000000004</v>
      </c>
      <c r="Q7" s="9">
        <f>COUNT(D7:O7)/COUNT($D$6:$O$6)</f>
        <v>0.41666666666666669</v>
      </c>
      <c r="R7" s="140" t="str">
        <f>IF($S7=0%,"",IF($S7&gt;66%,AVERAGE($D7:$F7),"-"))</f>
        <v>-</v>
      </c>
      <c r="S7" s="150">
        <f>COUNT(D7:F7)/3</f>
        <v>0.33333333333333331</v>
      </c>
      <c r="T7" s="140" t="str">
        <f>IF($U7=0%,"",IF($U7&gt;66%,AVERAGE($J7:$L7),"-"))</f>
        <v>-</v>
      </c>
      <c r="U7" s="150">
        <f>COUNT(J7:L7)/3</f>
        <v>0.33333333333333331</v>
      </c>
      <c r="V7" s="141" t="str">
        <f>IF(AND(($S7&gt;33%),($U7&gt;33%),($W7&gt;=75%)),AVERAGE($D7:$O7),"-")</f>
        <v>-</v>
      </c>
      <c r="W7" s="142">
        <f>Q7</f>
        <v>0.41666666666666669</v>
      </c>
      <c r="X7" s="144" t="str">
        <f t="shared" ref="X7:X38" ca="1" si="0">IF(VLOOKUP($B7,$AC$6:$AI$158,3,FALSE)="",$R7,IF(ISERROR(AVERAGEIF($AD$6:$AD$161,VLOOKUP($B7,$AC$6:$AI$158,2,FALSE),$R$6:$R$158)),"",AVERAGEIF($AD$6:$AD$161,VLOOKUP($B7,$AC$6:$AI$158,2,FALSE),$R$6:$R$158)))</f>
        <v/>
      </c>
      <c r="Y7" s="144" t="str">
        <f t="shared" ref="Y7:Y38" ca="1" si="1">IF(VLOOKUP($B7,$AC$6:$AI$158,3,FALSE)="",$T7,IF(ISERROR(AVERAGEIF($AD$6:$AD$161,VLOOKUP($B7,$AC$6:$AI$158,2,FALSE),$T$6:$T$158)),"",AVERAGEIF($AD$6:$AD$161,VLOOKUP($B7,$AC$6:$AI$158,2,FALSE),$T$6:$T$158)))</f>
        <v/>
      </c>
      <c r="Z7" s="144" t="str">
        <f t="shared" ref="Z7:Z38" ca="1" si="2">IF(VLOOKUP($B7,$AC$6:$AI$158,3,FALSE)="",$V7,IF(ISERROR(AVERAGEIF($AD$6:$AD$161,VLOOKUP($B7,$AC$6:$AI$158,2,FALSE),$V$6:$V$158)),"",AVERAGEIF($AD$6:$AD$161,VLOOKUP($B7,$AC$6:$AI$158,2,FALSE),$V$6:$V$158)))</f>
        <v/>
      </c>
      <c r="AA7" s="10"/>
      <c r="AB7" s="100" t="str">
        <f>VLOOKUP($B7,'2007-2020 Metadata'!$A$4:$S$214,MATCH("Urban Area /Monitoring Zone",'2007-2020 Metadata'!$A$4:$S$4,0),FALSE)</f>
        <v>Whangarei</v>
      </c>
      <c r="AC7" s="87" t="str">
        <f>VLOOKUP(B7,'2007-2020 Metadata'!$A$6:$A$214,1,FALSE)</f>
        <v>AUC001</v>
      </c>
      <c r="AD7" s="230" t="str">
        <f>VLOOKUP($AC7,'2007-2020 Metadata'!$A$6:$S$214,9,FALSE)</f>
        <v>Whangarei</v>
      </c>
      <c r="AE7" s="248">
        <f>IF(ISBLANK(VLOOKUP($AC7,'2007-2020 Metadata'!$A$6:$S$214,19,FALSE)),"",VLOOKUP($AC7,'2007-2020 Metadata'!$A$6:$S$214,19,FALSE))</f>
        <v>3.2</v>
      </c>
      <c r="AF7" s="88" t="str">
        <f>VLOOKUP($B7,'2007-2020 Metadata'!$A$4:$S$214,MATCH("Site type",'2007-2020 Metadata'!$A$4:$S$4,0),FALSE)</f>
        <v>SH</v>
      </c>
      <c r="AG7" s="143">
        <f>MIN($D7:$O7)</f>
        <v>17.100000000000001</v>
      </c>
      <c r="AH7" s="143">
        <f>MAX($D7:$O7)</f>
        <v>31.6</v>
      </c>
      <c r="AI7" s="144" t="str">
        <f>IF($W7&gt;=75%,$Z7," ")</f>
        <v xml:space="preserve"> </v>
      </c>
    </row>
    <row r="8" spans="2:35" ht="12" customHeight="1" x14ac:dyDescent="0.15">
      <c r="B8" s="11" t="s">
        <v>3</v>
      </c>
      <c r="C8" s="29">
        <f>IF(ISBLANK(VLOOKUP($B8,'Monthly Summary 2009'!$B$7:$Q$106,14,FALSE)),"",IF(ISERROR(VLOOKUP(B8,'Monthly Summary 2009'!$B$7:$Q$106,14,FALSE)),"",VLOOKUP(B8,'Monthly Summary 2009'!$B$7:$Q$106,14,FALSE)))</f>
        <v>4.7</v>
      </c>
      <c r="D8" s="7">
        <v>8.6</v>
      </c>
      <c r="E8" s="7">
        <v>17.3</v>
      </c>
      <c r="F8" s="7">
        <v>8.3000000000000007</v>
      </c>
      <c r="G8" s="7"/>
      <c r="H8" s="7">
        <v>12.5</v>
      </c>
      <c r="I8" s="7">
        <v>13</v>
      </c>
      <c r="J8" s="7">
        <v>11.7</v>
      </c>
      <c r="K8" s="7">
        <v>12.7</v>
      </c>
      <c r="L8" s="7">
        <v>6.7</v>
      </c>
      <c r="M8" s="7">
        <v>8.3000000000000007</v>
      </c>
      <c r="N8" s="7">
        <v>10.6</v>
      </c>
      <c r="O8" s="7">
        <v>9</v>
      </c>
      <c r="P8" s="8">
        <f t="shared" ref="P8:P71" si="3">AVERAGE(D8:O8)</f>
        <v>10.790909090909091</v>
      </c>
      <c r="Q8" s="9">
        <f t="shared" ref="Q8:Q71" si="4">COUNT(D8:O8)/COUNT($D$6:$O$6)</f>
        <v>0.91666666666666663</v>
      </c>
      <c r="R8" s="140">
        <f t="shared" ref="R8:R71" si="5">IF($S8=0%,"",IF($S8&gt;66%,AVERAGE($D8:$F8),"-"))</f>
        <v>11.4</v>
      </c>
      <c r="S8" s="24">
        <f t="shared" ref="S8:S71" si="6">COUNT(D8:F8)/3</f>
        <v>1</v>
      </c>
      <c r="T8" s="140">
        <f t="shared" ref="T8:T71" si="7">IF($U8=0%,"",IF($U8&gt;66%,AVERAGE($J8:$L8),"-"))</f>
        <v>10.366666666666665</v>
      </c>
      <c r="U8" s="150">
        <f t="shared" ref="U8:U71" si="8">COUNT(J8:L8)/3</f>
        <v>1</v>
      </c>
      <c r="V8" s="141">
        <f t="shared" ref="V8:V71" si="9">IF(AND(($S8&gt;33%),($U8&gt;33%),($W8&gt;=75%)),AVERAGE($D8:$O8),"-")</f>
        <v>10.790909090909091</v>
      </c>
      <c r="W8" s="142">
        <f t="shared" ref="W8:W71" si="10">Q8</f>
        <v>0.91666666666666663</v>
      </c>
      <c r="X8" s="144">
        <f t="shared" ca="1" si="0"/>
        <v>11.4</v>
      </c>
      <c r="Y8" s="144">
        <f t="shared" ca="1" si="1"/>
        <v>10.366666666666665</v>
      </c>
      <c r="Z8" s="144">
        <f t="shared" ca="1" si="2"/>
        <v>10.790909090909091</v>
      </c>
      <c r="AA8" s="10"/>
      <c r="AB8" s="357" t="str">
        <f>VLOOKUP($B8,'2007-2020 Metadata'!$A$4:$S$214,MATCH("Urban Area /Monitoring Zone",'2007-2020 Metadata'!$A$4:$S$4,0),FALSE)</f>
        <v>Auckland - Northern</v>
      </c>
      <c r="AC8" s="87" t="str">
        <f>VLOOKUP(B8,'2007-2020 Metadata'!$A$6:$A$214,1,FALSE)</f>
        <v>AUC004</v>
      </c>
      <c r="AD8" s="230" t="str">
        <f>VLOOKUP($AC8,'2007-2020 Metadata'!$A$6:$S$214,9,FALSE)</f>
        <v>Rodney</v>
      </c>
      <c r="AE8" s="248">
        <f>IF(ISBLANK(VLOOKUP($AC8,'2007-2020 Metadata'!$A$6:$S$214,19,FALSE)),"",VLOOKUP($AC8,'2007-2020 Metadata'!$A$6:$S$214,19,FALSE))</f>
        <v>2.5</v>
      </c>
      <c r="AF8" s="88" t="str">
        <f>VLOOKUP($B8,'2007-2020 Metadata'!$A$4:$S$214,MATCH("Site type",'2007-2020 Metadata'!$A$4:$S$4,0),FALSE)</f>
        <v>SH</v>
      </c>
      <c r="AG8" s="143">
        <f t="shared" ref="AG8:AG71" si="11">MIN($D8:$O8)</f>
        <v>6.7</v>
      </c>
      <c r="AH8" s="143">
        <f t="shared" ref="AH8:AH71" si="12">MAX($D8:$O8)</f>
        <v>17.3</v>
      </c>
      <c r="AI8" s="144">
        <f t="shared" ref="AI8:AI71" ca="1" si="13">IF($W8&gt;=75%,$Z8," ")</f>
        <v>10.790909090909091</v>
      </c>
    </row>
    <row r="9" spans="2:35" ht="12" customHeight="1" x14ac:dyDescent="0.15">
      <c r="B9" s="11" t="s">
        <v>4</v>
      </c>
      <c r="C9" s="29">
        <f>IF(ISBLANK(VLOOKUP($B9,'Monthly Summary 2009'!$B$7:$Q$106,14,FALSE)),"",IF(ISERROR(VLOOKUP(B9,'Monthly Summary 2009'!$B$7:$Q$106,14,FALSE)),"",VLOOKUP(B9,'Monthly Summary 2009'!$B$7:$Q$106,14,FALSE)))</f>
        <v>16.899999999999999</v>
      </c>
      <c r="D9" s="7">
        <v>21.4</v>
      </c>
      <c r="E9" s="7">
        <v>22.7</v>
      </c>
      <c r="F9" s="7"/>
      <c r="G9" s="7"/>
      <c r="H9" s="7">
        <v>33.700000000000003</v>
      </c>
      <c r="I9" s="7">
        <v>36.4</v>
      </c>
      <c r="J9" s="7">
        <v>32.200000000000003</v>
      </c>
      <c r="K9" s="7">
        <v>32.4</v>
      </c>
      <c r="L9" s="7">
        <v>24.8</v>
      </c>
      <c r="M9" s="7">
        <v>25.5</v>
      </c>
      <c r="N9" s="7">
        <v>30.8</v>
      </c>
      <c r="O9" s="7">
        <v>23.6</v>
      </c>
      <c r="P9" s="8">
        <f t="shared" si="3"/>
        <v>28.35</v>
      </c>
      <c r="Q9" s="9">
        <f t="shared" si="4"/>
        <v>0.83333333333333337</v>
      </c>
      <c r="R9" s="140">
        <f t="shared" si="5"/>
        <v>22.049999999999997</v>
      </c>
      <c r="S9" s="24">
        <f t="shared" si="6"/>
        <v>0.66666666666666663</v>
      </c>
      <c r="T9" s="140">
        <f t="shared" si="7"/>
        <v>29.799999999999997</v>
      </c>
      <c r="U9" s="150">
        <f t="shared" si="8"/>
        <v>1</v>
      </c>
      <c r="V9" s="141">
        <f t="shared" si="9"/>
        <v>28.35</v>
      </c>
      <c r="W9" s="142">
        <f t="shared" si="10"/>
        <v>0.83333333333333337</v>
      </c>
      <c r="X9" s="144">
        <f t="shared" ca="1" si="0"/>
        <v>20.046969696969697</v>
      </c>
      <c r="Y9" s="144">
        <f t="shared" ca="1" si="1"/>
        <v>32.275757575757574</v>
      </c>
      <c r="Z9" s="144">
        <f t="shared" ca="1" si="2"/>
        <v>25.783333333333335</v>
      </c>
      <c r="AA9" s="10"/>
      <c r="AB9" s="357" t="str">
        <f>VLOOKUP($B9,'2007-2020 Metadata'!$A$4:$S$214,MATCH("Urban Area /Monitoring Zone",'2007-2020 Metadata'!$A$4:$S$4,0),FALSE)</f>
        <v>Auckland - Northern</v>
      </c>
      <c r="AC9" s="87" t="str">
        <f>VLOOKUP(B9,'2007-2020 Metadata'!$A$6:$A$214,1,FALSE)</f>
        <v>AUC005</v>
      </c>
      <c r="AD9" s="230" t="str">
        <f>VLOOKUP($AC9,'2007-2020 Metadata'!$A$6:$S$214,9,FALSE)</f>
        <v xml:space="preserve">North Shore </v>
      </c>
      <c r="AE9" s="248">
        <f>IF(ISBLANK(VLOOKUP($AC9,'2007-2020 Metadata'!$A$6:$S$214,19,FALSE)),"",VLOOKUP($AC9,'2007-2020 Metadata'!$A$6:$S$214,19,FALSE))</f>
        <v>2.1</v>
      </c>
      <c r="AF9" s="88" t="str">
        <f>VLOOKUP($B9,'2007-2020 Metadata'!$A$4:$S$214,MATCH("Site type",'2007-2020 Metadata'!$A$4:$S$4,0),FALSE)</f>
        <v>Local</v>
      </c>
      <c r="AG9" s="143">
        <f t="shared" si="11"/>
        <v>21.4</v>
      </c>
      <c r="AH9" s="143">
        <f t="shared" si="12"/>
        <v>36.4</v>
      </c>
      <c r="AI9" s="144">
        <f t="shared" ca="1" si="13"/>
        <v>25.783333333333335</v>
      </c>
    </row>
    <row r="10" spans="2:35" ht="12" customHeight="1" x14ac:dyDescent="0.15">
      <c r="B10" s="11" t="s">
        <v>6</v>
      </c>
      <c r="C10" s="29" t="str">
        <f>IF(ISBLANK(VLOOKUP($B10,'Monthly Summary 2009'!$B$7:$Q$106,14,FALSE)),"",IF(ISERROR(VLOOKUP(B10,'Monthly Summary 2009'!$B$7:$Q$106,14,FALSE)),"",VLOOKUP(B10,'Monthly Summary 2009'!$B$7:$Q$106,14,FALSE)))</f>
        <v/>
      </c>
      <c r="D10" s="7">
        <v>26.2</v>
      </c>
      <c r="E10" s="7">
        <v>26.1</v>
      </c>
      <c r="F10" s="7">
        <v>25.7</v>
      </c>
      <c r="G10" s="7">
        <v>32.299999999999997</v>
      </c>
      <c r="H10" s="7">
        <v>34.1</v>
      </c>
      <c r="I10" s="7">
        <v>31.5</v>
      </c>
      <c r="J10" s="7">
        <v>45.8</v>
      </c>
      <c r="K10" s="7">
        <v>26.3</v>
      </c>
      <c r="L10" s="7">
        <v>23.1</v>
      </c>
      <c r="M10" s="7">
        <v>27.7</v>
      </c>
      <c r="N10" s="7">
        <v>25</v>
      </c>
      <c r="O10" s="7">
        <v>18.600000000000001</v>
      </c>
      <c r="P10" s="8">
        <f t="shared" si="3"/>
        <v>28.533333333333335</v>
      </c>
      <c r="Q10" s="9">
        <f t="shared" si="4"/>
        <v>1</v>
      </c>
      <c r="R10" s="140">
        <f t="shared" si="5"/>
        <v>26</v>
      </c>
      <c r="S10" s="24">
        <f t="shared" si="6"/>
        <v>1</v>
      </c>
      <c r="T10" s="140">
        <f t="shared" si="7"/>
        <v>31.733333333333331</v>
      </c>
      <c r="U10" s="150">
        <f t="shared" si="8"/>
        <v>1</v>
      </c>
      <c r="V10" s="141">
        <f t="shared" si="9"/>
        <v>28.533333333333335</v>
      </c>
      <c r="W10" s="142">
        <f t="shared" si="10"/>
        <v>1</v>
      </c>
      <c r="X10" s="144">
        <f t="shared" ca="1" si="0"/>
        <v>20.046969696969697</v>
      </c>
      <c r="Y10" s="144">
        <f t="shared" ca="1" si="1"/>
        <v>32.275757575757574</v>
      </c>
      <c r="Z10" s="144">
        <f t="shared" ca="1" si="2"/>
        <v>25.783333333333335</v>
      </c>
      <c r="AA10" s="10"/>
      <c r="AB10" s="357" t="str">
        <f>VLOOKUP($B10,'2007-2020 Metadata'!$A$4:$S$214,MATCH("Urban Area /Monitoring Zone",'2007-2020 Metadata'!$A$4:$S$4,0),FALSE)</f>
        <v>Auckland - Northern</v>
      </c>
      <c r="AC10" s="87" t="str">
        <f>VLOOKUP(B10,'2007-2020 Metadata'!$A$6:$A$214,1,FALSE)</f>
        <v>AUC007</v>
      </c>
      <c r="AD10" s="230" t="str">
        <f>VLOOKUP($AC10,'2007-2020 Metadata'!$A$6:$S$214,9,FALSE)</f>
        <v xml:space="preserve">North Shore </v>
      </c>
      <c r="AE10" s="248">
        <f>IF(ISBLANK(VLOOKUP($AC10,'2007-2020 Metadata'!$A$6:$S$214,19,FALSE)),"",VLOOKUP($AC10,'2007-2020 Metadata'!$A$6:$S$214,19,FALSE))</f>
        <v>3</v>
      </c>
      <c r="AF10" s="88" t="str">
        <f>VLOOKUP($B10,'2007-2020 Metadata'!$A$4:$S$214,MATCH("Site type",'2007-2020 Metadata'!$A$4:$S$4,0),FALSE)</f>
        <v>SH</v>
      </c>
      <c r="AG10" s="143">
        <f t="shared" si="11"/>
        <v>18.600000000000001</v>
      </c>
      <c r="AH10" s="143">
        <f t="shared" si="12"/>
        <v>45.8</v>
      </c>
      <c r="AI10" s="144">
        <f t="shared" ca="1" si="13"/>
        <v>25.783333333333335</v>
      </c>
    </row>
    <row r="11" spans="2:35" ht="12" customHeight="1" x14ac:dyDescent="0.15">
      <c r="B11" s="11" t="s">
        <v>7</v>
      </c>
      <c r="C11" s="29">
        <f>IF(ISBLANK(VLOOKUP($B11,'Monthly Summary 2009'!$B$7:$Q$106,14,FALSE)),"",IF(ISERROR(VLOOKUP(B11,'Monthly Summary 2009'!$B$7:$Q$106,14,FALSE)),"",VLOOKUP(B11,'Monthly Summary 2009'!$B$7:$Q$106,14,FALSE)))</f>
        <v>7.5</v>
      </c>
      <c r="D11" s="7">
        <v>22.7</v>
      </c>
      <c r="E11" s="7">
        <v>25.9</v>
      </c>
      <c r="F11" s="7">
        <v>27.2</v>
      </c>
      <c r="G11" s="7">
        <v>27.7</v>
      </c>
      <c r="H11" s="7">
        <v>38.6</v>
      </c>
      <c r="I11" s="7">
        <v>32.6</v>
      </c>
      <c r="J11" s="7">
        <v>41.1</v>
      </c>
      <c r="K11" s="7">
        <v>30</v>
      </c>
      <c r="L11" s="7">
        <v>19.7</v>
      </c>
      <c r="M11" s="7">
        <v>22.4</v>
      </c>
      <c r="N11" s="7">
        <v>23.4</v>
      </c>
      <c r="O11" s="7">
        <v>19.600000000000001</v>
      </c>
      <c r="P11" s="8">
        <f t="shared" si="3"/>
        <v>27.574999999999999</v>
      </c>
      <c r="Q11" s="9">
        <f t="shared" si="4"/>
        <v>1</v>
      </c>
      <c r="R11" s="140">
        <f t="shared" si="5"/>
        <v>25.266666666666666</v>
      </c>
      <c r="S11" s="24">
        <f t="shared" si="6"/>
        <v>1</v>
      </c>
      <c r="T11" s="140">
        <f t="shared" si="7"/>
        <v>30.266666666666666</v>
      </c>
      <c r="U11" s="150">
        <f t="shared" si="8"/>
        <v>1</v>
      </c>
      <c r="V11" s="141">
        <f t="shared" si="9"/>
        <v>27.574999999999999</v>
      </c>
      <c r="W11" s="142">
        <f t="shared" si="10"/>
        <v>1</v>
      </c>
      <c r="X11" s="144">
        <f t="shared" ca="1" si="0"/>
        <v>24.453846153846158</v>
      </c>
      <c r="Y11" s="144">
        <f t="shared" ca="1" si="1"/>
        <v>37.620512820512822</v>
      </c>
      <c r="Z11" s="144">
        <f t="shared" ca="1" si="2"/>
        <v>30.885236985236983</v>
      </c>
      <c r="AA11" s="10"/>
      <c r="AB11" s="357" t="str">
        <f>VLOOKUP($B11,'2007-2020 Metadata'!$A$4:$S$214,MATCH("Urban Area /Monitoring Zone",'2007-2020 Metadata'!$A$4:$S$4,0),FALSE)</f>
        <v>Auckland - Central</v>
      </c>
      <c r="AC11" s="87" t="str">
        <f>VLOOKUP(B11,'2007-2020 Metadata'!$A$6:$A$214,1,FALSE)</f>
        <v>AUC008</v>
      </c>
      <c r="AD11" s="230" t="str">
        <f>VLOOKUP($AC11,'2007-2020 Metadata'!$A$6:$S$214,9,FALSE)</f>
        <v>Auckland</v>
      </c>
      <c r="AE11" s="248">
        <f>IF(ISBLANK(VLOOKUP($AC11,'2007-2020 Metadata'!$A$6:$S$214,19,FALSE)),"",VLOOKUP($AC11,'2007-2020 Metadata'!$A$6:$S$214,19,FALSE))</f>
        <v>3</v>
      </c>
      <c r="AF11" s="88" t="str">
        <f>VLOOKUP($B11,'2007-2020 Metadata'!$A$4:$S$214,MATCH("Site type",'2007-2020 Metadata'!$A$4:$S$4,0),FALSE)</f>
        <v>SH</v>
      </c>
      <c r="AG11" s="143">
        <f t="shared" si="11"/>
        <v>19.600000000000001</v>
      </c>
      <c r="AH11" s="143">
        <f t="shared" si="12"/>
        <v>41.1</v>
      </c>
      <c r="AI11" s="144">
        <f t="shared" ca="1" si="13"/>
        <v>30.885236985236983</v>
      </c>
    </row>
    <row r="12" spans="2:35" ht="12" customHeight="1" x14ac:dyDescent="0.15">
      <c r="B12" s="11" t="s">
        <v>8</v>
      </c>
      <c r="C12" s="29" t="str">
        <f>IF(ISBLANK(VLOOKUP($B12,'Monthly Summary 2009'!$B$7:$Q$106,14,FALSE)),"",IF(ISERROR(VLOOKUP(B12,'Monthly Summary 2009'!$B$7:$Q$106,14,FALSE)),"",VLOOKUP(B12,'Monthly Summary 2009'!$B$7:$Q$106,14,FALSE)))</f>
        <v/>
      </c>
      <c r="D12" s="7">
        <v>30.9</v>
      </c>
      <c r="E12" s="7">
        <v>34.799999999999997</v>
      </c>
      <c r="F12" s="7">
        <v>35.6</v>
      </c>
      <c r="G12" s="7">
        <v>46.9</v>
      </c>
      <c r="H12" s="7">
        <v>41.2</v>
      </c>
      <c r="I12" s="7">
        <v>56.2</v>
      </c>
      <c r="J12" s="7"/>
      <c r="K12" s="7">
        <v>55.2</v>
      </c>
      <c r="L12" s="7">
        <v>38.5</v>
      </c>
      <c r="M12" s="7">
        <v>40.799999999999997</v>
      </c>
      <c r="N12" s="7">
        <v>44.1</v>
      </c>
      <c r="O12" s="7">
        <v>24.4</v>
      </c>
      <c r="P12" s="8">
        <f t="shared" si="3"/>
        <v>40.781818181818181</v>
      </c>
      <c r="Q12" s="9">
        <f t="shared" si="4"/>
        <v>0.91666666666666663</v>
      </c>
      <c r="R12" s="140">
        <f t="shared" si="5"/>
        <v>33.766666666666659</v>
      </c>
      <c r="S12" s="24">
        <f t="shared" si="6"/>
        <v>1</v>
      </c>
      <c r="T12" s="140">
        <f t="shared" si="7"/>
        <v>46.85</v>
      </c>
      <c r="U12" s="150">
        <f t="shared" si="8"/>
        <v>0.66666666666666663</v>
      </c>
      <c r="V12" s="141">
        <f t="shared" si="9"/>
        <v>40.781818181818181</v>
      </c>
      <c r="W12" s="142">
        <f t="shared" si="10"/>
        <v>0.91666666666666663</v>
      </c>
      <c r="X12" s="144">
        <f t="shared" ca="1" si="0"/>
        <v>24.453846153846158</v>
      </c>
      <c r="Y12" s="144">
        <f t="shared" ca="1" si="1"/>
        <v>37.620512820512822</v>
      </c>
      <c r="Z12" s="144">
        <f t="shared" ca="1" si="2"/>
        <v>30.885236985236983</v>
      </c>
      <c r="AA12" s="10"/>
      <c r="AB12" s="357" t="str">
        <f>VLOOKUP($B12,'2007-2020 Metadata'!$A$4:$S$214,MATCH("Urban Area /Monitoring Zone",'2007-2020 Metadata'!$A$4:$S$4,0),FALSE)</f>
        <v>Auckland - Central</v>
      </c>
      <c r="AC12" s="87" t="str">
        <f>VLOOKUP(B12,'2007-2020 Metadata'!$A$6:$A$214,1,FALSE)</f>
        <v>AUC009</v>
      </c>
      <c r="AD12" s="230" t="str">
        <f>VLOOKUP($AC12,'2007-2020 Metadata'!$A$6:$S$214,9,FALSE)</f>
        <v>Auckland</v>
      </c>
      <c r="AE12" s="248">
        <f>IF(ISBLANK(VLOOKUP($AC12,'2007-2020 Metadata'!$A$6:$S$214,19,FALSE)),"",VLOOKUP($AC12,'2007-2020 Metadata'!$A$6:$S$214,19,FALSE))</f>
        <v>3</v>
      </c>
      <c r="AF12" s="88" t="str">
        <f>VLOOKUP($B12,'2007-2020 Metadata'!$A$4:$S$214,MATCH("Site type",'2007-2020 Metadata'!$A$4:$S$4,0),FALSE)</f>
        <v>SH</v>
      </c>
      <c r="AG12" s="143">
        <f t="shared" si="11"/>
        <v>24.4</v>
      </c>
      <c r="AH12" s="143">
        <f t="shared" si="12"/>
        <v>56.2</v>
      </c>
      <c r="AI12" s="144">
        <f t="shared" ca="1" si="13"/>
        <v>30.885236985236983</v>
      </c>
    </row>
    <row r="13" spans="2:35" ht="12" customHeight="1" x14ac:dyDescent="0.15">
      <c r="B13" s="11" t="s">
        <v>9</v>
      </c>
      <c r="C13" s="29">
        <f>IF(ISBLANK(VLOOKUP($B13,'Monthly Summary 2009'!$B$7:$Q$106,14,FALSE)),"",IF(ISERROR(VLOOKUP(B13,'Monthly Summary 2009'!$B$7:$Q$106,14,FALSE)),"",VLOOKUP(B13,'Monthly Summary 2009'!$B$7:$Q$106,14,FALSE)))</f>
        <v>22</v>
      </c>
      <c r="D13" s="7">
        <v>24.2</v>
      </c>
      <c r="E13" s="7">
        <v>25.8</v>
      </c>
      <c r="F13" s="7">
        <v>39.9</v>
      </c>
      <c r="G13" s="7">
        <v>41.1</v>
      </c>
      <c r="H13" s="7">
        <v>41</v>
      </c>
      <c r="I13" s="7">
        <v>54.2</v>
      </c>
      <c r="J13" s="7">
        <v>52.4</v>
      </c>
      <c r="K13" s="7">
        <v>44.2</v>
      </c>
      <c r="L13" s="7">
        <v>35</v>
      </c>
      <c r="M13" s="7">
        <v>29.6</v>
      </c>
      <c r="N13" s="7">
        <v>33.5</v>
      </c>
      <c r="O13" s="7">
        <v>19.7</v>
      </c>
      <c r="P13" s="8">
        <f t="shared" si="3"/>
        <v>36.716666666666661</v>
      </c>
      <c r="Q13" s="9">
        <f t="shared" si="4"/>
        <v>1</v>
      </c>
      <c r="R13" s="140">
        <f t="shared" si="5"/>
        <v>29.966666666666669</v>
      </c>
      <c r="S13" s="24">
        <f t="shared" si="6"/>
        <v>1</v>
      </c>
      <c r="T13" s="140">
        <f t="shared" si="7"/>
        <v>43.866666666666667</v>
      </c>
      <c r="U13" s="150">
        <f t="shared" si="8"/>
        <v>1</v>
      </c>
      <c r="V13" s="141">
        <f t="shared" si="9"/>
        <v>36.716666666666661</v>
      </c>
      <c r="W13" s="142">
        <f t="shared" si="10"/>
        <v>1</v>
      </c>
      <c r="X13" s="144">
        <f t="shared" ca="1" si="0"/>
        <v>24.453846153846158</v>
      </c>
      <c r="Y13" s="144">
        <f t="shared" ca="1" si="1"/>
        <v>37.620512820512822</v>
      </c>
      <c r="Z13" s="144">
        <f t="shared" ca="1" si="2"/>
        <v>30.885236985236983</v>
      </c>
      <c r="AA13" s="10"/>
      <c r="AB13" s="357" t="str">
        <f>VLOOKUP($B13,'2007-2020 Metadata'!$A$4:$S$214,MATCH("Urban Area /Monitoring Zone",'2007-2020 Metadata'!$A$4:$S$4,0),FALSE)</f>
        <v>Auckland - Central</v>
      </c>
      <c r="AC13" s="87" t="str">
        <f>VLOOKUP(B13,'2007-2020 Metadata'!$A$6:$A$214,1,FALSE)</f>
        <v>AUC011</v>
      </c>
      <c r="AD13" s="230" t="str">
        <f>VLOOKUP($AC13,'2007-2020 Metadata'!$A$6:$S$214,9,FALSE)</f>
        <v>Auckland</v>
      </c>
      <c r="AE13" s="248">
        <f>IF(ISBLANK(VLOOKUP($AC13,'2007-2020 Metadata'!$A$6:$S$214,19,FALSE)),"",VLOOKUP($AC13,'2007-2020 Metadata'!$A$6:$S$214,19,FALSE))</f>
        <v>3</v>
      </c>
      <c r="AF13" s="88" t="str">
        <f>VLOOKUP($B13,'2007-2020 Metadata'!$A$4:$S$214,MATCH("Site type",'2007-2020 Metadata'!$A$4:$S$4,0),FALSE)</f>
        <v>SH</v>
      </c>
      <c r="AG13" s="143">
        <f t="shared" si="11"/>
        <v>19.7</v>
      </c>
      <c r="AH13" s="143">
        <f t="shared" si="12"/>
        <v>54.2</v>
      </c>
      <c r="AI13" s="144">
        <f t="shared" ca="1" si="13"/>
        <v>30.885236985236983</v>
      </c>
    </row>
    <row r="14" spans="2:35" ht="12" customHeight="1" x14ac:dyDescent="0.15">
      <c r="B14" s="11" t="s">
        <v>10</v>
      </c>
      <c r="C14" s="29">
        <f>IF(ISBLANK(VLOOKUP($B14,'Monthly Summary 2009'!$B$7:$Q$106,14,FALSE)),"",IF(ISERROR(VLOOKUP(B14,'Monthly Summary 2009'!$B$7:$Q$106,14,FALSE)),"",VLOOKUP(B14,'Monthly Summary 2009'!$B$7:$Q$106,14,FALSE)))</f>
        <v>18.8</v>
      </c>
      <c r="D14" s="7">
        <v>16.100000000000001</v>
      </c>
      <c r="E14" s="7">
        <v>25.7</v>
      </c>
      <c r="F14" s="7">
        <v>28.9</v>
      </c>
      <c r="G14" s="7">
        <v>34.6</v>
      </c>
      <c r="H14" s="7">
        <v>29.4</v>
      </c>
      <c r="I14" s="7">
        <v>45.5</v>
      </c>
      <c r="J14" s="7">
        <v>47.7</v>
      </c>
      <c r="K14" s="7">
        <v>38.5</v>
      </c>
      <c r="L14" s="7">
        <v>28.7</v>
      </c>
      <c r="M14" s="7">
        <v>27.4</v>
      </c>
      <c r="N14" s="7">
        <v>26</v>
      </c>
      <c r="O14" s="7">
        <v>12.4</v>
      </c>
      <c r="P14" s="8">
        <f t="shared" si="3"/>
        <v>30.074999999999992</v>
      </c>
      <c r="Q14" s="9">
        <f t="shared" si="4"/>
        <v>1</v>
      </c>
      <c r="R14" s="260">
        <f t="shared" si="5"/>
        <v>23.566666666666663</v>
      </c>
      <c r="S14" s="264">
        <f t="shared" si="6"/>
        <v>1</v>
      </c>
      <c r="T14" s="260">
        <f t="shared" si="7"/>
        <v>38.300000000000004</v>
      </c>
      <c r="U14" s="261">
        <f t="shared" si="8"/>
        <v>1</v>
      </c>
      <c r="V14" s="262">
        <f t="shared" si="9"/>
        <v>30.074999999999992</v>
      </c>
      <c r="W14" s="261">
        <f t="shared" si="10"/>
        <v>1</v>
      </c>
      <c r="X14" s="177">
        <f t="shared" ca="1" si="0"/>
        <v>24.453846153846158</v>
      </c>
      <c r="Y14" s="177">
        <f t="shared" ca="1" si="1"/>
        <v>37.620512820512822</v>
      </c>
      <c r="Z14" s="177">
        <f t="shared" ca="1" si="2"/>
        <v>30.885236985236983</v>
      </c>
      <c r="AA14" s="10"/>
      <c r="AB14" s="357" t="str">
        <f>VLOOKUP($B14,'2007-2020 Metadata'!$A$4:$S$214,MATCH("Urban Area /Monitoring Zone",'2007-2020 Metadata'!$A$4:$S$4,0),FALSE)</f>
        <v>Auckland - Central</v>
      </c>
      <c r="AC14" s="259" t="str">
        <f>VLOOKUP(B14,'2007-2020 Metadata'!$A$6:$A$214,1,FALSE)</f>
        <v>AUC013</v>
      </c>
      <c r="AD14" s="256" t="str">
        <f>VLOOKUP($AC14,'2007-2020 Metadata'!$A$6:$S$214,9,FALSE)</f>
        <v>Auckland</v>
      </c>
      <c r="AE14" s="263">
        <f>IF(ISBLANK(VLOOKUP($AC14,'2007-2020 Metadata'!$A$6:$S$214,19,FALSE)),"",VLOOKUP($AC14,'2007-2020 Metadata'!$A$6:$S$214,19,FALSE))</f>
        <v>4</v>
      </c>
      <c r="AF14" s="257" t="str">
        <f>VLOOKUP($B14,'2007-2020 Metadata'!$A$4:$S$214,MATCH("Site type",'2007-2020 Metadata'!$A$4:$S$4,0),FALSE)</f>
        <v>SH</v>
      </c>
      <c r="AG14" s="258">
        <f>MIN(AVERAGE(D$14:D$16),AVERAGE(E$14:E$16),AVERAGE(F$14:F$16),AVERAGE(G$14:G$16),AVERAGE(H$14:H$16),AVERAGE(I$14:I$16),AVERAGE(J$14:J$16),AVERAGE(K$14:K$16),AVERAGE(L$14:L$16),AVERAGE(M$14:M$16),AVERAGE(N$14:N$16),AVERAGE(O$14:O$16))</f>
        <v>13.666666666666666</v>
      </c>
      <c r="AH14" s="258">
        <f>MAX(AVERAGE(D$14:D$16),AVERAGE(E$14:E$16),AVERAGE(F$14:F$16),AVERAGE(G$14:G$16),AVERAGE(H$14:H$16),AVERAGE(I$14:I$16),AVERAGE(J$14:J$16),AVERAGE(K$14:K$16),AVERAGE(L$14:L$16),AVERAGE(M$14:M$16),AVERAGE(N$14:N$16),AVERAGE(O$14:O$16))</f>
        <v>47.866666666666674</v>
      </c>
      <c r="AI14" s="177">
        <f t="shared" ca="1" si="13"/>
        <v>30.885236985236983</v>
      </c>
    </row>
    <row r="15" spans="2:35" ht="12" customHeight="1" x14ac:dyDescent="0.15">
      <c r="B15" s="11" t="s">
        <v>11</v>
      </c>
      <c r="C15" s="29">
        <f>IF(ISBLANK(VLOOKUP($B15,'Monthly Summary 2009'!$B$7:$Q$106,14,FALSE)),"",IF(ISERROR(VLOOKUP(B15,'Monthly Summary 2009'!$B$7:$Q$106,14,FALSE)),"",VLOOKUP(B15,'Monthly Summary 2009'!$B$7:$Q$106,14,FALSE)))</f>
        <v>17.2</v>
      </c>
      <c r="D15" s="7">
        <v>17.2</v>
      </c>
      <c r="E15" s="7">
        <v>24.2</v>
      </c>
      <c r="F15" s="7">
        <v>30.2</v>
      </c>
      <c r="G15" s="7">
        <v>33.299999999999997</v>
      </c>
      <c r="H15" s="7">
        <v>30.4</v>
      </c>
      <c r="I15" s="7">
        <v>47</v>
      </c>
      <c r="J15" s="7">
        <v>48.2</v>
      </c>
      <c r="K15" s="7">
        <v>36.799999999999997</v>
      </c>
      <c r="L15" s="7">
        <v>27.8</v>
      </c>
      <c r="M15" s="7">
        <v>23.5</v>
      </c>
      <c r="N15" s="7">
        <v>27.5</v>
      </c>
      <c r="O15" s="7">
        <v>15.5</v>
      </c>
      <c r="P15" s="8">
        <f t="shared" si="3"/>
        <v>30.133333333333336</v>
      </c>
      <c r="Q15" s="9">
        <f t="shared" si="4"/>
        <v>1</v>
      </c>
      <c r="R15" s="260">
        <f t="shared" si="5"/>
        <v>23.866666666666664</v>
      </c>
      <c r="S15" s="264">
        <f t="shared" si="6"/>
        <v>1</v>
      </c>
      <c r="T15" s="260">
        <f t="shared" si="7"/>
        <v>37.6</v>
      </c>
      <c r="U15" s="261">
        <f t="shared" si="8"/>
        <v>1</v>
      </c>
      <c r="V15" s="262">
        <f t="shared" si="9"/>
        <v>30.133333333333336</v>
      </c>
      <c r="W15" s="261">
        <f t="shared" si="10"/>
        <v>1</v>
      </c>
      <c r="X15" s="177">
        <f t="shared" ca="1" si="0"/>
        <v>24.453846153846158</v>
      </c>
      <c r="Y15" s="177">
        <f t="shared" ca="1" si="1"/>
        <v>37.620512820512822</v>
      </c>
      <c r="Z15" s="177">
        <f t="shared" ca="1" si="2"/>
        <v>30.885236985236983</v>
      </c>
      <c r="AA15" s="10"/>
      <c r="AB15" s="357" t="str">
        <f>VLOOKUP($B15,'2007-2020 Metadata'!$A$4:$S$214,MATCH("Urban Area /Monitoring Zone",'2007-2020 Metadata'!$A$4:$S$4,0),FALSE)</f>
        <v>Auckland - Central</v>
      </c>
      <c r="AC15" s="259" t="str">
        <f>VLOOKUP(B15,'2007-2020 Metadata'!$A$6:$A$214,1,FALSE)</f>
        <v>AUC014</v>
      </c>
      <c r="AD15" s="256" t="str">
        <f>VLOOKUP($AC15,'2007-2020 Metadata'!$A$6:$S$214,9,FALSE)</f>
        <v>Auckland</v>
      </c>
      <c r="AE15" s="263">
        <f>IF(ISBLANK(VLOOKUP($AC15,'2007-2020 Metadata'!$A$6:$S$214,19,FALSE)),"",VLOOKUP($AC15,'2007-2020 Metadata'!$A$6:$S$214,19,FALSE))</f>
        <v>4</v>
      </c>
      <c r="AF15" s="257" t="str">
        <f>VLOOKUP($B15,'2007-2020 Metadata'!$A$4:$S$214,MATCH("Site type",'2007-2020 Metadata'!$A$4:$S$4,0),FALSE)</f>
        <v>SH</v>
      </c>
      <c r="AG15" s="258">
        <f t="shared" ref="AG15:AG16" si="14">MIN(AVERAGE(D$14:D$16),AVERAGE(E$14:E$16),AVERAGE(F$14:F$16),AVERAGE(G$14:G$16),AVERAGE(H$14:H$16),AVERAGE(I$14:I$16),AVERAGE(J$14:J$16),AVERAGE(K$14:K$16),AVERAGE(L$14:L$16),AVERAGE(M$14:M$16),AVERAGE(N$14:N$16),AVERAGE(O$14:O$16))</f>
        <v>13.666666666666666</v>
      </c>
      <c r="AH15" s="258">
        <f t="shared" ref="AH15:AH16" si="15">MAX(AVERAGE(D$14:D$16),AVERAGE(E$14:E$16),AVERAGE(F$14:F$16),AVERAGE(G$14:G$16),AVERAGE(H$14:H$16),AVERAGE(I$14:I$16),AVERAGE(J$14:J$16),AVERAGE(K$14:K$16),AVERAGE(L$14:L$16),AVERAGE(M$14:M$16),AVERAGE(N$14:N$16),AVERAGE(O$14:O$16))</f>
        <v>47.866666666666674</v>
      </c>
      <c r="AI15" s="177">
        <f t="shared" ca="1" si="13"/>
        <v>30.885236985236983</v>
      </c>
    </row>
    <row r="16" spans="2:35" ht="12" customHeight="1" x14ac:dyDescent="0.15">
      <c r="B16" s="11" t="s">
        <v>12</v>
      </c>
      <c r="C16" s="29">
        <f>IF(ISBLANK(VLOOKUP($B16,'Monthly Summary 2009'!$B$7:$Q$106,14,FALSE)),"",IF(ISERROR(VLOOKUP(B16,'Monthly Summary 2009'!$B$7:$Q$106,14,FALSE)),"",VLOOKUP(B16,'Monthly Summary 2009'!$B$7:$Q$106,14,FALSE)))</f>
        <v>17</v>
      </c>
      <c r="D16" s="7">
        <v>17.2</v>
      </c>
      <c r="E16" s="7">
        <v>20.6</v>
      </c>
      <c r="F16" s="7">
        <v>25.9</v>
      </c>
      <c r="G16" s="7">
        <v>32.299999999999997</v>
      </c>
      <c r="H16" s="7">
        <v>33</v>
      </c>
      <c r="I16" s="7">
        <v>42.4</v>
      </c>
      <c r="J16" s="7">
        <v>47.7</v>
      </c>
      <c r="K16" s="7">
        <v>38.299999999999997</v>
      </c>
      <c r="L16" s="7">
        <v>33.700000000000003</v>
      </c>
      <c r="M16" s="7">
        <v>21.8</v>
      </c>
      <c r="N16" s="7">
        <v>25.6</v>
      </c>
      <c r="O16" s="7">
        <v>13.1</v>
      </c>
      <c r="P16" s="8">
        <f t="shared" si="3"/>
        <v>29.300000000000008</v>
      </c>
      <c r="Q16" s="9">
        <f t="shared" si="4"/>
        <v>1</v>
      </c>
      <c r="R16" s="260">
        <f t="shared" si="5"/>
        <v>21.233333333333331</v>
      </c>
      <c r="S16" s="264">
        <f t="shared" si="6"/>
        <v>1</v>
      </c>
      <c r="T16" s="260">
        <f t="shared" si="7"/>
        <v>39.9</v>
      </c>
      <c r="U16" s="261">
        <f t="shared" si="8"/>
        <v>1</v>
      </c>
      <c r="V16" s="262">
        <f t="shared" si="9"/>
        <v>29.300000000000008</v>
      </c>
      <c r="W16" s="261">
        <f t="shared" si="10"/>
        <v>1</v>
      </c>
      <c r="X16" s="177">
        <f t="shared" ca="1" si="0"/>
        <v>24.453846153846158</v>
      </c>
      <c r="Y16" s="177">
        <f t="shared" ca="1" si="1"/>
        <v>37.620512820512822</v>
      </c>
      <c r="Z16" s="177">
        <f t="shared" ca="1" si="2"/>
        <v>30.885236985236983</v>
      </c>
      <c r="AA16" s="10"/>
      <c r="AB16" s="357" t="str">
        <f>VLOOKUP($B16,'2007-2020 Metadata'!$A$4:$S$214,MATCH("Urban Area /Monitoring Zone",'2007-2020 Metadata'!$A$4:$S$4,0),FALSE)</f>
        <v>Auckland - Central</v>
      </c>
      <c r="AC16" s="259" t="str">
        <f>VLOOKUP(B16,'2007-2020 Metadata'!$A$6:$A$214,1,FALSE)</f>
        <v>AUC015</v>
      </c>
      <c r="AD16" s="256" t="str">
        <f>VLOOKUP($AC16,'2007-2020 Metadata'!$A$6:$S$214,9,FALSE)</f>
        <v>Auckland</v>
      </c>
      <c r="AE16" s="263">
        <f>IF(ISBLANK(VLOOKUP($AC16,'2007-2020 Metadata'!$A$6:$S$214,19,FALSE)),"",VLOOKUP($AC16,'2007-2020 Metadata'!$A$6:$S$214,19,FALSE))</f>
        <v>4</v>
      </c>
      <c r="AF16" s="257" t="str">
        <f>VLOOKUP($B16,'2007-2020 Metadata'!$A$4:$S$214,MATCH("Site type",'2007-2020 Metadata'!$A$4:$S$4,0),FALSE)</f>
        <v>SH</v>
      </c>
      <c r="AG16" s="258">
        <f t="shared" si="14"/>
        <v>13.666666666666666</v>
      </c>
      <c r="AH16" s="258">
        <f t="shared" si="15"/>
        <v>47.866666666666674</v>
      </c>
      <c r="AI16" s="177">
        <f t="shared" ca="1" si="13"/>
        <v>30.885236985236983</v>
      </c>
    </row>
    <row r="17" spans="2:35" ht="12" customHeight="1" x14ac:dyDescent="0.15">
      <c r="B17" s="11" t="s">
        <v>13</v>
      </c>
      <c r="C17" s="29">
        <f>IF(ISBLANK(VLOOKUP($B17,'Monthly Summary 2009'!$B$7:$Q$106,14,FALSE)),"",IF(ISERROR(VLOOKUP(B17,'Monthly Summary 2009'!$B$7:$Q$106,14,FALSE)),"",VLOOKUP(B17,'Monthly Summary 2009'!$B$7:$Q$106,14,FALSE)))</f>
        <v>20.9</v>
      </c>
      <c r="D17" s="7">
        <v>19.8</v>
      </c>
      <c r="E17" s="7">
        <v>23.5</v>
      </c>
      <c r="F17" s="7">
        <v>25.8</v>
      </c>
      <c r="G17" s="7">
        <v>31</v>
      </c>
      <c r="H17" s="7">
        <v>32.9</v>
      </c>
      <c r="I17" s="7">
        <v>43.1</v>
      </c>
      <c r="J17" s="7">
        <v>39.799999999999997</v>
      </c>
      <c r="K17" s="7">
        <v>40.5</v>
      </c>
      <c r="L17" s="7">
        <v>35.6</v>
      </c>
      <c r="M17" s="7">
        <v>24.2</v>
      </c>
      <c r="N17" s="7">
        <v>28.8</v>
      </c>
      <c r="O17" s="7">
        <v>17.2</v>
      </c>
      <c r="P17" s="8">
        <f t="shared" si="3"/>
        <v>30.183333333333334</v>
      </c>
      <c r="Q17" s="9">
        <f t="shared" si="4"/>
        <v>1</v>
      </c>
      <c r="R17" s="140">
        <f t="shared" si="5"/>
        <v>23.033333333333331</v>
      </c>
      <c r="S17" s="24">
        <f t="shared" si="6"/>
        <v>1</v>
      </c>
      <c r="T17" s="140">
        <f t="shared" si="7"/>
        <v>38.633333333333333</v>
      </c>
      <c r="U17" s="150">
        <f t="shared" si="8"/>
        <v>1</v>
      </c>
      <c r="V17" s="141">
        <f t="shared" si="9"/>
        <v>30.183333333333334</v>
      </c>
      <c r="W17" s="142">
        <f t="shared" si="10"/>
        <v>1</v>
      </c>
      <c r="X17" s="144">
        <f t="shared" ca="1" si="0"/>
        <v>20.307407407407407</v>
      </c>
      <c r="Y17" s="144">
        <f t="shared" ca="1" si="1"/>
        <v>31.564814814814813</v>
      </c>
      <c r="Z17" s="144">
        <f t="shared" ca="1" si="2"/>
        <v>25.404377104377105</v>
      </c>
      <c r="AA17" s="10"/>
      <c r="AB17" s="357" t="str">
        <f>VLOOKUP($B17,'2007-2020 Metadata'!$A$4:$S$214,MATCH("Urban Area /Monitoring Zone",'2007-2020 Metadata'!$A$4:$S$4,0),FALSE)</f>
        <v xml:space="preserve">Auckland - Southern </v>
      </c>
      <c r="AC17" s="87" t="str">
        <f>VLOOKUP(B17,'2007-2020 Metadata'!$A$6:$A$214,1,FALSE)</f>
        <v>AUC018</v>
      </c>
      <c r="AD17" s="230" t="str">
        <f>VLOOKUP($AC17,'2007-2020 Metadata'!$A$6:$S$214,9,FALSE)</f>
        <v>Manukau</v>
      </c>
      <c r="AE17" s="248">
        <f>IF(ISBLANK(VLOOKUP($AC17,'2007-2020 Metadata'!$A$6:$S$214,19,FALSE)),"",VLOOKUP($AC17,'2007-2020 Metadata'!$A$6:$S$214,19,FALSE))</f>
        <v>3</v>
      </c>
      <c r="AF17" s="88" t="str">
        <f>VLOOKUP($B17,'2007-2020 Metadata'!$A$4:$S$214,MATCH("Site type",'2007-2020 Metadata'!$A$4:$S$4,0),FALSE)</f>
        <v>SH</v>
      </c>
      <c r="AG17" s="143">
        <f t="shared" si="11"/>
        <v>17.2</v>
      </c>
      <c r="AH17" s="143">
        <f t="shared" si="12"/>
        <v>43.1</v>
      </c>
      <c r="AI17" s="144">
        <f t="shared" ca="1" si="13"/>
        <v>25.404377104377105</v>
      </c>
    </row>
    <row r="18" spans="2:35" ht="12" customHeight="1" x14ac:dyDescent="0.15">
      <c r="B18" s="11" t="s">
        <v>14</v>
      </c>
      <c r="C18" s="29">
        <f>IF(ISBLANK(VLOOKUP($B18,'Monthly Summary 2009'!$B$7:$Q$106,14,FALSE)),"",IF(ISERROR(VLOOKUP(B18,'Monthly Summary 2009'!$B$7:$Q$106,14,FALSE)),"",VLOOKUP(B18,'Monthly Summary 2009'!$B$7:$Q$106,14,FALSE)))</f>
        <v>8.6</v>
      </c>
      <c r="D18" s="7">
        <v>15</v>
      </c>
      <c r="E18" s="7">
        <v>17.899999999999999</v>
      </c>
      <c r="F18" s="7">
        <v>17.600000000000001</v>
      </c>
      <c r="G18" s="7">
        <v>24.9</v>
      </c>
      <c r="H18" s="7">
        <v>32.6</v>
      </c>
      <c r="I18" s="7">
        <v>33.700000000000003</v>
      </c>
      <c r="J18" s="7">
        <v>31</v>
      </c>
      <c r="K18" s="7">
        <v>27</v>
      </c>
      <c r="L18" s="7">
        <v>26.8</v>
      </c>
      <c r="M18" s="7">
        <v>18.3</v>
      </c>
      <c r="N18" s="7">
        <v>17.2</v>
      </c>
      <c r="O18" s="7">
        <v>14.3</v>
      </c>
      <c r="P18" s="8">
        <f t="shared" si="3"/>
        <v>23.025000000000002</v>
      </c>
      <c r="Q18" s="9">
        <f t="shared" si="4"/>
        <v>1</v>
      </c>
      <c r="R18" s="140">
        <f t="shared" si="5"/>
        <v>16.833333333333332</v>
      </c>
      <c r="S18" s="24">
        <f t="shared" si="6"/>
        <v>1</v>
      </c>
      <c r="T18" s="140">
        <f t="shared" si="7"/>
        <v>28.266666666666666</v>
      </c>
      <c r="U18" s="150">
        <f t="shared" si="8"/>
        <v>1</v>
      </c>
      <c r="V18" s="141">
        <f t="shared" si="9"/>
        <v>23.025000000000002</v>
      </c>
      <c r="W18" s="142">
        <f t="shared" si="10"/>
        <v>1</v>
      </c>
      <c r="X18" s="144">
        <f t="shared" ca="1" si="0"/>
        <v>20.307407407407407</v>
      </c>
      <c r="Y18" s="144">
        <f t="shared" ca="1" si="1"/>
        <v>31.564814814814813</v>
      </c>
      <c r="Z18" s="144">
        <f t="shared" ca="1" si="2"/>
        <v>25.404377104377105</v>
      </c>
      <c r="AA18" s="10"/>
      <c r="AB18" s="357" t="str">
        <f>VLOOKUP($B18,'2007-2020 Metadata'!$A$4:$S$214,MATCH("Urban Area /Monitoring Zone",'2007-2020 Metadata'!$A$4:$S$4,0),FALSE)</f>
        <v xml:space="preserve">Auckland - Southern </v>
      </c>
      <c r="AC18" s="87" t="str">
        <f>VLOOKUP(B18,'2007-2020 Metadata'!$A$6:$A$214,1,FALSE)</f>
        <v>AUC019</v>
      </c>
      <c r="AD18" s="230" t="str">
        <f>VLOOKUP($AC18,'2007-2020 Metadata'!$A$6:$S$214,9,FALSE)</f>
        <v>Manukau</v>
      </c>
      <c r="AE18" s="248">
        <f>IF(ISBLANK(VLOOKUP($AC18,'2007-2020 Metadata'!$A$6:$S$214,19,FALSE)),"",VLOOKUP($AC18,'2007-2020 Metadata'!$A$6:$S$214,19,FALSE))</f>
        <v>2</v>
      </c>
      <c r="AF18" s="88" t="str">
        <f>VLOOKUP($B18,'2007-2020 Metadata'!$A$4:$S$214,MATCH("Site type",'2007-2020 Metadata'!$A$4:$S$4,0),FALSE)</f>
        <v>SH</v>
      </c>
      <c r="AG18" s="143">
        <f t="shared" si="11"/>
        <v>14.3</v>
      </c>
      <c r="AH18" s="143">
        <f t="shared" si="12"/>
        <v>33.700000000000003</v>
      </c>
      <c r="AI18" s="144">
        <f t="shared" ca="1" si="13"/>
        <v>25.404377104377105</v>
      </c>
    </row>
    <row r="19" spans="2:35" ht="12" customHeight="1" x14ac:dyDescent="0.15">
      <c r="B19" s="11" t="s">
        <v>993</v>
      </c>
      <c r="C19" s="29">
        <f>IF(ISBLANK(VLOOKUP($B19,'Monthly Summary 2009'!$B$7:$Q$106,14,FALSE)),"",IF(ISERROR(VLOOKUP(B19,'Monthly Summary 2009'!$B$7:$Q$106,14,FALSE)),"",VLOOKUP(B19,'Monthly Summary 2009'!$B$7:$Q$106,14,FALSE)))</f>
        <v>7.6</v>
      </c>
      <c r="D19" s="7">
        <v>9</v>
      </c>
      <c r="E19" s="7">
        <v>11.7</v>
      </c>
      <c r="F19" s="7">
        <v>14.6</v>
      </c>
      <c r="G19" s="7">
        <v>19.3</v>
      </c>
      <c r="H19" s="7">
        <v>21</v>
      </c>
      <c r="I19" s="7">
        <v>25.3</v>
      </c>
      <c r="J19" s="7">
        <v>25</v>
      </c>
      <c r="K19" s="7">
        <v>22</v>
      </c>
      <c r="L19" s="7">
        <v>17</v>
      </c>
      <c r="M19" s="7">
        <v>12.4</v>
      </c>
      <c r="N19" s="7">
        <v>14.7</v>
      </c>
      <c r="O19" s="7">
        <v>7.6</v>
      </c>
      <c r="P19" s="8">
        <f t="shared" si="3"/>
        <v>16.633333333333329</v>
      </c>
      <c r="Q19" s="9">
        <f t="shared" si="4"/>
        <v>1</v>
      </c>
      <c r="R19" s="140">
        <f t="shared" si="5"/>
        <v>11.766666666666666</v>
      </c>
      <c r="S19" s="24">
        <f t="shared" si="6"/>
        <v>1</v>
      </c>
      <c r="T19" s="140">
        <f t="shared" si="7"/>
        <v>21.333333333333332</v>
      </c>
      <c r="U19" s="150">
        <f t="shared" si="8"/>
        <v>1</v>
      </c>
      <c r="V19" s="141">
        <f t="shared" si="9"/>
        <v>16.633333333333329</v>
      </c>
      <c r="W19" s="142">
        <f t="shared" si="10"/>
        <v>1</v>
      </c>
      <c r="X19" s="144">
        <f t="shared" si="0"/>
        <v>11.766666666666666</v>
      </c>
      <c r="Y19" s="144">
        <f t="shared" si="1"/>
        <v>21.333333333333332</v>
      </c>
      <c r="Z19" s="144">
        <f t="shared" si="2"/>
        <v>16.633333333333329</v>
      </c>
      <c r="AA19" s="10"/>
      <c r="AB19" s="357">
        <f>VLOOKUP($B19,'2007-2020 Metadata'!$A$4:$S$214,MATCH("Urban Area /Monitoring Zone",'2007-2020 Metadata'!$A$4:$S$4,0),FALSE)</f>
        <v>0</v>
      </c>
      <c r="AC19" s="87" t="str">
        <f>VLOOKUP(B19,'2007-2020 Metadata'!$A$6:$A$214,1,FALSE)</f>
        <v>AUC020a</v>
      </c>
      <c r="AD19" s="230">
        <f>VLOOKUP($AC19,'2007-2020 Metadata'!$A$6:$S$214,9,FALSE)</f>
        <v>0</v>
      </c>
      <c r="AE19" s="248" t="str">
        <f>IF(ISBLANK(VLOOKUP($AC19,'2007-2020 Metadata'!$A$6:$S$214,19,FALSE)),"",VLOOKUP($AC19,'2007-2020 Metadata'!$A$6:$S$214,19,FALSE))</f>
        <v/>
      </c>
      <c r="AF19" s="88" t="str">
        <f>VLOOKUP($B19,'2007-2020 Metadata'!$A$4:$S$214,MATCH("Site type",'2007-2020 Metadata'!$A$4:$S$4,0),FALSE)</f>
        <v>SH</v>
      </c>
      <c r="AG19" s="143">
        <f t="shared" si="11"/>
        <v>7.6</v>
      </c>
      <c r="AH19" s="143">
        <f t="shared" si="12"/>
        <v>25.3</v>
      </c>
      <c r="AI19" s="144">
        <f t="shared" si="13"/>
        <v>16.633333333333329</v>
      </c>
    </row>
    <row r="20" spans="2:35" ht="12" customHeight="1" x14ac:dyDescent="0.15">
      <c r="B20" s="11" t="s">
        <v>994</v>
      </c>
      <c r="C20" s="29">
        <f>IF(ISBLANK(VLOOKUP($B20,'Monthly Summary 2009'!$B$7:$Q$106,14,FALSE)),"",IF(ISERROR(VLOOKUP(B20,'Monthly Summary 2009'!$B$7:$Q$106,14,FALSE)),"",VLOOKUP(B20,'Monthly Summary 2009'!$B$7:$Q$106,14,FALSE)))</f>
        <v>6.9</v>
      </c>
      <c r="D20" s="7">
        <v>13.8</v>
      </c>
      <c r="E20" s="7">
        <v>16</v>
      </c>
      <c r="F20" s="7"/>
      <c r="G20" s="7">
        <v>19.8</v>
      </c>
      <c r="H20" s="7">
        <v>17.100000000000001</v>
      </c>
      <c r="I20" s="7">
        <v>21.6</v>
      </c>
      <c r="J20" s="7">
        <v>26.9</v>
      </c>
      <c r="K20" s="7">
        <v>21.4</v>
      </c>
      <c r="L20" s="7">
        <v>17.8</v>
      </c>
      <c r="M20" s="7">
        <v>12.7</v>
      </c>
      <c r="N20" s="7">
        <v>15.1</v>
      </c>
      <c r="O20" s="7">
        <v>9.6999999999999993</v>
      </c>
      <c r="P20" s="8">
        <f t="shared" si="3"/>
        <v>17.445454545454545</v>
      </c>
      <c r="Q20" s="9">
        <f t="shared" si="4"/>
        <v>0.91666666666666663</v>
      </c>
      <c r="R20" s="140">
        <f t="shared" si="5"/>
        <v>14.9</v>
      </c>
      <c r="S20" s="24">
        <f t="shared" si="6"/>
        <v>0.66666666666666663</v>
      </c>
      <c r="T20" s="140">
        <f t="shared" si="7"/>
        <v>22.033333333333331</v>
      </c>
      <c r="U20" s="150">
        <f t="shared" si="8"/>
        <v>1</v>
      </c>
      <c r="V20" s="141">
        <f t="shared" si="9"/>
        <v>17.445454545454545</v>
      </c>
      <c r="W20" s="142">
        <f t="shared" si="10"/>
        <v>0.91666666666666663</v>
      </c>
      <c r="X20" s="144">
        <f t="shared" si="0"/>
        <v>14.9</v>
      </c>
      <c r="Y20" s="144">
        <f t="shared" si="1"/>
        <v>22.033333333333331</v>
      </c>
      <c r="Z20" s="144">
        <f t="shared" si="2"/>
        <v>17.445454545454545</v>
      </c>
      <c r="AA20" s="10"/>
      <c r="AB20" s="357">
        <f>VLOOKUP($B20,'2007-2020 Metadata'!$A$4:$S$214,MATCH("Urban Area /Monitoring Zone",'2007-2020 Metadata'!$A$4:$S$4,0),FALSE)</f>
        <v>0</v>
      </c>
      <c r="AC20" s="87" t="str">
        <f>VLOOKUP(B20,'2007-2020 Metadata'!$A$6:$A$214,1,FALSE)</f>
        <v>AUC021a</v>
      </c>
      <c r="AD20" s="230">
        <f>VLOOKUP($AC20,'2007-2020 Metadata'!$A$6:$S$214,9,FALSE)</f>
        <v>0</v>
      </c>
      <c r="AE20" s="248" t="str">
        <f>IF(ISBLANK(VLOOKUP($AC20,'2007-2020 Metadata'!$A$6:$S$214,19,FALSE)),"",VLOOKUP($AC20,'2007-2020 Metadata'!$A$6:$S$214,19,FALSE))</f>
        <v/>
      </c>
      <c r="AF20" s="88" t="str">
        <f>VLOOKUP($B20,'2007-2020 Metadata'!$A$4:$S$214,MATCH("Site type",'2007-2020 Metadata'!$A$4:$S$4,0),FALSE)</f>
        <v>Background</v>
      </c>
      <c r="AG20" s="143">
        <f t="shared" si="11"/>
        <v>9.6999999999999993</v>
      </c>
      <c r="AH20" s="143">
        <f t="shared" si="12"/>
        <v>26.9</v>
      </c>
      <c r="AI20" s="144">
        <f t="shared" si="13"/>
        <v>17.445454545454545</v>
      </c>
    </row>
    <row r="21" spans="2:35" ht="12" customHeight="1" x14ac:dyDescent="0.15">
      <c r="B21" s="11" t="s">
        <v>17</v>
      </c>
      <c r="C21" s="29">
        <f>IF(ISBLANK(VLOOKUP($B21,'Monthly Summary 2009'!$B$7:$Q$106,14,FALSE)),"",IF(ISERROR(VLOOKUP(B21,'Monthly Summary 2009'!$B$7:$Q$106,14,FALSE)),"",VLOOKUP(B21,'Monthly Summary 2009'!$B$7:$Q$106,14,FALSE)))</f>
        <v>14.1</v>
      </c>
      <c r="D21" s="7">
        <v>25.6</v>
      </c>
      <c r="E21" s="7">
        <v>23.5</v>
      </c>
      <c r="F21" s="7">
        <v>29.1</v>
      </c>
      <c r="G21" s="7">
        <v>35.700000000000003</v>
      </c>
      <c r="H21" s="7">
        <v>39.799999999999997</v>
      </c>
      <c r="I21" s="7">
        <v>43.2</v>
      </c>
      <c r="J21" s="7">
        <v>44.7</v>
      </c>
      <c r="K21" s="7">
        <v>39.299999999999997</v>
      </c>
      <c r="L21" s="7">
        <v>28</v>
      </c>
      <c r="M21" s="7">
        <v>29.7</v>
      </c>
      <c r="N21" s="7">
        <v>29.4</v>
      </c>
      <c r="O21" s="7">
        <v>19.899999999999999</v>
      </c>
      <c r="P21" s="8">
        <f t="shared" si="3"/>
        <v>32.324999999999996</v>
      </c>
      <c r="Q21" s="9">
        <f t="shared" si="4"/>
        <v>1</v>
      </c>
      <c r="R21" s="140">
        <f t="shared" si="5"/>
        <v>26.066666666666666</v>
      </c>
      <c r="S21" s="24">
        <f t="shared" si="6"/>
        <v>1</v>
      </c>
      <c r="T21" s="140">
        <f t="shared" si="7"/>
        <v>37.333333333333336</v>
      </c>
      <c r="U21" s="150">
        <f t="shared" si="8"/>
        <v>1</v>
      </c>
      <c r="V21" s="141">
        <f t="shared" si="9"/>
        <v>32.324999999999996</v>
      </c>
      <c r="W21" s="142">
        <f t="shared" si="10"/>
        <v>1</v>
      </c>
      <c r="X21" s="144">
        <f t="shared" ca="1" si="0"/>
        <v>24.453846153846158</v>
      </c>
      <c r="Y21" s="144">
        <f t="shared" ca="1" si="1"/>
        <v>37.620512820512822</v>
      </c>
      <c r="Z21" s="144">
        <f t="shared" ca="1" si="2"/>
        <v>30.885236985236983</v>
      </c>
      <c r="AA21" s="10"/>
      <c r="AB21" s="357" t="str">
        <f>VLOOKUP($B21,'2007-2020 Metadata'!$A$4:$S$214,MATCH("Urban Area /Monitoring Zone",'2007-2020 Metadata'!$A$4:$S$4,0),FALSE)</f>
        <v>Auckland - Central</v>
      </c>
      <c r="AC21" s="87" t="str">
        <f>VLOOKUP(B21,'2007-2020 Metadata'!$A$6:$A$214,1,FALSE)</f>
        <v>AUC022</v>
      </c>
      <c r="AD21" s="230" t="str">
        <f>VLOOKUP($AC21,'2007-2020 Metadata'!$A$6:$S$214,9,FALSE)</f>
        <v>Auckland</v>
      </c>
      <c r="AE21" s="248">
        <f>IF(ISBLANK(VLOOKUP($AC21,'2007-2020 Metadata'!$A$6:$S$214,19,FALSE)),"",VLOOKUP($AC21,'2007-2020 Metadata'!$A$6:$S$214,19,FALSE))</f>
        <v>3</v>
      </c>
      <c r="AF21" s="88" t="str">
        <f>VLOOKUP($B21,'2007-2020 Metadata'!$A$4:$S$214,MATCH("Site type",'2007-2020 Metadata'!$A$4:$S$4,0),FALSE)</f>
        <v>SH</v>
      </c>
      <c r="AG21" s="143">
        <f t="shared" si="11"/>
        <v>19.899999999999999</v>
      </c>
      <c r="AH21" s="143">
        <f t="shared" si="12"/>
        <v>44.7</v>
      </c>
      <c r="AI21" s="144">
        <f t="shared" ca="1" si="13"/>
        <v>30.885236985236983</v>
      </c>
    </row>
    <row r="22" spans="2:35" ht="12" customHeight="1" x14ac:dyDescent="0.15">
      <c r="B22" s="11" t="s">
        <v>18</v>
      </c>
      <c r="C22" s="29">
        <f>IF(ISBLANK(VLOOKUP($B22,'Monthly Summary 2009'!$B$7:$Q$106,14,FALSE)),"",IF(ISERROR(VLOOKUP(B22,'Monthly Summary 2009'!$B$7:$Q$106,14,FALSE)),"",VLOOKUP(B22,'Monthly Summary 2009'!$B$7:$Q$106,14,FALSE)))</f>
        <v>8.6999999999999993</v>
      </c>
      <c r="D22" s="7">
        <v>14.1</v>
      </c>
      <c r="E22" s="7">
        <v>15.8</v>
      </c>
      <c r="F22" s="7">
        <v>14.5</v>
      </c>
      <c r="G22" s="7"/>
      <c r="H22" s="7">
        <v>27.4</v>
      </c>
      <c r="I22" s="7">
        <v>27.3</v>
      </c>
      <c r="J22" s="7">
        <v>26.1</v>
      </c>
      <c r="K22" s="7">
        <v>25.5</v>
      </c>
      <c r="L22" s="7">
        <v>19.7</v>
      </c>
      <c r="M22" s="7">
        <v>22.2</v>
      </c>
      <c r="N22" s="7">
        <v>15.4</v>
      </c>
      <c r="O22" s="7">
        <v>11.8</v>
      </c>
      <c r="P22" s="8">
        <f t="shared" si="3"/>
        <v>19.981818181818181</v>
      </c>
      <c r="Q22" s="9">
        <f t="shared" si="4"/>
        <v>0.91666666666666663</v>
      </c>
      <c r="R22" s="140">
        <f t="shared" si="5"/>
        <v>14.799999999999999</v>
      </c>
      <c r="S22" s="24">
        <f t="shared" si="6"/>
        <v>1</v>
      </c>
      <c r="T22" s="140">
        <f t="shared" si="7"/>
        <v>23.766666666666666</v>
      </c>
      <c r="U22" s="150">
        <f t="shared" si="8"/>
        <v>1</v>
      </c>
      <c r="V22" s="141">
        <f t="shared" si="9"/>
        <v>19.981818181818181</v>
      </c>
      <c r="W22" s="142">
        <f t="shared" si="10"/>
        <v>0.91666666666666663</v>
      </c>
      <c r="X22" s="144">
        <f t="shared" ca="1" si="0"/>
        <v>24.453846153846158</v>
      </c>
      <c r="Y22" s="144">
        <f t="shared" ca="1" si="1"/>
        <v>37.620512820512822</v>
      </c>
      <c r="Z22" s="144">
        <f t="shared" ca="1" si="2"/>
        <v>30.885236985236983</v>
      </c>
      <c r="AA22" s="10"/>
      <c r="AB22" s="357" t="str">
        <f>VLOOKUP($B22,'2007-2020 Metadata'!$A$4:$S$214,MATCH("Urban Area /Monitoring Zone",'2007-2020 Metadata'!$A$4:$S$4,0),FALSE)</f>
        <v>Auckland - Central</v>
      </c>
      <c r="AC22" s="87" t="str">
        <f>VLOOKUP(B22,'2007-2020 Metadata'!$A$6:$A$214,1,FALSE)</f>
        <v>AUC025</v>
      </c>
      <c r="AD22" s="230" t="str">
        <f>VLOOKUP($AC22,'2007-2020 Metadata'!$A$6:$S$214,9,FALSE)</f>
        <v>Auckland</v>
      </c>
      <c r="AE22" s="248">
        <f>IF(ISBLANK(VLOOKUP($AC22,'2007-2020 Metadata'!$A$6:$S$214,19,FALSE)),"",VLOOKUP($AC22,'2007-2020 Metadata'!$A$6:$S$214,19,FALSE))</f>
        <v>3</v>
      </c>
      <c r="AF22" s="88" t="str">
        <f>VLOOKUP($B22,'2007-2020 Metadata'!$A$4:$S$214,MATCH("Site type",'2007-2020 Metadata'!$A$4:$S$4,0),FALSE)</f>
        <v>SH</v>
      </c>
      <c r="AG22" s="143">
        <f t="shared" si="11"/>
        <v>11.8</v>
      </c>
      <c r="AH22" s="143">
        <f t="shared" si="12"/>
        <v>27.4</v>
      </c>
      <c r="AI22" s="144">
        <f t="shared" ca="1" si="13"/>
        <v>30.885236985236983</v>
      </c>
    </row>
    <row r="23" spans="2:35" ht="12" customHeight="1" x14ac:dyDescent="0.15">
      <c r="B23" s="11" t="s">
        <v>19</v>
      </c>
      <c r="C23" s="29">
        <f>IF(ISBLANK(VLOOKUP($B23,'Monthly Summary 2009'!$B$7:$Q$106,14,FALSE)),"",IF(ISERROR(VLOOKUP(B23,'Monthly Summary 2009'!$B$7:$Q$106,14,FALSE)),"",VLOOKUP(B23,'Monthly Summary 2009'!$B$7:$Q$106,14,FALSE)))</f>
        <v>6.6</v>
      </c>
      <c r="D23" s="7">
        <v>18</v>
      </c>
      <c r="E23" s="7">
        <v>18.600000000000001</v>
      </c>
      <c r="F23" s="7">
        <v>18.3</v>
      </c>
      <c r="G23" s="7">
        <v>21.2</v>
      </c>
      <c r="H23" s="7">
        <v>35.5</v>
      </c>
      <c r="I23" s="7">
        <v>27.4</v>
      </c>
      <c r="J23" s="7">
        <v>33.1</v>
      </c>
      <c r="K23" s="7">
        <v>24.9</v>
      </c>
      <c r="L23" s="7">
        <v>18.2</v>
      </c>
      <c r="M23" s="7">
        <v>17.899999999999999</v>
      </c>
      <c r="N23" s="7">
        <v>17.3</v>
      </c>
      <c r="O23" s="7">
        <v>13.5</v>
      </c>
      <c r="P23" s="8">
        <f t="shared" si="3"/>
        <v>21.991666666666664</v>
      </c>
      <c r="Q23" s="9">
        <f t="shared" si="4"/>
        <v>1</v>
      </c>
      <c r="R23" s="140">
        <f t="shared" si="5"/>
        <v>18.3</v>
      </c>
      <c r="S23" s="24">
        <f t="shared" si="6"/>
        <v>1</v>
      </c>
      <c r="T23" s="140">
        <f t="shared" si="7"/>
        <v>25.400000000000002</v>
      </c>
      <c r="U23" s="150">
        <f t="shared" si="8"/>
        <v>1</v>
      </c>
      <c r="V23" s="141">
        <f t="shared" si="9"/>
        <v>21.991666666666664</v>
      </c>
      <c r="W23" s="142">
        <f t="shared" si="10"/>
        <v>1</v>
      </c>
      <c r="X23" s="144">
        <f t="shared" ca="1" si="0"/>
        <v>20.307407407407407</v>
      </c>
      <c r="Y23" s="144">
        <f t="shared" ca="1" si="1"/>
        <v>31.564814814814813</v>
      </c>
      <c r="Z23" s="144">
        <f t="shared" ca="1" si="2"/>
        <v>25.404377104377105</v>
      </c>
      <c r="AA23" s="10"/>
      <c r="AB23" s="357" t="str">
        <f>VLOOKUP($B23,'2007-2020 Metadata'!$A$4:$S$214,MATCH("Urban Area /Monitoring Zone",'2007-2020 Metadata'!$A$4:$S$4,0),FALSE)</f>
        <v xml:space="preserve">Auckland - Southern </v>
      </c>
      <c r="AC23" s="87" t="str">
        <f>VLOOKUP(B23,'2007-2020 Metadata'!$A$6:$A$214,1,FALSE)</f>
        <v>AUC026</v>
      </c>
      <c r="AD23" s="230" t="str">
        <f>VLOOKUP($AC23,'2007-2020 Metadata'!$A$6:$S$214,9,FALSE)</f>
        <v>Manukau</v>
      </c>
      <c r="AE23" s="248">
        <f>IF(ISBLANK(VLOOKUP($AC23,'2007-2020 Metadata'!$A$6:$S$214,19,FALSE)),"",VLOOKUP($AC23,'2007-2020 Metadata'!$A$6:$S$214,19,FALSE))</f>
        <v>3</v>
      </c>
      <c r="AF23" s="88" t="str">
        <f>VLOOKUP($B23,'2007-2020 Metadata'!$A$4:$S$214,MATCH("Site type",'2007-2020 Metadata'!$A$4:$S$4,0),FALSE)</f>
        <v>SH</v>
      </c>
      <c r="AG23" s="143">
        <f t="shared" si="11"/>
        <v>13.5</v>
      </c>
      <c r="AH23" s="143">
        <f t="shared" si="12"/>
        <v>35.5</v>
      </c>
      <c r="AI23" s="144">
        <f t="shared" ca="1" si="13"/>
        <v>25.404377104377105</v>
      </c>
    </row>
    <row r="24" spans="2:35" ht="12" customHeight="1" x14ac:dyDescent="0.15">
      <c r="B24" s="11" t="s">
        <v>998</v>
      </c>
      <c r="C24" s="29">
        <f>IF(ISBLANK(VLOOKUP($B24,'Monthly Summary 2009'!$B$7:$Q$106,14,FALSE)),"",IF(ISERROR(VLOOKUP(B24,'Monthly Summary 2009'!$B$7:$Q$106,14,FALSE)),"",VLOOKUP(B24,'Monthly Summary 2009'!$B$7:$Q$106,14,FALSE)))</f>
        <v>6.4</v>
      </c>
      <c r="D24" s="7">
        <v>19.899999999999999</v>
      </c>
      <c r="E24" s="7">
        <v>18.5</v>
      </c>
      <c r="F24" s="7">
        <v>22.8</v>
      </c>
      <c r="G24" s="7"/>
      <c r="H24" s="7">
        <v>28.3</v>
      </c>
      <c r="I24" s="7">
        <v>34.700000000000003</v>
      </c>
      <c r="J24" s="7">
        <v>40.299999999999997</v>
      </c>
      <c r="K24" s="7">
        <v>36.5</v>
      </c>
      <c r="L24" s="7"/>
      <c r="M24" s="7">
        <v>18</v>
      </c>
      <c r="N24" s="7">
        <v>20.7</v>
      </c>
      <c r="O24" s="7">
        <v>15.6</v>
      </c>
      <c r="P24" s="8">
        <f t="shared" si="3"/>
        <v>25.529999999999998</v>
      </c>
      <c r="Q24" s="9">
        <f t="shared" si="4"/>
        <v>0.83333333333333337</v>
      </c>
      <c r="R24" s="140">
        <f t="shared" si="5"/>
        <v>20.400000000000002</v>
      </c>
      <c r="S24" s="24">
        <f t="shared" si="6"/>
        <v>1</v>
      </c>
      <c r="T24" s="140">
        <f t="shared" si="7"/>
        <v>38.4</v>
      </c>
      <c r="U24" s="150">
        <f t="shared" si="8"/>
        <v>0.66666666666666663</v>
      </c>
      <c r="V24" s="141">
        <f t="shared" si="9"/>
        <v>25.529999999999998</v>
      </c>
      <c r="W24" s="142">
        <f t="shared" si="10"/>
        <v>0.83333333333333337</v>
      </c>
      <c r="X24" s="144">
        <f t="shared" si="0"/>
        <v>20.400000000000002</v>
      </c>
      <c r="Y24" s="144">
        <f t="shared" si="1"/>
        <v>38.4</v>
      </c>
      <c r="Z24" s="144">
        <f t="shared" si="2"/>
        <v>25.529999999999998</v>
      </c>
      <c r="AA24" s="10"/>
      <c r="AB24" s="357">
        <f>VLOOKUP($B24,'2007-2020 Metadata'!$A$4:$S$214,MATCH("Urban Area /Monitoring Zone",'2007-2020 Metadata'!$A$4:$S$4,0),FALSE)</f>
        <v>0</v>
      </c>
      <c r="AC24" s="87" t="str">
        <f>VLOOKUP(B24,'2007-2020 Metadata'!$A$6:$A$214,1,FALSE)</f>
        <v>AUC027a</v>
      </c>
      <c r="AD24" s="230">
        <f>VLOOKUP($AC24,'2007-2020 Metadata'!$A$6:$S$214,9,FALSE)</f>
        <v>0</v>
      </c>
      <c r="AE24" s="248" t="str">
        <f>IF(ISBLANK(VLOOKUP($AC24,'2007-2020 Metadata'!$A$6:$S$214,19,FALSE)),"",VLOOKUP($AC24,'2007-2020 Metadata'!$A$6:$S$214,19,FALSE))</f>
        <v/>
      </c>
      <c r="AF24" s="88" t="str">
        <f>VLOOKUP($B24,'2007-2020 Metadata'!$A$4:$S$214,MATCH("Site type",'2007-2020 Metadata'!$A$4:$S$4,0),FALSE)</f>
        <v>SH</v>
      </c>
      <c r="AG24" s="143">
        <f t="shared" si="11"/>
        <v>15.6</v>
      </c>
      <c r="AH24" s="143">
        <f t="shared" si="12"/>
        <v>40.299999999999997</v>
      </c>
      <c r="AI24" s="144">
        <f t="shared" si="13"/>
        <v>25.529999999999998</v>
      </c>
    </row>
    <row r="25" spans="2:35" ht="12" customHeight="1" x14ac:dyDescent="0.15">
      <c r="B25" s="11" t="s">
        <v>59</v>
      </c>
      <c r="C25" s="29" t="str">
        <f>IF(ISBLANK(VLOOKUP($B25,'Monthly Summary 2009'!$B$7:$Q$106,14,FALSE)),"",IF(ISERROR(VLOOKUP(B25,'Monthly Summary 2009'!$B$7:$Q$106,14,FALSE)),"",VLOOKUP(B25,'Monthly Summary 2009'!$B$7:$Q$106,14,FALSE)))</f>
        <v/>
      </c>
      <c r="D25" s="7"/>
      <c r="E25" s="7">
        <v>3.5</v>
      </c>
      <c r="F25" s="12"/>
      <c r="G25" s="7"/>
      <c r="H25" s="7"/>
      <c r="I25" s="7">
        <v>7.4</v>
      </c>
      <c r="J25" s="7"/>
      <c r="K25" s="7"/>
      <c r="L25" s="7"/>
      <c r="M25" s="7"/>
      <c r="N25" s="7"/>
      <c r="O25" s="7"/>
      <c r="P25" s="8">
        <f t="shared" si="3"/>
        <v>5.45</v>
      </c>
      <c r="Q25" s="9">
        <f t="shared" si="4"/>
        <v>0.16666666666666666</v>
      </c>
      <c r="R25" s="140" t="str">
        <f t="shared" si="5"/>
        <v>-</v>
      </c>
      <c r="S25" s="24">
        <f t="shared" si="6"/>
        <v>0.33333333333333331</v>
      </c>
      <c r="T25" s="140" t="str">
        <f t="shared" si="7"/>
        <v/>
      </c>
      <c r="U25" s="150">
        <f t="shared" si="8"/>
        <v>0</v>
      </c>
      <c r="V25" s="141" t="str">
        <f t="shared" si="9"/>
        <v>-</v>
      </c>
      <c r="W25" s="142">
        <f t="shared" si="10"/>
        <v>0.16666666666666666</v>
      </c>
      <c r="X25" s="144" t="str">
        <f t="shared" ca="1" si="0"/>
        <v/>
      </c>
      <c r="Y25" s="144" t="str">
        <f t="shared" ca="1" si="1"/>
        <v/>
      </c>
      <c r="Z25" s="144" t="str">
        <f t="shared" ca="1" si="2"/>
        <v/>
      </c>
      <c r="AA25" s="10"/>
      <c r="AB25" s="357" t="str">
        <f>VLOOKUP($B25,'2007-2020 Metadata'!$A$4:$S$214,MATCH("Urban Area /Monitoring Zone",'2007-2020 Metadata'!$A$4:$S$4,0),FALSE)</f>
        <v>Whangarei</v>
      </c>
      <c r="AC25" s="87" t="str">
        <f>VLOOKUP(B25,'2007-2020 Metadata'!$A$6:$A$214,1,FALSE)</f>
        <v>AUC038</v>
      </c>
      <c r="AD25" s="230" t="str">
        <f>VLOOKUP($AC25,'2007-2020 Metadata'!$A$6:$S$214,9,FALSE)</f>
        <v>Whangarei</v>
      </c>
      <c r="AE25" s="248">
        <f>IF(ISBLANK(VLOOKUP($AC25,'2007-2020 Metadata'!$A$6:$S$214,19,FALSE)),"",VLOOKUP($AC25,'2007-2020 Metadata'!$A$6:$S$214,19,FALSE))</f>
        <v>3</v>
      </c>
      <c r="AF25" s="88" t="str">
        <f>VLOOKUP($B25,'2007-2020 Metadata'!$A$4:$S$214,MATCH("Site type",'2007-2020 Metadata'!$A$4:$S$4,0),FALSE)</f>
        <v>Background</v>
      </c>
      <c r="AG25" s="143">
        <f t="shared" si="11"/>
        <v>3.5</v>
      </c>
      <c r="AH25" s="143">
        <f t="shared" si="12"/>
        <v>7.4</v>
      </c>
      <c r="AI25" s="144" t="str">
        <f t="shared" si="13"/>
        <v xml:space="preserve"> </v>
      </c>
    </row>
    <row r="26" spans="2:35" ht="12" customHeight="1" x14ac:dyDescent="0.15">
      <c r="B26" s="11" t="s">
        <v>1013</v>
      </c>
      <c r="C26" s="29" t="str">
        <f>IF(ISBLANK(VLOOKUP($B26,'Monthly Summary 2009'!$B$7:$Q$106,14,FALSE)),"",IF(ISERROR(VLOOKUP(B26,'Monthly Summary 2009'!$B$7:$Q$106,14,FALSE)),"",VLOOKUP(B26,'Monthly Summary 2009'!$B$7:$Q$106,14,FALSE)))</f>
        <v/>
      </c>
      <c r="D26" s="7">
        <v>11.3</v>
      </c>
      <c r="E26" s="7">
        <v>11</v>
      </c>
      <c r="F26" s="7">
        <v>13.3</v>
      </c>
      <c r="G26" s="7">
        <v>19.600000000000001</v>
      </c>
      <c r="H26" s="7">
        <v>19.8</v>
      </c>
      <c r="I26" s="7">
        <v>20.9</v>
      </c>
      <c r="J26" s="7">
        <v>28.7</v>
      </c>
      <c r="K26" s="7">
        <v>17.8</v>
      </c>
      <c r="L26" s="7">
        <v>15.8</v>
      </c>
      <c r="M26" s="7">
        <v>11.9</v>
      </c>
      <c r="N26" s="7">
        <v>13.5</v>
      </c>
      <c r="O26" s="7">
        <v>9.8000000000000007</v>
      </c>
      <c r="P26" s="8">
        <f t="shared" si="3"/>
        <v>16.116666666666671</v>
      </c>
      <c r="Q26" s="9">
        <f t="shared" si="4"/>
        <v>1</v>
      </c>
      <c r="R26" s="140">
        <f t="shared" si="5"/>
        <v>11.866666666666667</v>
      </c>
      <c r="S26" s="24">
        <f t="shared" si="6"/>
        <v>1</v>
      </c>
      <c r="T26" s="140">
        <f t="shared" si="7"/>
        <v>20.766666666666666</v>
      </c>
      <c r="U26" s="150">
        <f t="shared" si="8"/>
        <v>1</v>
      </c>
      <c r="V26" s="141">
        <f t="shared" si="9"/>
        <v>16.116666666666671</v>
      </c>
      <c r="W26" s="142">
        <f t="shared" si="10"/>
        <v>1</v>
      </c>
      <c r="X26" s="144">
        <f t="shared" si="0"/>
        <v>11.866666666666667</v>
      </c>
      <c r="Y26" s="144">
        <f t="shared" si="1"/>
        <v>20.766666666666666</v>
      </c>
      <c r="Z26" s="144">
        <f t="shared" si="2"/>
        <v>16.116666666666671</v>
      </c>
      <c r="AA26" s="10"/>
      <c r="AB26" s="357">
        <f>VLOOKUP($B26,'2007-2020 Metadata'!$A$4:$S$214,MATCH("Urban Area /Monitoring Zone",'2007-2020 Metadata'!$A$4:$S$4,0),FALSE)</f>
        <v>0</v>
      </c>
      <c r="AC26" s="87" t="str">
        <f>VLOOKUP(B26,'2007-2020 Metadata'!$A$6:$A$214,1,FALSE)</f>
        <v>AUC039a</v>
      </c>
      <c r="AD26" s="230">
        <f>VLOOKUP($AC26,'2007-2020 Metadata'!$A$6:$S$214,9,FALSE)</f>
        <v>0</v>
      </c>
      <c r="AE26" s="248" t="str">
        <f>IF(ISBLANK(VLOOKUP($AC26,'2007-2020 Metadata'!$A$6:$S$214,19,FALSE)),"",VLOOKUP($AC26,'2007-2020 Metadata'!$A$6:$S$214,19,FALSE))</f>
        <v/>
      </c>
      <c r="AF26" s="88" t="str">
        <f>VLOOKUP($B26,'2007-2020 Metadata'!$A$4:$S$214,MATCH("Site type",'2007-2020 Metadata'!$A$4:$S$4,0),FALSE)</f>
        <v>SH</v>
      </c>
      <c r="AG26" s="143">
        <f t="shared" si="11"/>
        <v>9.8000000000000007</v>
      </c>
      <c r="AH26" s="143">
        <f t="shared" si="12"/>
        <v>28.7</v>
      </c>
      <c r="AI26" s="144">
        <f t="shared" si="13"/>
        <v>16.116666666666671</v>
      </c>
    </row>
    <row r="27" spans="2:35" ht="12" customHeight="1" x14ac:dyDescent="0.15">
      <c r="B27" s="11" t="s">
        <v>61</v>
      </c>
      <c r="C27" s="29">
        <f>IF(ISBLANK(VLOOKUP($B27,'Monthly Summary 2009'!$B$7:$Q$106,14,FALSE)),"",IF(ISERROR(VLOOKUP(B27,'Monthly Summary 2009'!$B$7:$Q$106,14,FALSE)),"",VLOOKUP(B27,'Monthly Summary 2009'!$B$7:$Q$106,14,FALSE)))</f>
        <v>8.4</v>
      </c>
      <c r="D27" s="7">
        <v>10</v>
      </c>
      <c r="E27" s="7">
        <v>10.199999999999999</v>
      </c>
      <c r="F27" s="7">
        <v>13.8</v>
      </c>
      <c r="G27" s="7">
        <v>19.899999999999999</v>
      </c>
      <c r="H27" s="7">
        <v>21.3</v>
      </c>
      <c r="I27" s="7">
        <v>19.2</v>
      </c>
      <c r="J27" s="7">
        <v>25.4</v>
      </c>
      <c r="K27" s="7">
        <v>20.6</v>
      </c>
      <c r="L27" s="7">
        <v>15.8</v>
      </c>
      <c r="M27" s="7">
        <v>10.7</v>
      </c>
      <c r="N27" s="7">
        <v>11.7</v>
      </c>
      <c r="O27" s="7">
        <v>7.8</v>
      </c>
      <c r="P27" s="8">
        <f t="shared" si="3"/>
        <v>15.533333333333333</v>
      </c>
      <c r="Q27" s="9">
        <f t="shared" si="4"/>
        <v>1</v>
      </c>
      <c r="R27" s="140">
        <f t="shared" si="5"/>
        <v>11.333333333333334</v>
      </c>
      <c r="S27" s="24">
        <f t="shared" si="6"/>
        <v>1</v>
      </c>
      <c r="T27" s="140">
        <f t="shared" si="7"/>
        <v>20.599999999999998</v>
      </c>
      <c r="U27" s="150">
        <f t="shared" si="8"/>
        <v>1</v>
      </c>
      <c r="V27" s="141">
        <f t="shared" si="9"/>
        <v>15.533333333333333</v>
      </c>
      <c r="W27" s="142">
        <f t="shared" si="10"/>
        <v>1</v>
      </c>
      <c r="X27" s="144">
        <f t="shared" ca="1" si="0"/>
        <v>20.046969696969697</v>
      </c>
      <c r="Y27" s="144">
        <f t="shared" ca="1" si="1"/>
        <v>32.275757575757574</v>
      </c>
      <c r="Z27" s="144">
        <f t="shared" ca="1" si="2"/>
        <v>25.783333333333335</v>
      </c>
      <c r="AA27" s="10"/>
      <c r="AB27" s="357" t="str">
        <f>VLOOKUP($B27,'2007-2020 Metadata'!$A$4:$S$214,MATCH("Urban Area /Monitoring Zone",'2007-2020 Metadata'!$A$4:$S$4,0),FALSE)</f>
        <v>Auckland - Northern</v>
      </c>
      <c r="AC27" s="87" t="str">
        <f>VLOOKUP(B27,'2007-2020 Metadata'!$A$6:$A$214,1,FALSE)</f>
        <v>AUC040</v>
      </c>
      <c r="AD27" s="230" t="str">
        <f>VLOOKUP($AC27,'2007-2020 Metadata'!$A$6:$S$214,9,FALSE)</f>
        <v xml:space="preserve">North Shore </v>
      </c>
      <c r="AE27" s="248">
        <f>IF(ISBLANK(VLOOKUP($AC27,'2007-2020 Metadata'!$A$6:$S$214,19,FALSE)),"",VLOOKUP($AC27,'2007-2020 Metadata'!$A$6:$S$214,19,FALSE))</f>
        <v>2.5</v>
      </c>
      <c r="AF27" s="88" t="str">
        <f>VLOOKUP($B27,'2007-2020 Metadata'!$A$4:$S$214,MATCH("Site type",'2007-2020 Metadata'!$A$4:$S$4,0),FALSE)</f>
        <v>SH</v>
      </c>
      <c r="AG27" s="143">
        <f t="shared" si="11"/>
        <v>7.8</v>
      </c>
      <c r="AH27" s="143">
        <f t="shared" si="12"/>
        <v>25.4</v>
      </c>
      <c r="AI27" s="144">
        <f t="shared" ca="1" si="13"/>
        <v>25.783333333333335</v>
      </c>
    </row>
    <row r="28" spans="2:35" ht="12" customHeight="1" x14ac:dyDescent="0.15">
      <c r="B28" s="11" t="s">
        <v>62</v>
      </c>
      <c r="C28" s="29">
        <f>IF(ISBLANK(VLOOKUP($B28,'Monthly Summary 2009'!$B$7:$Q$106,14,FALSE)),"",IF(ISERROR(VLOOKUP(B28,'Monthly Summary 2009'!$B$7:$Q$106,14,FALSE)),"",VLOOKUP(B28,'Monthly Summary 2009'!$B$7:$Q$106,14,FALSE)))</f>
        <v>8.1999999999999993</v>
      </c>
      <c r="D28" s="7">
        <v>17.2</v>
      </c>
      <c r="E28" s="7">
        <v>14.9</v>
      </c>
      <c r="F28" s="7">
        <v>12.6</v>
      </c>
      <c r="G28" s="7">
        <v>17.100000000000001</v>
      </c>
      <c r="H28" s="7">
        <v>26.3</v>
      </c>
      <c r="I28" s="7">
        <v>22.2</v>
      </c>
      <c r="J28" s="7">
        <v>29.2</v>
      </c>
      <c r="K28" s="7">
        <v>19.3</v>
      </c>
      <c r="L28" s="7">
        <v>17.8</v>
      </c>
      <c r="M28" s="7">
        <v>14.6</v>
      </c>
      <c r="N28" s="7">
        <v>17.5</v>
      </c>
      <c r="O28" s="7">
        <v>14.2</v>
      </c>
      <c r="P28" s="8">
        <f t="shared" si="3"/>
        <v>18.574999999999999</v>
      </c>
      <c r="Q28" s="9">
        <f t="shared" si="4"/>
        <v>1</v>
      </c>
      <c r="R28" s="140">
        <f t="shared" si="5"/>
        <v>14.9</v>
      </c>
      <c r="S28" s="24">
        <f t="shared" si="6"/>
        <v>1</v>
      </c>
      <c r="T28" s="140">
        <f t="shared" si="7"/>
        <v>22.099999999999998</v>
      </c>
      <c r="U28" s="150">
        <f t="shared" si="8"/>
        <v>1</v>
      </c>
      <c r="V28" s="141">
        <f t="shared" si="9"/>
        <v>18.574999999999999</v>
      </c>
      <c r="W28" s="142">
        <f t="shared" si="10"/>
        <v>1</v>
      </c>
      <c r="X28" s="144">
        <f t="shared" ca="1" si="0"/>
        <v>20.046969696969697</v>
      </c>
      <c r="Y28" s="144">
        <f t="shared" ca="1" si="1"/>
        <v>32.275757575757574</v>
      </c>
      <c r="Z28" s="144">
        <f t="shared" ca="1" si="2"/>
        <v>25.783333333333335</v>
      </c>
      <c r="AA28" s="10"/>
      <c r="AB28" s="357" t="str">
        <f>VLOOKUP($B28,'2007-2020 Metadata'!$A$4:$S$214,MATCH("Urban Area /Monitoring Zone",'2007-2020 Metadata'!$A$4:$S$4,0),FALSE)</f>
        <v>Auckland - Northern</v>
      </c>
      <c r="AC28" s="87" t="str">
        <f>VLOOKUP(B28,'2007-2020 Metadata'!$A$6:$A$214,1,FALSE)</f>
        <v>AUC041</v>
      </c>
      <c r="AD28" s="230" t="str">
        <f>VLOOKUP($AC28,'2007-2020 Metadata'!$A$6:$S$214,9,FALSE)</f>
        <v xml:space="preserve">North Shore </v>
      </c>
      <c r="AE28" s="248">
        <f>IF(ISBLANK(VLOOKUP($AC28,'2007-2020 Metadata'!$A$6:$S$214,19,FALSE)),"",VLOOKUP($AC28,'2007-2020 Metadata'!$A$6:$S$214,19,FALSE))</f>
        <v>3</v>
      </c>
      <c r="AF28" s="88" t="str">
        <f>VLOOKUP($B28,'2007-2020 Metadata'!$A$4:$S$214,MATCH("Site type",'2007-2020 Metadata'!$A$4:$S$4,0),FALSE)</f>
        <v>Local</v>
      </c>
      <c r="AG28" s="143">
        <f t="shared" si="11"/>
        <v>12.6</v>
      </c>
      <c r="AH28" s="143">
        <f t="shared" si="12"/>
        <v>29.2</v>
      </c>
      <c r="AI28" s="144">
        <f t="shared" ca="1" si="13"/>
        <v>25.783333333333335</v>
      </c>
    </row>
    <row r="29" spans="2:35" ht="12" customHeight="1" x14ac:dyDescent="0.15">
      <c r="B29" s="11" t="s">
        <v>63</v>
      </c>
      <c r="C29" s="29">
        <f>IF(ISBLANK(VLOOKUP($B29,'Monthly Summary 2009'!$B$7:$Q$106,14,FALSE)),"",IF(ISERROR(VLOOKUP(B29,'Monthly Summary 2009'!$B$7:$Q$106,14,FALSE)),"",VLOOKUP(B29,'Monthly Summary 2009'!$B$7:$Q$106,14,FALSE)))</f>
        <v>19.600000000000001</v>
      </c>
      <c r="D29" s="7">
        <v>18.899999999999999</v>
      </c>
      <c r="E29" s="7">
        <v>25.6</v>
      </c>
      <c r="F29" s="7">
        <v>30.7</v>
      </c>
      <c r="G29" s="7">
        <v>36.4</v>
      </c>
      <c r="H29" s="7">
        <v>36.5</v>
      </c>
      <c r="I29" s="7">
        <v>44.2</v>
      </c>
      <c r="J29" s="7">
        <v>50.2</v>
      </c>
      <c r="K29" s="7">
        <v>41.1</v>
      </c>
      <c r="L29" s="7">
        <v>32.6</v>
      </c>
      <c r="M29" s="7">
        <v>24.3</v>
      </c>
      <c r="N29" s="7">
        <v>27.3</v>
      </c>
      <c r="O29" s="7">
        <v>21</v>
      </c>
      <c r="P29" s="8">
        <f t="shared" si="3"/>
        <v>32.400000000000006</v>
      </c>
      <c r="Q29" s="9">
        <f t="shared" si="4"/>
        <v>1</v>
      </c>
      <c r="R29" s="140">
        <f t="shared" si="5"/>
        <v>25.066666666666666</v>
      </c>
      <c r="S29" s="24">
        <f t="shared" si="6"/>
        <v>1</v>
      </c>
      <c r="T29" s="140">
        <f t="shared" si="7"/>
        <v>41.300000000000004</v>
      </c>
      <c r="U29" s="150">
        <f t="shared" si="8"/>
        <v>1</v>
      </c>
      <c r="V29" s="141">
        <f t="shared" si="9"/>
        <v>32.400000000000006</v>
      </c>
      <c r="W29" s="142">
        <f t="shared" si="10"/>
        <v>1</v>
      </c>
      <c r="X29" s="144">
        <f t="shared" ca="1" si="0"/>
        <v>20.046969696969697</v>
      </c>
      <c r="Y29" s="144">
        <f t="shared" ca="1" si="1"/>
        <v>32.275757575757574</v>
      </c>
      <c r="Z29" s="144">
        <f t="shared" ca="1" si="2"/>
        <v>25.783333333333335</v>
      </c>
      <c r="AA29" s="10"/>
      <c r="AB29" s="357" t="str">
        <f>VLOOKUP($B29,'2007-2020 Metadata'!$A$4:$S$214,MATCH("Urban Area /Monitoring Zone",'2007-2020 Metadata'!$A$4:$S$4,0),FALSE)</f>
        <v>Auckland - Northern</v>
      </c>
      <c r="AC29" s="87" t="str">
        <f>VLOOKUP(B29,'2007-2020 Metadata'!$A$6:$A$214,1,FALSE)</f>
        <v>AUC042</v>
      </c>
      <c r="AD29" s="230" t="str">
        <f>VLOOKUP($AC29,'2007-2020 Metadata'!$A$6:$S$214,9,FALSE)</f>
        <v xml:space="preserve">North Shore </v>
      </c>
      <c r="AE29" s="248">
        <f>IF(ISBLANK(VLOOKUP($AC29,'2007-2020 Metadata'!$A$6:$S$214,19,FALSE)),"",VLOOKUP($AC29,'2007-2020 Metadata'!$A$6:$S$214,19,FALSE))</f>
        <v>3</v>
      </c>
      <c r="AF29" s="88" t="str">
        <f>VLOOKUP($B29,'2007-2020 Metadata'!$A$4:$S$214,MATCH("Site type",'2007-2020 Metadata'!$A$4:$S$4,0),FALSE)</f>
        <v>Local</v>
      </c>
      <c r="AG29" s="143">
        <f t="shared" si="11"/>
        <v>18.899999999999999</v>
      </c>
      <c r="AH29" s="143">
        <f t="shared" si="12"/>
        <v>50.2</v>
      </c>
      <c r="AI29" s="144">
        <f t="shared" ca="1" si="13"/>
        <v>25.783333333333335</v>
      </c>
    </row>
    <row r="30" spans="2:35" ht="12" customHeight="1" x14ac:dyDescent="0.15">
      <c r="B30" s="11" t="s">
        <v>64</v>
      </c>
      <c r="C30" s="29">
        <f>IF(ISBLANK(VLOOKUP($B36,'Monthly Summary 2009'!$B$7:$Q$106,14,FALSE)),"",IF(ISERROR(VLOOKUP(B36,'Monthly Summary 2009'!$B$7:$Q$106,14,FALSE)),"",VLOOKUP(B36,'Monthly Summary 2009'!$B$7:$Q$106,14,FALSE)))</f>
        <v>8</v>
      </c>
      <c r="D30" s="7">
        <v>17</v>
      </c>
      <c r="E30" s="7">
        <v>21.2</v>
      </c>
      <c r="F30" s="7">
        <v>23.1</v>
      </c>
      <c r="G30" s="7">
        <v>30.6</v>
      </c>
      <c r="H30" s="7">
        <v>33.299999999999997</v>
      </c>
      <c r="I30" s="7">
        <v>40.299999999999997</v>
      </c>
      <c r="J30" s="7">
        <v>41.8</v>
      </c>
      <c r="K30" s="7">
        <v>36.200000000000003</v>
      </c>
      <c r="L30" s="7">
        <v>28</v>
      </c>
      <c r="M30" s="7">
        <v>21.9</v>
      </c>
      <c r="N30" s="7">
        <v>22.1</v>
      </c>
      <c r="O30" s="7">
        <v>13.1</v>
      </c>
      <c r="P30" s="8">
        <f t="shared" si="3"/>
        <v>27.383333333333336</v>
      </c>
      <c r="Q30" s="9">
        <f t="shared" si="4"/>
        <v>1</v>
      </c>
      <c r="R30" s="260">
        <f t="shared" si="5"/>
        <v>20.433333333333334</v>
      </c>
      <c r="S30" s="264">
        <f t="shared" si="6"/>
        <v>1</v>
      </c>
      <c r="T30" s="260">
        <f t="shared" si="7"/>
        <v>35.333333333333336</v>
      </c>
      <c r="U30" s="261">
        <f t="shared" si="8"/>
        <v>1</v>
      </c>
      <c r="V30" s="262">
        <f t="shared" si="9"/>
        <v>27.383333333333336</v>
      </c>
      <c r="W30" s="261">
        <f t="shared" si="10"/>
        <v>1</v>
      </c>
      <c r="X30" s="177">
        <f t="shared" ca="1" si="0"/>
        <v>20.046969696969697</v>
      </c>
      <c r="Y30" s="177">
        <f t="shared" ca="1" si="1"/>
        <v>32.275757575757574</v>
      </c>
      <c r="Z30" s="177">
        <f t="shared" ca="1" si="2"/>
        <v>25.783333333333335</v>
      </c>
      <c r="AA30" s="10"/>
      <c r="AB30" s="357" t="str">
        <f>VLOOKUP($B30,'2007-2020 Metadata'!$A$4:$S$214,MATCH("Urban Area /Monitoring Zone",'2007-2020 Metadata'!$A$4:$S$4,0),FALSE)</f>
        <v>Auckland - Northern</v>
      </c>
      <c r="AC30" s="259" t="str">
        <f>VLOOKUP(B30,'2007-2020 Metadata'!$A$6:$A$214,1,FALSE)</f>
        <v>AUC043</v>
      </c>
      <c r="AD30" s="256" t="str">
        <f>VLOOKUP($AC30,'2007-2020 Metadata'!$A$6:$S$214,9,FALSE)</f>
        <v xml:space="preserve">North Shore </v>
      </c>
      <c r="AE30" s="263">
        <f>IF(ISBLANK(VLOOKUP($AC30,'2007-2020 Metadata'!$A$6:$S$214,19,FALSE)),"",VLOOKUP($AC30,'2007-2020 Metadata'!$A$6:$S$214,19,FALSE))</f>
        <v>3</v>
      </c>
      <c r="AF30" s="257" t="str">
        <f>VLOOKUP($B30,'2007-2020 Metadata'!$A$4:$S$214,MATCH("Site type",'2007-2020 Metadata'!$A$4:$S$4,0),FALSE)</f>
        <v>SH</v>
      </c>
      <c r="AG30" s="258">
        <f>MIN(AVERAGE(D$30:D$32),AVERAGE(E$30:E$32),AVERAGE(F$30:F$32),AVERAGE(G$30:G$32),AVERAGE(H$30:H$32),AVERAGE(I$30:I$32),AVERAGE(J$30:J$32),AVERAGE(K$30:K$32),AVERAGE(L$30:L$32),AVERAGE(M$30:M$32),AVERAGE(N$30:N$32),AVERAGE(O$30:O$32))</f>
        <v>13.066666666666668</v>
      </c>
      <c r="AH30" s="258">
        <f>MAX(AVERAGE(D$30:D$32),AVERAGE(E$30:E$32),AVERAGE(F$30:F$32),AVERAGE(G$30:G$32),AVERAGE(H$30:H$32),AVERAGE(I$30:I$32),AVERAGE(J$30:J$32),AVERAGE(K$30:K$32),AVERAGE(L$30:L$32),AVERAGE(M$30:M$32),AVERAGE(N$30:N$32),AVERAGE(O$30:O$32))</f>
        <v>39.333333333333336</v>
      </c>
      <c r="AI30" s="177">
        <f t="shared" ca="1" si="13"/>
        <v>25.783333333333335</v>
      </c>
    </row>
    <row r="31" spans="2:35" ht="12" customHeight="1" x14ac:dyDescent="0.15">
      <c r="B31" s="11" t="s">
        <v>65</v>
      </c>
      <c r="C31" s="29">
        <f>IF(ISBLANK(VLOOKUP($B31,'Monthly Summary 2009'!$B$7:$Q$106,14,FALSE)),"",IF(ISERROR(VLOOKUP(B31,'Monthly Summary 2009'!$B$7:$Q$106,14,FALSE)),"",VLOOKUP(B31,'Monthly Summary 2009'!$B$7:$Q$106,14,FALSE)))</f>
        <v>14.2</v>
      </c>
      <c r="D31" s="7">
        <v>15.8</v>
      </c>
      <c r="E31" s="7">
        <v>18.5</v>
      </c>
      <c r="F31" s="7">
        <v>23.1</v>
      </c>
      <c r="G31" s="7">
        <v>29.1</v>
      </c>
      <c r="H31" s="7">
        <v>31</v>
      </c>
      <c r="I31" s="7">
        <v>38.4</v>
      </c>
      <c r="J31" s="7">
        <v>34.1</v>
      </c>
      <c r="K31" s="7">
        <v>42.9</v>
      </c>
      <c r="L31" s="7">
        <v>26.9</v>
      </c>
      <c r="M31" s="7">
        <v>19.2</v>
      </c>
      <c r="N31" s="7">
        <v>22.3</v>
      </c>
      <c r="O31" s="7">
        <v>13.8</v>
      </c>
      <c r="P31" s="8">
        <f t="shared" si="3"/>
        <v>26.258333333333336</v>
      </c>
      <c r="Q31" s="9">
        <f t="shared" si="4"/>
        <v>1</v>
      </c>
      <c r="R31" s="260">
        <f t="shared" si="5"/>
        <v>19.133333333333333</v>
      </c>
      <c r="S31" s="264">
        <f t="shared" si="6"/>
        <v>1</v>
      </c>
      <c r="T31" s="260">
        <f t="shared" si="7"/>
        <v>34.633333333333333</v>
      </c>
      <c r="U31" s="261">
        <f t="shared" si="8"/>
        <v>1</v>
      </c>
      <c r="V31" s="262">
        <f t="shared" si="9"/>
        <v>26.258333333333336</v>
      </c>
      <c r="W31" s="261">
        <f t="shared" si="10"/>
        <v>1</v>
      </c>
      <c r="X31" s="177">
        <f t="shared" ca="1" si="0"/>
        <v>20.046969696969697</v>
      </c>
      <c r="Y31" s="177">
        <f t="shared" ca="1" si="1"/>
        <v>32.275757575757574</v>
      </c>
      <c r="Z31" s="177">
        <f t="shared" ca="1" si="2"/>
        <v>25.783333333333335</v>
      </c>
      <c r="AA31" s="10"/>
      <c r="AB31" s="357" t="str">
        <f>VLOOKUP($B31,'2007-2020 Metadata'!$A$4:$S$214,MATCH("Urban Area /Monitoring Zone",'2007-2020 Metadata'!$A$4:$S$4,0),FALSE)</f>
        <v>Auckland - Northern</v>
      </c>
      <c r="AC31" s="259" t="str">
        <f>VLOOKUP(B31,'2007-2020 Metadata'!$A$6:$A$214,1,FALSE)</f>
        <v>AUC044</v>
      </c>
      <c r="AD31" s="256" t="str">
        <f>VLOOKUP($AC31,'2007-2020 Metadata'!$A$6:$S$214,9,FALSE)</f>
        <v xml:space="preserve">North Shore </v>
      </c>
      <c r="AE31" s="263">
        <f>IF(ISBLANK(VLOOKUP($AC31,'2007-2020 Metadata'!$A$6:$S$214,19,FALSE)),"",VLOOKUP($AC31,'2007-2020 Metadata'!$A$6:$S$214,19,FALSE))</f>
        <v>3</v>
      </c>
      <c r="AF31" s="257" t="str">
        <f>VLOOKUP($B31,'2007-2020 Metadata'!$A$4:$S$214,MATCH("Site type",'2007-2020 Metadata'!$A$4:$S$4,0),FALSE)</f>
        <v>SH</v>
      </c>
      <c r="AG31" s="258">
        <f>MIN(AVERAGE(D$30:D$32),AVERAGE(E$30:E$32),AVERAGE(F$30:F$32),AVERAGE(G$30:G$32),AVERAGE(H$30:H$32),AVERAGE(I$30:I$32),AVERAGE(J$30:J$32),AVERAGE(K$30:K$32),AVERAGE(L$30:L$32),AVERAGE(M$30:M$32),AVERAGE(N$30:N$32),AVERAGE(O$30:O$32))</f>
        <v>13.066666666666668</v>
      </c>
      <c r="AH31" s="258">
        <f t="shared" ref="AH31:AH32" si="16">MAX(AVERAGE(D$30:D$32),AVERAGE(E$30:E$32),AVERAGE(F$30:F$32),AVERAGE(G$30:G$32),AVERAGE(H$30:H$32),AVERAGE(I$30:I$32),AVERAGE(J$30:J$32),AVERAGE(K$30:K$32),AVERAGE(L$30:L$32),AVERAGE(M$30:M$32),AVERAGE(N$30:N$32),AVERAGE(O$30:O$32))</f>
        <v>39.333333333333336</v>
      </c>
      <c r="AI31" s="177">
        <f t="shared" ca="1" si="13"/>
        <v>25.783333333333335</v>
      </c>
    </row>
    <row r="32" spans="2:35" ht="12" customHeight="1" x14ac:dyDescent="0.15">
      <c r="B32" s="11" t="s">
        <v>66</v>
      </c>
      <c r="C32" s="29">
        <f>IF(ISBLANK(VLOOKUP($B32,'Monthly Summary 2009'!$B$7:$Q$106,14,FALSE)),"",IF(ISERROR(VLOOKUP(B32,'Monthly Summary 2009'!$B$7:$Q$106,14,FALSE)),"",VLOOKUP(B32,'Monthly Summary 2009'!$B$7:$Q$106,14,FALSE)))</f>
        <v>11.8</v>
      </c>
      <c r="D32" s="7">
        <v>15.5</v>
      </c>
      <c r="E32" s="7">
        <v>21.1</v>
      </c>
      <c r="F32" s="7">
        <v>26</v>
      </c>
      <c r="G32" s="7">
        <v>33.799999999999997</v>
      </c>
      <c r="H32" s="7">
        <v>32.200000000000003</v>
      </c>
      <c r="I32" s="7">
        <v>39.1</v>
      </c>
      <c r="J32" s="7">
        <v>42.1</v>
      </c>
      <c r="K32" s="7">
        <v>37.1</v>
      </c>
      <c r="L32" s="7">
        <v>24.6</v>
      </c>
      <c r="M32" s="7">
        <v>20.7</v>
      </c>
      <c r="N32" s="7">
        <v>23.7</v>
      </c>
      <c r="O32" s="7">
        <v>12.3</v>
      </c>
      <c r="P32" s="8">
        <f t="shared" si="3"/>
        <v>27.349999999999998</v>
      </c>
      <c r="Q32" s="9">
        <f t="shared" si="4"/>
        <v>1</v>
      </c>
      <c r="R32" s="260">
        <f t="shared" si="5"/>
        <v>20.866666666666667</v>
      </c>
      <c r="S32" s="264">
        <f t="shared" si="6"/>
        <v>1</v>
      </c>
      <c r="T32" s="260">
        <f t="shared" si="7"/>
        <v>34.6</v>
      </c>
      <c r="U32" s="261">
        <f t="shared" si="8"/>
        <v>1</v>
      </c>
      <c r="V32" s="262">
        <f t="shared" si="9"/>
        <v>27.349999999999998</v>
      </c>
      <c r="W32" s="261">
        <f t="shared" si="10"/>
        <v>1</v>
      </c>
      <c r="X32" s="177">
        <f t="shared" ca="1" si="0"/>
        <v>20.046969696969697</v>
      </c>
      <c r="Y32" s="177">
        <f t="shared" ca="1" si="1"/>
        <v>32.275757575757574</v>
      </c>
      <c r="Z32" s="177">
        <f t="shared" ca="1" si="2"/>
        <v>25.783333333333335</v>
      </c>
      <c r="AA32" s="10"/>
      <c r="AB32" s="357" t="str">
        <f>VLOOKUP($B32,'2007-2020 Metadata'!$A$4:$S$214,MATCH("Urban Area /Monitoring Zone",'2007-2020 Metadata'!$A$4:$S$4,0),FALSE)</f>
        <v>Auckland - Northern</v>
      </c>
      <c r="AC32" s="259" t="str">
        <f>VLOOKUP(B32,'2007-2020 Metadata'!$A$6:$A$214,1,FALSE)</f>
        <v>AUC045</v>
      </c>
      <c r="AD32" s="256" t="str">
        <f>VLOOKUP($AC32,'2007-2020 Metadata'!$A$6:$S$214,9,FALSE)</f>
        <v xml:space="preserve">North Shore </v>
      </c>
      <c r="AE32" s="263">
        <f>IF(ISBLANK(VLOOKUP($AC32,'2007-2020 Metadata'!$A$6:$S$214,19,FALSE)),"",VLOOKUP($AC32,'2007-2020 Metadata'!$A$6:$S$214,19,FALSE))</f>
        <v>3</v>
      </c>
      <c r="AF32" s="257" t="str">
        <f>VLOOKUP($B32,'2007-2020 Metadata'!$A$4:$S$214,MATCH("Site type",'2007-2020 Metadata'!$A$4:$S$4,0),FALSE)</f>
        <v>SH</v>
      </c>
      <c r="AG32" s="258">
        <f>MIN(AVERAGE(D$30:D$32),AVERAGE(E$30:E$32),AVERAGE(F$30:F$32),AVERAGE(G$30:G$32),AVERAGE(H$30:H$32),AVERAGE(I$30:I$32),AVERAGE(J$30:J$32),AVERAGE(K$30:K$32),AVERAGE(L$30:L$32),AVERAGE(M$30:M$32),AVERAGE(N$30:N$32),AVERAGE(O$30:O$32))</f>
        <v>13.066666666666668</v>
      </c>
      <c r="AH32" s="258">
        <f t="shared" si="16"/>
        <v>39.333333333333336</v>
      </c>
      <c r="AI32" s="177">
        <f t="shared" ca="1" si="13"/>
        <v>25.783333333333335</v>
      </c>
    </row>
    <row r="33" spans="2:35" ht="12" customHeight="1" x14ac:dyDescent="0.15">
      <c r="B33" s="11" t="s">
        <v>67</v>
      </c>
      <c r="C33" s="29">
        <f>IF(ISBLANK(VLOOKUP($B33,'Monthly Summary 2009'!$B$7:$Q$106,14,FALSE)),"",IF(ISERROR(VLOOKUP(B33,'Monthly Summary 2009'!$B$7:$Q$106,14,FALSE)),"",VLOOKUP(B33,'Monthly Summary 2009'!$B$7:$Q$106,14,FALSE)))</f>
        <v>16.399999999999999</v>
      </c>
      <c r="D33" s="7">
        <v>16.8</v>
      </c>
      <c r="E33" s="7">
        <v>22.9</v>
      </c>
      <c r="F33" s="7">
        <v>30.7</v>
      </c>
      <c r="G33" s="7">
        <v>32.9</v>
      </c>
      <c r="H33" s="7">
        <v>28.6</v>
      </c>
      <c r="I33" s="7">
        <v>41.7</v>
      </c>
      <c r="J33" s="7">
        <v>56.9</v>
      </c>
      <c r="K33" s="7">
        <v>42.1</v>
      </c>
      <c r="L33" s="7">
        <v>32.4</v>
      </c>
      <c r="M33" s="7">
        <v>22.3</v>
      </c>
      <c r="N33" s="7">
        <v>30.9</v>
      </c>
      <c r="O33" s="7">
        <v>14.2</v>
      </c>
      <c r="P33" s="8">
        <f t="shared" si="3"/>
        <v>31.033333333333331</v>
      </c>
      <c r="Q33" s="9">
        <f t="shared" si="4"/>
        <v>1</v>
      </c>
      <c r="R33" s="140">
        <f t="shared" si="5"/>
        <v>23.466666666666669</v>
      </c>
      <c r="S33" s="24">
        <f t="shared" si="6"/>
        <v>1</v>
      </c>
      <c r="T33" s="140">
        <f t="shared" si="7"/>
        <v>43.800000000000004</v>
      </c>
      <c r="U33" s="150">
        <f t="shared" si="8"/>
        <v>1</v>
      </c>
      <c r="V33" s="141">
        <f t="shared" si="9"/>
        <v>31.033333333333331</v>
      </c>
      <c r="W33" s="142">
        <f t="shared" si="10"/>
        <v>1</v>
      </c>
      <c r="X33" s="144">
        <f t="shared" ca="1" si="0"/>
        <v>20.046969696969697</v>
      </c>
      <c r="Y33" s="144">
        <f t="shared" ca="1" si="1"/>
        <v>32.275757575757574</v>
      </c>
      <c r="Z33" s="144">
        <f t="shared" ca="1" si="2"/>
        <v>25.783333333333335</v>
      </c>
      <c r="AA33" s="10"/>
      <c r="AB33" s="357" t="str">
        <f>VLOOKUP($B33,'2007-2020 Metadata'!$A$4:$S$214,MATCH("Urban Area /Monitoring Zone",'2007-2020 Metadata'!$A$4:$S$4,0),FALSE)</f>
        <v>Auckland - Northern</v>
      </c>
      <c r="AC33" s="87" t="str">
        <f>VLOOKUP(B33,'2007-2020 Metadata'!$A$6:$A$214,1,FALSE)</f>
        <v>AUC046</v>
      </c>
      <c r="AD33" s="230" t="str">
        <f>VLOOKUP($AC33,'2007-2020 Metadata'!$A$6:$S$214,9,FALSE)</f>
        <v xml:space="preserve">North Shore </v>
      </c>
      <c r="AE33" s="248">
        <f>IF(ISBLANK(VLOOKUP($AC33,'2007-2020 Metadata'!$A$6:$S$214,19,FALSE)),"",VLOOKUP($AC33,'2007-2020 Metadata'!$A$6:$S$214,19,FALSE))</f>
        <v>3</v>
      </c>
      <c r="AF33" s="88" t="str">
        <f>VLOOKUP($B33,'2007-2020 Metadata'!$A$4:$S$214,MATCH("Site type",'2007-2020 Metadata'!$A$4:$S$4,0),FALSE)</f>
        <v>Local</v>
      </c>
      <c r="AG33" s="143">
        <f t="shared" si="11"/>
        <v>14.2</v>
      </c>
      <c r="AH33" s="143">
        <f t="shared" si="12"/>
        <v>56.9</v>
      </c>
      <c r="AI33" s="144">
        <f t="shared" ca="1" si="13"/>
        <v>25.783333333333335</v>
      </c>
    </row>
    <row r="34" spans="2:35" ht="12" customHeight="1" x14ac:dyDescent="0.15">
      <c r="B34" s="11" t="s">
        <v>68</v>
      </c>
      <c r="C34" s="29">
        <f>IF(ISBLANK(VLOOKUP($B34,'Monthly Summary 2009'!$B$7:$Q$106,14,FALSE)),"",IF(ISERROR(VLOOKUP(B34,'Monthly Summary 2009'!$B$7:$Q$106,14,FALSE)),"",VLOOKUP(B34,'Monthly Summary 2009'!$B$7:$Q$106,14,FALSE)))</f>
        <v>6.1</v>
      </c>
      <c r="D34" s="7">
        <v>8</v>
      </c>
      <c r="E34" s="7">
        <v>8.8000000000000007</v>
      </c>
      <c r="F34" s="7">
        <v>10.6</v>
      </c>
      <c r="G34" s="7">
        <v>19</v>
      </c>
      <c r="H34" s="7">
        <v>16</v>
      </c>
      <c r="I34" s="7">
        <v>18.399999999999999</v>
      </c>
      <c r="J34" s="7">
        <v>26</v>
      </c>
      <c r="K34" s="7">
        <v>15.5</v>
      </c>
      <c r="L34" s="7">
        <v>10.8</v>
      </c>
      <c r="M34" s="7">
        <v>7.9</v>
      </c>
      <c r="N34" s="7">
        <v>9.9</v>
      </c>
      <c r="O34" s="7">
        <v>8</v>
      </c>
      <c r="P34" s="8">
        <f t="shared" si="3"/>
        <v>13.241666666666667</v>
      </c>
      <c r="Q34" s="9">
        <f t="shared" si="4"/>
        <v>1</v>
      </c>
      <c r="R34" s="140">
        <f t="shared" si="5"/>
        <v>9.1333333333333329</v>
      </c>
      <c r="S34" s="24">
        <f t="shared" si="6"/>
        <v>1</v>
      </c>
      <c r="T34" s="140">
        <f t="shared" si="7"/>
        <v>17.433333333333334</v>
      </c>
      <c r="U34" s="150">
        <f t="shared" si="8"/>
        <v>1</v>
      </c>
      <c r="V34" s="141">
        <f t="shared" si="9"/>
        <v>13.241666666666667</v>
      </c>
      <c r="W34" s="142">
        <f t="shared" si="10"/>
        <v>1</v>
      </c>
      <c r="X34" s="144">
        <f t="shared" ca="1" si="0"/>
        <v>20.046969696969697</v>
      </c>
      <c r="Y34" s="144">
        <f t="shared" ca="1" si="1"/>
        <v>32.275757575757574</v>
      </c>
      <c r="Z34" s="144">
        <f t="shared" ca="1" si="2"/>
        <v>25.783333333333335</v>
      </c>
      <c r="AA34" s="10"/>
      <c r="AB34" s="357" t="str">
        <f>VLOOKUP($B34,'2007-2020 Metadata'!$A$4:$S$214,MATCH("Urban Area /Monitoring Zone",'2007-2020 Metadata'!$A$4:$S$4,0),FALSE)</f>
        <v>Auckland - Northern</v>
      </c>
      <c r="AC34" s="87" t="str">
        <f>VLOOKUP(B34,'2007-2020 Metadata'!$A$6:$A$214,1,FALSE)</f>
        <v>AUC047</v>
      </c>
      <c r="AD34" s="230" t="str">
        <f>VLOOKUP($AC34,'2007-2020 Metadata'!$A$6:$S$214,9,FALSE)</f>
        <v xml:space="preserve">North Shore </v>
      </c>
      <c r="AE34" s="248">
        <f>IF(ISBLANK(VLOOKUP($AC34,'2007-2020 Metadata'!$A$6:$S$214,19,FALSE)),"",VLOOKUP($AC34,'2007-2020 Metadata'!$A$6:$S$214,19,FALSE))</f>
        <v>3</v>
      </c>
      <c r="AF34" s="88" t="str">
        <f>VLOOKUP($B34,'2007-2020 Metadata'!$A$4:$S$214,MATCH("Site type",'2007-2020 Metadata'!$A$4:$S$4,0),FALSE)</f>
        <v>Background</v>
      </c>
      <c r="AG34" s="143">
        <f t="shared" si="11"/>
        <v>7.9</v>
      </c>
      <c r="AH34" s="143">
        <f t="shared" si="12"/>
        <v>26</v>
      </c>
      <c r="AI34" s="144">
        <f t="shared" ca="1" si="13"/>
        <v>25.783333333333335</v>
      </c>
    </row>
    <row r="35" spans="2:35" ht="12" customHeight="1" x14ac:dyDescent="0.15">
      <c r="B35" s="11" t="s">
        <v>69</v>
      </c>
      <c r="C35" s="29" t="str">
        <f>IF(ISBLANK(VLOOKUP($B35,'Monthly Summary 2009'!$B$7:$Q$106,14,FALSE)),"",IF(ISERROR(VLOOKUP(B35,'Monthly Summary 2009'!$B$7:$Q$106,14,FALSE)),"",VLOOKUP(B35,'Monthly Summary 2009'!$B$7:$Q$106,14,FALSE)))</f>
        <v/>
      </c>
      <c r="D35" s="7">
        <v>19.8</v>
      </c>
      <c r="E35" s="7">
        <v>21.1</v>
      </c>
      <c r="F35" s="7">
        <v>26.1</v>
      </c>
      <c r="G35" s="7">
        <v>32.6</v>
      </c>
      <c r="H35" s="7">
        <v>32.4</v>
      </c>
      <c r="I35" s="7">
        <v>38.799999999999997</v>
      </c>
      <c r="J35" s="7">
        <v>42.3</v>
      </c>
      <c r="K35" s="7">
        <v>35.799999999999997</v>
      </c>
      <c r="L35" s="7"/>
      <c r="M35" s="7">
        <v>23.6</v>
      </c>
      <c r="N35" s="7">
        <v>18.7</v>
      </c>
      <c r="O35" s="7">
        <v>12.5</v>
      </c>
      <c r="P35" s="8">
        <f t="shared" si="3"/>
        <v>27.609090909090913</v>
      </c>
      <c r="Q35" s="9">
        <f t="shared" si="4"/>
        <v>0.91666666666666663</v>
      </c>
      <c r="R35" s="140">
        <f t="shared" si="5"/>
        <v>22.333333333333332</v>
      </c>
      <c r="S35" s="24">
        <f t="shared" si="6"/>
        <v>1</v>
      </c>
      <c r="T35" s="140">
        <f t="shared" si="7"/>
        <v>39.049999999999997</v>
      </c>
      <c r="U35" s="150">
        <f t="shared" si="8"/>
        <v>0.66666666666666663</v>
      </c>
      <c r="V35" s="141">
        <f t="shared" si="9"/>
        <v>27.609090909090913</v>
      </c>
      <c r="W35" s="142">
        <f t="shared" si="10"/>
        <v>0.91666666666666663</v>
      </c>
      <c r="X35" s="144">
        <f t="shared" ca="1" si="0"/>
        <v>15.535897435897436</v>
      </c>
      <c r="Y35" s="144">
        <f t="shared" ca="1" si="1"/>
        <v>24.316666666666666</v>
      </c>
      <c r="Z35" s="144">
        <f t="shared" ca="1" si="2"/>
        <v>19.394289044289046</v>
      </c>
      <c r="AA35" s="10"/>
      <c r="AB35" s="357" t="str">
        <f>VLOOKUP($B35,'2007-2020 Metadata'!$A$4:$S$214,MATCH("Urban Area /Monitoring Zone",'2007-2020 Metadata'!$A$4:$S$4,0),FALSE)</f>
        <v>Auckland - Western</v>
      </c>
      <c r="AC35" s="87" t="str">
        <f>VLOOKUP(B35,'2007-2020 Metadata'!$A$6:$A$214,1,FALSE)</f>
        <v>AUC048</v>
      </c>
      <c r="AD35" s="230" t="str">
        <f>VLOOKUP($AC35,'2007-2020 Metadata'!$A$6:$S$214,9,FALSE)</f>
        <v>Waitakere</v>
      </c>
      <c r="AE35" s="248">
        <f>IF(ISBLANK(VLOOKUP($AC35,'2007-2020 Metadata'!$A$6:$S$214,19,FALSE)),"",VLOOKUP($AC35,'2007-2020 Metadata'!$A$6:$S$214,19,FALSE))</f>
        <v>3</v>
      </c>
      <c r="AF35" s="88" t="str">
        <f>VLOOKUP($B35,'2007-2020 Metadata'!$A$4:$S$214,MATCH("Site type",'2007-2020 Metadata'!$A$4:$S$4,0),FALSE)</f>
        <v>SH</v>
      </c>
      <c r="AG35" s="143">
        <f t="shared" si="11"/>
        <v>12.5</v>
      </c>
      <c r="AH35" s="143">
        <f t="shared" si="12"/>
        <v>42.3</v>
      </c>
      <c r="AI35" s="144">
        <f t="shared" ca="1" si="13"/>
        <v>19.394289044289046</v>
      </c>
    </row>
    <row r="36" spans="2:35" ht="12" customHeight="1" x14ac:dyDescent="0.15">
      <c r="B36" s="11" t="s">
        <v>70</v>
      </c>
      <c r="C36" s="29">
        <f>IF(ISBLANK(VLOOKUP($B36,'Monthly Summary 2009'!$B$7:$Q$106,14,FALSE)),"",IF(ISERROR(VLOOKUP(B36,'Monthly Summary 2009'!$B$7:$Q$106,14,FALSE)),"",VLOOKUP(B36,'Monthly Summary 2009'!$B$7:$Q$106,14,FALSE)))</f>
        <v>8</v>
      </c>
      <c r="D36" s="7">
        <v>9.4</v>
      </c>
      <c r="E36" s="7">
        <v>11.9</v>
      </c>
      <c r="F36" s="7">
        <v>14.9</v>
      </c>
      <c r="G36" s="7">
        <v>21.5</v>
      </c>
      <c r="H36" s="7">
        <v>19.600000000000001</v>
      </c>
      <c r="I36" s="7">
        <v>24</v>
      </c>
      <c r="J36" s="7">
        <v>20.2</v>
      </c>
      <c r="K36" s="7">
        <v>18.600000000000001</v>
      </c>
      <c r="L36" s="7">
        <v>14.2</v>
      </c>
      <c r="M36" s="7">
        <v>14</v>
      </c>
      <c r="N36" s="7">
        <v>14.5</v>
      </c>
      <c r="O36" s="7">
        <v>8.8000000000000007</v>
      </c>
      <c r="P36" s="8">
        <f t="shared" si="3"/>
        <v>15.966666666666669</v>
      </c>
      <c r="Q36" s="9">
        <f t="shared" si="4"/>
        <v>1</v>
      </c>
      <c r="R36" s="140">
        <f t="shared" si="5"/>
        <v>12.066666666666668</v>
      </c>
      <c r="S36" s="24">
        <f t="shared" si="6"/>
        <v>1</v>
      </c>
      <c r="T36" s="140">
        <f t="shared" si="7"/>
        <v>17.666666666666668</v>
      </c>
      <c r="U36" s="150">
        <f t="shared" si="8"/>
        <v>1</v>
      </c>
      <c r="V36" s="141">
        <f t="shared" si="9"/>
        <v>15.966666666666669</v>
      </c>
      <c r="W36" s="142">
        <f t="shared" si="10"/>
        <v>1</v>
      </c>
      <c r="X36" s="144">
        <f t="shared" ca="1" si="0"/>
        <v>15.535897435897436</v>
      </c>
      <c r="Y36" s="144">
        <f t="shared" ca="1" si="1"/>
        <v>24.316666666666666</v>
      </c>
      <c r="Z36" s="144">
        <f t="shared" ca="1" si="2"/>
        <v>19.394289044289046</v>
      </c>
      <c r="AA36" s="10"/>
      <c r="AB36" s="357" t="str">
        <f>VLOOKUP($B36,'2007-2020 Metadata'!$A$4:$S$214,MATCH("Urban Area /Monitoring Zone",'2007-2020 Metadata'!$A$4:$S$4,0),FALSE)</f>
        <v>Auckland - Western</v>
      </c>
      <c r="AC36" s="87" t="str">
        <f>VLOOKUP(B36,'2007-2020 Metadata'!$A$6:$A$214,1,FALSE)</f>
        <v>AUC049</v>
      </c>
      <c r="AD36" s="230" t="str">
        <f>VLOOKUP($AC36,'2007-2020 Metadata'!$A$6:$S$214,9,FALSE)</f>
        <v>Waitakere</v>
      </c>
      <c r="AE36" s="248">
        <f>IF(ISBLANK(VLOOKUP($AC36,'2007-2020 Metadata'!$A$6:$S$214,19,FALSE)),"",VLOOKUP($AC36,'2007-2020 Metadata'!$A$6:$S$214,19,FALSE))</f>
        <v>3</v>
      </c>
      <c r="AF36" s="88" t="str">
        <f>VLOOKUP($B36,'2007-2020 Metadata'!$A$4:$S$214,MATCH("Site type",'2007-2020 Metadata'!$A$4:$S$4,0),FALSE)</f>
        <v>Local (ex SH)</v>
      </c>
      <c r="AG36" s="143">
        <f t="shared" si="11"/>
        <v>8.8000000000000007</v>
      </c>
      <c r="AH36" s="143">
        <f t="shared" si="12"/>
        <v>24</v>
      </c>
      <c r="AI36" s="144">
        <f t="shared" ca="1" si="13"/>
        <v>19.394289044289046</v>
      </c>
    </row>
    <row r="37" spans="2:35" ht="12" customHeight="1" x14ac:dyDescent="0.15">
      <c r="B37" s="11" t="s">
        <v>71</v>
      </c>
      <c r="C37" s="29">
        <f>IF(ISBLANK(VLOOKUP($B37,'Monthly Summary 2009'!$B$7:$Q$106,14,FALSE)),"",IF(ISERROR(VLOOKUP(B37,'Monthly Summary 2009'!$B$7:$Q$106,14,FALSE)),"",VLOOKUP(B37,'Monthly Summary 2009'!$B$7:$Q$106,14,FALSE)))</f>
        <v>6.8</v>
      </c>
      <c r="D37" s="7">
        <v>15.1</v>
      </c>
      <c r="E37" s="7">
        <v>13.8</v>
      </c>
      <c r="F37" s="7">
        <v>14.1</v>
      </c>
      <c r="G37" s="7">
        <v>15</v>
      </c>
      <c r="H37" s="7">
        <v>22.2</v>
      </c>
      <c r="I37" s="7">
        <v>18.899999999999999</v>
      </c>
      <c r="J37" s="7">
        <v>24.2</v>
      </c>
      <c r="K37" s="7">
        <v>18.899999999999999</v>
      </c>
      <c r="L37" s="7">
        <v>13.6</v>
      </c>
      <c r="M37" s="7">
        <v>15</v>
      </c>
      <c r="N37" s="7">
        <v>13.5</v>
      </c>
      <c r="O37" s="7">
        <v>10.9</v>
      </c>
      <c r="P37" s="8">
        <f t="shared" si="3"/>
        <v>16.266666666666666</v>
      </c>
      <c r="Q37" s="9">
        <f t="shared" si="4"/>
        <v>1</v>
      </c>
      <c r="R37" s="140">
        <f t="shared" si="5"/>
        <v>14.333333333333334</v>
      </c>
      <c r="S37" s="24">
        <f t="shared" si="6"/>
        <v>1</v>
      </c>
      <c r="T37" s="140">
        <f t="shared" si="7"/>
        <v>18.899999999999999</v>
      </c>
      <c r="U37" s="150">
        <f t="shared" si="8"/>
        <v>1</v>
      </c>
      <c r="V37" s="141">
        <f t="shared" si="9"/>
        <v>16.266666666666666</v>
      </c>
      <c r="W37" s="142">
        <f t="shared" si="10"/>
        <v>1</v>
      </c>
      <c r="X37" s="144">
        <f t="shared" ca="1" si="0"/>
        <v>15.535897435897436</v>
      </c>
      <c r="Y37" s="144">
        <f t="shared" ca="1" si="1"/>
        <v>24.316666666666666</v>
      </c>
      <c r="Z37" s="144">
        <f t="shared" ca="1" si="2"/>
        <v>19.394289044289046</v>
      </c>
      <c r="AA37" s="10"/>
      <c r="AB37" s="357" t="str">
        <f>VLOOKUP($B37,'2007-2020 Metadata'!$A$4:$S$214,MATCH("Urban Area /Monitoring Zone",'2007-2020 Metadata'!$A$4:$S$4,0),FALSE)</f>
        <v>Auckland - Western</v>
      </c>
      <c r="AC37" s="87" t="str">
        <f>VLOOKUP(B37,'2007-2020 Metadata'!$A$6:$A$214,1,FALSE)</f>
        <v>AUC050</v>
      </c>
      <c r="AD37" s="230" t="str">
        <f>VLOOKUP($AC37,'2007-2020 Metadata'!$A$6:$S$214,9,FALSE)</f>
        <v>Waitakere</v>
      </c>
      <c r="AE37" s="248">
        <f>IF(ISBLANK(VLOOKUP($AC37,'2007-2020 Metadata'!$A$6:$S$214,19,FALSE)),"",VLOOKUP($AC37,'2007-2020 Metadata'!$A$6:$S$214,19,FALSE))</f>
        <v>3</v>
      </c>
      <c r="AF37" s="88" t="str">
        <f>VLOOKUP($B37,'2007-2020 Metadata'!$A$4:$S$214,MATCH("Site type",'2007-2020 Metadata'!$A$4:$S$4,0),FALSE)</f>
        <v>SH</v>
      </c>
      <c r="AG37" s="143">
        <f t="shared" si="11"/>
        <v>10.9</v>
      </c>
      <c r="AH37" s="143">
        <f t="shared" si="12"/>
        <v>24.2</v>
      </c>
      <c r="AI37" s="144">
        <f t="shared" ca="1" si="13"/>
        <v>19.394289044289046</v>
      </c>
    </row>
    <row r="38" spans="2:35" ht="12" customHeight="1" x14ac:dyDescent="0.15">
      <c r="B38" s="11" t="s">
        <v>72</v>
      </c>
      <c r="C38" s="29">
        <f>IF(ISBLANK(VLOOKUP($B38,'Monthly Summary 2009'!$B$7:$Q$106,14,FALSE)),"",IF(ISERROR(VLOOKUP(B38,'Monthly Summary 2009'!$B$7:$Q$106,14,FALSE)),"",VLOOKUP(B38,'Monthly Summary 2009'!$B$7:$Q$106,14,FALSE)))</f>
        <v>11.7</v>
      </c>
      <c r="D38" s="7">
        <v>9.9</v>
      </c>
      <c r="E38" s="7">
        <v>13.7</v>
      </c>
      <c r="F38" s="7">
        <v>18.2</v>
      </c>
      <c r="G38" s="7">
        <v>22.2</v>
      </c>
      <c r="H38" s="7">
        <v>22</v>
      </c>
      <c r="I38" s="7">
        <v>28.8</v>
      </c>
      <c r="J38" s="7">
        <v>30.9</v>
      </c>
      <c r="K38" s="7">
        <v>25</v>
      </c>
      <c r="L38" s="7">
        <v>19.2</v>
      </c>
      <c r="M38" s="7">
        <v>14.1</v>
      </c>
      <c r="N38" s="7">
        <v>15.7</v>
      </c>
      <c r="O38" s="7">
        <v>8.9</v>
      </c>
      <c r="P38" s="8">
        <f t="shared" si="3"/>
        <v>19.049999999999997</v>
      </c>
      <c r="Q38" s="9">
        <f t="shared" si="4"/>
        <v>1</v>
      </c>
      <c r="R38" s="140">
        <f t="shared" si="5"/>
        <v>13.933333333333332</v>
      </c>
      <c r="S38" s="24">
        <f t="shared" si="6"/>
        <v>1</v>
      </c>
      <c r="T38" s="140">
        <f t="shared" si="7"/>
        <v>25.033333333333331</v>
      </c>
      <c r="U38" s="150">
        <f t="shared" si="8"/>
        <v>1</v>
      </c>
      <c r="V38" s="141">
        <f t="shared" si="9"/>
        <v>19.049999999999997</v>
      </c>
      <c r="W38" s="142">
        <f t="shared" si="10"/>
        <v>1</v>
      </c>
      <c r="X38" s="144">
        <f t="shared" ca="1" si="0"/>
        <v>15.535897435897436</v>
      </c>
      <c r="Y38" s="144">
        <f t="shared" ca="1" si="1"/>
        <v>24.316666666666666</v>
      </c>
      <c r="Z38" s="144">
        <f t="shared" ca="1" si="2"/>
        <v>19.394289044289046</v>
      </c>
      <c r="AA38" s="10"/>
      <c r="AB38" s="357" t="str">
        <f>VLOOKUP($B38,'2007-2020 Metadata'!$A$4:$S$214,MATCH("Urban Area /Monitoring Zone",'2007-2020 Metadata'!$A$4:$S$4,0),FALSE)</f>
        <v>Auckland - Western</v>
      </c>
      <c r="AC38" s="87" t="str">
        <f>VLOOKUP(B38,'2007-2020 Metadata'!$A$6:$A$214,1,FALSE)</f>
        <v>AUC051</v>
      </c>
      <c r="AD38" s="230" t="str">
        <f>VLOOKUP($AC38,'2007-2020 Metadata'!$A$6:$S$214,9,FALSE)</f>
        <v>Waitakere</v>
      </c>
      <c r="AE38" s="248">
        <f>IF(ISBLANK(VLOOKUP($AC38,'2007-2020 Metadata'!$A$6:$S$214,19,FALSE)),"",VLOOKUP($AC38,'2007-2020 Metadata'!$A$6:$S$214,19,FALSE))</f>
        <v>3</v>
      </c>
      <c r="AF38" s="88" t="str">
        <f>VLOOKUP($B38,'2007-2020 Metadata'!$A$4:$S$214,MATCH("Site type",'2007-2020 Metadata'!$A$4:$S$4,0),FALSE)</f>
        <v>SH</v>
      </c>
      <c r="AG38" s="143">
        <f t="shared" si="11"/>
        <v>8.9</v>
      </c>
      <c r="AH38" s="143">
        <f t="shared" si="12"/>
        <v>30.9</v>
      </c>
      <c r="AI38" s="144">
        <f t="shared" ca="1" si="13"/>
        <v>19.394289044289046</v>
      </c>
    </row>
    <row r="39" spans="2:35" ht="12" customHeight="1" x14ac:dyDescent="0.15">
      <c r="B39" s="11" t="s">
        <v>73</v>
      </c>
      <c r="C39" s="29">
        <f>IF(ISBLANK(VLOOKUP($B39,'Monthly Summary 2009'!$B$7:$Q$106,14,FALSE)),"",IF(ISERROR(VLOOKUP(B39,'Monthly Summary 2009'!$B$7:$Q$106,14,FALSE)),"",VLOOKUP(B39,'Monthly Summary 2009'!$B$7:$Q$106,14,FALSE)))</f>
        <v>9.6</v>
      </c>
      <c r="D39" s="7">
        <v>15</v>
      </c>
      <c r="E39" s="7">
        <v>12.6</v>
      </c>
      <c r="F39" s="7">
        <v>16</v>
      </c>
      <c r="G39" s="7">
        <v>21.5</v>
      </c>
      <c r="H39" s="7">
        <v>26</v>
      </c>
      <c r="I39" s="7">
        <v>28.2</v>
      </c>
      <c r="J39" s="7">
        <v>32.6</v>
      </c>
      <c r="K39" s="7">
        <v>25.9</v>
      </c>
      <c r="L39" s="7">
        <v>18.899999999999999</v>
      </c>
      <c r="M39" s="7">
        <v>14</v>
      </c>
      <c r="N39" s="7">
        <v>16.100000000000001</v>
      </c>
      <c r="O39" s="7">
        <v>10.8</v>
      </c>
      <c r="P39" s="8">
        <f t="shared" si="3"/>
        <v>19.8</v>
      </c>
      <c r="Q39" s="9">
        <f t="shared" si="4"/>
        <v>1</v>
      </c>
      <c r="R39" s="140">
        <f t="shared" si="5"/>
        <v>14.533333333333333</v>
      </c>
      <c r="S39" s="24">
        <f t="shared" si="6"/>
        <v>1</v>
      </c>
      <c r="T39" s="140">
        <f t="shared" si="7"/>
        <v>25.8</v>
      </c>
      <c r="U39" s="150">
        <f t="shared" si="8"/>
        <v>1</v>
      </c>
      <c r="V39" s="141">
        <f t="shared" si="9"/>
        <v>19.8</v>
      </c>
      <c r="W39" s="142">
        <f t="shared" si="10"/>
        <v>1</v>
      </c>
      <c r="X39" s="144">
        <f t="shared" ref="X39:X70" ca="1" si="17">IF(VLOOKUP($B39,$AC$6:$AI$158,3,FALSE)="",$R39,IF(ISERROR(AVERAGEIF($AD$6:$AD$161,VLOOKUP($B39,$AC$6:$AI$158,2,FALSE),$R$6:$R$158)),"",AVERAGEIF($AD$6:$AD$161,VLOOKUP($B39,$AC$6:$AI$158,2,FALSE),$R$6:$R$158)))</f>
        <v>15.535897435897436</v>
      </c>
      <c r="Y39" s="144">
        <f t="shared" ref="Y39:Y70" ca="1" si="18">IF(VLOOKUP($B39,$AC$6:$AI$158,3,FALSE)="",$T39,IF(ISERROR(AVERAGEIF($AD$6:$AD$161,VLOOKUP($B39,$AC$6:$AI$158,2,FALSE),$T$6:$T$158)),"",AVERAGEIF($AD$6:$AD$161,VLOOKUP($B39,$AC$6:$AI$158,2,FALSE),$T$6:$T$158)))</f>
        <v>24.316666666666666</v>
      </c>
      <c r="Z39" s="144">
        <f t="shared" ref="Z39:Z70" ca="1" si="19">IF(VLOOKUP($B39,$AC$6:$AI$158,3,FALSE)="",$V39,IF(ISERROR(AVERAGEIF($AD$6:$AD$161,VLOOKUP($B39,$AC$6:$AI$158,2,FALSE),$V$6:$V$158)),"",AVERAGEIF($AD$6:$AD$161,VLOOKUP($B39,$AC$6:$AI$158,2,FALSE),$V$6:$V$158)))</f>
        <v>19.394289044289046</v>
      </c>
      <c r="AA39" s="10"/>
      <c r="AB39" s="357" t="str">
        <f>VLOOKUP($B39,'2007-2020 Metadata'!$A$4:$S$214,MATCH("Urban Area /Monitoring Zone",'2007-2020 Metadata'!$A$4:$S$4,0),FALSE)</f>
        <v>Auckland - Western</v>
      </c>
      <c r="AC39" s="87" t="str">
        <f>VLOOKUP(B39,'2007-2020 Metadata'!$A$6:$A$214,1,FALSE)</f>
        <v>AUC052</v>
      </c>
      <c r="AD39" s="230" t="str">
        <f>VLOOKUP($AC39,'2007-2020 Metadata'!$A$6:$S$214,9,FALSE)</f>
        <v>Waitakere</v>
      </c>
      <c r="AE39" s="248">
        <f>IF(ISBLANK(VLOOKUP($AC39,'2007-2020 Metadata'!$A$6:$S$214,19,FALSE)),"",VLOOKUP($AC39,'2007-2020 Metadata'!$A$6:$S$214,19,FALSE))</f>
        <v>3</v>
      </c>
      <c r="AF39" s="88" t="str">
        <f>VLOOKUP($B39,'2007-2020 Metadata'!$A$4:$S$214,MATCH("Site type",'2007-2020 Metadata'!$A$4:$S$4,0),FALSE)</f>
        <v>Local</v>
      </c>
      <c r="AG39" s="143">
        <f t="shared" si="11"/>
        <v>10.8</v>
      </c>
      <c r="AH39" s="143">
        <f t="shared" si="12"/>
        <v>32.6</v>
      </c>
      <c r="AI39" s="144">
        <f t="shared" ca="1" si="13"/>
        <v>19.394289044289046</v>
      </c>
    </row>
    <row r="40" spans="2:35" ht="12" customHeight="1" x14ac:dyDescent="0.15">
      <c r="B40" s="11" t="s">
        <v>74</v>
      </c>
      <c r="C40" s="29">
        <f>IF(ISBLANK(VLOOKUP($B40,'Monthly Summary 2009'!$B$7:$Q$106,14,FALSE)),"",IF(ISERROR(VLOOKUP(B40,'Monthly Summary 2009'!$B$7:$Q$106,14,FALSE)),"",VLOOKUP(B40,'Monthly Summary 2009'!$B$7:$Q$106,14,FALSE)))</f>
        <v>19.2</v>
      </c>
      <c r="D40" s="7">
        <v>19.399999999999999</v>
      </c>
      <c r="E40" s="7">
        <v>20.7</v>
      </c>
      <c r="F40" s="7">
        <v>25.2</v>
      </c>
      <c r="G40" s="7">
        <v>43.8</v>
      </c>
      <c r="H40" s="7">
        <v>35.9</v>
      </c>
      <c r="I40" s="7">
        <v>41.9</v>
      </c>
      <c r="J40" s="7">
        <v>51.7</v>
      </c>
      <c r="K40" s="7">
        <v>44</v>
      </c>
      <c r="L40" s="7">
        <v>40.5</v>
      </c>
      <c r="M40" s="7">
        <v>25.4</v>
      </c>
      <c r="N40" s="7">
        <v>29</v>
      </c>
      <c r="O40" s="7">
        <v>16</v>
      </c>
      <c r="P40" s="8">
        <f t="shared" si="3"/>
        <v>32.791666666666664</v>
      </c>
      <c r="Q40" s="9">
        <f t="shared" si="4"/>
        <v>1</v>
      </c>
      <c r="R40" s="140">
        <f t="shared" si="5"/>
        <v>21.766666666666666</v>
      </c>
      <c r="S40" s="24">
        <f t="shared" si="6"/>
        <v>1</v>
      </c>
      <c r="T40" s="140">
        <f t="shared" si="7"/>
        <v>45.4</v>
      </c>
      <c r="U40" s="150">
        <f t="shared" si="8"/>
        <v>1</v>
      </c>
      <c r="V40" s="141">
        <f t="shared" si="9"/>
        <v>32.791666666666664</v>
      </c>
      <c r="W40" s="142">
        <f t="shared" si="10"/>
        <v>1</v>
      </c>
      <c r="X40" s="144">
        <f t="shared" ca="1" si="17"/>
        <v>15.535897435897436</v>
      </c>
      <c r="Y40" s="144">
        <f t="shared" ca="1" si="18"/>
        <v>24.316666666666666</v>
      </c>
      <c r="Z40" s="144">
        <f t="shared" ca="1" si="19"/>
        <v>19.394289044289046</v>
      </c>
      <c r="AA40" s="10"/>
      <c r="AB40" s="357" t="str">
        <f>VLOOKUP($B40,'2007-2020 Metadata'!$A$4:$S$214,MATCH("Urban Area /Monitoring Zone",'2007-2020 Metadata'!$A$4:$S$4,0),FALSE)</f>
        <v>Auckland - Western</v>
      </c>
      <c r="AC40" s="87" t="str">
        <f>VLOOKUP(B40,'2007-2020 Metadata'!$A$6:$A$214,1,FALSE)</f>
        <v>AUC053</v>
      </c>
      <c r="AD40" s="230" t="str">
        <f>VLOOKUP($AC40,'2007-2020 Metadata'!$A$6:$S$214,9,FALSE)</f>
        <v>Waitakere</v>
      </c>
      <c r="AE40" s="248">
        <f>IF(ISBLANK(VLOOKUP($AC40,'2007-2020 Metadata'!$A$6:$S$214,19,FALSE)),"",VLOOKUP($AC40,'2007-2020 Metadata'!$A$6:$S$214,19,FALSE))</f>
        <v>3</v>
      </c>
      <c r="AF40" s="88" t="str">
        <f>VLOOKUP($B40,'2007-2020 Metadata'!$A$4:$S$214,MATCH("Site type",'2007-2020 Metadata'!$A$4:$S$4,0),FALSE)</f>
        <v>Local</v>
      </c>
      <c r="AG40" s="143">
        <f t="shared" si="11"/>
        <v>16</v>
      </c>
      <c r="AH40" s="143">
        <f t="shared" si="12"/>
        <v>51.7</v>
      </c>
      <c r="AI40" s="144">
        <f t="shared" ca="1" si="13"/>
        <v>19.394289044289046</v>
      </c>
    </row>
    <row r="41" spans="2:35" ht="12" customHeight="1" x14ac:dyDescent="0.15">
      <c r="B41" s="11" t="s">
        <v>75</v>
      </c>
      <c r="C41" s="29">
        <f>IF(ISBLANK(VLOOKUP($B41,'Monthly Summary 2009'!$B$7:$Q$106,14,FALSE)),"",IF(ISERROR(VLOOKUP(B41,'Monthly Summary 2009'!$B$7:$Q$106,14,FALSE)),"",VLOOKUP(B41,'Monthly Summary 2009'!$B$7:$Q$106,14,FALSE)))</f>
        <v>6</v>
      </c>
      <c r="D41" s="7">
        <v>13.8</v>
      </c>
      <c r="E41" s="7">
        <v>14.7</v>
      </c>
      <c r="F41" s="7">
        <v>14.2</v>
      </c>
      <c r="G41" s="7">
        <v>17</v>
      </c>
      <c r="H41" s="7">
        <v>23</v>
      </c>
      <c r="I41" s="7">
        <v>22.6</v>
      </c>
      <c r="J41" s="7">
        <v>29.6</v>
      </c>
      <c r="K41" s="7">
        <v>20.399999999999999</v>
      </c>
      <c r="L41" s="7">
        <v>10.5</v>
      </c>
      <c r="M41" s="7">
        <v>15.1</v>
      </c>
      <c r="N41" s="7">
        <v>17.600000000000001</v>
      </c>
      <c r="O41" s="7">
        <v>10.6</v>
      </c>
      <c r="P41" s="8">
        <f t="shared" si="3"/>
        <v>17.425000000000001</v>
      </c>
      <c r="Q41" s="9">
        <f t="shared" si="4"/>
        <v>1</v>
      </c>
      <c r="R41" s="260">
        <f t="shared" si="5"/>
        <v>14.233333333333334</v>
      </c>
      <c r="S41" s="264">
        <f t="shared" si="6"/>
        <v>1</v>
      </c>
      <c r="T41" s="260">
        <f t="shared" si="7"/>
        <v>20.166666666666668</v>
      </c>
      <c r="U41" s="261">
        <f t="shared" si="8"/>
        <v>1</v>
      </c>
      <c r="V41" s="262">
        <f t="shared" si="9"/>
        <v>17.425000000000001</v>
      </c>
      <c r="W41" s="261">
        <f t="shared" si="10"/>
        <v>1</v>
      </c>
      <c r="X41" s="177">
        <f t="shared" ca="1" si="17"/>
        <v>15.535897435897436</v>
      </c>
      <c r="Y41" s="177">
        <f t="shared" ca="1" si="18"/>
        <v>24.316666666666666</v>
      </c>
      <c r="Z41" s="177">
        <f t="shared" ca="1" si="19"/>
        <v>19.394289044289046</v>
      </c>
      <c r="AA41" s="10"/>
      <c r="AB41" s="357" t="str">
        <f>VLOOKUP($B41,'2007-2020 Metadata'!$A$4:$S$214,MATCH("Urban Area /Monitoring Zone",'2007-2020 Metadata'!$A$4:$S$4,0),FALSE)</f>
        <v>Auckland - Western</v>
      </c>
      <c r="AC41" s="259" t="str">
        <f>VLOOKUP(B41,'2007-2020 Metadata'!$A$6:$A$214,1,FALSE)</f>
        <v>AUC054</v>
      </c>
      <c r="AD41" s="256" t="str">
        <f>VLOOKUP($AC41,'2007-2020 Metadata'!$A$6:$S$214,9,FALSE)</f>
        <v>Waitakere</v>
      </c>
      <c r="AE41" s="263">
        <f>IF(ISBLANK(VLOOKUP($AC41,'2007-2020 Metadata'!$A$6:$S$214,19,FALSE)),"",VLOOKUP($AC41,'2007-2020 Metadata'!$A$6:$S$214,19,FALSE))</f>
        <v>3</v>
      </c>
      <c r="AF41" s="257" t="str">
        <f>VLOOKUP($B41,'2007-2020 Metadata'!$A$4:$S$214,MATCH("Site type",'2007-2020 Metadata'!$A$4:$S$4,0),FALSE)</f>
        <v>Local</v>
      </c>
      <c r="AG41" s="258">
        <f>MIN(AVERAGE(D$41:D$43),AVERAGE(E$41:E$43),AVERAGE(F$41:F$43),AVERAGE(G$41:G$43),AVERAGE(H$41:H$43),AVERAGE(I$41:I$43),AVERAGE(J$41:J$43),AVERAGE(K$41:K$43),AVERAGE(L$41:L$43),AVERAGE(M$41:M$43),AVERAGE(N$41:N$43),AVERAGE(O$41:O$43))</f>
        <v>10.4</v>
      </c>
      <c r="AH41" s="258">
        <f>MAX(AVERAGE(D$41:D$43),AVERAGE(E$41:E$43),AVERAGE(F$41:F$43),AVERAGE(G$41:G$43),AVERAGE(H$41:H$43),AVERAGE(I$41:I$43),AVERAGE(J$41:J$43),AVERAGE(K$41:K$43),AVERAGE(L$41:L$43),AVERAGE(M$41:M$43),AVERAGE(N$41:N$43),AVERAGE(O$41:O$43))</f>
        <v>30.2</v>
      </c>
      <c r="AI41" s="177">
        <f t="shared" ca="1" si="13"/>
        <v>19.394289044289046</v>
      </c>
    </row>
    <row r="42" spans="2:35" ht="12" customHeight="1" x14ac:dyDescent="0.15">
      <c r="B42" s="11" t="s">
        <v>76</v>
      </c>
      <c r="C42" s="29">
        <f>IF(ISBLANK(VLOOKUP($B42,'Monthly Summary 2009'!$B$7:$Q$106,14,FALSE)),"",IF(ISERROR(VLOOKUP(B42,'Monthly Summary 2009'!$B$7:$Q$106,14,FALSE)),"",VLOOKUP(B42,'Monthly Summary 2009'!$B$7:$Q$106,14,FALSE)))</f>
        <v>7.5</v>
      </c>
      <c r="D42" s="7">
        <v>15.1</v>
      </c>
      <c r="E42" s="7">
        <v>14.1</v>
      </c>
      <c r="F42" s="7">
        <v>13.1</v>
      </c>
      <c r="G42" s="7">
        <v>18.8</v>
      </c>
      <c r="H42" s="7">
        <v>26.1</v>
      </c>
      <c r="I42" s="7">
        <v>20.399999999999999</v>
      </c>
      <c r="J42" s="7">
        <v>33</v>
      </c>
      <c r="K42" s="7">
        <v>18.2</v>
      </c>
      <c r="L42" s="7">
        <v>8.4</v>
      </c>
      <c r="M42" s="7">
        <v>13.5</v>
      </c>
      <c r="N42" s="7">
        <v>14.9</v>
      </c>
      <c r="O42" s="7">
        <v>12.9</v>
      </c>
      <c r="P42" s="8">
        <f t="shared" si="3"/>
        <v>17.375</v>
      </c>
      <c r="Q42" s="9">
        <f t="shared" si="4"/>
        <v>1</v>
      </c>
      <c r="R42" s="260">
        <f t="shared" si="5"/>
        <v>14.1</v>
      </c>
      <c r="S42" s="264">
        <f t="shared" si="6"/>
        <v>1</v>
      </c>
      <c r="T42" s="260">
        <f t="shared" si="7"/>
        <v>19.866666666666667</v>
      </c>
      <c r="U42" s="261">
        <f t="shared" si="8"/>
        <v>1</v>
      </c>
      <c r="V42" s="262">
        <f t="shared" si="9"/>
        <v>17.375</v>
      </c>
      <c r="W42" s="261">
        <f t="shared" si="10"/>
        <v>1</v>
      </c>
      <c r="X42" s="177">
        <f t="shared" ca="1" si="17"/>
        <v>15.535897435897436</v>
      </c>
      <c r="Y42" s="177">
        <f t="shared" ca="1" si="18"/>
        <v>24.316666666666666</v>
      </c>
      <c r="Z42" s="177">
        <f t="shared" ca="1" si="19"/>
        <v>19.394289044289046</v>
      </c>
      <c r="AA42" s="10"/>
      <c r="AB42" s="357" t="str">
        <f>VLOOKUP($B42,'2007-2020 Metadata'!$A$4:$S$214,MATCH("Urban Area /Monitoring Zone",'2007-2020 Metadata'!$A$4:$S$4,0),FALSE)</f>
        <v>Auckland - Western</v>
      </c>
      <c r="AC42" s="259" t="str">
        <f>VLOOKUP(B42,'2007-2020 Metadata'!$A$6:$A$214,1,FALSE)</f>
        <v>AUC055</v>
      </c>
      <c r="AD42" s="256" t="str">
        <f>VLOOKUP($AC42,'2007-2020 Metadata'!$A$6:$S$214,9,FALSE)</f>
        <v>Waitakere</v>
      </c>
      <c r="AE42" s="263">
        <f>IF(ISBLANK(VLOOKUP($AC42,'2007-2020 Metadata'!$A$6:$S$214,19,FALSE)),"",VLOOKUP($AC42,'2007-2020 Metadata'!$A$6:$S$214,19,FALSE))</f>
        <v>3</v>
      </c>
      <c r="AF42" s="257" t="str">
        <f>VLOOKUP($B42,'2007-2020 Metadata'!$A$4:$S$214,MATCH("Site type",'2007-2020 Metadata'!$A$4:$S$4,0),FALSE)</f>
        <v>Local</v>
      </c>
      <c r="AG42" s="258">
        <f>MIN(AVERAGE(D$41:D$43),AVERAGE(E$41:E$43),AVERAGE(F$41:F$43),AVERAGE(G$41:G$43),AVERAGE(H$41:H$43),AVERAGE(I$41:I$43),AVERAGE(J$41:J$43),AVERAGE(K$41:K$43),AVERAGE(L$41:L$43),AVERAGE(M$41:M$43),AVERAGE(N$41:N$43),AVERAGE(O$41:O$43))</f>
        <v>10.4</v>
      </c>
      <c r="AH42" s="258">
        <f t="shared" ref="AH42:AH43" si="20">MAX(AVERAGE(D$41:D$43),AVERAGE(E$41:E$43),AVERAGE(F$41:F$43),AVERAGE(G$41:G$43),AVERAGE(H$41:H$43),AVERAGE(I$41:I$43),AVERAGE(J$41:J$43),AVERAGE(K$41:K$43),AVERAGE(L$41:L$43),AVERAGE(M$41:M$43),AVERAGE(N$41:N$43),AVERAGE(O$41:O$43))</f>
        <v>30.2</v>
      </c>
      <c r="AI42" s="177">
        <f t="shared" ca="1" si="13"/>
        <v>19.394289044289046</v>
      </c>
    </row>
    <row r="43" spans="2:35" ht="12" customHeight="1" x14ac:dyDescent="0.15">
      <c r="B43" s="6" t="s">
        <v>77</v>
      </c>
      <c r="C43" s="29">
        <f>IF(ISBLANK(VLOOKUP($B43,'Monthly Summary 2009'!$B$7:$Q$106,14,FALSE)),"",IF(ISERROR(VLOOKUP(B43,'Monthly Summary 2009'!$B$7:$Q$106,14,FALSE)),"",VLOOKUP(B43,'Monthly Summary 2009'!$B$7:$Q$106,14,FALSE)))</f>
        <v>6.5</v>
      </c>
      <c r="D43" s="7">
        <v>13.8</v>
      </c>
      <c r="E43" s="7">
        <v>14.1</v>
      </c>
      <c r="F43" s="7">
        <v>15.1</v>
      </c>
      <c r="G43" s="7">
        <v>17.3</v>
      </c>
      <c r="H43" s="7">
        <v>25.6</v>
      </c>
      <c r="I43" s="7">
        <v>23.8</v>
      </c>
      <c r="J43" s="7">
        <v>28</v>
      </c>
      <c r="K43" s="7">
        <v>19.3</v>
      </c>
      <c r="L43" s="7">
        <v>12.3</v>
      </c>
      <c r="M43" s="7">
        <v>15.1</v>
      </c>
      <c r="N43" s="7">
        <v>16.100000000000001</v>
      </c>
      <c r="O43" s="7">
        <v>12</v>
      </c>
      <c r="P43" s="8">
        <f t="shared" si="3"/>
        <v>17.708333333333332</v>
      </c>
      <c r="Q43" s="9">
        <f t="shared" si="4"/>
        <v>1</v>
      </c>
      <c r="R43" s="260">
        <f t="shared" si="5"/>
        <v>14.333333333333334</v>
      </c>
      <c r="S43" s="264">
        <f t="shared" si="6"/>
        <v>1</v>
      </c>
      <c r="T43" s="260">
        <f t="shared" si="7"/>
        <v>19.866666666666664</v>
      </c>
      <c r="U43" s="261">
        <f t="shared" si="8"/>
        <v>1</v>
      </c>
      <c r="V43" s="262">
        <f t="shared" si="9"/>
        <v>17.708333333333332</v>
      </c>
      <c r="W43" s="261">
        <f t="shared" si="10"/>
        <v>1</v>
      </c>
      <c r="X43" s="177">
        <f t="shared" ca="1" si="17"/>
        <v>15.535897435897436</v>
      </c>
      <c r="Y43" s="177">
        <f t="shared" ca="1" si="18"/>
        <v>24.316666666666666</v>
      </c>
      <c r="Z43" s="177">
        <f t="shared" ca="1" si="19"/>
        <v>19.394289044289046</v>
      </c>
      <c r="AA43" s="10"/>
      <c r="AB43" s="357" t="str">
        <f>VLOOKUP($B43,'2007-2020 Metadata'!$A$4:$S$214,MATCH("Urban Area /Monitoring Zone",'2007-2020 Metadata'!$A$4:$S$4,0),FALSE)</f>
        <v>Auckland - Western</v>
      </c>
      <c r="AC43" s="259" t="str">
        <f>VLOOKUP(B43,'2007-2020 Metadata'!$A$6:$A$214,1,FALSE)</f>
        <v>AUC056</v>
      </c>
      <c r="AD43" s="256" t="str">
        <f>VLOOKUP($AC43,'2007-2020 Metadata'!$A$6:$S$214,9,FALSE)</f>
        <v>Waitakere</v>
      </c>
      <c r="AE43" s="263">
        <f>IF(ISBLANK(VLOOKUP($AC43,'2007-2020 Metadata'!$A$6:$S$214,19,FALSE)),"",VLOOKUP($AC43,'2007-2020 Metadata'!$A$6:$S$214,19,FALSE))</f>
        <v>3</v>
      </c>
      <c r="AF43" s="257" t="str">
        <f>VLOOKUP($B43,'2007-2020 Metadata'!$A$4:$S$214,MATCH("Site type",'2007-2020 Metadata'!$A$4:$S$4,0),FALSE)</f>
        <v>Local</v>
      </c>
      <c r="AG43" s="258">
        <f>MIN(AVERAGE(D$41:D$43),AVERAGE(E$41:E$43),AVERAGE(F$41:F$43),AVERAGE(G$41:G$43),AVERAGE(H$41:H$43),AVERAGE(I$41:I$43),AVERAGE(J$41:J$43),AVERAGE(K$41:K$43),AVERAGE(L$41:L$43),AVERAGE(M$41:M$43),AVERAGE(N$41:N$43),AVERAGE(O$41:O$43))</f>
        <v>10.4</v>
      </c>
      <c r="AH43" s="258">
        <f t="shared" si="20"/>
        <v>30.2</v>
      </c>
      <c r="AI43" s="177">
        <f t="shared" ca="1" si="13"/>
        <v>19.394289044289046</v>
      </c>
    </row>
    <row r="44" spans="2:35" ht="12" customHeight="1" x14ac:dyDescent="0.15">
      <c r="B44" s="11" t="s">
        <v>78</v>
      </c>
      <c r="C44" s="29">
        <f>IF(ISBLANK(VLOOKUP($B44,'Monthly Summary 2009'!$B$7:$Q$106,14,FALSE)),"",IF(ISERROR(VLOOKUP(B44,'Monthly Summary 2009'!$B$7:$Q$106,14,FALSE)),"",VLOOKUP(B44,'Monthly Summary 2009'!$B$7:$Q$106,14,FALSE)))</f>
        <v>3.4</v>
      </c>
      <c r="D44" s="7">
        <v>9.5</v>
      </c>
      <c r="E44" s="7">
        <v>6.9</v>
      </c>
      <c r="F44" s="7">
        <v>7.7</v>
      </c>
      <c r="G44" s="7">
        <v>11.4</v>
      </c>
      <c r="H44" s="7">
        <v>16.2</v>
      </c>
      <c r="I44" s="7">
        <v>13.3</v>
      </c>
      <c r="J44" s="7">
        <v>17</v>
      </c>
      <c r="K44" s="7">
        <v>11.7</v>
      </c>
      <c r="L44" s="7">
        <v>8.1</v>
      </c>
      <c r="M44" s="7">
        <v>6.9</v>
      </c>
      <c r="N44" s="7">
        <v>7.1</v>
      </c>
      <c r="O44" s="7">
        <v>6.4</v>
      </c>
      <c r="P44" s="8">
        <f t="shared" si="3"/>
        <v>10.183333333333334</v>
      </c>
      <c r="Q44" s="9">
        <f t="shared" si="4"/>
        <v>1</v>
      </c>
      <c r="R44" s="260">
        <f t="shared" si="5"/>
        <v>8.0333333333333332</v>
      </c>
      <c r="S44" s="264">
        <f t="shared" si="6"/>
        <v>1</v>
      </c>
      <c r="T44" s="260">
        <f t="shared" si="7"/>
        <v>12.266666666666666</v>
      </c>
      <c r="U44" s="261">
        <f t="shared" si="8"/>
        <v>1</v>
      </c>
      <c r="V44" s="262">
        <f t="shared" si="9"/>
        <v>10.183333333333334</v>
      </c>
      <c r="W44" s="261">
        <f t="shared" si="10"/>
        <v>1</v>
      </c>
      <c r="X44" s="177">
        <f t="shared" ca="1" si="17"/>
        <v>15.535897435897436</v>
      </c>
      <c r="Y44" s="177">
        <f t="shared" ca="1" si="18"/>
        <v>24.316666666666666</v>
      </c>
      <c r="Z44" s="177">
        <f t="shared" ca="1" si="19"/>
        <v>19.394289044289046</v>
      </c>
      <c r="AA44" s="10"/>
      <c r="AB44" s="357" t="str">
        <f>VLOOKUP($B44,'2007-2020 Metadata'!$A$4:$S$214,MATCH("Urban Area /Monitoring Zone",'2007-2020 Metadata'!$A$4:$S$4,0),FALSE)</f>
        <v>Auckland - Western</v>
      </c>
      <c r="AC44" s="259" t="str">
        <f>VLOOKUP(B44,'2007-2020 Metadata'!$A$6:$A$214,1,FALSE)</f>
        <v>AUC057</v>
      </c>
      <c r="AD44" s="256" t="str">
        <f>VLOOKUP($AC44,'2007-2020 Metadata'!$A$6:$S$214,9,FALSE)</f>
        <v>Waitakere</v>
      </c>
      <c r="AE44" s="263">
        <f>IF(ISBLANK(VLOOKUP($AC44,'2007-2020 Metadata'!$A$6:$S$214,19,FALSE)),"",VLOOKUP($AC44,'2007-2020 Metadata'!$A$6:$S$214,19,FALSE))</f>
        <v>3</v>
      </c>
      <c r="AF44" s="257" t="str">
        <f>VLOOKUP($B44,'2007-2020 Metadata'!$A$4:$S$214,MATCH("Site type",'2007-2020 Metadata'!$A$4:$S$4,0),FALSE)</f>
        <v>Background</v>
      </c>
      <c r="AG44" s="258">
        <f>MIN(AVERAGE(D$44:D$46),AVERAGE(E$44:E$46),AVERAGE(F$44:F$46),AVERAGE(G$44:G$46),AVERAGE(H$44:H$46),AVERAGE(I$44:I$46),AVERAGE(J$44:J$46),AVERAGE(K$44:K$46),AVERAGE(L$44:L$46),AVERAGE(M$44:M$46),AVERAGE(N$44:N$46),AVERAGE(O$44:O$46))</f>
        <v>5.7</v>
      </c>
      <c r="AH44" s="258">
        <f>MAX(AVERAGE(D$44:D$46),AVERAGE(E$44:E$46),AVERAGE(F$44:F$46),AVERAGE(G$44:G$46),AVERAGE(H$44:H$46),AVERAGE(I$44:I$46),AVERAGE(J$44:J$46),AVERAGE(K$44:K$46),AVERAGE(L$44:L$46),AVERAGE(M$44:M$46),AVERAGE(N$44:N$46),AVERAGE(O$44:O$46))</f>
        <v>17.266666666666666</v>
      </c>
      <c r="AI44" s="177">
        <f t="shared" ca="1" si="13"/>
        <v>19.394289044289046</v>
      </c>
    </row>
    <row r="45" spans="2:35" ht="12" customHeight="1" x14ac:dyDescent="0.15">
      <c r="B45" s="11" t="s">
        <v>79</v>
      </c>
      <c r="C45" s="29">
        <f>IF(ISBLANK(VLOOKUP($B45,'Monthly Summary 2009'!$B$7:$Q$106,14,FALSE)),"",IF(ISERROR(VLOOKUP(B45,'Monthly Summary 2009'!$B$7:$Q$106,14,FALSE)),"",VLOOKUP(B45,'Monthly Summary 2009'!$B$7:$Q$106,14,FALSE)))</f>
        <v>4.0999999999999996</v>
      </c>
      <c r="D45" s="7">
        <v>6.8</v>
      </c>
      <c r="E45" s="7">
        <v>7</v>
      </c>
      <c r="F45" s="7">
        <v>8.3000000000000007</v>
      </c>
      <c r="G45" s="7">
        <v>10.1</v>
      </c>
      <c r="H45" s="7">
        <v>16.3</v>
      </c>
      <c r="I45" s="7">
        <v>13.6</v>
      </c>
      <c r="J45" s="7">
        <v>17.5</v>
      </c>
      <c r="K45" s="7">
        <v>12.3</v>
      </c>
      <c r="L45" s="7">
        <v>9.8000000000000007</v>
      </c>
      <c r="M45" s="7">
        <v>7.8</v>
      </c>
      <c r="N45" s="7">
        <v>6.3</v>
      </c>
      <c r="O45" s="7">
        <v>5.4</v>
      </c>
      <c r="P45" s="8">
        <f t="shared" si="3"/>
        <v>10.1</v>
      </c>
      <c r="Q45" s="9">
        <f t="shared" si="4"/>
        <v>1</v>
      </c>
      <c r="R45" s="260">
        <f t="shared" si="5"/>
        <v>7.3666666666666671</v>
      </c>
      <c r="S45" s="264">
        <f t="shared" si="6"/>
        <v>1</v>
      </c>
      <c r="T45" s="260">
        <f t="shared" si="7"/>
        <v>13.200000000000001</v>
      </c>
      <c r="U45" s="261">
        <f t="shared" si="8"/>
        <v>1</v>
      </c>
      <c r="V45" s="262">
        <f t="shared" si="9"/>
        <v>10.1</v>
      </c>
      <c r="W45" s="261">
        <f t="shared" si="10"/>
        <v>1</v>
      </c>
      <c r="X45" s="177">
        <f t="shared" ca="1" si="17"/>
        <v>15.535897435897436</v>
      </c>
      <c r="Y45" s="177">
        <f t="shared" ca="1" si="18"/>
        <v>24.316666666666666</v>
      </c>
      <c r="Z45" s="177">
        <f t="shared" ca="1" si="19"/>
        <v>19.394289044289046</v>
      </c>
      <c r="AA45" s="10"/>
      <c r="AB45" s="357" t="str">
        <f>VLOOKUP($B45,'2007-2020 Metadata'!$A$4:$S$214,MATCH("Urban Area /Monitoring Zone",'2007-2020 Metadata'!$A$4:$S$4,0),FALSE)</f>
        <v>Auckland - Western</v>
      </c>
      <c r="AC45" s="259" t="str">
        <f>VLOOKUP(B45,'2007-2020 Metadata'!$A$6:$A$214,1,FALSE)</f>
        <v>AUC058</v>
      </c>
      <c r="AD45" s="256" t="str">
        <f>VLOOKUP($AC45,'2007-2020 Metadata'!$A$6:$S$214,9,FALSE)</f>
        <v>Waitakere</v>
      </c>
      <c r="AE45" s="263">
        <f>IF(ISBLANK(VLOOKUP($AC45,'2007-2020 Metadata'!$A$6:$S$214,19,FALSE)),"",VLOOKUP($AC45,'2007-2020 Metadata'!$A$6:$S$214,19,FALSE))</f>
        <v>3</v>
      </c>
      <c r="AF45" s="257" t="str">
        <f>VLOOKUP($B45,'2007-2020 Metadata'!$A$4:$S$214,MATCH("Site type",'2007-2020 Metadata'!$A$4:$S$4,0),FALSE)</f>
        <v>Background</v>
      </c>
      <c r="AG45" s="258">
        <f>MIN(AVERAGE(D$44:D$46),AVERAGE(E$44:E$46),AVERAGE(F$44:F$46),AVERAGE(G$44:G$46),AVERAGE(H$44:H$46),AVERAGE(I$44:I$46),AVERAGE(J$44:J$46),AVERAGE(K$44:K$46),AVERAGE(L$44:L$46),AVERAGE(M$44:M$46),AVERAGE(N$44:N$46),AVERAGE(O$44:O$46))</f>
        <v>5.7</v>
      </c>
      <c r="AH45" s="258">
        <f t="shared" ref="AH45:AH46" si="21">MAX(AVERAGE(D$44:D$46),AVERAGE(E$44:E$46),AVERAGE(F$44:F$46),AVERAGE(G$44:G$46),AVERAGE(H$44:H$46),AVERAGE(I$44:I$46),AVERAGE(J$44:J$46),AVERAGE(K$44:K$46),AVERAGE(L$44:L$46),AVERAGE(M$44:M$46),AVERAGE(N$44:N$46),AVERAGE(O$44:O$46))</f>
        <v>17.266666666666666</v>
      </c>
      <c r="AI45" s="177">
        <f t="shared" ca="1" si="13"/>
        <v>19.394289044289046</v>
      </c>
    </row>
    <row r="46" spans="2:35" ht="12" customHeight="1" x14ac:dyDescent="0.15">
      <c r="B46" s="11" t="s">
        <v>80</v>
      </c>
      <c r="C46" s="29">
        <f>IF(ISBLANK(VLOOKUP($B46,'Monthly Summary 2009'!$B$7:$Q$106,14,FALSE)),"",IF(ISERROR(VLOOKUP(B46,'Monthly Summary 2009'!$B$7:$Q$106,14,FALSE)),"",VLOOKUP(B46,'Monthly Summary 2009'!$B$7:$Q$106,14,FALSE)))</f>
        <v>3</v>
      </c>
      <c r="D46" s="7">
        <v>6.5</v>
      </c>
      <c r="E46" s="7">
        <v>6.5</v>
      </c>
      <c r="F46" s="7">
        <v>7.5</v>
      </c>
      <c r="G46" s="7">
        <v>9.5</v>
      </c>
      <c r="H46" s="7">
        <v>14.2</v>
      </c>
      <c r="I46" s="7">
        <v>13.2</v>
      </c>
      <c r="J46" s="7">
        <v>17.3</v>
      </c>
      <c r="K46" s="7">
        <v>11.7</v>
      </c>
      <c r="L46" s="7">
        <v>8.8000000000000007</v>
      </c>
      <c r="M46" s="7">
        <v>6.6</v>
      </c>
      <c r="N46" s="7">
        <v>7.3</v>
      </c>
      <c r="O46" s="7">
        <v>5.3</v>
      </c>
      <c r="P46" s="8">
        <f t="shared" si="3"/>
        <v>9.5333333333333332</v>
      </c>
      <c r="Q46" s="9">
        <f t="shared" si="4"/>
        <v>1</v>
      </c>
      <c r="R46" s="260">
        <f t="shared" si="5"/>
        <v>6.833333333333333</v>
      </c>
      <c r="S46" s="264">
        <f t="shared" si="6"/>
        <v>1</v>
      </c>
      <c r="T46" s="260">
        <f t="shared" si="7"/>
        <v>12.6</v>
      </c>
      <c r="U46" s="261">
        <f t="shared" si="8"/>
        <v>1</v>
      </c>
      <c r="V46" s="262">
        <f t="shared" si="9"/>
        <v>9.5333333333333332</v>
      </c>
      <c r="W46" s="261">
        <f t="shared" si="10"/>
        <v>1</v>
      </c>
      <c r="X46" s="177">
        <f t="shared" ca="1" si="17"/>
        <v>15.535897435897436</v>
      </c>
      <c r="Y46" s="177">
        <f t="shared" ca="1" si="18"/>
        <v>24.316666666666666</v>
      </c>
      <c r="Z46" s="177">
        <f t="shared" ca="1" si="19"/>
        <v>19.394289044289046</v>
      </c>
      <c r="AA46" s="10"/>
      <c r="AB46" s="357" t="str">
        <f>VLOOKUP($B46,'2007-2020 Metadata'!$A$4:$S$214,MATCH("Urban Area /Monitoring Zone",'2007-2020 Metadata'!$A$4:$S$4,0),FALSE)</f>
        <v>Auckland - Western</v>
      </c>
      <c r="AC46" s="259" t="str">
        <f>VLOOKUP(B46,'2007-2020 Metadata'!$A$6:$A$214,1,FALSE)</f>
        <v>AUC059</v>
      </c>
      <c r="AD46" s="256" t="str">
        <f>VLOOKUP($AC46,'2007-2020 Metadata'!$A$6:$S$214,9,FALSE)</f>
        <v>Waitakere</v>
      </c>
      <c r="AE46" s="263">
        <f>IF(ISBLANK(VLOOKUP($AC46,'2007-2020 Metadata'!$A$6:$S$214,19,FALSE)),"",VLOOKUP($AC46,'2007-2020 Metadata'!$A$6:$S$214,19,FALSE))</f>
        <v>3</v>
      </c>
      <c r="AF46" s="257" t="str">
        <f>VLOOKUP($B46,'2007-2020 Metadata'!$A$4:$S$214,MATCH("Site type",'2007-2020 Metadata'!$A$4:$S$4,0),FALSE)</f>
        <v>Background</v>
      </c>
      <c r="AG46" s="258">
        <f>MIN(AVERAGE(D$44:D$46),AVERAGE(E$44:E$46),AVERAGE(F$44:F$46),AVERAGE(G$44:G$46),AVERAGE(H$44:H$46),AVERAGE(I$44:I$46),AVERAGE(J$44:J$46),AVERAGE(K$44:K$46),AVERAGE(L$44:L$46),AVERAGE(M$44:M$46),AVERAGE(N$44:N$46),AVERAGE(O$44:O$46))</f>
        <v>5.7</v>
      </c>
      <c r="AH46" s="258">
        <f t="shared" si="21"/>
        <v>17.266666666666666</v>
      </c>
      <c r="AI46" s="177">
        <f t="shared" ca="1" si="13"/>
        <v>19.394289044289046</v>
      </c>
    </row>
    <row r="47" spans="2:35" ht="12" customHeight="1" x14ac:dyDescent="0.15">
      <c r="B47" s="11" t="s">
        <v>81</v>
      </c>
      <c r="C47" s="29">
        <f>IF(ISBLANK(VLOOKUP($B47,'Monthly Summary 2009'!$B$7:$Q$106,14,FALSE)),"",IF(ISERROR(VLOOKUP(B47,'Monthly Summary 2009'!$B$7:$Q$106,14,FALSE)),"",VLOOKUP(B47,'Monthly Summary 2009'!$B$7:$Q$106,14,FALSE)))</f>
        <v>29.1</v>
      </c>
      <c r="D47" s="7">
        <v>30.5</v>
      </c>
      <c r="E47" s="7">
        <v>32.6</v>
      </c>
      <c r="F47" s="7">
        <v>38.5</v>
      </c>
      <c r="G47" s="7">
        <v>42.6</v>
      </c>
      <c r="H47" s="7">
        <v>44.1</v>
      </c>
      <c r="I47" s="7">
        <v>50</v>
      </c>
      <c r="J47" s="7">
        <v>49</v>
      </c>
      <c r="K47" s="7">
        <v>45.5</v>
      </c>
      <c r="L47" s="7">
        <v>45.6</v>
      </c>
      <c r="M47" s="7">
        <v>31.3</v>
      </c>
      <c r="N47" s="7">
        <v>39.799999999999997</v>
      </c>
      <c r="O47" s="7">
        <v>29</v>
      </c>
      <c r="P47" s="8">
        <f t="shared" si="3"/>
        <v>39.875</v>
      </c>
      <c r="Q47" s="9">
        <f t="shared" si="4"/>
        <v>1</v>
      </c>
      <c r="R47" s="140">
        <f t="shared" si="5"/>
        <v>33.866666666666667</v>
      </c>
      <c r="S47" s="24">
        <f t="shared" si="6"/>
        <v>1</v>
      </c>
      <c r="T47" s="140">
        <f t="shared" si="7"/>
        <v>46.699999999999996</v>
      </c>
      <c r="U47" s="150">
        <f t="shared" si="8"/>
        <v>1</v>
      </c>
      <c r="V47" s="141">
        <f t="shared" si="9"/>
        <v>39.875</v>
      </c>
      <c r="W47" s="142">
        <f t="shared" si="10"/>
        <v>1</v>
      </c>
      <c r="X47" s="144">
        <f t="shared" ca="1" si="17"/>
        <v>24.453846153846158</v>
      </c>
      <c r="Y47" s="144">
        <f t="shared" ca="1" si="18"/>
        <v>37.620512820512822</v>
      </c>
      <c r="Z47" s="144">
        <f t="shared" ca="1" si="19"/>
        <v>30.885236985236983</v>
      </c>
      <c r="AA47" s="10"/>
      <c r="AB47" s="357" t="str">
        <f>VLOOKUP($B47,'2007-2020 Metadata'!$A$4:$S$214,MATCH("Urban Area /Monitoring Zone",'2007-2020 Metadata'!$A$4:$S$4,0),FALSE)</f>
        <v>Auckland - Central</v>
      </c>
      <c r="AC47" s="87" t="str">
        <f>VLOOKUP(B47,'2007-2020 Metadata'!$A$6:$A$214,1,FALSE)</f>
        <v>AUC060</v>
      </c>
      <c r="AD47" s="230" t="str">
        <f>VLOOKUP($AC47,'2007-2020 Metadata'!$A$6:$S$214,9,FALSE)</f>
        <v>Auckland</v>
      </c>
      <c r="AE47" s="248">
        <f>IF(ISBLANK(VLOOKUP($AC47,'2007-2020 Metadata'!$A$6:$S$214,19,FALSE)),"",VLOOKUP($AC47,'2007-2020 Metadata'!$A$6:$S$214,19,FALSE))</f>
        <v>3</v>
      </c>
      <c r="AF47" s="88" t="str">
        <f>VLOOKUP($B47,'2007-2020 Metadata'!$A$4:$S$214,MATCH("Site type",'2007-2020 Metadata'!$A$4:$S$4,0),FALSE)</f>
        <v>Local</v>
      </c>
      <c r="AG47" s="143">
        <f t="shared" si="11"/>
        <v>29</v>
      </c>
      <c r="AH47" s="143">
        <f t="shared" si="12"/>
        <v>50</v>
      </c>
      <c r="AI47" s="144">
        <f t="shared" ca="1" si="13"/>
        <v>30.885236985236983</v>
      </c>
    </row>
    <row r="48" spans="2:35" ht="12" customHeight="1" x14ac:dyDescent="0.15">
      <c r="B48" s="11" t="s">
        <v>82</v>
      </c>
      <c r="C48" s="29">
        <f>IF(ISBLANK(VLOOKUP($B48,'Monthly Summary 2009'!$B$7:$Q$106,14,FALSE)),"",IF(ISERROR(VLOOKUP(B48,'Monthly Summary 2009'!$B$7:$Q$106,14,FALSE)),"",VLOOKUP(B48,'Monthly Summary 2009'!$B$7:$Q$106,14,FALSE)))</f>
        <v>18.899999999999999</v>
      </c>
      <c r="D48" s="7">
        <v>22.1</v>
      </c>
      <c r="E48" s="7">
        <v>26.3</v>
      </c>
      <c r="F48" s="7">
        <v>20</v>
      </c>
      <c r="G48" s="7">
        <v>34.799999999999997</v>
      </c>
      <c r="H48" s="7">
        <v>40.1</v>
      </c>
      <c r="I48" s="7">
        <v>44.1</v>
      </c>
      <c r="J48" s="7">
        <v>45</v>
      </c>
      <c r="K48" s="7">
        <v>40.4</v>
      </c>
      <c r="L48" s="7">
        <v>34.200000000000003</v>
      </c>
      <c r="M48" s="7">
        <v>23.8</v>
      </c>
      <c r="N48" s="7">
        <v>23.1</v>
      </c>
      <c r="O48" s="7">
        <v>21.5</v>
      </c>
      <c r="P48" s="8">
        <f t="shared" si="3"/>
        <v>31.283333333333335</v>
      </c>
      <c r="Q48" s="9">
        <f t="shared" si="4"/>
        <v>1</v>
      </c>
      <c r="R48" s="140">
        <f t="shared" si="5"/>
        <v>22.8</v>
      </c>
      <c r="S48" s="24">
        <f t="shared" si="6"/>
        <v>1</v>
      </c>
      <c r="T48" s="140">
        <f t="shared" si="7"/>
        <v>39.866666666666667</v>
      </c>
      <c r="U48" s="150">
        <f t="shared" si="8"/>
        <v>1</v>
      </c>
      <c r="V48" s="141">
        <f t="shared" si="9"/>
        <v>31.283333333333335</v>
      </c>
      <c r="W48" s="142">
        <f t="shared" si="10"/>
        <v>1</v>
      </c>
      <c r="X48" s="144">
        <f t="shared" ca="1" si="17"/>
        <v>24.453846153846158</v>
      </c>
      <c r="Y48" s="144">
        <f t="shared" ca="1" si="18"/>
        <v>37.620512820512822</v>
      </c>
      <c r="Z48" s="144">
        <f t="shared" ca="1" si="19"/>
        <v>30.885236985236983</v>
      </c>
      <c r="AA48" s="10"/>
      <c r="AB48" s="357" t="str">
        <f>VLOOKUP($B48,'2007-2020 Metadata'!$A$4:$S$214,MATCH("Urban Area /Monitoring Zone",'2007-2020 Metadata'!$A$4:$S$4,0),FALSE)</f>
        <v>Auckland - Central</v>
      </c>
      <c r="AC48" s="87" t="str">
        <f>VLOOKUP(B48,'2007-2020 Metadata'!$A$6:$A$214,1,FALSE)</f>
        <v>AUC061</v>
      </c>
      <c r="AD48" s="230" t="str">
        <f>VLOOKUP($AC48,'2007-2020 Metadata'!$A$6:$S$214,9,FALSE)</f>
        <v>Auckland</v>
      </c>
      <c r="AE48" s="248">
        <f>IF(ISBLANK(VLOOKUP($AC48,'2007-2020 Metadata'!$A$6:$S$214,19,FALSE)),"",VLOOKUP($AC48,'2007-2020 Metadata'!$A$6:$S$214,19,FALSE))</f>
        <v>3</v>
      </c>
      <c r="AF48" s="88" t="str">
        <f>VLOOKUP($B48,'2007-2020 Metadata'!$A$4:$S$214,MATCH("Site type",'2007-2020 Metadata'!$A$4:$S$4,0),FALSE)</f>
        <v>Local</v>
      </c>
      <c r="AG48" s="143">
        <f t="shared" si="11"/>
        <v>20</v>
      </c>
      <c r="AH48" s="143">
        <f t="shared" si="12"/>
        <v>45</v>
      </c>
      <c r="AI48" s="144">
        <f t="shared" ca="1" si="13"/>
        <v>30.885236985236983</v>
      </c>
    </row>
    <row r="49" spans="2:35" ht="12" customHeight="1" x14ac:dyDescent="0.15">
      <c r="B49" s="11" t="s">
        <v>83</v>
      </c>
      <c r="C49" s="29">
        <f>IF(ISBLANK(VLOOKUP($B49,'Monthly Summary 2009'!$B$7:$Q$106,14,FALSE)),"",IF(ISERROR(VLOOKUP(B49,'Monthly Summary 2009'!$B$7:$Q$106,14,FALSE)),"",VLOOKUP(B49,'Monthly Summary 2009'!$B$7:$Q$106,14,FALSE)))</f>
        <v>13.4</v>
      </c>
      <c r="D49" s="7">
        <v>18.100000000000001</v>
      </c>
      <c r="E49" s="7">
        <v>24.2</v>
      </c>
      <c r="F49" s="7">
        <v>22.5</v>
      </c>
      <c r="G49" s="7">
        <v>28.5</v>
      </c>
      <c r="H49" s="7">
        <v>26.6</v>
      </c>
      <c r="I49" s="7">
        <v>38.5</v>
      </c>
      <c r="J49" s="7">
        <v>36.799999999999997</v>
      </c>
      <c r="K49" s="7">
        <v>32.4</v>
      </c>
      <c r="L49" s="7">
        <v>23.9</v>
      </c>
      <c r="M49" s="7">
        <v>23.7</v>
      </c>
      <c r="N49" s="7">
        <v>27</v>
      </c>
      <c r="O49" s="7">
        <v>13.1</v>
      </c>
      <c r="P49" s="8">
        <f t="shared" si="3"/>
        <v>26.275000000000002</v>
      </c>
      <c r="Q49" s="9">
        <f t="shared" si="4"/>
        <v>1</v>
      </c>
      <c r="R49" s="140">
        <f t="shared" si="5"/>
        <v>21.599999999999998</v>
      </c>
      <c r="S49" s="24">
        <f t="shared" si="6"/>
        <v>1</v>
      </c>
      <c r="T49" s="140">
        <f t="shared" si="7"/>
        <v>31.033333333333331</v>
      </c>
      <c r="U49" s="150">
        <f t="shared" si="8"/>
        <v>1</v>
      </c>
      <c r="V49" s="141">
        <f t="shared" si="9"/>
        <v>26.275000000000002</v>
      </c>
      <c r="W49" s="142">
        <f t="shared" si="10"/>
        <v>1</v>
      </c>
      <c r="X49" s="144">
        <f t="shared" ca="1" si="17"/>
        <v>24.453846153846158</v>
      </c>
      <c r="Y49" s="144">
        <f t="shared" ca="1" si="18"/>
        <v>37.620512820512822</v>
      </c>
      <c r="Z49" s="144">
        <f t="shared" ca="1" si="19"/>
        <v>30.885236985236983</v>
      </c>
      <c r="AA49" s="10"/>
      <c r="AB49" s="357" t="str">
        <f>VLOOKUP($B49,'2007-2020 Metadata'!$A$4:$S$214,MATCH("Urban Area /Monitoring Zone",'2007-2020 Metadata'!$A$4:$S$4,0),FALSE)</f>
        <v>Auckland - Central</v>
      </c>
      <c r="AC49" s="87" t="str">
        <f>VLOOKUP(B49,'2007-2020 Metadata'!$A$6:$A$214,1,FALSE)</f>
        <v>AUC062</v>
      </c>
      <c r="AD49" s="230" t="str">
        <f>VLOOKUP($AC49,'2007-2020 Metadata'!$A$6:$S$214,9,FALSE)</f>
        <v>Auckland</v>
      </c>
      <c r="AE49" s="248">
        <f>IF(ISBLANK(VLOOKUP($AC49,'2007-2020 Metadata'!$A$6:$S$214,19,FALSE)),"",VLOOKUP($AC49,'2007-2020 Metadata'!$A$6:$S$214,19,FALSE))</f>
        <v>2.5</v>
      </c>
      <c r="AF49" s="88" t="str">
        <f>VLOOKUP($B49,'2007-2020 Metadata'!$A$4:$S$214,MATCH("Site type",'2007-2020 Metadata'!$A$4:$S$4,0),FALSE)</f>
        <v>Local</v>
      </c>
      <c r="AG49" s="143">
        <f t="shared" si="11"/>
        <v>13.1</v>
      </c>
      <c r="AH49" s="143">
        <f t="shared" si="12"/>
        <v>38.5</v>
      </c>
      <c r="AI49" s="144">
        <f t="shared" ca="1" si="13"/>
        <v>30.885236985236983</v>
      </c>
    </row>
    <row r="50" spans="2:35" ht="12" customHeight="1" x14ac:dyDescent="0.15">
      <c r="B50" s="11" t="s">
        <v>84</v>
      </c>
      <c r="C50" s="29">
        <f>IF(ISBLANK(VLOOKUP($B50,'Monthly Summary 2009'!$B$7:$Q$106,14,FALSE)),"",IF(ISERROR(VLOOKUP(B50,'Monthly Summary 2009'!$B$7:$Q$106,14,FALSE)),"",VLOOKUP(B50,'Monthly Summary 2009'!$B$7:$Q$106,14,FALSE)))</f>
        <v>17.2</v>
      </c>
      <c r="D50" s="7">
        <v>34.799999999999997</v>
      </c>
      <c r="E50" s="7">
        <v>38</v>
      </c>
      <c r="F50" s="7">
        <v>41.5</v>
      </c>
      <c r="G50" s="7">
        <v>38.6</v>
      </c>
      <c r="H50" s="7">
        <v>42</v>
      </c>
      <c r="I50" s="7">
        <v>46.4</v>
      </c>
      <c r="J50" s="7">
        <v>52.9</v>
      </c>
      <c r="K50" s="7">
        <v>46</v>
      </c>
      <c r="L50" s="7">
        <v>40</v>
      </c>
      <c r="M50" s="7">
        <v>33.5</v>
      </c>
      <c r="N50" s="7">
        <v>18.399999999999999</v>
      </c>
      <c r="O50" s="7">
        <v>27.7</v>
      </c>
      <c r="P50" s="8">
        <f t="shared" si="3"/>
        <v>38.316666666666663</v>
      </c>
      <c r="Q50" s="9">
        <f t="shared" si="4"/>
        <v>1</v>
      </c>
      <c r="R50" s="140">
        <f t="shared" si="5"/>
        <v>38.1</v>
      </c>
      <c r="S50" s="24">
        <f t="shared" si="6"/>
        <v>1</v>
      </c>
      <c r="T50" s="140">
        <f t="shared" si="7"/>
        <v>46.300000000000004</v>
      </c>
      <c r="U50" s="150">
        <f t="shared" si="8"/>
        <v>1</v>
      </c>
      <c r="V50" s="141">
        <f t="shared" si="9"/>
        <v>38.316666666666663</v>
      </c>
      <c r="W50" s="142">
        <f t="shared" si="10"/>
        <v>1</v>
      </c>
      <c r="X50" s="144">
        <f t="shared" ca="1" si="17"/>
        <v>15.535897435897436</v>
      </c>
      <c r="Y50" s="144">
        <f t="shared" ca="1" si="18"/>
        <v>24.316666666666666</v>
      </c>
      <c r="Z50" s="144">
        <f t="shared" ca="1" si="19"/>
        <v>19.394289044289046</v>
      </c>
      <c r="AA50" s="10"/>
      <c r="AB50" s="357" t="str">
        <f>VLOOKUP($B50,'2007-2020 Metadata'!$A$4:$S$214,MATCH("Urban Area /Monitoring Zone",'2007-2020 Metadata'!$A$4:$S$4,0),FALSE)</f>
        <v>Auckland - Western</v>
      </c>
      <c r="AC50" s="87" t="str">
        <f>VLOOKUP(B50,'2007-2020 Metadata'!$A$6:$A$214,1,FALSE)</f>
        <v>AUC063</v>
      </c>
      <c r="AD50" s="230" t="str">
        <f>VLOOKUP($AC50,'2007-2020 Metadata'!$A$6:$S$214,9,FALSE)</f>
        <v>Waitakere</v>
      </c>
      <c r="AE50" s="248">
        <f>IF(ISBLANK(VLOOKUP($AC50,'2007-2020 Metadata'!$A$6:$S$214,19,FALSE)),"",VLOOKUP($AC50,'2007-2020 Metadata'!$A$6:$S$214,19,FALSE))</f>
        <v>3</v>
      </c>
      <c r="AF50" s="88" t="str">
        <f>VLOOKUP($B50,'2007-2020 Metadata'!$A$4:$S$214,MATCH("Site type",'2007-2020 Metadata'!$A$4:$S$4,0),FALSE)</f>
        <v>Local</v>
      </c>
      <c r="AG50" s="143">
        <f t="shared" si="11"/>
        <v>18.399999999999999</v>
      </c>
      <c r="AH50" s="143">
        <f t="shared" si="12"/>
        <v>52.9</v>
      </c>
      <c r="AI50" s="144">
        <f t="shared" ca="1" si="13"/>
        <v>19.394289044289046</v>
      </c>
    </row>
    <row r="51" spans="2:35" ht="12" customHeight="1" x14ac:dyDescent="0.15">
      <c r="B51" s="11" t="s">
        <v>85</v>
      </c>
      <c r="C51" s="29">
        <f>IF(ISBLANK(VLOOKUP($B51,'Monthly Summary 2009'!$B$7:$Q$106,14,FALSE)),"",IF(ISERROR(VLOOKUP(B51,'Monthly Summary 2009'!$B$7:$Q$106,14,FALSE)),"",VLOOKUP(B51,'Monthly Summary 2009'!$B$7:$Q$106,14,FALSE)))</f>
        <v>12.5</v>
      </c>
      <c r="D51" s="7">
        <v>14.8</v>
      </c>
      <c r="E51" s="7">
        <v>19.7</v>
      </c>
      <c r="F51" s="7">
        <v>16.100000000000001</v>
      </c>
      <c r="G51" s="7">
        <v>27.6</v>
      </c>
      <c r="H51" s="7">
        <v>32.9</v>
      </c>
      <c r="I51" s="7">
        <v>36.6</v>
      </c>
      <c r="J51" s="7"/>
      <c r="K51" s="7">
        <v>39.5</v>
      </c>
      <c r="L51" s="7">
        <v>36.4</v>
      </c>
      <c r="M51" s="7"/>
      <c r="N51" s="7"/>
      <c r="O51" s="7">
        <v>18.600000000000001</v>
      </c>
      <c r="P51" s="8">
        <f t="shared" si="3"/>
        <v>26.911111111111111</v>
      </c>
      <c r="Q51" s="9">
        <f t="shared" si="4"/>
        <v>0.75</v>
      </c>
      <c r="R51" s="140">
        <f t="shared" si="5"/>
        <v>16.866666666666667</v>
      </c>
      <c r="S51" s="24">
        <f t="shared" si="6"/>
        <v>1</v>
      </c>
      <c r="T51" s="140">
        <f t="shared" si="7"/>
        <v>37.950000000000003</v>
      </c>
      <c r="U51" s="150">
        <f t="shared" si="8"/>
        <v>0.66666666666666663</v>
      </c>
      <c r="V51" s="141">
        <f t="shared" si="9"/>
        <v>26.911111111111111</v>
      </c>
      <c r="W51" s="142">
        <f t="shared" si="10"/>
        <v>0.75</v>
      </c>
      <c r="X51" s="144">
        <f t="shared" ca="1" si="17"/>
        <v>24.453846153846158</v>
      </c>
      <c r="Y51" s="144">
        <f t="shared" ca="1" si="18"/>
        <v>37.620512820512822</v>
      </c>
      <c r="Z51" s="144">
        <f t="shared" ca="1" si="19"/>
        <v>30.885236985236983</v>
      </c>
      <c r="AA51" s="10"/>
      <c r="AB51" s="357" t="str">
        <f>VLOOKUP($B51,'2007-2020 Metadata'!$A$4:$S$214,MATCH("Urban Area /Monitoring Zone",'2007-2020 Metadata'!$A$4:$S$4,0),FALSE)</f>
        <v>Auckland - Central</v>
      </c>
      <c r="AC51" s="87" t="str">
        <f>VLOOKUP(B51,'2007-2020 Metadata'!$A$6:$A$214,1,FALSE)</f>
        <v>AUC064</v>
      </c>
      <c r="AD51" s="230" t="str">
        <f>VLOOKUP($AC51,'2007-2020 Metadata'!$A$6:$S$214,9,FALSE)</f>
        <v>Auckland</v>
      </c>
      <c r="AE51" s="248">
        <f>IF(ISBLANK(VLOOKUP($AC51,'2007-2020 Metadata'!$A$6:$S$214,19,FALSE)),"",VLOOKUP($AC51,'2007-2020 Metadata'!$A$6:$S$214,19,FALSE))</f>
        <v>3</v>
      </c>
      <c r="AF51" s="88" t="str">
        <f>VLOOKUP($B51,'2007-2020 Metadata'!$A$4:$S$214,MATCH("Site type",'2007-2020 Metadata'!$A$4:$S$4,0),FALSE)</f>
        <v>Local</v>
      </c>
      <c r="AG51" s="143">
        <f t="shared" si="11"/>
        <v>14.8</v>
      </c>
      <c r="AH51" s="143">
        <f t="shared" si="12"/>
        <v>39.5</v>
      </c>
      <c r="AI51" s="144">
        <f t="shared" ca="1" si="13"/>
        <v>30.885236985236983</v>
      </c>
    </row>
    <row r="52" spans="2:35" ht="12" customHeight="1" x14ac:dyDescent="0.15">
      <c r="B52" s="11" t="s">
        <v>86</v>
      </c>
      <c r="C52" s="29">
        <f>IF(ISBLANK(VLOOKUP($B52,'Monthly Summary 2009'!$B$7:$Q$106,14,FALSE)),"",IF(ISERROR(VLOOKUP(B52,'Monthly Summary 2009'!$B$7:$Q$106,14,FALSE)),"",VLOOKUP(B52,'Monthly Summary 2009'!$B$7:$Q$106,14,FALSE)))</f>
        <v>13.2</v>
      </c>
      <c r="D52" s="7">
        <v>18.100000000000001</v>
      </c>
      <c r="E52" s="7">
        <v>17.8</v>
      </c>
      <c r="F52" s="7">
        <v>22.4</v>
      </c>
      <c r="G52" s="7">
        <v>30</v>
      </c>
      <c r="H52" s="7">
        <v>32.1</v>
      </c>
      <c r="I52" s="7">
        <v>38.4</v>
      </c>
      <c r="J52" s="7">
        <v>35.299999999999997</v>
      </c>
      <c r="K52" s="7">
        <v>36.299999999999997</v>
      </c>
      <c r="L52" s="7">
        <v>30.2</v>
      </c>
      <c r="M52" s="7">
        <v>22.4</v>
      </c>
      <c r="N52" s="7">
        <v>22.1</v>
      </c>
      <c r="O52" s="7">
        <v>11.3</v>
      </c>
      <c r="P52" s="8">
        <f t="shared" si="3"/>
        <v>26.366666666666671</v>
      </c>
      <c r="Q52" s="9">
        <f t="shared" si="4"/>
        <v>1</v>
      </c>
      <c r="R52" s="140">
        <f t="shared" si="5"/>
        <v>19.433333333333334</v>
      </c>
      <c r="S52" s="24">
        <f t="shared" si="6"/>
        <v>1</v>
      </c>
      <c r="T52" s="140">
        <f t="shared" si="7"/>
        <v>33.93333333333333</v>
      </c>
      <c r="U52" s="150">
        <f t="shared" si="8"/>
        <v>1</v>
      </c>
      <c r="V52" s="141">
        <f t="shared" si="9"/>
        <v>26.366666666666671</v>
      </c>
      <c r="W52" s="142">
        <f t="shared" si="10"/>
        <v>1</v>
      </c>
      <c r="X52" s="144">
        <f t="shared" ca="1" si="17"/>
        <v>20.307407407407407</v>
      </c>
      <c r="Y52" s="144">
        <f t="shared" ca="1" si="18"/>
        <v>31.564814814814813</v>
      </c>
      <c r="Z52" s="144">
        <f t="shared" ca="1" si="19"/>
        <v>25.404377104377105</v>
      </c>
      <c r="AA52" s="10"/>
      <c r="AB52" s="357" t="str">
        <f>VLOOKUP($B52,'2007-2020 Metadata'!$A$4:$S$214,MATCH("Urban Area /Monitoring Zone",'2007-2020 Metadata'!$A$4:$S$4,0),FALSE)</f>
        <v xml:space="preserve">Auckland - Southern </v>
      </c>
      <c r="AC52" s="87" t="str">
        <f>VLOOKUP(B52,'2007-2020 Metadata'!$A$6:$A$214,1,FALSE)</f>
        <v>AUC067</v>
      </c>
      <c r="AD52" s="230" t="str">
        <f>VLOOKUP($AC52,'2007-2020 Metadata'!$A$6:$S$214,9,FALSE)</f>
        <v>Manukau</v>
      </c>
      <c r="AE52" s="248">
        <f>IF(ISBLANK(VLOOKUP($AC52,'2007-2020 Metadata'!$A$6:$S$214,19,FALSE)),"",VLOOKUP($AC52,'2007-2020 Metadata'!$A$6:$S$214,19,FALSE))</f>
        <v>3</v>
      </c>
      <c r="AF52" s="88" t="str">
        <f>VLOOKUP($B52,'2007-2020 Metadata'!$A$4:$S$214,MATCH("Site type",'2007-2020 Metadata'!$A$4:$S$4,0),FALSE)</f>
        <v>SH</v>
      </c>
      <c r="AG52" s="143">
        <f t="shared" si="11"/>
        <v>11.3</v>
      </c>
      <c r="AH52" s="143">
        <f t="shared" si="12"/>
        <v>38.4</v>
      </c>
      <c r="AI52" s="144">
        <f t="shared" ca="1" si="13"/>
        <v>25.404377104377105</v>
      </c>
    </row>
    <row r="53" spans="2:35" ht="12" customHeight="1" x14ac:dyDescent="0.15">
      <c r="B53" s="11" t="s">
        <v>87</v>
      </c>
      <c r="C53" s="29">
        <f>IF(ISBLANK(VLOOKUP($B53,'Monthly Summary 2009'!$B$7:$Q$106,14,FALSE)),"",IF(ISERROR(VLOOKUP(B53,'Monthly Summary 2009'!$B$7:$Q$106,14,FALSE)),"",VLOOKUP(B53,'Monthly Summary 2009'!$B$7:$Q$106,14,FALSE)))</f>
        <v>27.4</v>
      </c>
      <c r="D53" s="7">
        <v>34.200000000000003</v>
      </c>
      <c r="E53" s="7">
        <v>38.9</v>
      </c>
      <c r="F53" s="7">
        <v>37</v>
      </c>
      <c r="G53" s="7">
        <v>48.4</v>
      </c>
      <c r="H53" s="7">
        <v>28.1</v>
      </c>
      <c r="I53" s="7">
        <v>54.2</v>
      </c>
      <c r="J53" s="7">
        <v>61</v>
      </c>
      <c r="K53" s="7">
        <v>57.5</v>
      </c>
      <c r="L53" s="7">
        <v>51.2</v>
      </c>
      <c r="M53" s="7">
        <v>38.5</v>
      </c>
      <c r="N53" s="7">
        <v>39.4</v>
      </c>
      <c r="O53" s="7">
        <v>31.5</v>
      </c>
      <c r="P53" s="8">
        <f t="shared" si="3"/>
        <v>43.324999999999996</v>
      </c>
      <c r="Q53" s="9">
        <f t="shared" si="4"/>
        <v>1</v>
      </c>
      <c r="R53" s="140">
        <f t="shared" si="5"/>
        <v>36.699999999999996</v>
      </c>
      <c r="S53" s="24">
        <f t="shared" si="6"/>
        <v>1</v>
      </c>
      <c r="T53" s="140">
        <f t="shared" si="7"/>
        <v>56.566666666666663</v>
      </c>
      <c r="U53" s="150">
        <f t="shared" si="8"/>
        <v>1</v>
      </c>
      <c r="V53" s="141">
        <f t="shared" si="9"/>
        <v>43.324999999999996</v>
      </c>
      <c r="W53" s="142">
        <f t="shared" si="10"/>
        <v>1</v>
      </c>
      <c r="X53" s="144">
        <f t="shared" ca="1" si="17"/>
        <v>20.307407407407407</v>
      </c>
      <c r="Y53" s="144">
        <f t="shared" ca="1" si="18"/>
        <v>31.564814814814813</v>
      </c>
      <c r="Z53" s="144">
        <f t="shared" ca="1" si="19"/>
        <v>25.404377104377105</v>
      </c>
      <c r="AA53" s="10"/>
      <c r="AB53" s="357" t="str">
        <f>VLOOKUP($B53,'2007-2020 Metadata'!$A$4:$S$214,MATCH("Urban Area /Monitoring Zone",'2007-2020 Metadata'!$A$4:$S$4,0),FALSE)</f>
        <v xml:space="preserve">Auckland - Southern </v>
      </c>
      <c r="AC53" s="87" t="str">
        <f>VLOOKUP(B53,'2007-2020 Metadata'!$A$6:$A$214,1,FALSE)</f>
        <v>AUC068</v>
      </c>
      <c r="AD53" s="230" t="str">
        <f>VLOOKUP($AC53,'2007-2020 Metadata'!$A$6:$S$214,9,FALSE)</f>
        <v>Manukau</v>
      </c>
      <c r="AE53" s="248">
        <f>IF(ISBLANK(VLOOKUP($AC53,'2007-2020 Metadata'!$A$6:$S$214,19,FALSE)),"",VLOOKUP($AC53,'2007-2020 Metadata'!$A$6:$S$214,19,FALSE))</f>
        <v>3</v>
      </c>
      <c r="AF53" s="88" t="str">
        <f>VLOOKUP($B53,'2007-2020 Metadata'!$A$4:$S$214,MATCH("Site type",'2007-2020 Metadata'!$A$4:$S$4,0),FALSE)</f>
        <v>SH</v>
      </c>
      <c r="AG53" s="143">
        <f t="shared" si="11"/>
        <v>28.1</v>
      </c>
      <c r="AH53" s="143">
        <f t="shared" si="12"/>
        <v>61</v>
      </c>
      <c r="AI53" s="144">
        <f t="shared" ca="1" si="13"/>
        <v>25.404377104377105</v>
      </c>
    </row>
    <row r="54" spans="2:35" ht="12" customHeight="1" x14ac:dyDescent="0.15">
      <c r="B54" s="11" t="s">
        <v>88</v>
      </c>
      <c r="C54" s="29">
        <f>IF(ISBLANK(VLOOKUP($B54,'Monthly Summary 2009'!$B$7:$Q$106,14,FALSE)),"",IF(ISERROR(VLOOKUP(B54,'Monthly Summary 2009'!$B$7:$Q$106,14,FALSE)),"",VLOOKUP(B54,'Monthly Summary 2009'!$B$7:$Q$106,14,FALSE)))</f>
        <v>12.7</v>
      </c>
      <c r="D54" s="7">
        <v>22.7</v>
      </c>
      <c r="E54" s="7">
        <v>25.3</v>
      </c>
      <c r="F54" s="7">
        <v>23.9</v>
      </c>
      <c r="G54" s="7">
        <v>30.8</v>
      </c>
      <c r="H54" s="7">
        <v>37.9</v>
      </c>
      <c r="I54" s="7">
        <v>41.1</v>
      </c>
      <c r="J54" s="7">
        <v>38.5</v>
      </c>
      <c r="K54" s="7">
        <v>31.4</v>
      </c>
      <c r="L54" s="7">
        <v>28.1</v>
      </c>
      <c r="M54" s="7">
        <v>21.7</v>
      </c>
      <c r="N54" s="7">
        <v>25.1</v>
      </c>
      <c r="O54" s="7">
        <v>15.4</v>
      </c>
      <c r="P54" s="8">
        <f t="shared" si="3"/>
        <v>28.491666666666664</v>
      </c>
      <c r="Q54" s="9">
        <f t="shared" si="4"/>
        <v>1</v>
      </c>
      <c r="R54" s="140">
        <f t="shared" si="5"/>
        <v>23.966666666666669</v>
      </c>
      <c r="S54" s="24">
        <f t="shared" si="6"/>
        <v>1</v>
      </c>
      <c r="T54" s="140">
        <f t="shared" si="7"/>
        <v>32.666666666666664</v>
      </c>
      <c r="U54" s="150">
        <f t="shared" si="8"/>
        <v>1</v>
      </c>
      <c r="V54" s="141">
        <f t="shared" si="9"/>
        <v>28.491666666666664</v>
      </c>
      <c r="W54" s="142">
        <f t="shared" si="10"/>
        <v>1</v>
      </c>
      <c r="X54" s="144">
        <f t="shared" ca="1" si="17"/>
        <v>20.307407407407407</v>
      </c>
      <c r="Y54" s="144">
        <f t="shared" ca="1" si="18"/>
        <v>31.564814814814813</v>
      </c>
      <c r="Z54" s="144">
        <f t="shared" ca="1" si="19"/>
        <v>25.404377104377105</v>
      </c>
      <c r="AA54" s="10"/>
      <c r="AB54" s="357" t="str">
        <f>VLOOKUP($B54,'2007-2020 Metadata'!$A$4:$S$214,MATCH("Urban Area /Monitoring Zone",'2007-2020 Metadata'!$A$4:$S$4,0),FALSE)</f>
        <v xml:space="preserve">Auckland - Southern </v>
      </c>
      <c r="AC54" s="87" t="str">
        <f>VLOOKUP(B54,'2007-2020 Metadata'!$A$6:$A$214,1,FALSE)</f>
        <v>AUC069</v>
      </c>
      <c r="AD54" s="230" t="str">
        <f>VLOOKUP($AC54,'2007-2020 Metadata'!$A$6:$S$214,9,FALSE)</f>
        <v>Manukau</v>
      </c>
      <c r="AE54" s="248">
        <f>IF(ISBLANK(VLOOKUP($AC54,'2007-2020 Metadata'!$A$6:$S$214,19,FALSE)),"",VLOOKUP($AC54,'2007-2020 Metadata'!$A$6:$S$214,19,FALSE))</f>
        <v>3</v>
      </c>
      <c r="AF54" s="88" t="str">
        <f>VLOOKUP($B54,'2007-2020 Metadata'!$A$4:$S$214,MATCH("Site type",'2007-2020 Metadata'!$A$4:$S$4,0),FALSE)</f>
        <v>Local</v>
      </c>
      <c r="AG54" s="143">
        <f t="shared" si="11"/>
        <v>15.4</v>
      </c>
      <c r="AH54" s="143">
        <f t="shared" si="12"/>
        <v>41.1</v>
      </c>
      <c r="AI54" s="144">
        <f t="shared" ca="1" si="13"/>
        <v>25.404377104377105</v>
      </c>
    </row>
    <row r="55" spans="2:35" ht="12" customHeight="1" x14ac:dyDescent="0.15">
      <c r="B55" s="11" t="s">
        <v>89</v>
      </c>
      <c r="C55" s="29">
        <f>IF(ISBLANK(VLOOKUP($B55,'Monthly Summary 2009'!$B$7:$Q$106,14,FALSE)),"",IF(ISERROR(VLOOKUP(B55,'Monthly Summary 2009'!$B$7:$Q$106,14,FALSE)),"",VLOOKUP(B55,'Monthly Summary 2009'!$B$7:$Q$106,14,FALSE)))</f>
        <v>11.3</v>
      </c>
      <c r="D55" s="7">
        <v>13.2</v>
      </c>
      <c r="E55" s="7">
        <v>11.4</v>
      </c>
      <c r="F55" s="7">
        <v>19</v>
      </c>
      <c r="G55" s="7">
        <v>20.9</v>
      </c>
      <c r="H55" s="7">
        <v>20.5</v>
      </c>
      <c r="I55" s="7">
        <v>26.3</v>
      </c>
      <c r="J55" s="7">
        <v>25.2</v>
      </c>
      <c r="K55" s="7"/>
      <c r="L55" s="7">
        <v>17.100000000000001</v>
      </c>
      <c r="M55" s="7">
        <v>15.2</v>
      </c>
      <c r="N55" s="7">
        <v>13</v>
      </c>
      <c r="O55" s="7">
        <v>10.4</v>
      </c>
      <c r="P55" s="8">
        <f t="shared" si="3"/>
        <v>17.472727272727273</v>
      </c>
      <c r="Q55" s="9">
        <f t="shared" si="4"/>
        <v>0.91666666666666663</v>
      </c>
      <c r="R55" s="140">
        <f t="shared" si="5"/>
        <v>14.533333333333333</v>
      </c>
      <c r="S55" s="24">
        <f t="shared" si="6"/>
        <v>1</v>
      </c>
      <c r="T55" s="140">
        <f t="shared" si="7"/>
        <v>21.15</v>
      </c>
      <c r="U55" s="150">
        <f t="shared" si="8"/>
        <v>0.66666666666666663</v>
      </c>
      <c r="V55" s="141">
        <f t="shared" si="9"/>
        <v>17.472727272727273</v>
      </c>
      <c r="W55" s="142">
        <f t="shared" si="10"/>
        <v>0.91666666666666663</v>
      </c>
      <c r="X55" s="144">
        <f t="shared" ca="1" si="17"/>
        <v>20.307407407407407</v>
      </c>
      <c r="Y55" s="144">
        <f t="shared" ca="1" si="18"/>
        <v>31.564814814814813</v>
      </c>
      <c r="Z55" s="144">
        <f t="shared" ca="1" si="19"/>
        <v>25.404377104377105</v>
      </c>
      <c r="AA55" s="10"/>
      <c r="AB55" s="357" t="str">
        <f>VLOOKUP($B55,'2007-2020 Metadata'!$A$4:$S$214,MATCH("Urban Area /Monitoring Zone",'2007-2020 Metadata'!$A$4:$S$4,0),FALSE)</f>
        <v xml:space="preserve">Auckland - Southern </v>
      </c>
      <c r="AC55" s="87" t="str">
        <f>VLOOKUP(B55,'2007-2020 Metadata'!$A$6:$A$214,1,FALSE)</f>
        <v>AUC070</v>
      </c>
      <c r="AD55" s="230" t="str">
        <f>VLOOKUP($AC55,'2007-2020 Metadata'!$A$6:$S$214,9,FALSE)</f>
        <v>Manukau</v>
      </c>
      <c r="AE55" s="248">
        <f>IF(ISBLANK(VLOOKUP($AC55,'2007-2020 Metadata'!$A$6:$S$214,19,FALSE)),"",VLOOKUP($AC55,'2007-2020 Metadata'!$A$6:$S$214,19,FALSE))</f>
        <v>2.5</v>
      </c>
      <c r="AF55" s="88" t="str">
        <f>VLOOKUP($B55,'2007-2020 Metadata'!$A$4:$S$214,MATCH("Site type",'2007-2020 Metadata'!$A$4:$S$4,0),FALSE)</f>
        <v>Local</v>
      </c>
      <c r="AG55" s="143">
        <f t="shared" si="11"/>
        <v>10.4</v>
      </c>
      <c r="AH55" s="143">
        <f t="shared" si="12"/>
        <v>26.3</v>
      </c>
      <c r="AI55" s="144">
        <f t="shared" ca="1" si="13"/>
        <v>25.404377104377105</v>
      </c>
    </row>
    <row r="56" spans="2:35" ht="12" customHeight="1" x14ac:dyDescent="0.15">
      <c r="B56" s="11" t="s">
        <v>90</v>
      </c>
      <c r="C56" s="29">
        <f>IF(ISBLANK(VLOOKUP($B56,'Monthly Summary 2009'!$B$7:$Q$106,14,FALSE)),"",IF(ISERROR(VLOOKUP(B56,'Monthly Summary 2009'!$B$7:$Q$106,14,FALSE)),"",VLOOKUP(B56,'Monthly Summary 2009'!$B$7:$Q$106,14,FALSE)))</f>
        <v>20.5</v>
      </c>
      <c r="D56" s="7">
        <v>20.9</v>
      </c>
      <c r="E56" s="7">
        <v>24.4</v>
      </c>
      <c r="F56" s="7">
        <v>27.4</v>
      </c>
      <c r="G56" s="7">
        <v>37.4</v>
      </c>
      <c r="H56" s="7">
        <v>35</v>
      </c>
      <c r="I56" s="7">
        <v>41.2</v>
      </c>
      <c r="J56" s="7">
        <v>40.799999999999997</v>
      </c>
      <c r="K56" s="7">
        <v>31.7</v>
      </c>
      <c r="L56" s="7">
        <v>34.4</v>
      </c>
      <c r="M56" s="7">
        <v>24.6</v>
      </c>
      <c r="N56" s="7">
        <v>25.6</v>
      </c>
      <c r="O56" s="7">
        <v>19.899999999999999</v>
      </c>
      <c r="P56" s="8">
        <f t="shared" si="3"/>
        <v>30.275000000000002</v>
      </c>
      <c r="Q56" s="9">
        <f t="shared" si="4"/>
        <v>1</v>
      </c>
      <c r="R56" s="140">
        <f t="shared" si="5"/>
        <v>24.233333333333331</v>
      </c>
      <c r="S56" s="24">
        <f t="shared" si="6"/>
        <v>1</v>
      </c>
      <c r="T56" s="140">
        <f t="shared" si="7"/>
        <v>35.633333333333333</v>
      </c>
      <c r="U56" s="150">
        <f t="shared" si="8"/>
        <v>1</v>
      </c>
      <c r="V56" s="141">
        <f t="shared" si="9"/>
        <v>30.275000000000002</v>
      </c>
      <c r="W56" s="142">
        <f t="shared" si="10"/>
        <v>1</v>
      </c>
      <c r="X56" s="144">
        <f t="shared" ca="1" si="17"/>
        <v>24.453846153846158</v>
      </c>
      <c r="Y56" s="144">
        <f t="shared" ca="1" si="18"/>
        <v>37.620512820512822</v>
      </c>
      <c r="Z56" s="144">
        <f t="shared" ca="1" si="19"/>
        <v>30.885236985236983</v>
      </c>
      <c r="AA56" s="10"/>
      <c r="AB56" s="357" t="str">
        <f>VLOOKUP($B56,'2007-2020 Metadata'!$A$4:$S$214,MATCH("Urban Area /Monitoring Zone",'2007-2020 Metadata'!$A$4:$S$4,0),FALSE)</f>
        <v>Auckland - Central</v>
      </c>
      <c r="AC56" s="87" t="str">
        <f>VLOOKUP(B56,'2007-2020 Metadata'!$A$6:$A$214,1,FALSE)</f>
        <v>AUC071</v>
      </c>
      <c r="AD56" s="230" t="str">
        <f>VLOOKUP($AC56,'2007-2020 Metadata'!$A$6:$S$214,9,FALSE)</f>
        <v>Auckland</v>
      </c>
      <c r="AE56" s="248">
        <f>IF(ISBLANK(VLOOKUP($AC56,'2007-2020 Metadata'!$A$6:$S$214,19,FALSE)),"",VLOOKUP($AC56,'2007-2020 Metadata'!$A$6:$S$214,19,FALSE))</f>
        <v>3</v>
      </c>
      <c r="AF56" s="88" t="str">
        <f>VLOOKUP($B56,'2007-2020 Metadata'!$A$4:$S$214,MATCH("Site type",'2007-2020 Metadata'!$A$4:$S$4,0),FALSE)</f>
        <v>Local</v>
      </c>
      <c r="AG56" s="143">
        <f t="shared" si="11"/>
        <v>19.899999999999999</v>
      </c>
      <c r="AH56" s="143">
        <f t="shared" si="12"/>
        <v>41.2</v>
      </c>
      <c r="AI56" s="144">
        <f t="shared" ca="1" si="13"/>
        <v>30.885236985236983</v>
      </c>
    </row>
    <row r="57" spans="2:35" ht="12" customHeight="1" x14ac:dyDescent="0.15">
      <c r="B57" s="11" t="s">
        <v>91</v>
      </c>
      <c r="C57" s="29">
        <f>IF(ISBLANK(VLOOKUP($B57,'Monthly Summary 2009'!$B$7:$Q$106,14,FALSE)),"",IF(ISERROR(VLOOKUP(B57,'Monthly Summary 2009'!$B$7:$Q$106,14,FALSE)),"",VLOOKUP(B57,'Monthly Summary 2009'!$B$7:$Q$106,14,FALSE)))</f>
        <v>13.4</v>
      </c>
      <c r="D57" s="7">
        <v>15.3</v>
      </c>
      <c r="E57" s="7">
        <v>19.899999999999999</v>
      </c>
      <c r="F57" s="7">
        <v>24.4</v>
      </c>
      <c r="G57" s="7">
        <v>28.1</v>
      </c>
      <c r="H57" s="7">
        <v>28.3</v>
      </c>
      <c r="I57" s="7">
        <v>31.2</v>
      </c>
      <c r="J57" s="7">
        <v>36.799999999999997</v>
      </c>
      <c r="K57" s="7">
        <v>26.8</v>
      </c>
      <c r="L57" s="7">
        <v>22</v>
      </c>
      <c r="M57" s="7">
        <v>19.100000000000001</v>
      </c>
      <c r="N57" s="7">
        <v>22.7</v>
      </c>
      <c r="O57" s="7">
        <v>13.3</v>
      </c>
      <c r="P57" s="8">
        <f t="shared" si="3"/>
        <v>23.991666666666671</v>
      </c>
      <c r="Q57" s="9">
        <f t="shared" si="4"/>
        <v>1</v>
      </c>
      <c r="R57" s="140">
        <f t="shared" si="5"/>
        <v>19.866666666666667</v>
      </c>
      <c r="S57" s="24">
        <f t="shared" si="6"/>
        <v>1</v>
      </c>
      <c r="T57" s="140">
        <f t="shared" si="7"/>
        <v>28.533333333333331</v>
      </c>
      <c r="U57" s="150">
        <f t="shared" si="8"/>
        <v>1</v>
      </c>
      <c r="V57" s="141">
        <f t="shared" si="9"/>
        <v>23.991666666666671</v>
      </c>
      <c r="W57" s="142">
        <f t="shared" si="10"/>
        <v>1</v>
      </c>
      <c r="X57" s="144">
        <f t="shared" ca="1" si="17"/>
        <v>20.307407407407407</v>
      </c>
      <c r="Y57" s="144">
        <f t="shared" ca="1" si="18"/>
        <v>31.564814814814813</v>
      </c>
      <c r="Z57" s="144">
        <f t="shared" ca="1" si="19"/>
        <v>25.404377104377105</v>
      </c>
      <c r="AA57" s="10"/>
      <c r="AB57" s="357" t="str">
        <f>VLOOKUP($B57,'2007-2020 Metadata'!$A$4:$S$214,MATCH("Urban Area /Monitoring Zone",'2007-2020 Metadata'!$A$4:$S$4,0),FALSE)</f>
        <v xml:space="preserve">Auckland - Southern </v>
      </c>
      <c r="AC57" s="87" t="str">
        <f>VLOOKUP(B57,'2007-2020 Metadata'!$A$6:$A$214,1,FALSE)</f>
        <v>AUC072</v>
      </c>
      <c r="AD57" s="230" t="str">
        <f>VLOOKUP($AC57,'2007-2020 Metadata'!$A$6:$S$214,9,FALSE)</f>
        <v>Manukau</v>
      </c>
      <c r="AE57" s="248">
        <f>IF(ISBLANK(VLOOKUP($AC57,'2007-2020 Metadata'!$A$6:$S$214,19,FALSE)),"",VLOOKUP($AC57,'2007-2020 Metadata'!$A$6:$S$214,19,FALSE))</f>
        <v>3</v>
      </c>
      <c r="AF57" s="88" t="str">
        <f>VLOOKUP($B57,'2007-2020 Metadata'!$A$4:$S$214,MATCH("Site type",'2007-2020 Metadata'!$A$4:$S$4,0),FALSE)</f>
        <v>Local</v>
      </c>
      <c r="AG57" s="143">
        <f t="shared" si="11"/>
        <v>13.3</v>
      </c>
      <c r="AH57" s="143">
        <f t="shared" si="12"/>
        <v>36.799999999999997</v>
      </c>
      <c r="AI57" s="144">
        <f t="shared" ca="1" si="13"/>
        <v>25.404377104377105</v>
      </c>
    </row>
    <row r="58" spans="2:35" ht="12" customHeight="1" x14ac:dyDescent="0.15">
      <c r="B58" s="11" t="s">
        <v>92</v>
      </c>
      <c r="C58" s="29">
        <f>IF(ISBLANK(VLOOKUP($B58,'Monthly Summary 2009'!$B$7:$Q$106,14,FALSE)),"",IF(ISERROR(VLOOKUP(B58,'Monthly Summary 2009'!$B$7:$Q$106,14,FALSE)),"",VLOOKUP(B58,'Monthly Summary 2009'!$B$7:$Q$106,14,FALSE)))</f>
        <v>8.1999999999999993</v>
      </c>
      <c r="D58" s="7">
        <v>6.9</v>
      </c>
      <c r="E58" s="7">
        <v>11.5</v>
      </c>
      <c r="F58" s="7">
        <v>11.9</v>
      </c>
      <c r="G58" s="7">
        <v>18.8</v>
      </c>
      <c r="H58" s="7">
        <v>14.6</v>
      </c>
      <c r="I58" s="7">
        <v>23.5</v>
      </c>
      <c r="J58" s="7">
        <v>22.6</v>
      </c>
      <c r="K58" s="7">
        <v>21.2</v>
      </c>
      <c r="L58" s="7">
        <v>13</v>
      </c>
      <c r="M58" s="7">
        <v>6.9</v>
      </c>
      <c r="N58" s="7">
        <v>10</v>
      </c>
      <c r="O58" s="7">
        <v>4.5999999999999996</v>
      </c>
      <c r="P58" s="8">
        <f t="shared" si="3"/>
        <v>13.791666666666664</v>
      </c>
      <c r="Q58" s="9">
        <f t="shared" si="4"/>
        <v>1</v>
      </c>
      <c r="R58" s="140">
        <f t="shared" si="5"/>
        <v>10.1</v>
      </c>
      <c r="S58" s="24">
        <f t="shared" si="6"/>
        <v>1</v>
      </c>
      <c r="T58" s="140">
        <f t="shared" si="7"/>
        <v>18.933333333333334</v>
      </c>
      <c r="U58" s="150">
        <f t="shared" si="8"/>
        <v>1</v>
      </c>
      <c r="V58" s="141">
        <f t="shared" si="9"/>
        <v>13.791666666666664</v>
      </c>
      <c r="W58" s="142">
        <f t="shared" si="10"/>
        <v>1</v>
      </c>
      <c r="X58" s="144">
        <f t="shared" ca="1" si="17"/>
        <v>20.307407407407407</v>
      </c>
      <c r="Y58" s="144">
        <f t="shared" ca="1" si="18"/>
        <v>31.564814814814813</v>
      </c>
      <c r="Z58" s="144">
        <f t="shared" ca="1" si="19"/>
        <v>25.404377104377105</v>
      </c>
      <c r="AA58" s="10"/>
      <c r="AB58" s="357" t="str">
        <f>VLOOKUP($B58,'2007-2020 Metadata'!$A$4:$S$214,MATCH("Urban Area /Monitoring Zone",'2007-2020 Metadata'!$A$4:$S$4,0),FALSE)</f>
        <v xml:space="preserve">Auckland - Southern </v>
      </c>
      <c r="AC58" s="87" t="str">
        <f>VLOOKUP(B58,'2007-2020 Metadata'!$A$6:$A$214,1,FALSE)</f>
        <v>AUC073</v>
      </c>
      <c r="AD58" s="230" t="str">
        <f>VLOOKUP($AC58,'2007-2020 Metadata'!$A$6:$S$214,9,FALSE)</f>
        <v>Manukau</v>
      </c>
      <c r="AE58" s="248">
        <f>IF(ISBLANK(VLOOKUP($AC58,'2007-2020 Metadata'!$A$6:$S$214,19,FALSE)),"",VLOOKUP($AC58,'2007-2020 Metadata'!$A$6:$S$214,19,FALSE))</f>
        <v>3</v>
      </c>
      <c r="AF58" s="88" t="str">
        <f>VLOOKUP($B58,'2007-2020 Metadata'!$A$4:$S$214,MATCH("Site type",'2007-2020 Metadata'!$A$4:$S$4,0),FALSE)</f>
        <v>Background</v>
      </c>
      <c r="AG58" s="143">
        <f t="shared" si="11"/>
        <v>4.5999999999999996</v>
      </c>
      <c r="AH58" s="143">
        <f t="shared" si="12"/>
        <v>23.5</v>
      </c>
      <c r="AI58" s="144">
        <f t="shared" ca="1" si="13"/>
        <v>25.404377104377105</v>
      </c>
    </row>
    <row r="59" spans="2:35" ht="12" customHeight="1" x14ac:dyDescent="0.15">
      <c r="B59" s="11" t="s">
        <v>93</v>
      </c>
      <c r="C59" s="29">
        <f>IF(ISBLANK(VLOOKUP($B59,'Monthly Summary 2009'!$B$7:$Q$106,14,FALSE)),"",IF(ISERROR(VLOOKUP(B59,'Monthly Summary 2009'!$B$7:$Q$106,14,FALSE)),"",VLOOKUP(B59,'Monthly Summary 2009'!$B$7:$Q$106,14,FALSE)))</f>
        <v>13.4</v>
      </c>
      <c r="D59" s="7">
        <v>29.6</v>
      </c>
      <c r="E59" s="7">
        <v>27.6</v>
      </c>
      <c r="F59" s="7">
        <v>27.2</v>
      </c>
      <c r="G59" s="7">
        <v>36.299999999999997</v>
      </c>
      <c r="H59" s="7">
        <v>47.1</v>
      </c>
      <c r="I59" s="7">
        <v>48.3</v>
      </c>
      <c r="J59" s="7">
        <v>52.7</v>
      </c>
      <c r="K59" s="7">
        <v>45.3</v>
      </c>
      <c r="L59" s="7">
        <v>33.1</v>
      </c>
      <c r="M59" s="7">
        <v>28.5</v>
      </c>
      <c r="N59" s="7">
        <v>26.8</v>
      </c>
      <c r="O59" s="7">
        <v>17</v>
      </c>
      <c r="P59" s="8">
        <f t="shared" si="3"/>
        <v>34.958333333333336</v>
      </c>
      <c r="Q59" s="9">
        <f t="shared" si="4"/>
        <v>1</v>
      </c>
      <c r="R59" s="140">
        <f t="shared" si="5"/>
        <v>28.133333333333336</v>
      </c>
      <c r="S59" s="24">
        <f t="shared" si="6"/>
        <v>1</v>
      </c>
      <c r="T59" s="140">
        <f t="shared" si="7"/>
        <v>43.699999999999996</v>
      </c>
      <c r="U59" s="150">
        <f t="shared" si="8"/>
        <v>1</v>
      </c>
      <c r="V59" s="141">
        <f t="shared" si="9"/>
        <v>34.958333333333336</v>
      </c>
      <c r="W59" s="142">
        <f t="shared" si="10"/>
        <v>1</v>
      </c>
      <c r="X59" s="144">
        <f t="shared" ca="1" si="17"/>
        <v>20.046969696969697</v>
      </c>
      <c r="Y59" s="144">
        <f t="shared" ca="1" si="18"/>
        <v>32.275757575757574</v>
      </c>
      <c r="Z59" s="144">
        <f t="shared" ca="1" si="19"/>
        <v>25.783333333333335</v>
      </c>
      <c r="AA59" s="10"/>
      <c r="AB59" s="357" t="str">
        <f>VLOOKUP($B59,'2007-2020 Metadata'!$A$4:$S$214,MATCH("Urban Area /Monitoring Zone",'2007-2020 Metadata'!$A$4:$S$4,0),FALSE)</f>
        <v>Auckland - Northern</v>
      </c>
      <c r="AC59" s="87" t="str">
        <f>VLOOKUP(B59,'2007-2020 Metadata'!$A$6:$A$214,1,FALSE)</f>
        <v>AUC170</v>
      </c>
      <c r="AD59" s="230" t="str">
        <f>VLOOKUP($AC59,'2007-2020 Metadata'!$A$6:$S$214,9,FALSE)</f>
        <v xml:space="preserve">North Shore </v>
      </c>
      <c r="AE59" s="248">
        <f>IF(ISBLANK(VLOOKUP($AC59,'2007-2020 Metadata'!$A$6:$S$214,19,FALSE)),"",VLOOKUP($AC59,'2007-2020 Metadata'!$A$6:$S$214,19,FALSE))</f>
        <v>3</v>
      </c>
      <c r="AF59" s="88" t="str">
        <f>VLOOKUP($B59,'2007-2020 Metadata'!$A$4:$S$214,MATCH("Site type",'2007-2020 Metadata'!$A$4:$S$4,0),FALSE)</f>
        <v>SH</v>
      </c>
      <c r="AG59" s="143">
        <f t="shared" si="11"/>
        <v>17</v>
      </c>
      <c r="AH59" s="143">
        <f t="shared" si="12"/>
        <v>52.7</v>
      </c>
      <c r="AI59" s="144">
        <f t="shared" ca="1" si="13"/>
        <v>25.783333333333335</v>
      </c>
    </row>
    <row r="60" spans="2:35" ht="12" customHeight="1" x14ac:dyDescent="0.15">
      <c r="B60" s="11" t="s">
        <v>94</v>
      </c>
      <c r="C60" s="29" t="str">
        <f>IF(ISBLANK(VLOOKUP($B60,'Monthly Summary 2009'!$B$7:$Q$106,14,FALSE)),"",IF(ISERROR(VLOOKUP(B60,'Monthly Summary 2009'!$B$7:$Q$106,14,FALSE)),"",VLOOKUP(B60,'Monthly Summary 2009'!$B$7:$Q$106,14,FALSE)))</f>
        <v/>
      </c>
      <c r="D60" s="7"/>
      <c r="E60" s="7"/>
      <c r="F60" s="7"/>
      <c r="G60" s="7"/>
      <c r="H60" s="7"/>
      <c r="I60" s="7"/>
      <c r="J60" s="7"/>
      <c r="K60" s="7"/>
      <c r="L60" s="7">
        <v>16.8</v>
      </c>
      <c r="M60" s="7">
        <v>12</v>
      </c>
      <c r="N60" s="7">
        <v>13.4</v>
      </c>
      <c r="O60" s="7">
        <v>4.3</v>
      </c>
      <c r="P60" s="8">
        <f t="shared" si="3"/>
        <v>11.625</v>
      </c>
      <c r="Q60" s="9">
        <f t="shared" si="4"/>
        <v>0.33333333333333331</v>
      </c>
      <c r="R60" s="140" t="str">
        <f t="shared" si="5"/>
        <v/>
      </c>
      <c r="S60" s="24">
        <f t="shared" si="6"/>
        <v>0</v>
      </c>
      <c r="T60" s="140" t="str">
        <f t="shared" si="7"/>
        <v>-</v>
      </c>
      <c r="U60" s="150">
        <f t="shared" si="8"/>
        <v>0.33333333333333331</v>
      </c>
      <c r="V60" s="141" t="str">
        <f t="shared" si="9"/>
        <v>-</v>
      </c>
      <c r="W60" s="142">
        <f t="shared" si="10"/>
        <v>0.33333333333333331</v>
      </c>
      <c r="X60" s="144" t="str">
        <f t="shared" ca="1" si="17"/>
        <v/>
      </c>
      <c r="Y60" s="144" t="str">
        <f t="shared" ca="1" si="18"/>
        <v/>
      </c>
      <c r="Z60" s="144" t="str">
        <f t="shared" ca="1" si="19"/>
        <v/>
      </c>
      <c r="AA60" s="10"/>
      <c r="AB60" s="357" t="str">
        <f>VLOOKUP($B60,'2007-2020 Metadata'!$A$4:$S$214,MATCH("Urban Area /Monitoring Zone",'2007-2020 Metadata'!$A$4:$S$4,0),FALSE)</f>
        <v>Whangarei</v>
      </c>
      <c r="AC60" s="87" t="str">
        <f>VLOOKUP(B60,'2007-2020 Metadata'!$A$6:$A$214,1,FALSE)</f>
        <v>AUC171</v>
      </c>
      <c r="AD60" s="230" t="str">
        <f>VLOOKUP($AC60,'2007-2020 Metadata'!$A$6:$S$214,9,FALSE)</f>
        <v>Whangarei</v>
      </c>
      <c r="AE60" s="248">
        <f>IF(ISBLANK(VLOOKUP($AC60,'2007-2020 Metadata'!$A$6:$S$214,19,FALSE)),"",VLOOKUP($AC60,'2007-2020 Metadata'!$A$6:$S$214,19,FALSE))</f>
        <v>3</v>
      </c>
      <c r="AF60" s="88" t="str">
        <f>VLOOKUP($B60,'2007-2020 Metadata'!$A$4:$S$214,MATCH("Site type",'2007-2020 Metadata'!$A$4:$S$4,0),FALSE)</f>
        <v>Background</v>
      </c>
      <c r="AG60" s="143">
        <f t="shared" si="11"/>
        <v>4.3</v>
      </c>
      <c r="AH60" s="143">
        <f t="shared" si="12"/>
        <v>16.8</v>
      </c>
      <c r="AI60" s="144" t="str">
        <f t="shared" si="13"/>
        <v xml:space="preserve"> </v>
      </c>
    </row>
    <row r="61" spans="2:35" ht="12" customHeight="1" x14ac:dyDescent="0.15">
      <c r="B61" s="11" t="s">
        <v>32</v>
      </c>
      <c r="C61" s="29" t="str">
        <f>IF(ISBLANK(VLOOKUP($B61,'Monthly Summary 2009'!$B$7:$Q$106,14,FALSE)),"",IF(ISERROR(VLOOKUP(B61,'Monthly Summary 2009'!$B$7:$Q$106,14,FALSE)),"",VLOOKUP(B61,'Monthly Summary 2009'!$B$7:$Q$106,14,FALSE)))</f>
        <v/>
      </c>
      <c r="D61" s="7"/>
      <c r="E61" s="7">
        <v>24.6</v>
      </c>
      <c r="F61" s="7">
        <v>18.5</v>
      </c>
      <c r="G61" s="7">
        <v>27.4</v>
      </c>
      <c r="H61" s="7">
        <v>32.200000000000003</v>
      </c>
      <c r="I61" s="7">
        <v>39.4</v>
      </c>
      <c r="J61" s="7">
        <v>35.6</v>
      </c>
      <c r="K61" s="7">
        <v>33.700000000000003</v>
      </c>
      <c r="L61" s="7">
        <v>32.6</v>
      </c>
      <c r="M61" s="7">
        <v>23.5</v>
      </c>
      <c r="N61" s="7">
        <v>27.4</v>
      </c>
      <c r="O61" s="7">
        <v>17.3</v>
      </c>
      <c r="P61" s="8">
        <f t="shared" si="3"/>
        <v>28.381818181818179</v>
      </c>
      <c r="Q61" s="9">
        <f t="shared" si="4"/>
        <v>0.91666666666666663</v>
      </c>
      <c r="R61" s="140">
        <f t="shared" si="5"/>
        <v>21.55</v>
      </c>
      <c r="S61" s="24">
        <f t="shared" si="6"/>
        <v>0.66666666666666663</v>
      </c>
      <c r="T61" s="140">
        <f t="shared" si="7"/>
        <v>33.966666666666669</v>
      </c>
      <c r="U61" s="150">
        <f t="shared" si="8"/>
        <v>1</v>
      </c>
      <c r="V61" s="141">
        <f t="shared" si="9"/>
        <v>28.381818181818179</v>
      </c>
      <c r="W61" s="142">
        <f t="shared" si="10"/>
        <v>0.91666666666666663</v>
      </c>
      <c r="X61" s="144">
        <f t="shared" ca="1" si="17"/>
        <v>24.3125</v>
      </c>
      <c r="Y61" s="144">
        <f t="shared" ca="1" si="18"/>
        <v>32.906666666666659</v>
      </c>
      <c r="Z61" s="144">
        <f t="shared" ca="1" si="19"/>
        <v>30.186363636363637</v>
      </c>
      <c r="AA61" s="10"/>
      <c r="AB61" s="357" t="str">
        <f>VLOOKUP($B61,'2007-2020 Metadata'!$A$4:$S$214,MATCH("Urban Area /Monitoring Zone",'2007-2020 Metadata'!$A$4:$S$4,0),FALSE)</f>
        <v>Hamilton</v>
      </c>
      <c r="AC61" s="87" t="str">
        <f>VLOOKUP(B61,'2007-2020 Metadata'!$A$6:$A$214,1,FALSE)</f>
        <v>HAM001</v>
      </c>
      <c r="AD61" s="230" t="str">
        <f>VLOOKUP($AC61,'2007-2020 Metadata'!$A$6:$S$214,9,FALSE)</f>
        <v>Hamilton</v>
      </c>
      <c r="AE61" s="248">
        <f>IF(ISBLANK(VLOOKUP($AC61,'2007-2020 Metadata'!$A$6:$S$214,19,FALSE)),"",VLOOKUP($AC61,'2007-2020 Metadata'!$A$6:$S$214,19,FALSE))</f>
        <v>3.8</v>
      </c>
      <c r="AF61" s="88" t="str">
        <f>VLOOKUP($B61,'2007-2020 Metadata'!$A$4:$S$214,MATCH("Site type",'2007-2020 Metadata'!$A$4:$S$4,0),FALSE)</f>
        <v>SH</v>
      </c>
      <c r="AG61" s="143">
        <f t="shared" si="11"/>
        <v>17.3</v>
      </c>
      <c r="AH61" s="143">
        <f t="shared" si="12"/>
        <v>39.4</v>
      </c>
      <c r="AI61" s="144">
        <f t="shared" ca="1" si="13"/>
        <v>30.186363636363637</v>
      </c>
    </row>
    <row r="62" spans="2:35" ht="12" customHeight="1" x14ac:dyDescent="0.15">
      <c r="B62" s="11" t="s">
        <v>33</v>
      </c>
      <c r="C62" s="29" t="str">
        <f>IF(ISBLANK(VLOOKUP($B62,'Monthly Summary 2009'!$B$7:$Q$106,14,FALSE)),"",IF(ISERROR(VLOOKUP(B62,'Monthly Summary 2009'!$B$7:$Q$106,14,FALSE)),"",VLOOKUP(B62,'Monthly Summary 2009'!$B$7:$Q$106,14,FALSE)))</f>
        <v/>
      </c>
      <c r="D62" s="7"/>
      <c r="E62" s="7">
        <v>18.2</v>
      </c>
      <c r="F62" s="7">
        <v>17.8</v>
      </c>
      <c r="G62" s="7">
        <v>28.8</v>
      </c>
      <c r="H62" s="7">
        <v>25.1</v>
      </c>
      <c r="I62" s="7">
        <v>35.799999999999997</v>
      </c>
      <c r="J62" s="7">
        <v>38.799999999999997</v>
      </c>
      <c r="K62" s="7">
        <v>30.8</v>
      </c>
      <c r="L62" s="7">
        <v>26.4</v>
      </c>
      <c r="M62" s="7">
        <v>22.1</v>
      </c>
      <c r="N62" s="7">
        <v>17.600000000000001</v>
      </c>
      <c r="O62" s="7">
        <v>18.3</v>
      </c>
      <c r="P62" s="8">
        <f t="shared" si="3"/>
        <v>25.427272727272733</v>
      </c>
      <c r="Q62" s="9">
        <f t="shared" si="4"/>
        <v>0.91666666666666663</v>
      </c>
      <c r="R62" s="140">
        <f t="shared" si="5"/>
        <v>18</v>
      </c>
      <c r="S62" s="24">
        <f t="shared" si="6"/>
        <v>0.66666666666666663</v>
      </c>
      <c r="T62" s="140">
        <f t="shared" si="7"/>
        <v>32</v>
      </c>
      <c r="U62" s="150">
        <f t="shared" si="8"/>
        <v>1</v>
      </c>
      <c r="V62" s="141">
        <f t="shared" si="9"/>
        <v>25.427272727272733</v>
      </c>
      <c r="W62" s="142">
        <f t="shared" si="10"/>
        <v>0.91666666666666663</v>
      </c>
      <c r="X62" s="144">
        <f t="shared" ca="1" si="17"/>
        <v>24.3125</v>
      </c>
      <c r="Y62" s="144">
        <f t="shared" ca="1" si="18"/>
        <v>32.906666666666659</v>
      </c>
      <c r="Z62" s="144">
        <f t="shared" ca="1" si="19"/>
        <v>30.186363636363637</v>
      </c>
      <c r="AA62" s="10"/>
      <c r="AB62" s="357" t="str">
        <f>VLOOKUP($B62,'2007-2020 Metadata'!$A$4:$S$214,MATCH("Urban Area /Monitoring Zone",'2007-2020 Metadata'!$A$4:$S$4,0),FALSE)</f>
        <v>Hamilton</v>
      </c>
      <c r="AC62" s="87" t="str">
        <f>VLOOKUP(B62,'2007-2020 Metadata'!$A$6:$A$214,1,FALSE)</f>
        <v>HAM002</v>
      </c>
      <c r="AD62" s="230" t="str">
        <f>VLOOKUP($AC62,'2007-2020 Metadata'!$A$6:$S$214,9,FALSE)</f>
        <v>Hamilton</v>
      </c>
      <c r="AE62" s="248">
        <f>IF(ISBLANK(VLOOKUP($AC62,'2007-2020 Metadata'!$A$6:$S$214,19,FALSE)),"",VLOOKUP($AC62,'2007-2020 Metadata'!$A$6:$S$214,19,FALSE))</f>
        <v>2.6</v>
      </c>
      <c r="AF62" s="88" t="str">
        <f>VLOOKUP($B62,'2007-2020 Metadata'!$A$4:$S$214,MATCH("Site type",'2007-2020 Metadata'!$A$4:$S$4,0),FALSE)</f>
        <v>Local (ex SH)</v>
      </c>
      <c r="AG62" s="143">
        <f t="shared" si="11"/>
        <v>17.600000000000001</v>
      </c>
      <c r="AH62" s="143">
        <f t="shared" si="12"/>
        <v>38.799999999999997</v>
      </c>
      <c r="AI62" s="144">
        <f t="shared" ca="1" si="13"/>
        <v>30.186363636363637</v>
      </c>
    </row>
    <row r="63" spans="2:35" ht="12" customHeight="1" x14ac:dyDescent="0.15">
      <c r="B63" s="11" t="s">
        <v>34</v>
      </c>
      <c r="C63" s="29" t="str">
        <f>IF(ISBLANK(VLOOKUP($B63,'Monthly Summary 2009'!$B$7:$Q$106,14,FALSE)),"",IF(ISERROR(VLOOKUP(B63,'Monthly Summary 2009'!$B$7:$Q$106,14,FALSE)),"",VLOOKUP(B63,'Monthly Summary 2009'!$B$7:$Q$106,14,FALSE)))</f>
        <v/>
      </c>
      <c r="D63" s="7"/>
      <c r="E63" s="7">
        <v>35.299999999999997</v>
      </c>
      <c r="F63" s="7">
        <v>32.200000000000003</v>
      </c>
      <c r="G63" s="7">
        <v>47.7</v>
      </c>
      <c r="H63" s="7">
        <v>38.6</v>
      </c>
      <c r="I63" s="7">
        <v>42.6</v>
      </c>
      <c r="J63" s="7">
        <v>45.5</v>
      </c>
      <c r="K63" s="7">
        <v>46</v>
      </c>
      <c r="L63" s="7">
        <v>37.700000000000003</v>
      </c>
      <c r="M63" s="7">
        <v>39.6</v>
      </c>
      <c r="N63" s="7">
        <v>38.4</v>
      </c>
      <c r="O63" s="7">
        <v>25.7</v>
      </c>
      <c r="P63" s="8">
        <f t="shared" si="3"/>
        <v>39.027272727272724</v>
      </c>
      <c r="Q63" s="9">
        <f t="shared" si="4"/>
        <v>0.91666666666666663</v>
      </c>
      <c r="R63" s="140">
        <f t="shared" si="5"/>
        <v>33.75</v>
      </c>
      <c r="S63" s="24">
        <f t="shared" si="6"/>
        <v>0.66666666666666663</v>
      </c>
      <c r="T63" s="140">
        <f t="shared" si="7"/>
        <v>43.066666666666663</v>
      </c>
      <c r="U63" s="150">
        <f t="shared" si="8"/>
        <v>1</v>
      </c>
      <c r="V63" s="141">
        <f t="shared" si="9"/>
        <v>39.027272727272724</v>
      </c>
      <c r="W63" s="142">
        <f t="shared" si="10"/>
        <v>0.91666666666666663</v>
      </c>
      <c r="X63" s="144">
        <f t="shared" ca="1" si="17"/>
        <v>24.3125</v>
      </c>
      <c r="Y63" s="144">
        <f t="shared" ca="1" si="18"/>
        <v>32.906666666666659</v>
      </c>
      <c r="Z63" s="144">
        <f t="shared" ca="1" si="19"/>
        <v>30.186363636363637</v>
      </c>
      <c r="AA63" s="10"/>
      <c r="AB63" s="357" t="str">
        <f>VLOOKUP($B63,'2007-2020 Metadata'!$A$4:$S$214,MATCH("Urban Area /Monitoring Zone",'2007-2020 Metadata'!$A$4:$S$4,0),FALSE)</f>
        <v>Hamilton</v>
      </c>
      <c r="AC63" s="87" t="str">
        <f>VLOOKUP(B63,'2007-2020 Metadata'!$A$6:$A$214,1,FALSE)</f>
        <v>HAM003</v>
      </c>
      <c r="AD63" s="230" t="str">
        <f>VLOOKUP($AC63,'2007-2020 Metadata'!$A$6:$S$214,9,FALSE)</f>
        <v>Hamilton</v>
      </c>
      <c r="AE63" s="248">
        <f>IF(ISBLANK(VLOOKUP($AC63,'2007-2020 Metadata'!$A$6:$S$214,19,FALSE)),"",VLOOKUP($AC63,'2007-2020 Metadata'!$A$6:$S$214,19,FALSE))</f>
        <v>2.9</v>
      </c>
      <c r="AF63" s="88" t="str">
        <f>VLOOKUP($B63,'2007-2020 Metadata'!$A$4:$S$214,MATCH("Site type",'2007-2020 Metadata'!$A$4:$S$4,0),FALSE)</f>
        <v>SH</v>
      </c>
      <c r="AG63" s="143">
        <f t="shared" si="11"/>
        <v>25.7</v>
      </c>
      <c r="AH63" s="143">
        <f t="shared" si="12"/>
        <v>47.7</v>
      </c>
      <c r="AI63" s="144">
        <f t="shared" ca="1" si="13"/>
        <v>30.186363636363637</v>
      </c>
    </row>
    <row r="64" spans="2:35" ht="12" customHeight="1" x14ac:dyDescent="0.15">
      <c r="B64" s="11" t="s">
        <v>35</v>
      </c>
      <c r="C64" s="29" t="str">
        <f>IF(ISBLANK(VLOOKUP($B64,'Monthly Summary 2009'!$B$7:$Q$106,14,FALSE)),"",IF(ISERROR(VLOOKUP(B64,'Monthly Summary 2009'!$B$7:$Q$106,14,FALSE)),"",VLOOKUP(B64,'Monthly Summary 2009'!$B$7:$Q$106,14,FALSE)))</f>
        <v/>
      </c>
      <c r="D64" s="7"/>
      <c r="E64" s="7">
        <v>24.4</v>
      </c>
      <c r="F64" s="7">
        <v>23.5</v>
      </c>
      <c r="G64" s="7">
        <v>33.700000000000003</v>
      </c>
      <c r="H64" s="7">
        <v>34.5</v>
      </c>
      <c r="I64" s="7">
        <v>35.200000000000003</v>
      </c>
      <c r="J64" s="7">
        <v>37.9</v>
      </c>
      <c r="K64" s="7">
        <v>33.700000000000003</v>
      </c>
      <c r="L64" s="7">
        <v>28.1</v>
      </c>
      <c r="M64" s="7">
        <v>17.7</v>
      </c>
      <c r="N64" s="7">
        <v>24.3</v>
      </c>
      <c r="O64" s="7">
        <v>14</v>
      </c>
      <c r="P64" s="8">
        <f t="shared" si="3"/>
        <v>27.909090909090914</v>
      </c>
      <c r="Q64" s="9">
        <f t="shared" si="4"/>
        <v>0.91666666666666663</v>
      </c>
      <c r="R64" s="140">
        <f t="shared" si="5"/>
        <v>23.95</v>
      </c>
      <c r="S64" s="24">
        <f t="shared" si="6"/>
        <v>0.66666666666666663</v>
      </c>
      <c r="T64" s="140">
        <f t="shared" si="7"/>
        <v>33.233333333333327</v>
      </c>
      <c r="U64" s="150">
        <f t="shared" si="8"/>
        <v>1</v>
      </c>
      <c r="V64" s="141">
        <f t="shared" si="9"/>
        <v>27.909090909090914</v>
      </c>
      <c r="W64" s="142">
        <f t="shared" si="10"/>
        <v>0.91666666666666663</v>
      </c>
      <c r="X64" s="144">
        <f t="shared" ca="1" si="17"/>
        <v>24.3125</v>
      </c>
      <c r="Y64" s="144">
        <f t="shared" ca="1" si="18"/>
        <v>32.906666666666659</v>
      </c>
      <c r="Z64" s="144">
        <f t="shared" ca="1" si="19"/>
        <v>30.186363636363637</v>
      </c>
      <c r="AA64" s="10"/>
      <c r="AB64" s="357" t="str">
        <f>VLOOKUP($B64,'2007-2020 Metadata'!$A$4:$S$214,MATCH("Urban Area /Monitoring Zone",'2007-2020 Metadata'!$A$4:$S$4,0),FALSE)</f>
        <v>Cambridge</v>
      </c>
      <c r="AC64" s="87" t="str">
        <f>VLOOKUP(B64,'2007-2020 Metadata'!$A$6:$A$214,1,FALSE)</f>
        <v>HAM004</v>
      </c>
      <c r="AD64" s="230" t="str">
        <f>VLOOKUP($AC64,'2007-2020 Metadata'!$A$6:$S$214,9,FALSE)</f>
        <v>Hamilton</v>
      </c>
      <c r="AE64" s="248">
        <f>IF(ISBLANK(VLOOKUP($AC64,'2007-2020 Metadata'!$A$6:$S$214,19,FALSE)),"",VLOOKUP($AC64,'2007-2020 Metadata'!$A$6:$S$214,19,FALSE))</f>
        <v>3</v>
      </c>
      <c r="AF64" s="88" t="str">
        <f>VLOOKUP($B64,'2007-2020 Metadata'!$A$4:$S$214,MATCH("Site type",'2007-2020 Metadata'!$A$4:$S$4,0),FALSE)</f>
        <v>Local (ex SH)</v>
      </c>
      <c r="AG64" s="143">
        <f t="shared" si="11"/>
        <v>14</v>
      </c>
      <c r="AH64" s="143">
        <f t="shared" si="12"/>
        <v>37.9</v>
      </c>
      <c r="AI64" s="144">
        <f t="shared" ca="1" si="13"/>
        <v>30.186363636363637</v>
      </c>
    </row>
    <row r="65" spans="2:35" ht="12" customHeight="1" x14ac:dyDescent="0.15">
      <c r="B65" s="11" t="s">
        <v>36</v>
      </c>
      <c r="C65" s="29">
        <f>IF(ISBLANK(VLOOKUP($B65,'Monthly Summary 2009'!$B$7:$Q$106,14,FALSE)),"",IF(ISERROR(VLOOKUP(B65,'Monthly Summary 2009'!$B$7:$Q$106,14,FALSE)),"",VLOOKUP(B65,'Monthly Summary 2009'!$B$7:$Q$106,14,FALSE)))</f>
        <v>12.9</v>
      </c>
      <c r="D65" s="7">
        <v>21.5</v>
      </c>
      <c r="E65" s="7">
        <v>21.1</v>
      </c>
      <c r="F65" s="7">
        <v>17.8</v>
      </c>
      <c r="G65" s="7">
        <v>23.3</v>
      </c>
      <c r="H65" s="7">
        <v>26.5</v>
      </c>
      <c r="I65" s="7">
        <v>26.8</v>
      </c>
      <c r="J65" s="7">
        <v>28.7</v>
      </c>
      <c r="K65" s="7">
        <v>27.4</v>
      </c>
      <c r="L65" s="7">
        <v>18.2</v>
      </c>
      <c r="M65" s="7">
        <v>12.9</v>
      </c>
      <c r="N65" s="7">
        <v>9.5</v>
      </c>
      <c r="O65" s="7">
        <v>9.6999999999999993</v>
      </c>
      <c r="P65" s="8">
        <f t="shared" si="3"/>
        <v>20.283333333333331</v>
      </c>
      <c r="Q65" s="9">
        <f t="shared" si="4"/>
        <v>1</v>
      </c>
      <c r="R65" s="140">
        <f t="shared" si="5"/>
        <v>20.133333333333336</v>
      </c>
      <c r="S65" s="24">
        <f t="shared" si="6"/>
        <v>1</v>
      </c>
      <c r="T65" s="140">
        <f t="shared" si="7"/>
        <v>24.766666666666666</v>
      </c>
      <c r="U65" s="150">
        <f t="shared" si="8"/>
        <v>1</v>
      </c>
      <c r="V65" s="141">
        <f t="shared" si="9"/>
        <v>20.283333333333331</v>
      </c>
      <c r="W65" s="142">
        <f t="shared" si="10"/>
        <v>1</v>
      </c>
      <c r="X65" s="144">
        <f t="shared" ca="1" si="17"/>
        <v>20.133333333333336</v>
      </c>
      <c r="Y65" s="144">
        <f t="shared" ca="1" si="18"/>
        <v>24.766666666666666</v>
      </c>
      <c r="Z65" s="144">
        <f t="shared" ca="1" si="19"/>
        <v>20.283333333333331</v>
      </c>
      <c r="AA65" s="10"/>
      <c r="AB65" s="357" t="str">
        <f>VLOOKUP($B65,'2007-2020 Metadata'!$A$4:$S$214,MATCH("Urban Area /Monitoring Zone",'2007-2020 Metadata'!$A$4:$S$4,0),FALSE)</f>
        <v>Taupo</v>
      </c>
      <c r="AC65" s="87" t="str">
        <f>VLOOKUP(B65,'2007-2020 Metadata'!$A$6:$A$214,1,FALSE)</f>
        <v>HAM005</v>
      </c>
      <c r="AD65" s="230" t="str">
        <f>VLOOKUP($AC65,'2007-2020 Metadata'!$A$6:$S$214,9,FALSE)</f>
        <v>Taupo</v>
      </c>
      <c r="AE65" s="248">
        <f>IF(ISBLANK(VLOOKUP($AC65,'2007-2020 Metadata'!$A$6:$S$214,19,FALSE)),"",VLOOKUP($AC65,'2007-2020 Metadata'!$A$6:$S$214,19,FALSE))</f>
        <v>3.5</v>
      </c>
      <c r="AF65" s="88" t="str">
        <f>VLOOKUP($B65,'2007-2020 Metadata'!$A$4:$S$214,MATCH("Site type",'2007-2020 Metadata'!$A$4:$S$4,0),FALSE)</f>
        <v>Local (ex SH)</v>
      </c>
      <c r="AG65" s="143">
        <f t="shared" si="11"/>
        <v>9.5</v>
      </c>
      <c r="AH65" s="143">
        <f t="shared" si="12"/>
        <v>28.7</v>
      </c>
      <c r="AI65" s="144">
        <f t="shared" ca="1" si="13"/>
        <v>20.283333333333331</v>
      </c>
    </row>
    <row r="66" spans="2:35" ht="12" customHeight="1" x14ac:dyDescent="0.15">
      <c r="B66" s="11" t="s">
        <v>37</v>
      </c>
      <c r="C66" s="29" t="str">
        <f>IF(ISBLANK(VLOOKUP($B66,'Monthly Summary 2009'!$B$7:$Q$106,14,FALSE)),"",IF(ISERROR(VLOOKUP(B66,'Monthly Summary 2009'!$B$7:$Q$106,14,FALSE)),"",VLOOKUP(B66,'Monthly Summary 2009'!$B$7:$Q$106,14,FALSE)))</f>
        <v/>
      </c>
      <c r="D66" s="7"/>
      <c r="E66" s="7">
        <v>16.3</v>
      </c>
      <c r="F66" s="7">
        <v>16.8</v>
      </c>
      <c r="G66" s="7"/>
      <c r="H66" s="7"/>
      <c r="I66" s="7"/>
      <c r="J66" s="7"/>
      <c r="K66" s="7"/>
      <c r="L66" s="7">
        <v>22</v>
      </c>
      <c r="M66" s="7">
        <v>14.4</v>
      </c>
      <c r="N66" s="7">
        <v>16.2</v>
      </c>
      <c r="O66" s="7">
        <v>11.7</v>
      </c>
      <c r="P66" s="8">
        <f t="shared" si="3"/>
        <v>16.233333333333334</v>
      </c>
      <c r="Q66" s="9">
        <f t="shared" si="4"/>
        <v>0.5</v>
      </c>
      <c r="R66" s="140">
        <f t="shared" si="5"/>
        <v>16.55</v>
      </c>
      <c r="S66" s="24">
        <f t="shared" si="6"/>
        <v>0.66666666666666663</v>
      </c>
      <c r="T66" s="140" t="str">
        <f t="shared" si="7"/>
        <v>-</v>
      </c>
      <c r="U66" s="150">
        <f t="shared" si="8"/>
        <v>0.33333333333333331</v>
      </c>
      <c r="V66" s="141" t="str">
        <f t="shared" si="9"/>
        <v>-</v>
      </c>
      <c r="W66" s="142">
        <f t="shared" si="10"/>
        <v>0.5</v>
      </c>
      <c r="X66" s="144">
        <f t="shared" ca="1" si="17"/>
        <v>16.55</v>
      </c>
      <c r="Y66" s="144">
        <f t="shared" ca="1" si="18"/>
        <v>9.6</v>
      </c>
      <c r="Z66" s="144" t="str">
        <f t="shared" ca="1" si="19"/>
        <v/>
      </c>
      <c r="AA66" s="10"/>
      <c r="AB66" s="357" t="str">
        <f>VLOOKUP($B66,'2007-2020 Metadata'!$A$4:$S$214,MATCH("Urban Area /Monitoring Zone",'2007-2020 Metadata'!$A$4:$S$4,0),FALSE)</f>
        <v>Rotorua</v>
      </c>
      <c r="AC66" s="87" t="str">
        <f>VLOOKUP(B66,'2007-2020 Metadata'!$A$6:$A$214,1,FALSE)</f>
        <v>HAM006</v>
      </c>
      <c r="AD66" s="230" t="str">
        <f>VLOOKUP($AC66,'2007-2020 Metadata'!$A$6:$S$214,9,FALSE)</f>
        <v>Rotorua</v>
      </c>
      <c r="AE66" s="248">
        <f>IF(ISBLANK(VLOOKUP($AC66,'2007-2020 Metadata'!$A$6:$S$214,19,FALSE)),"",VLOOKUP($AC66,'2007-2020 Metadata'!$A$6:$S$214,19,FALSE))</f>
        <v>3</v>
      </c>
      <c r="AF66" s="88" t="str">
        <f>VLOOKUP($B66,'2007-2020 Metadata'!$A$4:$S$214,MATCH("Site type",'2007-2020 Metadata'!$A$4:$S$4,0),FALSE)</f>
        <v>SH</v>
      </c>
      <c r="AG66" s="143">
        <f t="shared" si="11"/>
        <v>11.7</v>
      </c>
      <c r="AH66" s="143">
        <f t="shared" si="12"/>
        <v>22</v>
      </c>
      <c r="AI66" s="144" t="str">
        <f t="shared" si="13"/>
        <v xml:space="preserve"> </v>
      </c>
    </row>
    <row r="67" spans="2:35" ht="12" customHeight="1" x14ac:dyDescent="0.15">
      <c r="B67" s="11" t="s">
        <v>39</v>
      </c>
      <c r="C67" s="29">
        <f>IF(ISBLANK(VLOOKUP($B67,'Monthly Summary 2009'!$B$7:$Q$106,14,FALSE)),"",IF(ISERROR(VLOOKUP(B67,'Monthly Summary 2009'!$B$7:$Q$106,14,FALSE)),"",VLOOKUP(B67,'Monthly Summary 2009'!$B$7:$Q$106,14,FALSE)))</f>
        <v>12</v>
      </c>
      <c r="D67" s="7">
        <v>20.8</v>
      </c>
      <c r="E67" s="7">
        <v>24.1</v>
      </c>
      <c r="F67" s="7">
        <v>27</v>
      </c>
      <c r="G67" s="7"/>
      <c r="H67" s="7">
        <v>38</v>
      </c>
      <c r="I67" s="7">
        <v>37.799999999999997</v>
      </c>
      <c r="J67" s="7">
        <v>40.5</v>
      </c>
      <c r="K67" s="7">
        <v>34.1</v>
      </c>
      <c r="L67" s="7">
        <v>25.8</v>
      </c>
      <c r="M67" s="7">
        <v>23.7</v>
      </c>
      <c r="N67" s="7">
        <v>27</v>
      </c>
      <c r="O67" s="7">
        <v>14.5</v>
      </c>
      <c r="P67" s="8">
        <f t="shared" si="3"/>
        <v>28.481818181818184</v>
      </c>
      <c r="Q67" s="9">
        <f t="shared" si="4"/>
        <v>0.91666666666666663</v>
      </c>
      <c r="R67" s="140">
        <f t="shared" si="5"/>
        <v>23.966666666666669</v>
      </c>
      <c r="S67" s="24">
        <f t="shared" si="6"/>
        <v>1</v>
      </c>
      <c r="T67" s="140">
        <f t="shared" si="7"/>
        <v>33.466666666666661</v>
      </c>
      <c r="U67" s="150">
        <f t="shared" si="8"/>
        <v>1</v>
      </c>
      <c r="V67" s="141">
        <f t="shared" si="9"/>
        <v>28.481818181818184</v>
      </c>
      <c r="W67" s="142">
        <f t="shared" si="10"/>
        <v>0.91666666666666663</v>
      </c>
      <c r="X67" s="144">
        <f t="shared" ca="1" si="17"/>
        <v>20.255555555555556</v>
      </c>
      <c r="Y67" s="144">
        <f t="shared" ca="1" si="18"/>
        <v>26.976190476190474</v>
      </c>
      <c r="Z67" s="144">
        <f t="shared" ca="1" si="19"/>
        <v>26.650000000000002</v>
      </c>
      <c r="AA67" s="10"/>
      <c r="AB67" s="357" t="str">
        <f>VLOOKUP($B67,'2007-2020 Metadata'!$A$4:$S$214,MATCH("Urban Area /Monitoring Zone",'2007-2020 Metadata'!$A$4:$S$4,0),FALSE)</f>
        <v>Tauranga</v>
      </c>
      <c r="AC67" s="87" t="str">
        <f>VLOOKUP(B67,'2007-2020 Metadata'!$A$6:$A$214,1,FALSE)</f>
        <v>HAM007</v>
      </c>
      <c r="AD67" s="230" t="str">
        <f>VLOOKUP($AC67,'2007-2020 Metadata'!$A$6:$S$214,9,FALSE)</f>
        <v>Tauranga</v>
      </c>
      <c r="AE67" s="248">
        <f>IF(ISBLANK(VLOOKUP($AC67,'2007-2020 Metadata'!$A$6:$S$214,19,FALSE)),"",VLOOKUP($AC67,'2007-2020 Metadata'!$A$6:$S$214,19,FALSE))</f>
        <v>2.9</v>
      </c>
      <c r="AF67" s="88" t="str">
        <f>VLOOKUP($B67,'2007-2020 Metadata'!$A$4:$S$214,MATCH("Site type",'2007-2020 Metadata'!$A$4:$S$4,0),FALSE)</f>
        <v>SH</v>
      </c>
      <c r="AG67" s="143">
        <f t="shared" si="11"/>
        <v>14.5</v>
      </c>
      <c r="AH67" s="143">
        <f t="shared" si="12"/>
        <v>40.5</v>
      </c>
      <c r="AI67" s="144">
        <f t="shared" ca="1" si="13"/>
        <v>26.650000000000002</v>
      </c>
    </row>
    <row r="68" spans="2:35" ht="12" customHeight="1" x14ac:dyDescent="0.15">
      <c r="B68" s="11" t="s">
        <v>40</v>
      </c>
      <c r="C68" s="29">
        <f>IF(ISBLANK(VLOOKUP($B68,'Monthly Summary 2009'!$B$7:$Q$106,14,FALSE)),"",IF(ISERROR(VLOOKUP(B68,'Monthly Summary 2009'!$B$7:$Q$106,14,FALSE)),"",VLOOKUP(B68,'Monthly Summary 2009'!$B$7:$Q$106,14,FALSE)))</f>
        <v>7.8</v>
      </c>
      <c r="D68" s="7">
        <v>15</v>
      </c>
      <c r="E68" s="7">
        <v>15.8</v>
      </c>
      <c r="F68" s="7">
        <v>21.3</v>
      </c>
      <c r="G68" s="7">
        <v>31.3</v>
      </c>
      <c r="H68" s="7">
        <v>30.9</v>
      </c>
      <c r="I68" s="7">
        <v>39.1</v>
      </c>
      <c r="J68" s="7">
        <v>38.299999999999997</v>
      </c>
      <c r="K68" s="7">
        <v>34.9</v>
      </c>
      <c r="L68" s="7">
        <v>26.8</v>
      </c>
      <c r="M68" s="7">
        <v>21.7</v>
      </c>
      <c r="N68" s="7">
        <v>18.100000000000001</v>
      </c>
      <c r="O68" s="7">
        <v>13.4</v>
      </c>
      <c r="P68" s="8">
        <f t="shared" si="3"/>
        <v>25.55</v>
      </c>
      <c r="Q68" s="9">
        <f t="shared" si="4"/>
        <v>1</v>
      </c>
      <c r="R68" s="140">
        <f t="shared" si="5"/>
        <v>17.366666666666667</v>
      </c>
      <c r="S68" s="24">
        <f t="shared" si="6"/>
        <v>1</v>
      </c>
      <c r="T68" s="140">
        <f t="shared" si="7"/>
        <v>33.333333333333329</v>
      </c>
      <c r="U68" s="150">
        <f t="shared" si="8"/>
        <v>1</v>
      </c>
      <c r="V68" s="141">
        <f t="shared" si="9"/>
        <v>25.55</v>
      </c>
      <c r="W68" s="142">
        <f t="shared" si="10"/>
        <v>1</v>
      </c>
      <c r="X68" s="144">
        <f t="shared" ca="1" si="17"/>
        <v>20.255555555555556</v>
      </c>
      <c r="Y68" s="144">
        <f t="shared" ca="1" si="18"/>
        <v>26.976190476190474</v>
      </c>
      <c r="Z68" s="144">
        <f t="shared" ca="1" si="19"/>
        <v>26.650000000000002</v>
      </c>
      <c r="AA68" s="10"/>
      <c r="AB68" s="357" t="str">
        <f>VLOOKUP($B68,'2007-2020 Metadata'!$A$4:$S$214,MATCH("Urban Area /Monitoring Zone",'2007-2020 Metadata'!$A$4:$S$4,0),FALSE)</f>
        <v>Tauranga</v>
      </c>
      <c r="AC68" s="87" t="str">
        <f>VLOOKUP(B68,'2007-2020 Metadata'!$A$6:$A$214,1,FALSE)</f>
        <v>HAM008</v>
      </c>
      <c r="AD68" s="230" t="str">
        <f>VLOOKUP($AC68,'2007-2020 Metadata'!$A$6:$S$214,9,FALSE)</f>
        <v>Tauranga</v>
      </c>
      <c r="AE68" s="248">
        <f>IF(ISBLANK(VLOOKUP($AC68,'2007-2020 Metadata'!$A$6:$S$214,19,FALSE)),"",VLOOKUP($AC68,'2007-2020 Metadata'!$A$6:$S$214,19,FALSE))</f>
        <v>2.9</v>
      </c>
      <c r="AF68" s="88" t="str">
        <f>VLOOKUP($B68,'2007-2020 Metadata'!$A$4:$S$214,MATCH("Site type",'2007-2020 Metadata'!$A$4:$S$4,0),FALSE)</f>
        <v>SH</v>
      </c>
      <c r="AG68" s="143">
        <f t="shared" si="11"/>
        <v>13.4</v>
      </c>
      <c r="AH68" s="143">
        <f t="shared" si="12"/>
        <v>39.1</v>
      </c>
      <c r="AI68" s="144">
        <f t="shared" ca="1" si="13"/>
        <v>26.650000000000002</v>
      </c>
    </row>
    <row r="69" spans="2:35" ht="12" customHeight="1" x14ac:dyDescent="0.15">
      <c r="B69" s="11" t="s">
        <v>41</v>
      </c>
      <c r="C69" s="29">
        <f>IF(ISBLANK(VLOOKUP($B69,'Monthly Summary 2009'!$B$7:$Q$106,14,FALSE)),"",IF(ISERROR(VLOOKUP(B69,'Monthly Summary 2009'!$B$7:$Q$106,14,FALSE)),"",VLOOKUP(B69,'Monthly Summary 2009'!$B$7:$Q$106,14,FALSE)))</f>
        <v>12.8</v>
      </c>
      <c r="D69" s="7">
        <v>16.2</v>
      </c>
      <c r="E69" s="7">
        <v>21.2</v>
      </c>
      <c r="F69" s="7">
        <v>20.9</v>
      </c>
      <c r="G69" s="7"/>
      <c r="H69" s="7">
        <v>29.8</v>
      </c>
      <c r="I69" s="7">
        <v>34.5</v>
      </c>
      <c r="J69" s="7">
        <v>38.200000000000003</v>
      </c>
      <c r="K69" s="7">
        <v>30.6</v>
      </c>
      <c r="L69" s="7">
        <v>25.6</v>
      </c>
      <c r="M69" s="7">
        <v>22.6</v>
      </c>
      <c r="N69" s="7">
        <v>25.7</v>
      </c>
      <c r="O69" s="7">
        <v>19.8</v>
      </c>
      <c r="P69" s="8">
        <f t="shared" si="3"/>
        <v>25.918181818181822</v>
      </c>
      <c r="Q69" s="9">
        <f t="shared" si="4"/>
        <v>0.91666666666666663</v>
      </c>
      <c r="R69" s="140">
        <f t="shared" si="5"/>
        <v>19.433333333333334</v>
      </c>
      <c r="S69" s="24">
        <f t="shared" si="6"/>
        <v>1</v>
      </c>
      <c r="T69" s="140">
        <f t="shared" si="7"/>
        <v>31.466666666666669</v>
      </c>
      <c r="U69" s="150">
        <f t="shared" si="8"/>
        <v>1</v>
      </c>
      <c r="V69" s="141">
        <f t="shared" si="9"/>
        <v>25.918181818181822</v>
      </c>
      <c r="W69" s="142">
        <f t="shared" si="10"/>
        <v>0.91666666666666663</v>
      </c>
      <c r="X69" s="144">
        <f t="shared" ca="1" si="17"/>
        <v>20.255555555555556</v>
      </c>
      <c r="Y69" s="144">
        <f t="shared" ca="1" si="18"/>
        <v>26.976190476190474</v>
      </c>
      <c r="Z69" s="144">
        <f t="shared" ca="1" si="19"/>
        <v>26.650000000000002</v>
      </c>
      <c r="AA69" s="10"/>
      <c r="AB69" s="357" t="str">
        <f>VLOOKUP($B69,'2007-2020 Metadata'!$A$4:$S$214,MATCH("Urban Area /Monitoring Zone",'2007-2020 Metadata'!$A$4:$S$4,0),FALSE)</f>
        <v>Tauranga</v>
      </c>
      <c r="AC69" s="87" t="str">
        <f>VLOOKUP(B69,'2007-2020 Metadata'!$A$6:$A$214,1,FALSE)</f>
        <v>HAM010</v>
      </c>
      <c r="AD69" s="230" t="str">
        <f>VLOOKUP($AC69,'2007-2020 Metadata'!$A$6:$S$214,9,FALSE)</f>
        <v>Tauranga</v>
      </c>
      <c r="AE69" s="248">
        <f>IF(ISBLANK(VLOOKUP($AC69,'2007-2020 Metadata'!$A$6:$S$214,19,FALSE)),"",VLOOKUP($AC69,'2007-2020 Metadata'!$A$6:$S$214,19,FALSE))</f>
        <v>2.7</v>
      </c>
      <c r="AF69" s="88" t="str">
        <f>VLOOKUP($B69,'2007-2020 Metadata'!$A$4:$S$214,MATCH("Site type",'2007-2020 Metadata'!$A$4:$S$4,0),FALSE)</f>
        <v>SH</v>
      </c>
      <c r="AG69" s="143">
        <f t="shared" si="11"/>
        <v>16.2</v>
      </c>
      <c r="AH69" s="143">
        <f t="shared" si="12"/>
        <v>38.200000000000003</v>
      </c>
      <c r="AI69" s="144">
        <f t="shared" ca="1" si="13"/>
        <v>26.650000000000002</v>
      </c>
    </row>
    <row r="70" spans="2:35" ht="12" customHeight="1" x14ac:dyDescent="0.15">
      <c r="B70" s="11" t="s">
        <v>95</v>
      </c>
      <c r="C70" s="29" t="str">
        <f>IF(ISBLANK(VLOOKUP($B70,'Monthly Summary 2009'!$B$7:$Q$106,14,FALSE)),"",IF(ISERROR(VLOOKUP(B70,'Monthly Summary 2009'!$B$7:$Q$106,14,FALSE)),"",VLOOKUP(B70,'Monthly Summary 2009'!$B$7:$Q$106,14,FALSE)))</f>
        <v/>
      </c>
      <c r="D70" s="7"/>
      <c r="E70" s="7"/>
      <c r="F70" s="7"/>
      <c r="G70" s="7">
        <v>25.8</v>
      </c>
      <c r="H70" s="7"/>
      <c r="I70" s="7"/>
      <c r="J70" s="7">
        <v>30.9</v>
      </c>
      <c r="K70" s="7"/>
      <c r="L70" s="7">
        <v>15.5</v>
      </c>
      <c r="M70" s="7">
        <v>20.8</v>
      </c>
      <c r="N70" s="7">
        <v>13.5</v>
      </c>
      <c r="O70" s="7">
        <v>14.1</v>
      </c>
      <c r="P70" s="8">
        <f t="shared" si="3"/>
        <v>20.099999999999998</v>
      </c>
      <c r="Q70" s="9">
        <f t="shared" si="4"/>
        <v>0.5</v>
      </c>
      <c r="R70" s="140" t="str">
        <f t="shared" si="5"/>
        <v/>
      </c>
      <c r="S70" s="24">
        <f t="shared" si="6"/>
        <v>0</v>
      </c>
      <c r="T70" s="140">
        <f t="shared" si="7"/>
        <v>23.2</v>
      </c>
      <c r="U70" s="150">
        <f t="shared" si="8"/>
        <v>0.66666666666666663</v>
      </c>
      <c r="V70" s="141" t="str">
        <f t="shared" si="9"/>
        <v>-</v>
      </c>
      <c r="W70" s="142">
        <f t="shared" si="10"/>
        <v>0.5</v>
      </c>
      <c r="X70" s="144">
        <f t="shared" ca="1" si="17"/>
        <v>24.3125</v>
      </c>
      <c r="Y70" s="144">
        <f t="shared" ca="1" si="18"/>
        <v>32.906666666666659</v>
      </c>
      <c r="Z70" s="144">
        <f t="shared" ca="1" si="19"/>
        <v>30.186363636363637</v>
      </c>
      <c r="AA70" s="10"/>
      <c r="AB70" s="357" t="str">
        <f>VLOOKUP($B70,'2007-2020 Metadata'!$A$4:$S$214,MATCH("Urban Area /Monitoring Zone",'2007-2020 Metadata'!$A$4:$S$4,0),FALSE)</f>
        <v>Hamilton</v>
      </c>
      <c r="AC70" s="87" t="str">
        <f>VLOOKUP(B70,'2007-2020 Metadata'!$A$6:$A$214,1,FALSE)</f>
        <v>HAM012</v>
      </c>
      <c r="AD70" s="230" t="str">
        <f>VLOOKUP($AC70,'2007-2020 Metadata'!$A$6:$S$214,9,FALSE)</f>
        <v>Hamilton</v>
      </c>
      <c r="AE70" s="248">
        <f>IF(ISBLANK(VLOOKUP($AC70,'2007-2020 Metadata'!$A$6:$S$214,19,FALSE)),"",VLOOKUP($AC70,'2007-2020 Metadata'!$A$6:$S$214,19,FALSE))</f>
        <v>2.8</v>
      </c>
      <c r="AF70" s="88" t="str">
        <f>VLOOKUP($B70,'2007-2020 Metadata'!$A$4:$S$214,MATCH("Site type",'2007-2020 Metadata'!$A$4:$S$4,0),FALSE)</f>
        <v>Local (ex SH)</v>
      </c>
      <c r="AG70" s="143">
        <f t="shared" si="11"/>
        <v>13.5</v>
      </c>
      <c r="AH70" s="143">
        <f t="shared" si="12"/>
        <v>30.9</v>
      </c>
      <c r="AI70" s="144" t="str">
        <f t="shared" si="13"/>
        <v xml:space="preserve"> </v>
      </c>
    </row>
    <row r="71" spans="2:35" ht="12" customHeight="1" x14ac:dyDescent="0.15">
      <c r="B71" s="11" t="s">
        <v>96</v>
      </c>
      <c r="C71" s="29" t="str">
        <f>IF(ISBLANK(VLOOKUP($B71,'Monthly Summary 2009'!$B$7:$Q$106,14,FALSE)),"",IF(ISERROR(VLOOKUP(B71,'Monthly Summary 2009'!$B$7:$Q$106,14,FALSE)),"",VLOOKUP(B71,'Monthly Summary 2009'!$B$7:$Q$106,14,FALSE)))</f>
        <v/>
      </c>
      <c r="D71" s="7"/>
      <c r="E71" s="7"/>
      <c r="F71" s="7"/>
      <c r="G71" s="7">
        <v>51.4</v>
      </c>
      <c r="H71" s="7">
        <v>38.6</v>
      </c>
      <c r="I71" s="7">
        <v>48.8</v>
      </c>
      <c r="J71" s="7">
        <v>47.5</v>
      </c>
      <c r="K71" s="7">
        <v>45.5</v>
      </c>
      <c r="L71" s="7">
        <v>44</v>
      </c>
      <c r="M71" s="7">
        <v>32.200000000000003</v>
      </c>
      <c r="N71" s="7">
        <v>37.1</v>
      </c>
      <c r="O71" s="7">
        <v>25.8</v>
      </c>
      <c r="P71" s="8">
        <f t="shared" si="3"/>
        <v>41.211111111111116</v>
      </c>
      <c r="Q71" s="9">
        <f t="shared" si="4"/>
        <v>0.75</v>
      </c>
      <c r="R71" s="140" t="str">
        <f t="shared" si="5"/>
        <v/>
      </c>
      <c r="S71" s="24">
        <f t="shared" si="6"/>
        <v>0</v>
      </c>
      <c r="T71" s="140">
        <f t="shared" si="7"/>
        <v>45.666666666666664</v>
      </c>
      <c r="U71" s="150">
        <f t="shared" si="8"/>
        <v>1</v>
      </c>
      <c r="V71" s="141" t="str">
        <f t="shared" si="9"/>
        <v>-</v>
      </c>
      <c r="W71" s="142">
        <f t="shared" si="10"/>
        <v>0.75</v>
      </c>
      <c r="X71" s="144">
        <f t="shared" ref="X71:X102" ca="1" si="22">IF(VLOOKUP($B71,$AC$6:$AI$158,3,FALSE)="",$R71,IF(ISERROR(AVERAGEIF($AD$6:$AD$161,VLOOKUP($B71,$AC$6:$AI$158,2,FALSE),$R$6:$R$158)),"",AVERAGEIF($AD$6:$AD$161,VLOOKUP($B71,$AC$6:$AI$158,2,FALSE),$R$6:$R$158)))</f>
        <v>24.3125</v>
      </c>
      <c r="Y71" s="144">
        <f t="shared" ref="Y71:Y102" ca="1" si="23">IF(VLOOKUP($B71,$AC$6:$AI$158,3,FALSE)="",$T71,IF(ISERROR(AVERAGEIF($AD$6:$AD$161,VLOOKUP($B71,$AC$6:$AI$158,2,FALSE),$T$6:$T$158)),"",AVERAGEIF($AD$6:$AD$161,VLOOKUP($B71,$AC$6:$AI$158,2,FALSE),$T$6:$T$158)))</f>
        <v>32.906666666666659</v>
      </c>
      <c r="Z71" s="144">
        <f t="shared" ref="Z71:Z102" ca="1" si="24">IF(VLOOKUP($B71,$AC$6:$AI$158,3,FALSE)="",$V71,IF(ISERROR(AVERAGEIF($AD$6:$AD$161,VLOOKUP($B71,$AC$6:$AI$158,2,FALSE),$V$6:$V$158)),"",AVERAGEIF($AD$6:$AD$161,VLOOKUP($B71,$AC$6:$AI$158,2,FALSE),$V$6:$V$158)))</f>
        <v>30.186363636363637</v>
      </c>
      <c r="AA71" s="10"/>
      <c r="AB71" s="357" t="str">
        <f>VLOOKUP($B71,'2007-2020 Metadata'!$A$4:$S$214,MATCH("Urban Area /Monitoring Zone",'2007-2020 Metadata'!$A$4:$S$4,0),FALSE)</f>
        <v>Hamilton</v>
      </c>
      <c r="AC71" s="87" t="str">
        <f>VLOOKUP(B71,'2007-2020 Metadata'!$A$6:$A$214,1,FALSE)</f>
        <v>HAM013</v>
      </c>
      <c r="AD71" s="230" t="str">
        <f>VLOOKUP($AC71,'2007-2020 Metadata'!$A$6:$S$214,9,FALSE)</f>
        <v>Hamilton</v>
      </c>
      <c r="AE71" s="248">
        <f>IF(ISBLANK(VLOOKUP($AC71,'2007-2020 Metadata'!$A$6:$S$214,19,FALSE)),"",VLOOKUP($AC71,'2007-2020 Metadata'!$A$6:$S$214,19,FALSE))</f>
        <v>2.8</v>
      </c>
      <c r="AF71" s="88" t="str">
        <f>VLOOKUP($B71,'2007-2020 Metadata'!$A$4:$S$214,MATCH("Site type",'2007-2020 Metadata'!$A$4:$S$4,0),FALSE)</f>
        <v>SH</v>
      </c>
      <c r="AG71" s="143">
        <f t="shared" si="11"/>
        <v>25.8</v>
      </c>
      <c r="AH71" s="143">
        <f t="shared" si="12"/>
        <v>51.4</v>
      </c>
      <c r="AI71" s="144">
        <f t="shared" ca="1" si="13"/>
        <v>30.186363636363637</v>
      </c>
    </row>
    <row r="72" spans="2:35" ht="12" customHeight="1" x14ac:dyDescent="0.15">
      <c r="B72" s="11" t="s">
        <v>97</v>
      </c>
      <c r="C72" s="29" t="str">
        <f>IF(ISBLANK(VLOOKUP($B72,'Monthly Summary 2009'!$B$7:$Q$106,14,FALSE)),"",IF(ISERROR(VLOOKUP(B72,'Monthly Summary 2009'!$B$7:$Q$106,14,FALSE)),"",VLOOKUP(B72,'Monthly Summary 2009'!$B$7:$Q$106,14,FALSE)))</f>
        <v/>
      </c>
      <c r="D72" s="7"/>
      <c r="E72" s="7"/>
      <c r="F72" s="7"/>
      <c r="G72" s="7">
        <v>40.5</v>
      </c>
      <c r="H72" s="7">
        <v>39.1</v>
      </c>
      <c r="I72" s="7">
        <v>45.1</v>
      </c>
      <c r="J72" s="7">
        <v>48.8</v>
      </c>
      <c r="K72" s="7">
        <v>39.4</v>
      </c>
      <c r="L72" s="7">
        <v>35.9</v>
      </c>
      <c r="M72" s="7">
        <v>30.3</v>
      </c>
      <c r="N72" s="7">
        <v>29.7</v>
      </c>
      <c r="O72" s="7">
        <v>22.8</v>
      </c>
      <c r="P72" s="8">
        <f t="shared" ref="P72:P135" si="25">AVERAGE(D72:O72)</f>
        <v>36.844444444444449</v>
      </c>
      <c r="Q72" s="9">
        <f t="shared" ref="Q72:Q135" si="26">COUNT(D72:O72)/COUNT($D$6:$O$6)</f>
        <v>0.75</v>
      </c>
      <c r="R72" s="140" t="str">
        <f t="shared" ref="R72:R135" si="27">IF($S72=0%,"",IF($S72&gt;66%,AVERAGE($D72:$F72),"-"))</f>
        <v/>
      </c>
      <c r="S72" s="24">
        <f t="shared" ref="S72:S135" si="28">COUNT(D72:F72)/3</f>
        <v>0</v>
      </c>
      <c r="T72" s="140">
        <f t="shared" ref="T72:T135" si="29">IF($U72=0%,"",IF($U72&gt;66%,AVERAGE($J72:$L72),"-"))</f>
        <v>41.366666666666667</v>
      </c>
      <c r="U72" s="150">
        <f t="shared" ref="U72:U135" si="30">COUNT(J72:L72)/3</f>
        <v>1</v>
      </c>
      <c r="V72" s="141" t="str">
        <f t="shared" ref="V72:V135" si="31">IF(AND(($S72&gt;33%),($U72&gt;33%),($W72&gt;=75%)),AVERAGE($D72:$O72),"-")</f>
        <v>-</v>
      </c>
      <c r="W72" s="142">
        <f t="shared" ref="W72:W135" si="32">Q72</f>
        <v>0.75</v>
      </c>
      <c r="X72" s="144">
        <f t="shared" ca="1" si="22"/>
        <v>24.3125</v>
      </c>
      <c r="Y72" s="144">
        <f t="shared" ca="1" si="23"/>
        <v>32.906666666666659</v>
      </c>
      <c r="Z72" s="144">
        <f t="shared" ca="1" si="24"/>
        <v>30.186363636363637</v>
      </c>
      <c r="AA72" s="10"/>
      <c r="AB72" s="357" t="str">
        <f>VLOOKUP($B72,'2007-2020 Metadata'!$A$4:$S$214,MATCH("Urban Area /Monitoring Zone",'2007-2020 Metadata'!$A$4:$S$4,0),FALSE)</f>
        <v>Hamilton</v>
      </c>
      <c r="AC72" s="87" t="str">
        <f>VLOOKUP(B72,'2007-2020 Metadata'!$A$6:$A$214,1,FALSE)</f>
        <v>HAM014</v>
      </c>
      <c r="AD72" s="230" t="str">
        <f>VLOOKUP($AC72,'2007-2020 Metadata'!$A$6:$S$214,9,FALSE)</f>
        <v>Hamilton</v>
      </c>
      <c r="AE72" s="248">
        <f>IF(ISBLANK(VLOOKUP($AC72,'2007-2020 Metadata'!$A$6:$S$214,19,FALSE)),"",VLOOKUP($AC72,'2007-2020 Metadata'!$A$6:$S$214,19,FALSE))</f>
        <v>2.2000000000000002</v>
      </c>
      <c r="AF72" s="88" t="str">
        <f>VLOOKUP($B72,'2007-2020 Metadata'!$A$4:$S$214,MATCH("Site type",'2007-2020 Metadata'!$A$4:$S$4,0),FALSE)</f>
        <v>Local</v>
      </c>
      <c r="AG72" s="143">
        <f t="shared" ref="AG72:AG135" si="33">MIN($D72:$O72)</f>
        <v>22.8</v>
      </c>
      <c r="AH72" s="143">
        <f t="shared" ref="AH72:AH135" si="34">MAX($D72:$O72)</f>
        <v>48.8</v>
      </c>
      <c r="AI72" s="144">
        <f t="shared" ref="AI72:AI135" ca="1" si="35">IF($W72&gt;=75%,$Z72," ")</f>
        <v>30.186363636363637</v>
      </c>
    </row>
    <row r="73" spans="2:35" ht="12" customHeight="1" x14ac:dyDescent="0.15">
      <c r="B73" s="11" t="s">
        <v>98</v>
      </c>
      <c r="C73" s="29" t="str">
        <f>IF(ISBLANK(VLOOKUP($B73,'Monthly Summary 2009'!$B$7:$Q$106,14,FALSE)),"",IF(ISERROR(VLOOKUP(B73,'Monthly Summary 2009'!$B$7:$Q$106,14,FALSE)),"",VLOOKUP(B73,'Monthly Summary 2009'!$B$7:$Q$106,14,FALSE)))</f>
        <v/>
      </c>
      <c r="D73" s="7"/>
      <c r="E73" s="7"/>
      <c r="F73" s="7"/>
      <c r="G73" s="7">
        <v>31.4</v>
      </c>
      <c r="H73" s="7">
        <v>29.3</v>
      </c>
      <c r="I73" s="7">
        <v>36.200000000000003</v>
      </c>
      <c r="J73" s="7">
        <v>35.9</v>
      </c>
      <c r="K73" s="7">
        <v>32.4</v>
      </c>
      <c r="L73" s="7">
        <v>27.5</v>
      </c>
      <c r="M73" s="7">
        <v>23</v>
      </c>
      <c r="N73" s="7">
        <v>26.1</v>
      </c>
      <c r="O73" s="7">
        <v>24</v>
      </c>
      <c r="P73" s="8">
        <f t="shared" si="25"/>
        <v>29.533333333333335</v>
      </c>
      <c r="Q73" s="9">
        <f t="shared" si="26"/>
        <v>0.75</v>
      </c>
      <c r="R73" s="140" t="str">
        <f t="shared" si="27"/>
        <v/>
      </c>
      <c r="S73" s="24">
        <f t="shared" si="28"/>
        <v>0</v>
      </c>
      <c r="T73" s="140">
        <f t="shared" si="29"/>
        <v>31.933333333333334</v>
      </c>
      <c r="U73" s="150">
        <f t="shared" si="30"/>
        <v>1</v>
      </c>
      <c r="V73" s="141" t="str">
        <f t="shared" si="31"/>
        <v>-</v>
      </c>
      <c r="W73" s="142">
        <f t="shared" si="32"/>
        <v>0.75</v>
      </c>
      <c r="X73" s="144">
        <f t="shared" ca="1" si="22"/>
        <v>24.3125</v>
      </c>
      <c r="Y73" s="144">
        <f t="shared" ca="1" si="23"/>
        <v>32.906666666666659</v>
      </c>
      <c r="Z73" s="144">
        <f t="shared" ca="1" si="24"/>
        <v>30.186363636363637</v>
      </c>
      <c r="AA73" s="10"/>
      <c r="AB73" s="357" t="str">
        <f>VLOOKUP($B73,'2007-2020 Metadata'!$A$4:$S$214,MATCH("Urban Area /Monitoring Zone",'2007-2020 Metadata'!$A$4:$S$4,0),FALSE)</f>
        <v>Hamilton</v>
      </c>
      <c r="AC73" s="87" t="str">
        <f>VLOOKUP(B73,'2007-2020 Metadata'!$A$6:$A$214,1,FALSE)</f>
        <v>HAM015</v>
      </c>
      <c r="AD73" s="230" t="str">
        <f>VLOOKUP($AC73,'2007-2020 Metadata'!$A$6:$S$214,9,FALSE)</f>
        <v>Hamilton</v>
      </c>
      <c r="AE73" s="248">
        <f>IF(ISBLANK(VLOOKUP($AC73,'2007-2020 Metadata'!$A$6:$S$214,19,FALSE)),"",VLOOKUP($AC73,'2007-2020 Metadata'!$A$6:$S$214,19,FALSE))</f>
        <v>2.7</v>
      </c>
      <c r="AF73" s="88" t="str">
        <f>VLOOKUP($B73,'2007-2020 Metadata'!$A$4:$S$214,MATCH("Site type",'2007-2020 Metadata'!$A$4:$S$4,0),FALSE)</f>
        <v>Local</v>
      </c>
      <c r="AG73" s="143">
        <f t="shared" si="33"/>
        <v>23</v>
      </c>
      <c r="AH73" s="143">
        <f t="shared" si="34"/>
        <v>36.200000000000003</v>
      </c>
      <c r="AI73" s="144">
        <f t="shared" ca="1" si="35"/>
        <v>30.186363636363637</v>
      </c>
    </row>
    <row r="74" spans="2:35" ht="12" customHeight="1" x14ac:dyDescent="0.15">
      <c r="B74" s="11" t="s">
        <v>99</v>
      </c>
      <c r="C74" s="29" t="str">
        <f>IF(ISBLANK(VLOOKUP($B74,'Monthly Summary 2009'!$B$7:$Q$106,14,FALSE)),"",IF(ISERROR(VLOOKUP(B74,'Monthly Summary 2009'!$B$7:$Q$106,14,FALSE)),"",VLOOKUP(B74,'Monthly Summary 2009'!$B$7:$Q$106,14,FALSE)))</f>
        <v/>
      </c>
      <c r="D74" s="7"/>
      <c r="E74" s="7"/>
      <c r="F74" s="7"/>
      <c r="G74" s="7">
        <v>28.7</v>
      </c>
      <c r="H74" s="7">
        <v>31.5</v>
      </c>
      <c r="I74" s="7">
        <v>26.8</v>
      </c>
      <c r="J74" s="7">
        <v>36.299999999999997</v>
      </c>
      <c r="K74" s="7">
        <v>30.7</v>
      </c>
      <c r="L74" s="7">
        <v>19.7</v>
      </c>
      <c r="M74" s="7">
        <v>18.100000000000001</v>
      </c>
      <c r="N74" s="7">
        <v>19.7</v>
      </c>
      <c r="O74" s="7">
        <v>13.5</v>
      </c>
      <c r="P74" s="8">
        <f t="shared" si="25"/>
        <v>24.999999999999996</v>
      </c>
      <c r="Q74" s="9">
        <f t="shared" si="26"/>
        <v>0.75</v>
      </c>
      <c r="R74" s="140" t="str">
        <f t="shared" si="27"/>
        <v/>
      </c>
      <c r="S74" s="24">
        <f t="shared" si="28"/>
        <v>0</v>
      </c>
      <c r="T74" s="140">
        <f t="shared" si="29"/>
        <v>28.900000000000002</v>
      </c>
      <c r="U74" s="150">
        <f t="shared" si="30"/>
        <v>1</v>
      </c>
      <c r="V74" s="141" t="str">
        <f t="shared" si="31"/>
        <v>-</v>
      </c>
      <c r="W74" s="142">
        <f t="shared" si="32"/>
        <v>0.75</v>
      </c>
      <c r="X74" s="144">
        <f t="shared" ca="1" si="22"/>
        <v>24.3125</v>
      </c>
      <c r="Y74" s="144">
        <f t="shared" ca="1" si="23"/>
        <v>32.906666666666659</v>
      </c>
      <c r="Z74" s="144">
        <f t="shared" ca="1" si="24"/>
        <v>30.186363636363637</v>
      </c>
      <c r="AA74" s="10"/>
      <c r="AB74" s="357" t="str">
        <f>VLOOKUP($B74,'2007-2020 Metadata'!$A$4:$S$214,MATCH("Urban Area /Monitoring Zone",'2007-2020 Metadata'!$A$4:$S$4,0),FALSE)</f>
        <v>Hamilton</v>
      </c>
      <c r="AC74" s="87" t="str">
        <f>VLOOKUP(B74,'2007-2020 Metadata'!$A$6:$A$214,1,FALSE)</f>
        <v>HAM016</v>
      </c>
      <c r="AD74" s="230" t="str">
        <f>VLOOKUP($AC74,'2007-2020 Metadata'!$A$6:$S$214,9,FALSE)</f>
        <v>Hamilton</v>
      </c>
      <c r="AE74" s="248">
        <f>IF(ISBLANK(VLOOKUP($AC74,'2007-2020 Metadata'!$A$6:$S$214,19,FALSE)),"",VLOOKUP($AC74,'2007-2020 Metadata'!$A$6:$S$214,19,FALSE))</f>
        <v>2.6</v>
      </c>
      <c r="AF74" s="88" t="str">
        <f>VLOOKUP($B74,'2007-2020 Metadata'!$A$4:$S$214,MATCH("Site type",'2007-2020 Metadata'!$A$4:$S$4,0),FALSE)</f>
        <v>Local</v>
      </c>
      <c r="AG74" s="143">
        <f t="shared" si="33"/>
        <v>13.5</v>
      </c>
      <c r="AH74" s="143">
        <f t="shared" si="34"/>
        <v>36.299999999999997</v>
      </c>
      <c r="AI74" s="144">
        <f t="shared" ca="1" si="35"/>
        <v>30.186363636363637</v>
      </c>
    </row>
    <row r="75" spans="2:35" ht="12" customHeight="1" x14ac:dyDescent="0.15">
      <c r="B75" s="11" t="s">
        <v>100</v>
      </c>
      <c r="C75" s="29" t="str">
        <f>IF(ISBLANK(VLOOKUP($B75,'Monthly Summary 2009'!$B$7:$Q$106,14,FALSE)),"",IF(ISERROR(VLOOKUP(B75,'Monthly Summary 2009'!$B$7:$Q$106,14,FALSE)),"",VLOOKUP(B75,'Monthly Summary 2009'!$B$7:$Q$106,14,FALSE)))</f>
        <v/>
      </c>
      <c r="D75" s="7"/>
      <c r="E75" s="7"/>
      <c r="F75" s="7"/>
      <c r="G75" s="7">
        <v>13.5</v>
      </c>
      <c r="H75" s="7">
        <v>16.5</v>
      </c>
      <c r="I75" s="7">
        <v>19.2</v>
      </c>
      <c r="J75" s="7">
        <v>21</v>
      </c>
      <c r="K75" s="7">
        <v>15.9</v>
      </c>
      <c r="L75" s="7">
        <v>10.3</v>
      </c>
      <c r="M75" s="7">
        <v>7.1</v>
      </c>
      <c r="N75" s="7">
        <v>6.6</v>
      </c>
      <c r="O75" s="7">
        <v>5.0999999999999996</v>
      </c>
      <c r="P75" s="8">
        <f t="shared" si="25"/>
        <v>12.799999999999999</v>
      </c>
      <c r="Q75" s="9">
        <f t="shared" si="26"/>
        <v>0.75</v>
      </c>
      <c r="R75" s="140" t="str">
        <f t="shared" si="27"/>
        <v/>
      </c>
      <c r="S75" s="24">
        <f t="shared" si="28"/>
        <v>0</v>
      </c>
      <c r="T75" s="140">
        <f t="shared" si="29"/>
        <v>15.733333333333334</v>
      </c>
      <c r="U75" s="150">
        <f t="shared" si="30"/>
        <v>1</v>
      </c>
      <c r="V75" s="141" t="str">
        <f t="shared" si="31"/>
        <v>-</v>
      </c>
      <c r="W75" s="142">
        <f t="shared" si="32"/>
        <v>0.75</v>
      </c>
      <c r="X75" s="144">
        <f t="shared" ca="1" si="22"/>
        <v>24.3125</v>
      </c>
      <c r="Y75" s="144">
        <f t="shared" ca="1" si="23"/>
        <v>32.906666666666659</v>
      </c>
      <c r="Z75" s="144">
        <f t="shared" ca="1" si="24"/>
        <v>30.186363636363637</v>
      </c>
      <c r="AA75" s="10"/>
      <c r="AB75" s="357" t="str">
        <f>VLOOKUP($B75,'2007-2020 Metadata'!$A$4:$S$214,MATCH("Urban Area /Monitoring Zone",'2007-2020 Metadata'!$A$4:$S$4,0),FALSE)</f>
        <v>Hamilton</v>
      </c>
      <c r="AC75" s="87" t="str">
        <f>VLOOKUP(B75,'2007-2020 Metadata'!$A$6:$A$214,1,FALSE)</f>
        <v>HAM017</v>
      </c>
      <c r="AD75" s="230" t="str">
        <f>VLOOKUP($AC75,'2007-2020 Metadata'!$A$6:$S$214,9,FALSE)</f>
        <v>Hamilton</v>
      </c>
      <c r="AE75" s="248">
        <f>IF(ISBLANK(VLOOKUP($AC75,'2007-2020 Metadata'!$A$6:$S$214,19,FALSE)),"",VLOOKUP($AC75,'2007-2020 Metadata'!$A$6:$S$214,19,FALSE))</f>
        <v>5</v>
      </c>
      <c r="AF75" s="88" t="str">
        <f>VLOOKUP($B75,'2007-2020 Metadata'!$A$4:$S$214,MATCH("Site type",'2007-2020 Metadata'!$A$4:$S$4,0),FALSE)</f>
        <v>Background</v>
      </c>
      <c r="AG75" s="143">
        <f t="shared" si="33"/>
        <v>5.0999999999999996</v>
      </c>
      <c r="AH75" s="143">
        <f t="shared" si="34"/>
        <v>21</v>
      </c>
      <c r="AI75" s="144">
        <f t="shared" ca="1" si="35"/>
        <v>30.186363636363637</v>
      </c>
    </row>
    <row r="76" spans="2:35" ht="12" customHeight="1" x14ac:dyDescent="0.15">
      <c r="B76" s="11" t="s">
        <v>101</v>
      </c>
      <c r="C76" s="29" t="str">
        <f>IF(ISBLANK(VLOOKUP($B76,'Monthly Summary 2009'!$B$7:$Q$106,14,FALSE)),"",IF(ISERROR(VLOOKUP(B76,'Monthly Summary 2009'!$B$7:$Q$106,14,FALSE)),"",VLOOKUP(B76,'Monthly Summary 2009'!$B$7:$Q$106,14,FALSE)))</f>
        <v/>
      </c>
      <c r="D76" s="7"/>
      <c r="E76" s="7"/>
      <c r="F76" s="7"/>
      <c r="G76" s="7">
        <v>30.5</v>
      </c>
      <c r="H76" s="7">
        <v>30</v>
      </c>
      <c r="I76" s="7">
        <v>34.799999999999997</v>
      </c>
      <c r="J76" s="7">
        <v>31.4</v>
      </c>
      <c r="K76" s="7">
        <v>37.5</v>
      </c>
      <c r="L76" s="7">
        <v>30.5</v>
      </c>
      <c r="M76" s="7">
        <v>23.2</v>
      </c>
      <c r="N76" s="7">
        <v>25.6</v>
      </c>
      <c r="O76" s="7">
        <v>19.3</v>
      </c>
      <c r="P76" s="8">
        <f t="shared" si="25"/>
        <v>29.199999999999996</v>
      </c>
      <c r="Q76" s="9">
        <f t="shared" si="26"/>
        <v>0.75</v>
      </c>
      <c r="R76" s="140" t="str">
        <f t="shared" si="27"/>
        <v/>
      </c>
      <c r="S76" s="24">
        <f t="shared" si="28"/>
        <v>0</v>
      </c>
      <c r="T76" s="140">
        <f t="shared" si="29"/>
        <v>33.133333333333333</v>
      </c>
      <c r="U76" s="150">
        <f t="shared" si="30"/>
        <v>1</v>
      </c>
      <c r="V76" s="141" t="str">
        <f t="shared" si="31"/>
        <v>-</v>
      </c>
      <c r="W76" s="142">
        <f t="shared" si="32"/>
        <v>0.75</v>
      </c>
      <c r="X76" s="144">
        <f t="shared" ca="1" si="22"/>
        <v>20.255555555555556</v>
      </c>
      <c r="Y76" s="144">
        <f t="shared" ca="1" si="23"/>
        <v>26.976190476190474</v>
      </c>
      <c r="Z76" s="144">
        <f t="shared" ca="1" si="24"/>
        <v>26.650000000000002</v>
      </c>
      <c r="AA76" s="10"/>
      <c r="AB76" s="357" t="str">
        <f>VLOOKUP($B76,'2007-2020 Metadata'!$A$4:$S$214,MATCH("Urban Area /Monitoring Zone",'2007-2020 Metadata'!$A$4:$S$4,0),FALSE)</f>
        <v>Tauranga</v>
      </c>
      <c r="AC76" s="87" t="str">
        <f>VLOOKUP(B76,'2007-2020 Metadata'!$A$6:$A$214,1,FALSE)</f>
        <v>HAM018</v>
      </c>
      <c r="AD76" s="230" t="str">
        <f>VLOOKUP($AC76,'2007-2020 Metadata'!$A$6:$S$214,9,FALSE)</f>
        <v>Tauranga</v>
      </c>
      <c r="AE76" s="248">
        <f>IF(ISBLANK(VLOOKUP($AC76,'2007-2020 Metadata'!$A$6:$S$214,19,FALSE)),"",VLOOKUP($AC76,'2007-2020 Metadata'!$A$6:$S$214,19,FALSE))</f>
        <v>2.5</v>
      </c>
      <c r="AF76" s="88" t="str">
        <f>VLOOKUP($B76,'2007-2020 Metadata'!$A$4:$S$214,MATCH("Site type",'2007-2020 Metadata'!$A$4:$S$4,0),FALSE)</f>
        <v>SH</v>
      </c>
      <c r="AG76" s="143">
        <f t="shared" si="33"/>
        <v>19.3</v>
      </c>
      <c r="AH76" s="143">
        <f t="shared" si="34"/>
        <v>37.5</v>
      </c>
      <c r="AI76" s="144">
        <f t="shared" ca="1" si="35"/>
        <v>26.650000000000002</v>
      </c>
    </row>
    <row r="77" spans="2:35" ht="12" customHeight="1" x14ac:dyDescent="0.15">
      <c r="B77" s="11" t="s">
        <v>102</v>
      </c>
      <c r="C77" s="29" t="str">
        <f>IF(ISBLANK(VLOOKUP($B77,'Monthly Summary 2009'!$B$7:$Q$106,14,FALSE)),"",IF(ISERROR(VLOOKUP(B77,'Monthly Summary 2009'!$B$7:$Q$106,14,FALSE)),"",VLOOKUP(B77,'Monthly Summary 2009'!$B$7:$Q$106,14,FALSE)))</f>
        <v/>
      </c>
      <c r="D77" s="7"/>
      <c r="E77" s="7"/>
      <c r="F77" s="7"/>
      <c r="G77" s="7">
        <v>18.100000000000001</v>
      </c>
      <c r="H77" s="7">
        <v>25.5</v>
      </c>
      <c r="I77" s="7">
        <v>21.7</v>
      </c>
      <c r="J77" s="7">
        <v>26.9</v>
      </c>
      <c r="K77" s="7">
        <v>24.7</v>
      </c>
      <c r="L77" s="7">
        <v>18.3</v>
      </c>
      <c r="M77" s="7">
        <v>18.600000000000001</v>
      </c>
      <c r="N77" s="7">
        <v>17.899999999999999</v>
      </c>
      <c r="O77" s="7">
        <v>11.7</v>
      </c>
      <c r="P77" s="8">
        <f t="shared" si="25"/>
        <v>20.377777777777776</v>
      </c>
      <c r="Q77" s="9">
        <f t="shared" si="26"/>
        <v>0.75</v>
      </c>
      <c r="R77" s="140" t="str">
        <f t="shared" si="27"/>
        <v/>
      </c>
      <c r="S77" s="24">
        <f t="shared" si="28"/>
        <v>0</v>
      </c>
      <c r="T77" s="140">
        <f t="shared" si="29"/>
        <v>23.299999999999997</v>
      </c>
      <c r="U77" s="150">
        <f t="shared" si="30"/>
        <v>1</v>
      </c>
      <c r="V77" s="141" t="str">
        <f t="shared" si="31"/>
        <v>-</v>
      </c>
      <c r="W77" s="142">
        <f t="shared" si="32"/>
        <v>0.75</v>
      </c>
      <c r="X77" s="144">
        <f t="shared" ca="1" si="22"/>
        <v>20.255555555555556</v>
      </c>
      <c r="Y77" s="144">
        <f t="shared" ca="1" si="23"/>
        <v>26.976190476190474</v>
      </c>
      <c r="Z77" s="144">
        <f t="shared" ca="1" si="24"/>
        <v>26.650000000000002</v>
      </c>
      <c r="AA77" s="10"/>
      <c r="AB77" s="357" t="str">
        <f>VLOOKUP($B77,'2007-2020 Metadata'!$A$4:$S$214,MATCH("Urban Area /Monitoring Zone",'2007-2020 Metadata'!$A$4:$S$4,0),FALSE)</f>
        <v>Tauranga</v>
      </c>
      <c r="AC77" s="87" t="str">
        <f>VLOOKUP(B77,'2007-2020 Metadata'!$A$6:$A$214,1,FALSE)</f>
        <v>HAM019</v>
      </c>
      <c r="AD77" s="230" t="str">
        <f>VLOOKUP($AC77,'2007-2020 Metadata'!$A$6:$S$214,9,FALSE)</f>
        <v>Tauranga</v>
      </c>
      <c r="AE77" s="248">
        <f>IF(ISBLANK(VLOOKUP($AC77,'2007-2020 Metadata'!$A$6:$S$214,19,FALSE)),"",VLOOKUP($AC77,'2007-2020 Metadata'!$A$6:$S$214,19,FALSE))</f>
        <v>2.7</v>
      </c>
      <c r="AF77" s="88" t="str">
        <f>VLOOKUP($B77,'2007-2020 Metadata'!$A$4:$S$214,MATCH("Site type",'2007-2020 Metadata'!$A$4:$S$4,0),FALSE)</f>
        <v>Local</v>
      </c>
      <c r="AG77" s="143">
        <f t="shared" si="33"/>
        <v>11.7</v>
      </c>
      <c r="AH77" s="143">
        <f t="shared" si="34"/>
        <v>26.9</v>
      </c>
      <c r="AI77" s="144">
        <f t="shared" ca="1" si="35"/>
        <v>26.650000000000002</v>
      </c>
    </row>
    <row r="78" spans="2:35" ht="12" customHeight="1" x14ac:dyDescent="0.15">
      <c r="B78" s="11" t="s">
        <v>103</v>
      </c>
      <c r="C78" s="29" t="str">
        <f>IF(ISBLANK(VLOOKUP($B78,'Monthly Summary 2009'!$B$7:$Q$106,14,FALSE)),"",IF(ISERROR(VLOOKUP(B78,'Monthly Summary 2009'!$B$7:$Q$106,14,FALSE)),"",VLOOKUP(B78,'Monthly Summary 2009'!$B$7:$Q$106,14,FALSE)))</f>
        <v/>
      </c>
      <c r="D78" s="7"/>
      <c r="E78" s="7"/>
      <c r="F78" s="7"/>
      <c r="G78" s="7"/>
      <c r="H78" s="7">
        <v>21</v>
      </c>
      <c r="I78" s="7">
        <v>24.9</v>
      </c>
      <c r="J78" s="7">
        <v>26.6</v>
      </c>
      <c r="K78" s="7">
        <v>27.3</v>
      </c>
      <c r="L78" s="7">
        <v>15.2</v>
      </c>
      <c r="M78" s="7"/>
      <c r="N78" s="7">
        <v>16.600000000000001</v>
      </c>
      <c r="O78" s="7">
        <v>10.6</v>
      </c>
      <c r="P78" s="8">
        <f t="shared" si="25"/>
        <v>20.314285714285713</v>
      </c>
      <c r="Q78" s="22">
        <f t="shared" si="26"/>
        <v>0.58333333333333337</v>
      </c>
      <c r="R78" s="140" t="str">
        <f t="shared" si="27"/>
        <v/>
      </c>
      <c r="S78" s="24">
        <f t="shared" si="28"/>
        <v>0</v>
      </c>
      <c r="T78" s="140">
        <f t="shared" si="29"/>
        <v>23.033333333333335</v>
      </c>
      <c r="U78" s="150">
        <f t="shared" si="30"/>
        <v>1</v>
      </c>
      <c r="V78" s="141" t="str">
        <f t="shared" si="31"/>
        <v>-</v>
      </c>
      <c r="W78" s="142">
        <f t="shared" si="32"/>
        <v>0.58333333333333337</v>
      </c>
      <c r="X78" s="144">
        <f t="shared" ca="1" si="22"/>
        <v>20.255555555555556</v>
      </c>
      <c r="Y78" s="144">
        <f t="shared" ca="1" si="23"/>
        <v>26.976190476190474</v>
      </c>
      <c r="Z78" s="144">
        <f t="shared" ca="1" si="24"/>
        <v>26.650000000000002</v>
      </c>
      <c r="AA78" s="10"/>
      <c r="AB78" s="357" t="str">
        <f>VLOOKUP($B78,'2007-2020 Metadata'!$A$4:$S$214,MATCH("Urban Area /Monitoring Zone",'2007-2020 Metadata'!$A$4:$S$4,0),FALSE)</f>
        <v>Tauranga</v>
      </c>
      <c r="AC78" s="87" t="str">
        <f>VLOOKUP(B78,'2007-2020 Metadata'!$A$6:$A$214,1,FALSE)</f>
        <v>HAM020</v>
      </c>
      <c r="AD78" s="230" t="str">
        <f>VLOOKUP($AC78,'2007-2020 Metadata'!$A$6:$S$214,9,FALSE)</f>
        <v>Tauranga</v>
      </c>
      <c r="AE78" s="248">
        <f>IF(ISBLANK(VLOOKUP($AC78,'2007-2020 Metadata'!$A$6:$S$214,19,FALSE)),"",VLOOKUP($AC78,'2007-2020 Metadata'!$A$6:$S$214,19,FALSE))</f>
        <v>2.8</v>
      </c>
      <c r="AF78" s="88" t="str">
        <f>VLOOKUP($B78,'2007-2020 Metadata'!$A$4:$S$214,MATCH("Site type",'2007-2020 Metadata'!$A$4:$S$4,0),FALSE)</f>
        <v>Local</v>
      </c>
      <c r="AG78" s="143">
        <f t="shared" si="33"/>
        <v>10.6</v>
      </c>
      <c r="AH78" s="143">
        <f t="shared" si="34"/>
        <v>27.3</v>
      </c>
      <c r="AI78" s="144" t="str">
        <f t="shared" si="35"/>
        <v xml:space="preserve"> </v>
      </c>
    </row>
    <row r="79" spans="2:35" ht="12" customHeight="1" x14ac:dyDescent="0.15">
      <c r="B79" s="11" t="s">
        <v>104</v>
      </c>
      <c r="C79" s="29" t="str">
        <f>IF(ISBLANK(VLOOKUP($B79,'Monthly Summary 2009'!$B$7:$Q$106,14,FALSE)),"",IF(ISERROR(VLOOKUP(B79,'Monthly Summary 2009'!$B$7:$Q$106,14,FALSE)),"",VLOOKUP(B79,'Monthly Summary 2009'!$B$7:$Q$106,14,FALSE)))</f>
        <v/>
      </c>
      <c r="D79" s="7"/>
      <c r="E79" s="7"/>
      <c r="F79" s="7"/>
      <c r="G79" s="7"/>
      <c r="H79" s="7">
        <v>13.2</v>
      </c>
      <c r="I79" s="7">
        <v>13.3</v>
      </c>
      <c r="J79" s="7">
        <v>13.6</v>
      </c>
      <c r="K79" s="7">
        <v>11.9</v>
      </c>
      <c r="L79" s="7">
        <v>7.8</v>
      </c>
      <c r="M79" s="7">
        <v>7.3</v>
      </c>
      <c r="N79" s="7">
        <v>11.3</v>
      </c>
      <c r="O79" s="7">
        <v>5.5</v>
      </c>
      <c r="P79" s="8">
        <f t="shared" si="25"/>
        <v>10.487499999999999</v>
      </c>
      <c r="Q79" s="22">
        <f t="shared" si="26"/>
        <v>0.66666666666666663</v>
      </c>
      <c r="R79" s="140" t="str">
        <f t="shared" si="27"/>
        <v/>
      </c>
      <c r="S79" s="24">
        <f t="shared" si="28"/>
        <v>0</v>
      </c>
      <c r="T79" s="140">
        <f t="shared" si="29"/>
        <v>11.1</v>
      </c>
      <c r="U79" s="150">
        <f t="shared" si="30"/>
        <v>1</v>
      </c>
      <c r="V79" s="141" t="str">
        <f t="shared" si="31"/>
        <v>-</v>
      </c>
      <c r="W79" s="142">
        <f t="shared" si="32"/>
        <v>0.66666666666666663</v>
      </c>
      <c r="X79" s="144">
        <f t="shared" ca="1" si="22"/>
        <v>20.255555555555556</v>
      </c>
      <c r="Y79" s="144">
        <f t="shared" ca="1" si="23"/>
        <v>26.976190476190474</v>
      </c>
      <c r="Z79" s="144">
        <f t="shared" ca="1" si="24"/>
        <v>26.650000000000002</v>
      </c>
      <c r="AA79" s="10"/>
      <c r="AB79" s="357" t="str">
        <f>VLOOKUP($B79,'2007-2020 Metadata'!$A$4:$S$214,MATCH("Urban Area /Monitoring Zone",'2007-2020 Metadata'!$A$4:$S$4,0),FALSE)</f>
        <v>Tauranga</v>
      </c>
      <c r="AC79" s="87" t="str">
        <f>VLOOKUP(B79,'2007-2020 Metadata'!$A$6:$A$214,1,FALSE)</f>
        <v>HAM021</v>
      </c>
      <c r="AD79" s="230" t="str">
        <f>VLOOKUP($AC79,'2007-2020 Metadata'!$A$6:$S$214,9,FALSE)</f>
        <v>Tauranga</v>
      </c>
      <c r="AE79" s="248">
        <f>IF(ISBLANK(VLOOKUP($AC79,'2007-2020 Metadata'!$A$6:$S$214,19,FALSE)),"",VLOOKUP($AC79,'2007-2020 Metadata'!$A$6:$S$214,19,FALSE))</f>
        <v>3</v>
      </c>
      <c r="AF79" s="88" t="str">
        <f>VLOOKUP($B79,'2007-2020 Metadata'!$A$4:$S$214,MATCH("Site type",'2007-2020 Metadata'!$A$4:$S$4,0),FALSE)</f>
        <v>Background</v>
      </c>
      <c r="AG79" s="143">
        <f t="shared" si="33"/>
        <v>5.5</v>
      </c>
      <c r="AH79" s="143">
        <f t="shared" si="34"/>
        <v>13.6</v>
      </c>
      <c r="AI79" s="144" t="str">
        <f t="shared" si="35"/>
        <v xml:space="preserve"> </v>
      </c>
    </row>
    <row r="80" spans="2:35" ht="12" customHeight="1" x14ac:dyDescent="0.15">
      <c r="B80" s="11" t="s">
        <v>105</v>
      </c>
      <c r="C80" s="29" t="str">
        <f>IF(ISBLANK(VLOOKUP($B80,'Monthly Summary 2009'!$B$7:$Q$106,14,FALSE)),"",IF(ISERROR(VLOOKUP(B80,'Monthly Summary 2009'!$B$7:$Q$106,14,FALSE)),"",VLOOKUP(B80,'Monthly Summary 2009'!$B$7:$Q$106,14,FALSE)))</f>
        <v/>
      </c>
      <c r="D80" s="7"/>
      <c r="E80" s="7"/>
      <c r="F80" s="7"/>
      <c r="G80" s="7"/>
      <c r="H80" s="7">
        <v>25.1</v>
      </c>
      <c r="I80" s="7">
        <v>19.899999999999999</v>
      </c>
      <c r="J80" s="7"/>
      <c r="K80" s="7"/>
      <c r="L80" s="7">
        <v>17.8</v>
      </c>
      <c r="M80" s="7">
        <v>19.100000000000001</v>
      </c>
      <c r="N80" s="7">
        <v>16.8</v>
      </c>
      <c r="O80" s="7">
        <v>8.6</v>
      </c>
      <c r="P80" s="8">
        <f t="shared" si="25"/>
        <v>17.883333333333333</v>
      </c>
      <c r="Q80" s="9">
        <f t="shared" si="26"/>
        <v>0.5</v>
      </c>
      <c r="R80" s="140" t="str">
        <f t="shared" si="27"/>
        <v/>
      </c>
      <c r="S80" s="24">
        <f t="shared" si="28"/>
        <v>0</v>
      </c>
      <c r="T80" s="140" t="str">
        <f t="shared" si="29"/>
        <v>-</v>
      </c>
      <c r="U80" s="150">
        <f t="shared" si="30"/>
        <v>0.33333333333333331</v>
      </c>
      <c r="V80" s="141" t="str">
        <f t="shared" si="31"/>
        <v>-</v>
      </c>
      <c r="W80" s="142">
        <f t="shared" si="32"/>
        <v>0.5</v>
      </c>
      <c r="X80" s="144" t="str">
        <f t="shared" ca="1" si="22"/>
        <v/>
      </c>
      <c r="Y80" s="144" t="str">
        <f t="shared" ca="1" si="23"/>
        <v/>
      </c>
      <c r="Z80" s="144" t="str">
        <f t="shared" ca="1" si="24"/>
        <v/>
      </c>
      <c r="AA80" s="10"/>
      <c r="AB80" s="357" t="str">
        <f>VLOOKUP($B80,'2007-2020 Metadata'!$A$4:$S$214,MATCH("Urban Area /Monitoring Zone",'2007-2020 Metadata'!$A$4:$S$4,0),FALSE)</f>
        <v>Te Awamutu</v>
      </c>
      <c r="AC80" s="87" t="str">
        <f>VLOOKUP(B80,'2007-2020 Metadata'!$A$6:$A$214,1,FALSE)</f>
        <v>HAM022</v>
      </c>
      <c r="AD80" s="230" t="str">
        <f>VLOOKUP($AC80,'2007-2020 Metadata'!$A$6:$S$214,9,FALSE)</f>
        <v>Te Awamutu</v>
      </c>
      <c r="AE80" s="248">
        <f>IF(ISBLANK(VLOOKUP($AC80,'2007-2020 Metadata'!$A$6:$S$214,19,FALSE)),"",VLOOKUP($AC80,'2007-2020 Metadata'!$A$6:$S$214,19,FALSE))</f>
        <v>3</v>
      </c>
      <c r="AF80" s="88" t="str">
        <f>VLOOKUP($B80,'2007-2020 Metadata'!$A$4:$S$214,MATCH("Site type",'2007-2020 Metadata'!$A$4:$S$4,0),FALSE)</f>
        <v>SH</v>
      </c>
      <c r="AG80" s="143">
        <f t="shared" si="33"/>
        <v>8.6</v>
      </c>
      <c r="AH80" s="143">
        <f t="shared" si="34"/>
        <v>25.1</v>
      </c>
      <c r="AI80" s="144" t="str">
        <f t="shared" si="35"/>
        <v xml:space="preserve"> </v>
      </c>
    </row>
    <row r="81" spans="2:35" ht="12" customHeight="1" x14ac:dyDescent="0.15">
      <c r="B81" s="11" t="s">
        <v>106</v>
      </c>
      <c r="C81" s="29" t="str">
        <f>IF(ISBLANK(VLOOKUP($B81,'Monthly Summary 2009'!$B$7:$Q$106,14,FALSE)),"",IF(ISERROR(VLOOKUP(B81,'Monthly Summary 2009'!$B$7:$Q$106,14,FALSE)),"",VLOOKUP(B81,'Monthly Summary 2009'!$B$7:$Q$106,14,FALSE)))</f>
        <v/>
      </c>
      <c r="D81" s="7"/>
      <c r="E81" s="7"/>
      <c r="F81" s="7"/>
      <c r="G81" s="7">
        <v>10.1</v>
      </c>
      <c r="H81" s="7">
        <v>13.5</v>
      </c>
      <c r="I81" s="7"/>
      <c r="J81" s="7"/>
      <c r="K81" s="7">
        <v>11.7</v>
      </c>
      <c r="L81" s="7">
        <v>7.5</v>
      </c>
      <c r="M81" s="7">
        <v>7</v>
      </c>
      <c r="N81" s="7">
        <v>6.9</v>
      </c>
      <c r="O81" s="7">
        <v>3.6</v>
      </c>
      <c r="P81" s="8">
        <f t="shared" si="25"/>
        <v>8.6142857142857139</v>
      </c>
      <c r="Q81" s="22">
        <f t="shared" si="26"/>
        <v>0.58333333333333337</v>
      </c>
      <c r="R81" s="140" t="str">
        <f t="shared" si="27"/>
        <v/>
      </c>
      <c r="S81" s="24">
        <f t="shared" si="28"/>
        <v>0</v>
      </c>
      <c r="T81" s="140">
        <f t="shared" si="29"/>
        <v>9.6</v>
      </c>
      <c r="U81" s="150">
        <f t="shared" si="30"/>
        <v>0.66666666666666663</v>
      </c>
      <c r="V81" s="141" t="str">
        <f t="shared" si="31"/>
        <v>-</v>
      </c>
      <c r="W81" s="142">
        <f t="shared" si="32"/>
        <v>0.58333333333333337</v>
      </c>
      <c r="X81" s="144">
        <f t="shared" ca="1" si="22"/>
        <v>16.55</v>
      </c>
      <c r="Y81" s="144">
        <f t="shared" ca="1" si="23"/>
        <v>9.6</v>
      </c>
      <c r="Z81" s="144" t="str">
        <f t="shared" ca="1" si="24"/>
        <v/>
      </c>
      <c r="AA81" s="10"/>
      <c r="AB81" s="357" t="str">
        <f>VLOOKUP($B81,'2007-2020 Metadata'!$A$4:$S$214,MATCH("Urban Area /Monitoring Zone",'2007-2020 Metadata'!$A$4:$S$4,0),FALSE)</f>
        <v>Rotorua</v>
      </c>
      <c r="AC81" s="87" t="str">
        <f>VLOOKUP(B81,'2007-2020 Metadata'!$A$6:$A$214,1,FALSE)</f>
        <v>HAM023</v>
      </c>
      <c r="AD81" s="230" t="str">
        <f>VLOOKUP($AC81,'2007-2020 Metadata'!$A$6:$S$214,9,FALSE)</f>
        <v>Rotorua</v>
      </c>
      <c r="AE81" s="248">
        <f>IF(ISBLANK(VLOOKUP($AC81,'2007-2020 Metadata'!$A$6:$S$214,19,FALSE)),"",VLOOKUP($AC81,'2007-2020 Metadata'!$A$6:$S$214,19,FALSE))</f>
        <v>2.5</v>
      </c>
      <c r="AF81" s="88" t="str">
        <f>VLOOKUP($B81,'2007-2020 Metadata'!$A$4:$S$214,MATCH("Site type",'2007-2020 Metadata'!$A$4:$S$4,0),FALSE)</f>
        <v>Background</v>
      </c>
      <c r="AG81" s="143">
        <f t="shared" si="33"/>
        <v>3.6</v>
      </c>
      <c r="AH81" s="143">
        <f t="shared" si="34"/>
        <v>13.5</v>
      </c>
      <c r="AI81" s="144" t="str">
        <f t="shared" si="35"/>
        <v xml:space="preserve"> </v>
      </c>
    </row>
    <row r="82" spans="2:35" ht="12" customHeight="1" x14ac:dyDescent="0.15">
      <c r="B82" s="11" t="s">
        <v>42</v>
      </c>
      <c r="C82" s="29">
        <f>IF(ISBLANK(VLOOKUP($B82,'Monthly Summary 2009'!$B$7:$Q$106,14,FALSE)),"",IF(ISERROR(VLOOKUP(B82,'Monthly Summary 2009'!$B$7:$Q$106,14,FALSE)),"",VLOOKUP(B82,'Monthly Summary 2009'!$B$7:$Q$106,14,FALSE)))</f>
        <v>10.7</v>
      </c>
      <c r="D82" s="7">
        <v>8.6</v>
      </c>
      <c r="E82" s="7">
        <v>12.4</v>
      </c>
      <c r="F82" s="7">
        <v>14.7</v>
      </c>
      <c r="G82" s="7">
        <v>16.8</v>
      </c>
      <c r="H82" s="7">
        <v>20.100000000000001</v>
      </c>
      <c r="I82" s="7">
        <v>21.4</v>
      </c>
      <c r="J82" s="7">
        <v>12.9</v>
      </c>
      <c r="K82" s="7">
        <v>15</v>
      </c>
      <c r="L82" s="7">
        <v>12.9</v>
      </c>
      <c r="M82" s="7">
        <v>7.6</v>
      </c>
      <c r="N82" s="7">
        <v>11.1</v>
      </c>
      <c r="O82" s="7">
        <v>11.7</v>
      </c>
      <c r="P82" s="8">
        <f t="shared" si="25"/>
        <v>13.766666666666666</v>
      </c>
      <c r="Q82" s="9">
        <f t="shared" si="26"/>
        <v>1</v>
      </c>
      <c r="R82" s="140">
        <f t="shared" si="27"/>
        <v>11.9</v>
      </c>
      <c r="S82" s="24">
        <f t="shared" si="28"/>
        <v>1</v>
      </c>
      <c r="T82" s="140">
        <f t="shared" si="29"/>
        <v>13.6</v>
      </c>
      <c r="U82" s="150">
        <f t="shared" si="30"/>
        <v>1</v>
      </c>
      <c r="V82" s="141">
        <f t="shared" si="31"/>
        <v>13.766666666666666</v>
      </c>
      <c r="W82" s="142">
        <f t="shared" si="32"/>
        <v>1</v>
      </c>
      <c r="X82" s="144">
        <f t="shared" ca="1" si="22"/>
        <v>11.9</v>
      </c>
      <c r="Y82" s="144">
        <f t="shared" ca="1" si="23"/>
        <v>13.6</v>
      </c>
      <c r="Z82" s="144">
        <f t="shared" ca="1" si="24"/>
        <v>13.766666666666666</v>
      </c>
      <c r="AA82" s="10"/>
      <c r="AB82" s="357" t="str">
        <f>VLOOKUP($B82,'2007-2020 Metadata'!$A$4:$S$214,MATCH("Urban Area /Monitoring Zone",'2007-2020 Metadata'!$A$4:$S$4,0),FALSE)</f>
        <v>Gisborne</v>
      </c>
      <c r="AC82" s="87" t="str">
        <f>VLOOKUP(B82,'2007-2020 Metadata'!$A$6:$A$214,1,FALSE)</f>
        <v>NAP001</v>
      </c>
      <c r="AD82" s="230" t="str">
        <f>VLOOKUP($AC82,'2007-2020 Metadata'!$A$6:$S$214,9,FALSE)</f>
        <v>Gisborne</v>
      </c>
      <c r="AE82" s="248">
        <f>IF(ISBLANK(VLOOKUP($AC82,'2007-2020 Metadata'!$A$6:$S$214,19,FALSE)),"",VLOOKUP($AC82,'2007-2020 Metadata'!$A$6:$S$214,19,FALSE))</f>
        <v>3</v>
      </c>
      <c r="AF82" s="88" t="str">
        <f>VLOOKUP($B82,'2007-2020 Metadata'!$A$4:$S$214,MATCH("Site type",'2007-2020 Metadata'!$A$4:$S$4,0),FALSE)</f>
        <v>SH</v>
      </c>
      <c r="AG82" s="143">
        <f t="shared" si="33"/>
        <v>7.6</v>
      </c>
      <c r="AH82" s="143">
        <f t="shared" si="34"/>
        <v>21.4</v>
      </c>
      <c r="AI82" s="144">
        <f t="shared" ca="1" si="35"/>
        <v>13.766666666666666</v>
      </c>
    </row>
    <row r="83" spans="2:35" ht="12" customHeight="1" x14ac:dyDescent="0.15">
      <c r="B83" s="11" t="s">
        <v>43</v>
      </c>
      <c r="C83" s="29">
        <f>IF(ISBLANK(VLOOKUP($B83,'Monthly Summary 2009'!$B$7:$Q$106,14,FALSE)),"",IF(ISERROR(VLOOKUP(B83,'Monthly Summary 2009'!$B$7:$Q$106,14,FALSE)),"",VLOOKUP(B83,'Monthly Summary 2009'!$B$7:$Q$106,14,FALSE)))</f>
        <v>8.6</v>
      </c>
      <c r="D83" s="7">
        <v>12.2</v>
      </c>
      <c r="E83" s="7">
        <v>12.7</v>
      </c>
      <c r="F83" s="7">
        <v>17.8</v>
      </c>
      <c r="G83" s="7">
        <v>23.3</v>
      </c>
      <c r="H83" s="7">
        <v>25.3</v>
      </c>
      <c r="I83" s="7">
        <v>28.8</v>
      </c>
      <c r="J83" s="7">
        <v>27.5</v>
      </c>
      <c r="K83" s="7">
        <v>22.3</v>
      </c>
      <c r="L83" s="7">
        <v>14.8</v>
      </c>
      <c r="M83" s="7"/>
      <c r="N83" s="7">
        <v>14.8</v>
      </c>
      <c r="O83" s="7">
        <v>12.1</v>
      </c>
      <c r="P83" s="8">
        <f t="shared" si="25"/>
        <v>19.236363636363638</v>
      </c>
      <c r="Q83" s="9">
        <f t="shared" si="26"/>
        <v>0.91666666666666663</v>
      </c>
      <c r="R83" s="140">
        <f t="shared" si="27"/>
        <v>14.233333333333334</v>
      </c>
      <c r="S83" s="24">
        <f t="shared" si="28"/>
        <v>1</v>
      </c>
      <c r="T83" s="140">
        <f t="shared" si="29"/>
        <v>21.533333333333331</v>
      </c>
      <c r="U83" s="150">
        <f t="shared" si="30"/>
        <v>1</v>
      </c>
      <c r="V83" s="141">
        <f t="shared" si="31"/>
        <v>19.236363636363638</v>
      </c>
      <c r="W83" s="142">
        <f t="shared" si="32"/>
        <v>0.91666666666666663</v>
      </c>
      <c r="X83" s="144">
        <f t="shared" ca="1" si="22"/>
        <v>17.833333333333336</v>
      </c>
      <c r="Y83" s="144">
        <f t="shared" ca="1" si="23"/>
        <v>20.266666666666669</v>
      </c>
      <c r="Z83" s="144">
        <f t="shared" ca="1" si="24"/>
        <v>21.676515151515151</v>
      </c>
      <c r="AA83" s="10"/>
      <c r="AB83" s="357" t="str">
        <f>VLOOKUP($B83,'2007-2020 Metadata'!$A$4:$S$214,MATCH("Urban Area /Monitoring Zone",'2007-2020 Metadata'!$A$4:$S$4,0),FALSE)</f>
        <v>Napier</v>
      </c>
      <c r="AC83" s="87" t="str">
        <f>VLOOKUP(B83,'2007-2020 Metadata'!$A$6:$A$214,1,FALSE)</f>
        <v>NAP002</v>
      </c>
      <c r="AD83" s="230" t="str">
        <f>VLOOKUP($AC83,'2007-2020 Metadata'!$A$6:$S$214,9,FALSE)</f>
        <v>Napier</v>
      </c>
      <c r="AE83" s="248">
        <f>IF(ISBLANK(VLOOKUP($AC83,'2007-2020 Metadata'!$A$6:$S$214,19,FALSE)),"",VLOOKUP($AC83,'2007-2020 Metadata'!$A$6:$S$214,19,FALSE))</f>
        <v>3</v>
      </c>
      <c r="AF83" s="88" t="str">
        <f>VLOOKUP($B83,'2007-2020 Metadata'!$A$4:$S$214,MATCH("Site type",'2007-2020 Metadata'!$A$4:$S$4,0),FALSE)</f>
        <v>SH</v>
      </c>
      <c r="AG83" s="143">
        <f t="shared" si="33"/>
        <v>12.1</v>
      </c>
      <c r="AH83" s="143">
        <f t="shared" si="34"/>
        <v>28.8</v>
      </c>
      <c r="AI83" s="144">
        <f t="shared" ca="1" si="35"/>
        <v>21.676515151515151</v>
      </c>
    </row>
    <row r="84" spans="2:35" ht="12" customHeight="1" x14ac:dyDescent="0.15">
      <c r="B84" s="11" t="s">
        <v>44</v>
      </c>
      <c r="C84" s="29">
        <f>IF(ISBLANK(VLOOKUP($B84,'Monthly Summary 2009'!$B$7:$Q$106,14,FALSE)),"",IF(ISERROR(VLOOKUP(B84,'Monthly Summary 2009'!$B$7:$Q$106,14,FALSE)),"",VLOOKUP(B84,'Monthly Summary 2009'!$B$7:$Q$106,14,FALSE)))</f>
        <v>13.9</v>
      </c>
      <c r="D84" s="7">
        <v>21.5</v>
      </c>
      <c r="E84" s="7">
        <v>23.9</v>
      </c>
      <c r="F84" s="7">
        <v>18.899999999999999</v>
      </c>
      <c r="G84" s="7">
        <v>27.2</v>
      </c>
      <c r="H84" s="7">
        <v>34.200000000000003</v>
      </c>
      <c r="I84" s="7">
        <v>32.9</v>
      </c>
      <c r="J84" s="7">
        <v>33.700000000000003</v>
      </c>
      <c r="K84" s="7">
        <v>29.5</v>
      </c>
      <c r="L84" s="7">
        <v>19.7</v>
      </c>
      <c r="M84" s="7">
        <v>14.4</v>
      </c>
      <c r="N84" s="7">
        <v>18.8</v>
      </c>
      <c r="O84" s="7">
        <v>14.7</v>
      </c>
      <c r="P84" s="8">
        <f t="shared" si="25"/>
        <v>24.116666666666664</v>
      </c>
      <c r="Q84" s="9">
        <f t="shared" si="26"/>
        <v>1</v>
      </c>
      <c r="R84" s="140">
        <f t="shared" si="27"/>
        <v>21.433333333333334</v>
      </c>
      <c r="S84" s="24">
        <f t="shared" si="28"/>
        <v>1</v>
      </c>
      <c r="T84" s="140">
        <f t="shared" si="29"/>
        <v>27.633333333333336</v>
      </c>
      <c r="U84" s="150">
        <f t="shared" si="30"/>
        <v>1</v>
      </c>
      <c r="V84" s="141">
        <f t="shared" si="31"/>
        <v>24.116666666666664</v>
      </c>
      <c r="W84" s="142">
        <f t="shared" si="32"/>
        <v>1</v>
      </c>
      <c r="X84" s="144">
        <f t="shared" ca="1" si="22"/>
        <v>17.833333333333336</v>
      </c>
      <c r="Y84" s="144">
        <f t="shared" ca="1" si="23"/>
        <v>20.266666666666669</v>
      </c>
      <c r="Z84" s="144">
        <f t="shared" ca="1" si="24"/>
        <v>21.676515151515151</v>
      </c>
      <c r="AA84" s="10"/>
      <c r="AB84" s="357" t="str">
        <f>VLOOKUP($B84,'2007-2020 Metadata'!$A$4:$S$214,MATCH("Urban Area /Monitoring Zone",'2007-2020 Metadata'!$A$4:$S$4,0),FALSE)</f>
        <v>Napier</v>
      </c>
      <c r="AC84" s="87" t="str">
        <f>VLOOKUP(B84,'2007-2020 Metadata'!$A$6:$A$214,1,FALSE)</f>
        <v>NAP003</v>
      </c>
      <c r="AD84" s="230" t="str">
        <f>VLOOKUP($AC84,'2007-2020 Metadata'!$A$6:$S$214,9,FALSE)</f>
        <v>Napier</v>
      </c>
      <c r="AE84" s="248">
        <f>IF(ISBLANK(VLOOKUP($AC84,'2007-2020 Metadata'!$A$6:$S$214,19,FALSE)),"",VLOOKUP($AC84,'2007-2020 Metadata'!$A$6:$S$214,19,FALSE))</f>
        <v>3</v>
      </c>
      <c r="AF84" s="88" t="str">
        <f>VLOOKUP($B84,'2007-2020 Metadata'!$A$4:$S$214,MATCH("Site type",'2007-2020 Metadata'!$A$4:$S$4,0),FALSE)</f>
        <v>SH</v>
      </c>
      <c r="AG84" s="143">
        <f t="shared" si="33"/>
        <v>14.4</v>
      </c>
      <c r="AH84" s="143">
        <f t="shared" si="34"/>
        <v>34.200000000000003</v>
      </c>
      <c r="AI84" s="144">
        <f t="shared" ca="1" si="35"/>
        <v>21.676515151515151</v>
      </c>
    </row>
    <row r="85" spans="2:35" ht="12" customHeight="1" x14ac:dyDescent="0.15">
      <c r="B85" s="11" t="s">
        <v>45</v>
      </c>
      <c r="C85" s="29">
        <f>IF(ISBLANK(VLOOKUP($B85,'Monthly Summary 2009'!$B$7:$Q$106,14,FALSE)),"",IF(ISERROR(VLOOKUP(B85,'Monthly Summary 2009'!$B$7:$Q$106,14,FALSE)),"",VLOOKUP(B85,'Monthly Summary 2009'!$B$7:$Q$106,14,FALSE)))</f>
        <v>10.4</v>
      </c>
      <c r="D85" s="7">
        <v>15.8</v>
      </c>
      <c r="E85" s="7">
        <v>15.8</v>
      </c>
      <c r="F85" s="7">
        <v>20.3</v>
      </c>
      <c r="G85" s="7">
        <v>26.8</v>
      </c>
      <c r="H85" s="7">
        <v>26.8</v>
      </c>
      <c r="I85" s="7">
        <v>27.2</v>
      </c>
      <c r="J85" s="7">
        <v>22.7</v>
      </c>
      <c r="K85" s="7">
        <v>20.7</v>
      </c>
      <c r="L85" s="7">
        <v>12.7</v>
      </c>
      <c r="M85" s="7">
        <v>12.1</v>
      </c>
      <c r="N85" s="7">
        <v>15.5</v>
      </c>
      <c r="O85" s="7">
        <v>17</v>
      </c>
      <c r="P85" s="8">
        <f t="shared" si="25"/>
        <v>19.449999999999996</v>
      </c>
      <c r="Q85" s="9">
        <f t="shared" si="26"/>
        <v>1</v>
      </c>
      <c r="R85" s="140">
        <f t="shared" si="27"/>
        <v>17.3</v>
      </c>
      <c r="S85" s="24">
        <f t="shared" si="28"/>
        <v>1</v>
      </c>
      <c r="T85" s="140">
        <f t="shared" si="29"/>
        <v>18.7</v>
      </c>
      <c r="U85" s="150">
        <f t="shared" si="30"/>
        <v>1</v>
      </c>
      <c r="V85" s="141">
        <f t="shared" si="31"/>
        <v>19.449999999999996</v>
      </c>
      <c r="W85" s="142">
        <f t="shared" si="32"/>
        <v>1</v>
      </c>
      <c r="X85" s="144">
        <f t="shared" ca="1" si="22"/>
        <v>17.3</v>
      </c>
      <c r="Y85" s="144">
        <f t="shared" ca="1" si="23"/>
        <v>15.316666666666666</v>
      </c>
      <c r="Z85" s="144">
        <f t="shared" ca="1" si="24"/>
        <v>19.449999999999996</v>
      </c>
      <c r="AA85" s="10"/>
      <c r="AB85" s="357" t="str">
        <f>VLOOKUP($B85,'2007-2020 Metadata'!$A$4:$S$214,MATCH("Urban Area /Monitoring Zone",'2007-2020 Metadata'!$A$4:$S$4,0),FALSE)</f>
        <v>Hastings</v>
      </c>
      <c r="AC85" s="87" t="str">
        <f>VLOOKUP(B85,'2007-2020 Metadata'!$A$6:$A$214,1,FALSE)</f>
        <v>NAP004</v>
      </c>
      <c r="AD85" s="230" t="str">
        <f>VLOOKUP($AC85,'2007-2020 Metadata'!$A$6:$S$214,9,FALSE)</f>
        <v>Hastings</v>
      </c>
      <c r="AE85" s="248">
        <f>IF(ISBLANK(VLOOKUP($AC85,'2007-2020 Metadata'!$A$6:$S$214,19,FALSE)),"",VLOOKUP($AC85,'2007-2020 Metadata'!$A$6:$S$214,19,FALSE))</f>
        <v>3</v>
      </c>
      <c r="AF85" s="88" t="str">
        <f>VLOOKUP($B85,'2007-2020 Metadata'!$A$4:$S$214,MATCH("Site type",'2007-2020 Metadata'!$A$4:$S$4,0),FALSE)</f>
        <v>SH</v>
      </c>
      <c r="AG85" s="143">
        <f t="shared" si="33"/>
        <v>12.1</v>
      </c>
      <c r="AH85" s="143">
        <f t="shared" si="34"/>
        <v>27.2</v>
      </c>
      <c r="AI85" s="144">
        <f t="shared" ca="1" si="35"/>
        <v>19.449999999999996</v>
      </c>
    </row>
    <row r="86" spans="2:35" ht="12" customHeight="1" x14ac:dyDescent="0.15">
      <c r="B86" s="11" t="s">
        <v>107</v>
      </c>
      <c r="C86" s="29" t="str">
        <f>IF(ISBLANK(VLOOKUP($B86,'Monthly Summary 2009'!$B$7:$Q$106,14,FALSE)),"",IF(ISERROR(VLOOKUP(B86,'Monthly Summary 2009'!$B$7:$Q$106,14,FALSE)),"",VLOOKUP(B86,'Monthly Summary 2009'!$B$7:$Q$106,14,FALSE)))</f>
        <v/>
      </c>
      <c r="D86" s="7"/>
      <c r="E86" s="7"/>
      <c r="F86" s="7"/>
      <c r="G86" s="7">
        <v>16.399999999999999</v>
      </c>
      <c r="H86" s="7">
        <v>16.600000000000001</v>
      </c>
      <c r="I86" s="7">
        <v>18.899999999999999</v>
      </c>
      <c r="J86" s="7">
        <v>16.100000000000001</v>
      </c>
      <c r="K86" s="7">
        <v>11.6</v>
      </c>
      <c r="L86" s="7">
        <v>8.1</v>
      </c>
      <c r="M86" s="7">
        <v>6.2</v>
      </c>
      <c r="N86" s="7">
        <v>5.7</v>
      </c>
      <c r="O86" s="7">
        <v>5.4</v>
      </c>
      <c r="P86" s="8">
        <f t="shared" si="25"/>
        <v>11.666666666666666</v>
      </c>
      <c r="Q86" s="9">
        <f t="shared" si="26"/>
        <v>0.75</v>
      </c>
      <c r="R86" s="140" t="str">
        <f t="shared" si="27"/>
        <v/>
      </c>
      <c r="S86" s="24">
        <f t="shared" si="28"/>
        <v>0</v>
      </c>
      <c r="T86" s="140">
        <f t="shared" si="29"/>
        <v>11.933333333333335</v>
      </c>
      <c r="U86" s="150">
        <f t="shared" si="30"/>
        <v>1</v>
      </c>
      <c r="V86" s="141" t="str">
        <f t="shared" si="31"/>
        <v>-</v>
      </c>
      <c r="W86" s="142">
        <f t="shared" si="32"/>
        <v>0.75</v>
      </c>
      <c r="X86" s="144">
        <f t="shared" ca="1" si="22"/>
        <v>17.3</v>
      </c>
      <c r="Y86" s="144">
        <f t="shared" ca="1" si="23"/>
        <v>15.316666666666666</v>
      </c>
      <c r="Z86" s="144">
        <f t="shared" ca="1" si="24"/>
        <v>19.449999999999996</v>
      </c>
      <c r="AA86" s="10"/>
      <c r="AB86" s="357" t="str">
        <f>VLOOKUP($B86,'2007-2020 Metadata'!$A$4:$S$214,MATCH("Urban Area /Monitoring Zone",'2007-2020 Metadata'!$A$4:$S$4,0),FALSE)</f>
        <v>Hastings</v>
      </c>
      <c r="AC86" s="87" t="str">
        <f>VLOOKUP(B86,'2007-2020 Metadata'!$A$6:$A$214,1,FALSE)</f>
        <v>NAP005</v>
      </c>
      <c r="AD86" s="230" t="str">
        <f>VLOOKUP($AC86,'2007-2020 Metadata'!$A$6:$S$214,9,FALSE)</f>
        <v>Hastings</v>
      </c>
      <c r="AE86" s="248">
        <f>IF(ISBLANK(VLOOKUP($AC86,'2007-2020 Metadata'!$A$6:$S$214,19,FALSE)),"",VLOOKUP($AC86,'2007-2020 Metadata'!$A$6:$S$214,19,FALSE))</f>
        <v>2.7</v>
      </c>
      <c r="AF86" s="88" t="str">
        <f>VLOOKUP($B86,'2007-2020 Metadata'!$A$4:$S$214,MATCH("Site type",'2007-2020 Metadata'!$A$4:$S$4,0),FALSE)</f>
        <v>Background</v>
      </c>
      <c r="AG86" s="143">
        <f t="shared" si="33"/>
        <v>5.4</v>
      </c>
      <c r="AH86" s="143">
        <f t="shared" si="34"/>
        <v>18.899999999999999</v>
      </c>
      <c r="AI86" s="144">
        <f t="shared" ca="1" si="35"/>
        <v>19.449999999999996</v>
      </c>
    </row>
    <row r="87" spans="2:35" ht="12" customHeight="1" x14ac:dyDescent="0.15">
      <c r="B87" s="11" t="s">
        <v>108</v>
      </c>
      <c r="C87" s="29" t="str">
        <f>IF(ISBLANK(VLOOKUP($B87,'Monthly Summary 2009'!$B$7:$Q$106,14,FALSE)),"",IF(ISERROR(VLOOKUP(B87,'Monthly Summary 2009'!$B$7:$Q$106,14,FALSE)),"",VLOOKUP(B87,'Monthly Summary 2009'!$B$7:$Q$106,14,FALSE)))</f>
        <v/>
      </c>
      <c r="D87" s="7"/>
      <c r="E87" s="7"/>
      <c r="F87" s="7"/>
      <c r="G87" s="7">
        <v>12.5</v>
      </c>
      <c r="H87" s="7">
        <v>15.7</v>
      </c>
      <c r="I87" s="7">
        <v>20.3</v>
      </c>
      <c r="J87" s="7">
        <v>14.7</v>
      </c>
      <c r="K87" s="7">
        <v>12.6</v>
      </c>
      <c r="L87" s="7">
        <v>7.6</v>
      </c>
      <c r="M87" s="7">
        <v>5.9</v>
      </c>
      <c r="N87" s="7">
        <v>7</v>
      </c>
      <c r="O87" s="7">
        <v>5.5</v>
      </c>
      <c r="P87" s="8">
        <f t="shared" si="25"/>
        <v>11.31111111111111</v>
      </c>
      <c r="Q87" s="9">
        <f t="shared" si="26"/>
        <v>0.75</v>
      </c>
      <c r="R87" s="140" t="str">
        <f t="shared" si="27"/>
        <v/>
      </c>
      <c r="S87" s="24">
        <f t="shared" si="28"/>
        <v>0</v>
      </c>
      <c r="T87" s="140">
        <f t="shared" si="29"/>
        <v>11.633333333333333</v>
      </c>
      <c r="U87" s="150">
        <f t="shared" si="30"/>
        <v>1</v>
      </c>
      <c r="V87" s="141" t="str">
        <f t="shared" si="31"/>
        <v>-</v>
      </c>
      <c r="W87" s="142">
        <f t="shared" si="32"/>
        <v>0.75</v>
      </c>
      <c r="X87" s="144">
        <f t="shared" ca="1" si="22"/>
        <v>17.833333333333336</v>
      </c>
      <c r="Y87" s="144">
        <f t="shared" ca="1" si="23"/>
        <v>20.266666666666669</v>
      </c>
      <c r="Z87" s="144">
        <f t="shared" ca="1" si="24"/>
        <v>21.676515151515151</v>
      </c>
      <c r="AA87" s="10"/>
      <c r="AB87" s="357" t="str">
        <f>VLOOKUP($B87,'2007-2020 Metadata'!$A$4:$S$214,MATCH("Urban Area /Monitoring Zone",'2007-2020 Metadata'!$A$4:$S$4,0),FALSE)</f>
        <v>Napier</v>
      </c>
      <c r="AC87" s="87" t="str">
        <f>VLOOKUP(B87,'2007-2020 Metadata'!$A$6:$A$214,1,FALSE)</f>
        <v>NAP006</v>
      </c>
      <c r="AD87" s="230" t="str">
        <f>VLOOKUP($AC87,'2007-2020 Metadata'!$A$6:$S$214,9,FALSE)</f>
        <v>Napier</v>
      </c>
      <c r="AE87" s="248">
        <f>IF(ISBLANK(VLOOKUP($AC87,'2007-2020 Metadata'!$A$6:$S$214,19,FALSE)),"",VLOOKUP($AC87,'2007-2020 Metadata'!$A$6:$S$214,19,FALSE))</f>
        <v>3</v>
      </c>
      <c r="AF87" s="88" t="str">
        <f>VLOOKUP($B87,'2007-2020 Metadata'!$A$4:$S$214,MATCH("Site type",'2007-2020 Metadata'!$A$4:$S$4,0),FALSE)</f>
        <v>Background</v>
      </c>
      <c r="AG87" s="143">
        <f t="shared" si="33"/>
        <v>5.5</v>
      </c>
      <c r="AH87" s="143">
        <f t="shared" si="34"/>
        <v>20.3</v>
      </c>
      <c r="AI87" s="144">
        <f t="shared" ca="1" si="35"/>
        <v>21.676515151515151</v>
      </c>
    </row>
    <row r="88" spans="2:35" ht="12" customHeight="1" x14ac:dyDescent="0.15">
      <c r="B88" s="11" t="s">
        <v>46</v>
      </c>
      <c r="C88" s="29" t="str">
        <f>IF(ISBLANK(VLOOKUP($B88,'Monthly Summary 2009'!$B$7:$Q$106,14,FALSE)),"",IF(ISERROR(VLOOKUP(B88,'Monthly Summary 2009'!$B$7:$Q$106,14,FALSE)),"",VLOOKUP(B88,'Monthly Summary 2009'!$B$7:$Q$106,14,FALSE)))</f>
        <v/>
      </c>
      <c r="D88" s="7"/>
      <c r="E88" s="7">
        <v>16.3</v>
      </c>
      <c r="F88" s="7">
        <v>22.8</v>
      </c>
      <c r="G88" s="7">
        <v>27.9</v>
      </c>
      <c r="H88" s="7">
        <v>25.1</v>
      </c>
      <c r="I88" s="7">
        <v>19.399999999999999</v>
      </c>
      <c r="J88" s="7">
        <v>24.3</v>
      </c>
      <c r="K88" s="7"/>
      <c r="L88" s="7">
        <v>26.1</v>
      </c>
      <c r="M88" s="7">
        <v>19.5</v>
      </c>
      <c r="N88" s="7">
        <v>17.5</v>
      </c>
      <c r="O88" s="7">
        <v>11.4</v>
      </c>
      <c r="P88" s="8">
        <f t="shared" si="25"/>
        <v>21.03</v>
      </c>
      <c r="Q88" s="9">
        <f t="shared" si="26"/>
        <v>0.83333333333333337</v>
      </c>
      <c r="R88" s="140">
        <f t="shared" si="27"/>
        <v>19.55</v>
      </c>
      <c r="S88" s="24">
        <f t="shared" si="28"/>
        <v>0.66666666666666663</v>
      </c>
      <c r="T88" s="140">
        <f t="shared" si="29"/>
        <v>25.200000000000003</v>
      </c>
      <c r="U88" s="150">
        <f t="shared" si="30"/>
        <v>0.66666666666666663</v>
      </c>
      <c r="V88" s="141">
        <f t="shared" si="31"/>
        <v>21.03</v>
      </c>
      <c r="W88" s="142">
        <f t="shared" si="32"/>
        <v>0.83333333333333337</v>
      </c>
      <c r="X88" s="144">
        <f t="shared" ca="1" si="22"/>
        <v>19.55</v>
      </c>
      <c r="Y88" s="144">
        <f t="shared" ca="1" si="23"/>
        <v>17.700000000000003</v>
      </c>
      <c r="Z88" s="144">
        <f t="shared" ca="1" si="24"/>
        <v>21.03</v>
      </c>
      <c r="AA88" s="10"/>
      <c r="AB88" s="357" t="str">
        <f>VLOOKUP($B88,'2007-2020 Metadata'!$A$4:$S$214,MATCH("Urban Area /Monitoring Zone",'2007-2020 Metadata'!$A$4:$S$4,0),FALSE)</f>
        <v>New Plymouth</v>
      </c>
      <c r="AC88" s="87" t="str">
        <f>VLOOKUP(B88,'2007-2020 Metadata'!$A$6:$A$214,1,FALSE)</f>
        <v>WAN001</v>
      </c>
      <c r="AD88" s="230" t="str">
        <f>VLOOKUP($AC88,'2007-2020 Metadata'!$A$6:$S$214,9,FALSE)</f>
        <v>New Plymouth</v>
      </c>
      <c r="AE88" s="248">
        <f>IF(ISBLANK(VLOOKUP($AC88,'2007-2020 Metadata'!$A$6:$S$214,19,FALSE)),"",VLOOKUP($AC88,'2007-2020 Metadata'!$A$6:$S$214,19,FALSE))</f>
        <v>3</v>
      </c>
      <c r="AF88" s="88" t="str">
        <f>VLOOKUP($B88,'2007-2020 Metadata'!$A$4:$S$214,MATCH("Site type",'2007-2020 Metadata'!$A$4:$S$4,0),FALSE)</f>
        <v>SH</v>
      </c>
      <c r="AG88" s="143">
        <f t="shared" si="33"/>
        <v>11.4</v>
      </c>
      <c r="AH88" s="143">
        <f t="shared" si="34"/>
        <v>27.9</v>
      </c>
      <c r="AI88" s="144">
        <f t="shared" ca="1" si="35"/>
        <v>21.03</v>
      </c>
    </row>
    <row r="89" spans="2:35" ht="12" customHeight="1" x14ac:dyDescent="0.15">
      <c r="B89" s="11" t="s">
        <v>48</v>
      </c>
      <c r="C89" s="29">
        <f>IF(ISBLANK(VLOOKUP($B89,'Monthly Summary 2009'!$B$7:$Q$106,14,FALSE)),"",IF(ISERROR(VLOOKUP(B89,'Monthly Summary 2009'!$B$7:$Q$106,14,FALSE)),"",VLOOKUP(B89,'Monthly Summary 2009'!$B$7:$Q$106,14,FALSE)))</f>
        <v>12.4</v>
      </c>
      <c r="D89" s="7"/>
      <c r="E89" s="7">
        <v>15.6</v>
      </c>
      <c r="F89" s="7">
        <v>20.8</v>
      </c>
      <c r="G89" s="7">
        <v>30.6</v>
      </c>
      <c r="H89" s="7">
        <v>31.6</v>
      </c>
      <c r="I89" s="7">
        <v>38.700000000000003</v>
      </c>
      <c r="J89" s="7">
        <v>32.200000000000003</v>
      </c>
      <c r="K89" s="7">
        <v>28.8</v>
      </c>
      <c r="L89" s="7">
        <v>20.100000000000001</v>
      </c>
      <c r="M89" s="7">
        <v>19.100000000000001</v>
      </c>
      <c r="N89" s="7">
        <v>21.1</v>
      </c>
      <c r="O89" s="7">
        <v>17.2</v>
      </c>
      <c r="P89" s="8">
        <f t="shared" si="25"/>
        <v>25.072727272727274</v>
      </c>
      <c r="Q89" s="9">
        <f t="shared" si="26"/>
        <v>0.91666666666666663</v>
      </c>
      <c r="R89" s="140">
        <f t="shared" si="27"/>
        <v>18.2</v>
      </c>
      <c r="S89" s="24">
        <f t="shared" si="28"/>
        <v>0.66666666666666663</v>
      </c>
      <c r="T89" s="140">
        <f t="shared" si="29"/>
        <v>27.033333333333331</v>
      </c>
      <c r="U89" s="150">
        <f t="shared" si="30"/>
        <v>1</v>
      </c>
      <c r="V89" s="141">
        <f t="shared" si="31"/>
        <v>25.072727272727274</v>
      </c>
      <c r="W89" s="142">
        <f t="shared" si="32"/>
        <v>0.91666666666666663</v>
      </c>
      <c r="X89" s="144">
        <f t="shared" ca="1" si="22"/>
        <v>18.2</v>
      </c>
      <c r="Y89" s="144">
        <f t="shared" ca="1" si="23"/>
        <v>21.153333333333332</v>
      </c>
      <c r="Z89" s="144">
        <f t="shared" ca="1" si="24"/>
        <v>25.072727272727274</v>
      </c>
      <c r="AA89" s="10"/>
      <c r="AB89" s="357" t="str">
        <f>VLOOKUP($B89,'2007-2020 Metadata'!$A$4:$S$214,MATCH("Urban Area /Monitoring Zone",'2007-2020 Metadata'!$A$4:$S$4,0),FALSE)</f>
        <v>Palmerston North</v>
      </c>
      <c r="AC89" s="87" t="str">
        <f>VLOOKUP(B89,'2007-2020 Metadata'!$A$6:$A$214,1,FALSE)</f>
        <v>WAN004</v>
      </c>
      <c r="AD89" s="230" t="str">
        <f>VLOOKUP($AC89,'2007-2020 Metadata'!$A$6:$S$214,9,FALSE)</f>
        <v>Palmerston North</v>
      </c>
      <c r="AE89" s="248">
        <f>IF(ISBLANK(VLOOKUP($AC89,'2007-2020 Metadata'!$A$6:$S$214,19,FALSE)),"",VLOOKUP($AC89,'2007-2020 Metadata'!$A$6:$S$214,19,FALSE))</f>
        <v>3</v>
      </c>
      <c r="AF89" s="88" t="str">
        <f>VLOOKUP($B89,'2007-2020 Metadata'!$A$4:$S$214,MATCH("Site type",'2007-2020 Metadata'!$A$4:$S$4,0),FALSE)</f>
        <v>SH</v>
      </c>
      <c r="AG89" s="143">
        <f t="shared" si="33"/>
        <v>15.6</v>
      </c>
      <c r="AH89" s="143">
        <f t="shared" si="34"/>
        <v>38.700000000000003</v>
      </c>
      <c r="AI89" s="144">
        <f t="shared" ca="1" si="35"/>
        <v>25.072727272727274</v>
      </c>
    </row>
    <row r="90" spans="2:35" ht="12" customHeight="1" x14ac:dyDescent="0.15">
      <c r="B90" s="11" t="s">
        <v>109</v>
      </c>
      <c r="C90" s="29" t="str">
        <f>IF(ISBLANK(VLOOKUP($B90,'Monthly Summary 2009'!$B$7:$Q$106,14,FALSE)),"",IF(ISERROR(VLOOKUP(B90,'Monthly Summary 2009'!$B$7:$Q$106,14,FALSE)),"",VLOOKUP(B90,'Monthly Summary 2009'!$B$7:$Q$106,14,FALSE)))</f>
        <v/>
      </c>
      <c r="D90" s="7"/>
      <c r="E90" s="7"/>
      <c r="F90" s="7"/>
      <c r="G90" s="7">
        <v>9.1999999999999993</v>
      </c>
      <c r="H90" s="7">
        <v>19.100000000000001</v>
      </c>
      <c r="I90" s="7">
        <v>17.399999999999999</v>
      </c>
      <c r="J90" s="7">
        <v>16.899999999999999</v>
      </c>
      <c r="K90" s="7">
        <v>14.5</v>
      </c>
      <c r="L90" s="7">
        <v>6.8</v>
      </c>
      <c r="M90" s="7">
        <v>8.5</v>
      </c>
      <c r="N90" s="7">
        <v>10.199999999999999</v>
      </c>
      <c r="O90" s="7">
        <v>6.8</v>
      </c>
      <c r="P90" s="8">
        <f t="shared" si="25"/>
        <v>12.155555555555555</v>
      </c>
      <c r="Q90" s="9">
        <f t="shared" si="26"/>
        <v>0.75</v>
      </c>
      <c r="R90" s="140" t="str">
        <f t="shared" si="27"/>
        <v/>
      </c>
      <c r="S90" s="24">
        <f t="shared" si="28"/>
        <v>0</v>
      </c>
      <c r="T90" s="140">
        <f t="shared" si="29"/>
        <v>12.733333333333333</v>
      </c>
      <c r="U90" s="150">
        <f t="shared" si="30"/>
        <v>1</v>
      </c>
      <c r="V90" s="141" t="str">
        <f t="shared" si="31"/>
        <v>-</v>
      </c>
      <c r="W90" s="142">
        <f t="shared" si="32"/>
        <v>0.75</v>
      </c>
      <c r="X90" s="144">
        <f t="shared" ca="1" si="22"/>
        <v>18.2</v>
      </c>
      <c r="Y90" s="144">
        <f t="shared" ca="1" si="23"/>
        <v>21.153333333333332</v>
      </c>
      <c r="Z90" s="144">
        <f t="shared" ca="1" si="24"/>
        <v>25.072727272727274</v>
      </c>
      <c r="AA90" s="10"/>
      <c r="AB90" s="357" t="str">
        <f>VLOOKUP($B90,'2007-2020 Metadata'!$A$4:$S$214,MATCH("Urban Area /Monitoring Zone",'2007-2020 Metadata'!$A$4:$S$4,0),FALSE)</f>
        <v>Palmerston North</v>
      </c>
      <c r="AC90" s="87" t="str">
        <f>VLOOKUP(B90,'2007-2020 Metadata'!$A$6:$A$214,1,FALSE)</f>
        <v>WAN005</v>
      </c>
      <c r="AD90" s="230" t="str">
        <f>VLOOKUP($AC90,'2007-2020 Metadata'!$A$6:$S$214,9,FALSE)</f>
        <v>Palmerston North</v>
      </c>
      <c r="AE90" s="248">
        <f>IF(ISBLANK(VLOOKUP($AC90,'2007-2020 Metadata'!$A$6:$S$214,19,FALSE)),"",VLOOKUP($AC90,'2007-2020 Metadata'!$A$6:$S$214,19,FALSE))</f>
        <v>2.5</v>
      </c>
      <c r="AF90" s="88" t="str">
        <f>VLOOKUP($B90,'2007-2020 Metadata'!$A$4:$S$214,MATCH("Site type",'2007-2020 Metadata'!$A$4:$S$4,0),FALSE)</f>
        <v>SH</v>
      </c>
      <c r="AG90" s="143">
        <f t="shared" si="33"/>
        <v>6.8</v>
      </c>
      <c r="AH90" s="143">
        <f t="shared" si="34"/>
        <v>19.100000000000001</v>
      </c>
      <c r="AI90" s="144">
        <f t="shared" ca="1" si="35"/>
        <v>25.072727272727274</v>
      </c>
    </row>
    <row r="91" spans="2:35" ht="12" customHeight="1" x14ac:dyDescent="0.15">
      <c r="B91" s="11" t="s">
        <v>110</v>
      </c>
      <c r="C91" s="29" t="str">
        <f>IF(ISBLANK(VLOOKUP($B91,'Monthly Summary 2009'!$B$7:$Q$106,14,FALSE)),"",IF(ISERROR(VLOOKUP(B91,'Monthly Summary 2009'!$B$7:$Q$106,14,FALSE)),"",VLOOKUP(B91,'Monthly Summary 2009'!$B$7:$Q$106,14,FALSE)))</f>
        <v/>
      </c>
      <c r="D91" s="7"/>
      <c r="E91" s="7"/>
      <c r="F91" s="7"/>
      <c r="G91" s="7">
        <v>29.2</v>
      </c>
      <c r="H91" s="7">
        <v>23.6</v>
      </c>
      <c r="I91" s="7">
        <v>39.299999999999997</v>
      </c>
      <c r="J91" s="7">
        <v>36.700000000000003</v>
      </c>
      <c r="K91" s="7">
        <v>30.6</v>
      </c>
      <c r="L91" s="7">
        <v>21.2</v>
      </c>
      <c r="M91" s="7">
        <v>17.2</v>
      </c>
      <c r="N91" s="7">
        <v>21.6</v>
      </c>
      <c r="O91" s="7">
        <v>17.600000000000001</v>
      </c>
      <c r="P91" s="8">
        <f t="shared" si="25"/>
        <v>26.333333333333329</v>
      </c>
      <c r="Q91" s="9">
        <f t="shared" si="26"/>
        <v>0.75</v>
      </c>
      <c r="R91" s="140" t="str">
        <f t="shared" si="27"/>
        <v/>
      </c>
      <c r="S91" s="24">
        <f t="shared" si="28"/>
        <v>0</v>
      </c>
      <c r="T91" s="140">
        <f t="shared" si="29"/>
        <v>29.500000000000004</v>
      </c>
      <c r="U91" s="150">
        <f t="shared" si="30"/>
        <v>1</v>
      </c>
      <c r="V91" s="141" t="str">
        <f t="shared" si="31"/>
        <v>-</v>
      </c>
      <c r="W91" s="142">
        <f t="shared" si="32"/>
        <v>0.75</v>
      </c>
      <c r="X91" s="144">
        <f t="shared" ca="1" si="22"/>
        <v>18.2</v>
      </c>
      <c r="Y91" s="144">
        <f t="shared" ca="1" si="23"/>
        <v>21.153333333333332</v>
      </c>
      <c r="Z91" s="144">
        <f t="shared" ca="1" si="24"/>
        <v>25.072727272727274</v>
      </c>
      <c r="AA91" s="10"/>
      <c r="AB91" s="357" t="str">
        <f>VLOOKUP($B91,'2007-2020 Metadata'!$A$4:$S$214,MATCH("Urban Area /Monitoring Zone",'2007-2020 Metadata'!$A$4:$S$4,0),FALSE)</f>
        <v>Palmerston North</v>
      </c>
      <c r="AC91" s="87" t="str">
        <f>VLOOKUP(B91,'2007-2020 Metadata'!$A$6:$A$214,1,FALSE)</f>
        <v>WAN006</v>
      </c>
      <c r="AD91" s="230" t="str">
        <f>VLOOKUP($AC91,'2007-2020 Metadata'!$A$6:$S$214,9,FALSE)</f>
        <v>Palmerston North</v>
      </c>
      <c r="AE91" s="248">
        <f>IF(ISBLANK(VLOOKUP($AC91,'2007-2020 Metadata'!$A$6:$S$214,19,FALSE)),"",VLOOKUP($AC91,'2007-2020 Metadata'!$A$6:$S$214,19,FALSE))</f>
        <v>2.5</v>
      </c>
      <c r="AF91" s="88" t="str">
        <f>VLOOKUP($B91,'2007-2020 Metadata'!$A$4:$S$214,MATCH("Site type",'2007-2020 Metadata'!$A$4:$S$4,0),FALSE)</f>
        <v>SH</v>
      </c>
      <c r="AG91" s="143">
        <f t="shared" si="33"/>
        <v>17.2</v>
      </c>
      <c r="AH91" s="143">
        <f t="shared" si="34"/>
        <v>39.299999999999997</v>
      </c>
      <c r="AI91" s="144">
        <f t="shared" ca="1" si="35"/>
        <v>25.072727272727274</v>
      </c>
    </row>
    <row r="92" spans="2:35" ht="12" customHeight="1" x14ac:dyDescent="0.15">
      <c r="B92" s="11" t="s">
        <v>111</v>
      </c>
      <c r="C92" s="29" t="str">
        <f>IF(ISBLANK(VLOOKUP($B92,'Monthly Summary 2009'!$B$7:$Q$106,14,FALSE)),"",IF(ISERROR(VLOOKUP(B92,'Monthly Summary 2009'!$B$7:$Q$106,14,FALSE)),"",VLOOKUP(B92,'Monthly Summary 2009'!$B$7:$Q$106,14,FALSE)))</f>
        <v/>
      </c>
      <c r="D92" s="7"/>
      <c r="E92" s="7"/>
      <c r="F92" s="7"/>
      <c r="G92" s="7">
        <v>21.4</v>
      </c>
      <c r="H92" s="7">
        <v>22.7</v>
      </c>
      <c r="I92" s="7">
        <v>28.5</v>
      </c>
      <c r="J92" s="7">
        <v>25.7</v>
      </c>
      <c r="K92" s="7">
        <v>17.899999999999999</v>
      </c>
      <c r="L92" s="7">
        <v>14.7</v>
      </c>
      <c r="M92" s="7">
        <v>11.4</v>
      </c>
      <c r="N92" s="7">
        <v>13.5</v>
      </c>
      <c r="O92" s="7">
        <v>11.2</v>
      </c>
      <c r="P92" s="8">
        <f t="shared" si="25"/>
        <v>18.555555555555554</v>
      </c>
      <c r="Q92" s="9">
        <f t="shared" si="26"/>
        <v>0.75</v>
      </c>
      <c r="R92" s="140" t="str">
        <f t="shared" si="27"/>
        <v/>
      </c>
      <c r="S92" s="24">
        <f t="shared" si="28"/>
        <v>0</v>
      </c>
      <c r="T92" s="140">
        <f t="shared" si="29"/>
        <v>19.433333333333334</v>
      </c>
      <c r="U92" s="150">
        <f t="shared" si="30"/>
        <v>1</v>
      </c>
      <c r="V92" s="141" t="str">
        <f t="shared" si="31"/>
        <v>-</v>
      </c>
      <c r="W92" s="142">
        <f t="shared" si="32"/>
        <v>0.75</v>
      </c>
      <c r="X92" s="144">
        <f t="shared" ca="1" si="22"/>
        <v>18.2</v>
      </c>
      <c r="Y92" s="144">
        <f t="shared" ca="1" si="23"/>
        <v>21.153333333333332</v>
      </c>
      <c r="Z92" s="144">
        <f t="shared" ca="1" si="24"/>
        <v>25.072727272727274</v>
      </c>
      <c r="AA92" s="10"/>
      <c r="AB92" s="357" t="str">
        <f>VLOOKUP($B92,'2007-2020 Metadata'!$A$4:$S$214,MATCH("Urban Area /Monitoring Zone",'2007-2020 Metadata'!$A$4:$S$4,0),FALSE)</f>
        <v>Palmerston North</v>
      </c>
      <c r="AC92" s="87" t="str">
        <f>VLOOKUP(B92,'2007-2020 Metadata'!$A$6:$A$214,1,FALSE)</f>
        <v>WAN007</v>
      </c>
      <c r="AD92" s="230" t="str">
        <f>VLOOKUP($AC92,'2007-2020 Metadata'!$A$6:$S$214,9,FALSE)</f>
        <v>Palmerston North</v>
      </c>
      <c r="AE92" s="248">
        <f>IF(ISBLANK(VLOOKUP($AC92,'2007-2020 Metadata'!$A$6:$S$214,19,FALSE)),"",VLOOKUP($AC92,'2007-2020 Metadata'!$A$6:$S$214,19,FALSE))</f>
        <v>2.5</v>
      </c>
      <c r="AF92" s="88" t="str">
        <f>VLOOKUP($B92,'2007-2020 Metadata'!$A$4:$S$214,MATCH("Site type",'2007-2020 Metadata'!$A$4:$S$4,0),FALSE)</f>
        <v>Local</v>
      </c>
      <c r="AG92" s="143">
        <f t="shared" si="33"/>
        <v>11.2</v>
      </c>
      <c r="AH92" s="143">
        <f t="shared" si="34"/>
        <v>28.5</v>
      </c>
      <c r="AI92" s="144">
        <f t="shared" ca="1" si="35"/>
        <v>25.072727272727274</v>
      </c>
    </row>
    <row r="93" spans="2:35" ht="12" customHeight="1" x14ac:dyDescent="0.15">
      <c r="B93" s="11" t="s">
        <v>112</v>
      </c>
      <c r="C93" s="29" t="str">
        <f>IF(ISBLANK(VLOOKUP($B93,'Monthly Summary 2009'!$B$7:$Q$106,14,FALSE)),"",IF(ISERROR(VLOOKUP(B93,'Monthly Summary 2009'!$B$7:$Q$106,14,FALSE)),"",VLOOKUP(B93,'Monthly Summary 2009'!$B$7:$Q$106,14,FALSE)))</f>
        <v/>
      </c>
      <c r="D93" s="7"/>
      <c r="E93" s="7"/>
      <c r="F93" s="7"/>
      <c r="G93" s="7">
        <v>18.899999999999999</v>
      </c>
      <c r="H93" s="7"/>
      <c r="I93" s="7">
        <v>17.100000000000001</v>
      </c>
      <c r="J93" s="7">
        <v>18.2</v>
      </c>
      <c r="K93" s="7">
        <v>16.600000000000001</v>
      </c>
      <c r="L93" s="7">
        <v>16.399999999999999</v>
      </c>
      <c r="M93" s="7">
        <v>11.2</v>
      </c>
      <c r="N93" s="7">
        <v>9.1</v>
      </c>
      <c r="O93" s="7">
        <v>10</v>
      </c>
      <c r="P93" s="8">
        <f t="shared" si="25"/>
        <v>14.687500000000002</v>
      </c>
      <c r="Q93" s="22">
        <f t="shared" si="26"/>
        <v>0.66666666666666663</v>
      </c>
      <c r="R93" s="140" t="str">
        <f t="shared" si="27"/>
        <v/>
      </c>
      <c r="S93" s="24">
        <f t="shared" si="28"/>
        <v>0</v>
      </c>
      <c r="T93" s="140">
        <f t="shared" si="29"/>
        <v>17.066666666666666</v>
      </c>
      <c r="U93" s="150">
        <f t="shared" si="30"/>
        <v>1</v>
      </c>
      <c r="V93" s="141" t="str">
        <f t="shared" si="31"/>
        <v>-</v>
      </c>
      <c r="W93" s="142">
        <f t="shared" si="32"/>
        <v>0.66666666666666663</v>
      </c>
      <c r="X93" s="144">
        <f t="shared" ca="1" si="22"/>
        <v>18.2</v>
      </c>
      <c r="Y93" s="144">
        <f t="shared" ca="1" si="23"/>
        <v>21.153333333333332</v>
      </c>
      <c r="Z93" s="144">
        <f t="shared" ca="1" si="24"/>
        <v>25.072727272727274</v>
      </c>
      <c r="AA93" s="10"/>
      <c r="AB93" s="357" t="str">
        <f>VLOOKUP($B93,'2007-2020 Metadata'!$A$4:$S$214,MATCH("Urban Area /Monitoring Zone",'2007-2020 Metadata'!$A$4:$S$4,0),FALSE)</f>
        <v>Palmerston North</v>
      </c>
      <c r="AC93" s="87" t="str">
        <f>VLOOKUP(B93,'2007-2020 Metadata'!$A$6:$A$214,1,FALSE)</f>
        <v>WAN008</v>
      </c>
      <c r="AD93" s="230" t="str">
        <f>VLOOKUP($AC93,'2007-2020 Metadata'!$A$6:$S$214,9,FALSE)</f>
        <v>Palmerston North</v>
      </c>
      <c r="AE93" s="248">
        <f>IF(ISBLANK(VLOOKUP($AC93,'2007-2020 Metadata'!$A$6:$S$214,19,FALSE)),"",VLOOKUP($AC93,'2007-2020 Metadata'!$A$6:$S$214,19,FALSE))</f>
        <v>2.5</v>
      </c>
      <c r="AF93" s="88" t="str">
        <f>VLOOKUP($B93,'2007-2020 Metadata'!$A$4:$S$214,MATCH("Site type",'2007-2020 Metadata'!$A$4:$S$4,0),FALSE)</f>
        <v>Background</v>
      </c>
      <c r="AG93" s="143">
        <f t="shared" si="33"/>
        <v>9.1</v>
      </c>
      <c r="AH93" s="143">
        <f t="shared" si="34"/>
        <v>18.899999999999999</v>
      </c>
      <c r="AI93" s="144" t="str">
        <f t="shared" si="35"/>
        <v xml:space="preserve"> </v>
      </c>
    </row>
    <row r="94" spans="2:35" ht="12" customHeight="1" x14ac:dyDescent="0.15">
      <c r="B94" s="11" t="s">
        <v>113</v>
      </c>
      <c r="C94" s="29" t="str">
        <f>IF(ISBLANK(VLOOKUP($B94,'Monthly Summary 2009'!$B$7:$Q$106,14,FALSE)),"",IF(ISERROR(VLOOKUP(B94,'Monthly Summary 2009'!$B$7:$Q$106,14,FALSE)),"",VLOOKUP(B94,'Monthly Summary 2009'!$B$7:$Q$106,14,FALSE)))</f>
        <v/>
      </c>
      <c r="D94" s="7"/>
      <c r="E94" s="7"/>
      <c r="F94" s="7"/>
      <c r="G94" s="7">
        <v>9.1999999999999993</v>
      </c>
      <c r="H94" s="7">
        <v>10</v>
      </c>
      <c r="I94" s="7">
        <v>10.8</v>
      </c>
      <c r="J94" s="7">
        <v>12.8</v>
      </c>
      <c r="K94" s="7"/>
      <c r="L94" s="7">
        <v>7.6</v>
      </c>
      <c r="M94" s="7">
        <v>5.0999999999999996</v>
      </c>
      <c r="N94" s="7">
        <v>7.5</v>
      </c>
      <c r="O94" s="7">
        <v>5.0999999999999996</v>
      </c>
      <c r="P94" s="8">
        <f t="shared" si="25"/>
        <v>8.5124999999999993</v>
      </c>
      <c r="Q94" s="22">
        <f t="shared" si="26"/>
        <v>0.66666666666666663</v>
      </c>
      <c r="R94" s="140" t="str">
        <f t="shared" si="27"/>
        <v/>
      </c>
      <c r="S94" s="24">
        <f t="shared" si="28"/>
        <v>0</v>
      </c>
      <c r="T94" s="140">
        <f t="shared" si="29"/>
        <v>10.199999999999999</v>
      </c>
      <c r="U94" s="150">
        <f t="shared" si="30"/>
        <v>0.66666666666666663</v>
      </c>
      <c r="V94" s="141" t="str">
        <f t="shared" si="31"/>
        <v>-</v>
      </c>
      <c r="W94" s="142">
        <f t="shared" si="32"/>
        <v>0.66666666666666663</v>
      </c>
      <c r="X94" s="144">
        <f t="shared" ca="1" si="22"/>
        <v>19.55</v>
      </c>
      <c r="Y94" s="144">
        <f t="shared" ca="1" si="23"/>
        <v>17.700000000000003</v>
      </c>
      <c r="Z94" s="144">
        <f t="shared" ca="1" si="24"/>
        <v>21.03</v>
      </c>
      <c r="AA94" s="10"/>
      <c r="AB94" s="357" t="str">
        <f>VLOOKUP($B94,'2007-2020 Metadata'!$A$4:$S$214,MATCH("Urban Area /Monitoring Zone",'2007-2020 Metadata'!$A$4:$S$4,0),FALSE)</f>
        <v>New Plymouth</v>
      </c>
      <c r="AC94" s="87" t="str">
        <f>VLOOKUP(B94,'2007-2020 Metadata'!$A$6:$A$214,1,FALSE)</f>
        <v>WAN009</v>
      </c>
      <c r="AD94" s="230" t="str">
        <f>VLOOKUP($AC94,'2007-2020 Metadata'!$A$6:$S$214,9,FALSE)</f>
        <v>New Plymouth</v>
      </c>
      <c r="AE94" s="248">
        <f>IF(ISBLANK(VLOOKUP($AC94,'2007-2020 Metadata'!$A$6:$S$214,19,FALSE)),"",VLOOKUP($AC94,'2007-2020 Metadata'!$A$6:$S$214,19,FALSE))</f>
        <v>2.5</v>
      </c>
      <c r="AF94" s="88" t="str">
        <f>VLOOKUP($B94,'2007-2020 Metadata'!$A$4:$S$214,MATCH("Site type",'2007-2020 Metadata'!$A$4:$S$4,0),FALSE)</f>
        <v>Background</v>
      </c>
      <c r="AG94" s="143">
        <f t="shared" si="33"/>
        <v>5.0999999999999996</v>
      </c>
      <c r="AH94" s="143">
        <f t="shared" si="34"/>
        <v>12.8</v>
      </c>
      <c r="AI94" s="144" t="str">
        <f t="shared" si="35"/>
        <v xml:space="preserve"> </v>
      </c>
    </row>
    <row r="95" spans="2:35" ht="12" customHeight="1" x14ac:dyDescent="0.15">
      <c r="B95" s="11" t="s">
        <v>114</v>
      </c>
      <c r="C95" s="29">
        <f>IF(ISBLANK(VLOOKUP($B95,'Monthly Summary 2009'!$B$7:$Q$106,14,FALSE)),"",IF(ISERROR(VLOOKUP(B95,'Monthly Summary 2009'!$B$7:$Q$106,14,FALSE)),"",VLOOKUP(B95,'Monthly Summary 2009'!$B$7:$Q$106,14,FALSE)))</f>
        <v>10.5</v>
      </c>
      <c r="D95" s="7">
        <v>20</v>
      </c>
      <c r="E95" s="7">
        <v>19.3</v>
      </c>
      <c r="F95" s="7">
        <v>18.100000000000001</v>
      </c>
      <c r="G95" s="7">
        <v>23.8</v>
      </c>
      <c r="H95" s="7">
        <v>30.8</v>
      </c>
      <c r="I95" s="7">
        <v>29.7</v>
      </c>
      <c r="J95" s="7">
        <v>28.3</v>
      </c>
      <c r="K95" s="7">
        <v>27.6</v>
      </c>
      <c r="L95" s="7">
        <v>22.3</v>
      </c>
      <c r="M95" s="7">
        <v>19.2</v>
      </c>
      <c r="N95" s="7">
        <v>20</v>
      </c>
      <c r="O95" s="7">
        <v>13.6</v>
      </c>
      <c r="P95" s="8">
        <f t="shared" si="25"/>
        <v>22.725000000000005</v>
      </c>
      <c r="Q95" s="9">
        <f t="shared" si="26"/>
        <v>1</v>
      </c>
      <c r="R95" s="140">
        <f t="shared" si="27"/>
        <v>19.133333333333333</v>
      </c>
      <c r="S95" s="24">
        <f t="shared" si="28"/>
        <v>1</v>
      </c>
      <c r="T95" s="140">
        <f t="shared" si="29"/>
        <v>26.066666666666666</v>
      </c>
      <c r="U95" s="150">
        <f t="shared" si="30"/>
        <v>1</v>
      </c>
      <c r="V95" s="141">
        <f t="shared" si="31"/>
        <v>22.725000000000005</v>
      </c>
      <c r="W95" s="142">
        <f t="shared" si="32"/>
        <v>1</v>
      </c>
      <c r="X95" s="144">
        <f t="shared" ca="1" si="22"/>
        <v>19.133333333333333</v>
      </c>
      <c r="Y95" s="144">
        <f t="shared" ca="1" si="23"/>
        <v>26.066666666666666</v>
      </c>
      <c r="Z95" s="144">
        <f t="shared" ca="1" si="24"/>
        <v>22.725000000000005</v>
      </c>
      <c r="AA95" s="10"/>
      <c r="AB95" s="357" t="str">
        <f>VLOOKUP($B95,'2007-2020 Metadata'!$A$4:$S$214,MATCH("Urban Area /Monitoring Zone",'2007-2020 Metadata'!$A$4:$S$4,0),FALSE)</f>
        <v>Whanganui</v>
      </c>
      <c r="AC95" s="87" t="str">
        <f>VLOOKUP(B95,'2007-2020 Metadata'!$A$6:$A$214,1,FALSE)</f>
        <v>WAN010</v>
      </c>
      <c r="AD95" s="230" t="str">
        <f>VLOOKUP($AC95,'2007-2020 Metadata'!$A$6:$S$214,9,FALSE)</f>
        <v>Whanganui</v>
      </c>
      <c r="AE95" s="248">
        <f>IF(ISBLANK(VLOOKUP($AC95,'2007-2020 Metadata'!$A$6:$S$214,19,FALSE)),"",VLOOKUP($AC95,'2007-2020 Metadata'!$A$6:$S$214,19,FALSE))</f>
        <v>3</v>
      </c>
      <c r="AF95" s="88" t="str">
        <f>VLOOKUP($B95,'2007-2020 Metadata'!$A$4:$S$214,MATCH("Site type",'2007-2020 Metadata'!$A$4:$S$4,0),FALSE)</f>
        <v>SH</v>
      </c>
      <c r="AG95" s="143">
        <f t="shared" si="33"/>
        <v>13.6</v>
      </c>
      <c r="AH95" s="143">
        <f t="shared" si="34"/>
        <v>30.8</v>
      </c>
      <c r="AI95" s="144">
        <f t="shared" ca="1" si="35"/>
        <v>22.725000000000005</v>
      </c>
    </row>
    <row r="96" spans="2:35" ht="12" customHeight="1" x14ac:dyDescent="0.15">
      <c r="B96" s="11" t="s">
        <v>49</v>
      </c>
      <c r="C96" s="29">
        <f>IF(ISBLANK(VLOOKUP($B96,'Monthly Summary 2009'!$B$7:$Q$106,14,FALSE)),"",IF(ISERROR(VLOOKUP(B96,'Monthly Summary 2009'!$B$7:$Q$106,14,FALSE)),"",VLOOKUP(B96,'Monthly Summary 2009'!$B$7:$Q$106,14,FALSE)))</f>
        <v>14.8</v>
      </c>
      <c r="D96" s="7">
        <v>17.3</v>
      </c>
      <c r="E96" s="7">
        <v>22.1</v>
      </c>
      <c r="F96" s="7">
        <v>23.5</v>
      </c>
      <c r="G96" s="7">
        <v>34.799999999999997</v>
      </c>
      <c r="H96" s="7">
        <v>40.299999999999997</v>
      </c>
      <c r="I96" s="7"/>
      <c r="J96" s="7">
        <v>36.5</v>
      </c>
      <c r="K96" s="7">
        <v>33.5</v>
      </c>
      <c r="L96" s="7">
        <v>23.9</v>
      </c>
      <c r="M96" s="7">
        <v>18.3</v>
      </c>
      <c r="N96" s="7">
        <v>21.7</v>
      </c>
      <c r="O96" s="7">
        <v>15.4</v>
      </c>
      <c r="P96" s="8">
        <f t="shared" si="25"/>
        <v>26.118181818181821</v>
      </c>
      <c r="Q96" s="9">
        <f t="shared" si="26"/>
        <v>0.91666666666666663</v>
      </c>
      <c r="R96" s="140">
        <f t="shared" si="27"/>
        <v>20.966666666666669</v>
      </c>
      <c r="S96" s="24">
        <f t="shared" si="28"/>
        <v>1</v>
      </c>
      <c r="T96" s="140">
        <f t="shared" si="29"/>
        <v>31.3</v>
      </c>
      <c r="U96" s="150">
        <f t="shared" si="30"/>
        <v>1</v>
      </c>
      <c r="V96" s="141">
        <f t="shared" si="31"/>
        <v>26.118181818181821</v>
      </c>
      <c r="W96" s="142">
        <f t="shared" si="32"/>
        <v>0.91666666666666663</v>
      </c>
      <c r="X96" s="144">
        <f t="shared" ca="1" si="22"/>
        <v>16.383333333333333</v>
      </c>
      <c r="Y96" s="144">
        <f t="shared" ca="1" si="23"/>
        <v>21.771428571428569</v>
      </c>
      <c r="Z96" s="144">
        <f t="shared" ca="1" si="24"/>
        <v>19.125216450216453</v>
      </c>
      <c r="AA96" s="10"/>
      <c r="AB96" s="357" t="str">
        <f>VLOOKUP($B96,'2007-2020 Metadata'!$A$4:$S$214,MATCH("Urban Area /Monitoring Zone",'2007-2020 Metadata'!$A$4:$S$4,0),FALSE)</f>
        <v>Lower Hutt</v>
      </c>
      <c r="AC96" s="87" t="str">
        <f>VLOOKUP(B96,'2007-2020 Metadata'!$A$6:$A$214,1,FALSE)</f>
        <v>WEL002</v>
      </c>
      <c r="AD96" s="230" t="str">
        <f>VLOOKUP($AC96,'2007-2020 Metadata'!$A$6:$S$214,9,FALSE)</f>
        <v>Lower Hutt</v>
      </c>
      <c r="AE96" s="248">
        <f>IF(ISBLANK(VLOOKUP($AC96,'2007-2020 Metadata'!$A$6:$S$214,19,FALSE)),"",VLOOKUP($AC96,'2007-2020 Metadata'!$A$6:$S$214,19,FALSE))</f>
        <v>3.2</v>
      </c>
      <c r="AF96" s="88" t="str">
        <f>VLOOKUP($B96,'2007-2020 Metadata'!$A$4:$S$214,MATCH("Site type",'2007-2020 Metadata'!$A$4:$S$4,0),FALSE)</f>
        <v>SH</v>
      </c>
      <c r="AG96" s="143">
        <f t="shared" si="33"/>
        <v>15.4</v>
      </c>
      <c r="AH96" s="143">
        <f t="shared" si="34"/>
        <v>40.299999999999997</v>
      </c>
      <c r="AI96" s="144">
        <f t="shared" ca="1" si="35"/>
        <v>19.125216450216453</v>
      </c>
    </row>
    <row r="97" spans="2:35" ht="12" customHeight="1" x14ac:dyDescent="0.15">
      <c r="B97" s="11" t="s">
        <v>50</v>
      </c>
      <c r="C97" s="29">
        <f>IF(ISBLANK(VLOOKUP($B97,'Monthly Summary 2009'!$B$7:$Q$106,14,FALSE)),"",IF(ISERROR(VLOOKUP(B97,'Monthly Summary 2009'!$B$7:$Q$106,14,FALSE)),"",VLOOKUP(B97,'Monthly Summary 2009'!$B$7:$Q$106,14,FALSE)))</f>
        <v>5.4</v>
      </c>
      <c r="D97" s="7">
        <v>12.9</v>
      </c>
      <c r="E97" s="7">
        <v>11.1</v>
      </c>
      <c r="F97" s="7">
        <v>11.4</v>
      </c>
      <c r="G97" s="7">
        <v>17.5</v>
      </c>
      <c r="H97" s="7">
        <v>23.1</v>
      </c>
      <c r="I97" s="7">
        <v>27</v>
      </c>
      <c r="J97" s="7">
        <v>27.7</v>
      </c>
      <c r="K97" s="7">
        <v>17.100000000000001</v>
      </c>
      <c r="L97" s="7">
        <v>11.7</v>
      </c>
      <c r="M97" s="7">
        <v>10.199999999999999</v>
      </c>
      <c r="N97" s="7">
        <v>11.6</v>
      </c>
      <c r="O97" s="7">
        <v>7.2</v>
      </c>
      <c r="P97" s="8">
        <f t="shared" si="25"/>
        <v>15.708333333333329</v>
      </c>
      <c r="Q97" s="9">
        <f t="shared" si="26"/>
        <v>1</v>
      </c>
      <c r="R97" s="140">
        <f t="shared" si="27"/>
        <v>11.799999999999999</v>
      </c>
      <c r="S97" s="24">
        <f t="shared" si="28"/>
        <v>1</v>
      </c>
      <c r="T97" s="140">
        <f t="shared" si="29"/>
        <v>18.833333333333332</v>
      </c>
      <c r="U97" s="150">
        <f t="shared" si="30"/>
        <v>1</v>
      </c>
      <c r="V97" s="141">
        <f t="shared" si="31"/>
        <v>15.708333333333329</v>
      </c>
      <c r="W97" s="142">
        <f t="shared" si="32"/>
        <v>1</v>
      </c>
      <c r="X97" s="144">
        <f t="shared" ca="1" si="22"/>
        <v>16.383333333333333</v>
      </c>
      <c r="Y97" s="144">
        <f t="shared" ca="1" si="23"/>
        <v>21.771428571428569</v>
      </c>
      <c r="Z97" s="144">
        <f t="shared" ca="1" si="24"/>
        <v>19.125216450216453</v>
      </c>
      <c r="AA97" s="10"/>
      <c r="AB97" s="357" t="str">
        <f>VLOOKUP($B97,'2007-2020 Metadata'!$A$4:$S$214,MATCH("Urban Area /Monitoring Zone",'2007-2020 Metadata'!$A$4:$S$4,0),FALSE)</f>
        <v>Lower Hutt</v>
      </c>
      <c r="AC97" s="87" t="str">
        <f>VLOOKUP(B97,'2007-2020 Metadata'!$A$6:$A$214,1,FALSE)</f>
        <v>WEL003</v>
      </c>
      <c r="AD97" s="230" t="str">
        <f>VLOOKUP($AC97,'2007-2020 Metadata'!$A$6:$S$214,9,FALSE)</f>
        <v>Lower Hutt</v>
      </c>
      <c r="AE97" s="248">
        <f>IF(ISBLANK(VLOOKUP($AC97,'2007-2020 Metadata'!$A$6:$S$214,19,FALSE)),"",VLOOKUP($AC97,'2007-2020 Metadata'!$A$6:$S$214,19,FALSE))</f>
        <v>3.3</v>
      </c>
      <c r="AF97" s="88" t="str">
        <f>VLOOKUP($B97,'2007-2020 Metadata'!$A$4:$S$214,MATCH("Site type",'2007-2020 Metadata'!$A$4:$S$4,0),FALSE)</f>
        <v>SH</v>
      </c>
      <c r="AG97" s="143">
        <f t="shared" si="33"/>
        <v>7.2</v>
      </c>
      <c r="AH97" s="143">
        <f t="shared" si="34"/>
        <v>27.7</v>
      </c>
      <c r="AI97" s="144">
        <f t="shared" ca="1" si="35"/>
        <v>19.125216450216453</v>
      </c>
    </row>
    <row r="98" spans="2:35" ht="12" customHeight="1" x14ac:dyDescent="0.15">
      <c r="B98" s="11" t="s">
        <v>52</v>
      </c>
      <c r="C98" s="29">
        <f>IF(ISBLANK(VLOOKUP($B98,'Monthly Summary 2009'!$B$7:$Q$106,14,FALSE)),"",IF(ISERROR(VLOOKUP(B98,'Monthly Summary 2009'!$B$7:$Q$106,14,FALSE)),"",VLOOKUP(B98,'Monthly Summary 2009'!$B$7:$Q$106,14,FALSE)))</f>
        <v>11.8</v>
      </c>
      <c r="D98" s="7">
        <v>13.5</v>
      </c>
      <c r="E98" s="7">
        <v>20.2</v>
      </c>
      <c r="F98" s="7"/>
      <c r="G98" s="7">
        <v>20.5</v>
      </c>
      <c r="H98" s="7">
        <v>28.3</v>
      </c>
      <c r="I98" s="7">
        <v>25</v>
      </c>
      <c r="J98" s="7">
        <v>27.5</v>
      </c>
      <c r="K98" s="7">
        <v>26.3</v>
      </c>
      <c r="L98" s="7">
        <v>22.1</v>
      </c>
      <c r="M98" s="7">
        <v>15.6</v>
      </c>
      <c r="N98" s="7">
        <v>17.100000000000001</v>
      </c>
      <c r="O98" s="7">
        <v>6.1</v>
      </c>
      <c r="P98" s="8">
        <f t="shared" si="25"/>
        <v>20.2</v>
      </c>
      <c r="Q98" s="9">
        <f t="shared" si="26"/>
        <v>0.91666666666666663</v>
      </c>
      <c r="R98" s="140">
        <f t="shared" si="27"/>
        <v>16.850000000000001</v>
      </c>
      <c r="S98" s="24">
        <f t="shared" si="28"/>
        <v>0.66666666666666663</v>
      </c>
      <c r="T98" s="140">
        <f t="shared" si="29"/>
        <v>25.3</v>
      </c>
      <c r="U98" s="150">
        <f t="shared" si="30"/>
        <v>1</v>
      </c>
      <c r="V98" s="141">
        <f t="shared" si="31"/>
        <v>20.2</v>
      </c>
      <c r="W98" s="142">
        <f t="shared" si="32"/>
        <v>0.91666666666666663</v>
      </c>
      <c r="X98" s="144">
        <f t="shared" ca="1" si="22"/>
        <v>16.850000000000001</v>
      </c>
      <c r="Y98" s="144">
        <f t="shared" ca="1" si="23"/>
        <v>25.3</v>
      </c>
      <c r="Z98" s="144">
        <f t="shared" ca="1" si="24"/>
        <v>20.2</v>
      </c>
      <c r="AA98" s="10"/>
      <c r="AB98" s="357" t="str">
        <f>VLOOKUP($B98,'2007-2020 Metadata'!$A$4:$S$214,MATCH("Urban Area /Monitoring Zone",'2007-2020 Metadata'!$A$4:$S$4,0),FALSE)</f>
        <v>Porirua</v>
      </c>
      <c r="AC98" s="87" t="str">
        <f>VLOOKUP(B98,'2007-2020 Metadata'!$A$6:$A$214,1,FALSE)</f>
        <v>WEL005</v>
      </c>
      <c r="AD98" s="230" t="str">
        <f>VLOOKUP($AC98,'2007-2020 Metadata'!$A$6:$S$214,9,FALSE)</f>
        <v>Porirua</v>
      </c>
      <c r="AE98" s="248">
        <f>IF(ISBLANK(VLOOKUP($AC98,'2007-2020 Metadata'!$A$6:$S$214,19,FALSE)),"",VLOOKUP($AC98,'2007-2020 Metadata'!$A$6:$S$214,19,FALSE))</f>
        <v>3.2</v>
      </c>
      <c r="AF98" s="88" t="str">
        <f>VLOOKUP($B98,'2007-2020 Metadata'!$A$4:$S$214,MATCH("Site type",'2007-2020 Metadata'!$A$4:$S$4,0),FALSE)</f>
        <v>SH</v>
      </c>
      <c r="AG98" s="143">
        <f t="shared" si="33"/>
        <v>6.1</v>
      </c>
      <c r="AH98" s="143">
        <f t="shared" si="34"/>
        <v>28.3</v>
      </c>
      <c r="AI98" s="144">
        <f t="shared" ca="1" si="35"/>
        <v>20.2</v>
      </c>
    </row>
    <row r="99" spans="2:35" ht="12" customHeight="1" x14ac:dyDescent="0.15">
      <c r="B99" s="11" t="s">
        <v>53</v>
      </c>
      <c r="C99" s="29">
        <f>IF(ISBLANK(VLOOKUP($B99,'Monthly Summary 2009'!$B$7:$Q$106,14,FALSE)),"",IF(ISERROR(VLOOKUP(B99,'Monthly Summary 2009'!$B$7:$Q$106,14,FALSE)),"",VLOOKUP(B99,'Monthly Summary 2009'!$B$7:$Q$106,14,FALSE)))</f>
        <v>10.3</v>
      </c>
      <c r="D99" s="7">
        <v>20</v>
      </c>
      <c r="E99" s="7">
        <v>15.7</v>
      </c>
      <c r="F99" s="7">
        <v>16.7</v>
      </c>
      <c r="G99" s="7">
        <v>17.5</v>
      </c>
      <c r="H99" s="7">
        <v>25.9</v>
      </c>
      <c r="I99" s="7">
        <v>29.8</v>
      </c>
      <c r="J99" s="7">
        <v>27.6</v>
      </c>
      <c r="K99" s="7">
        <v>23.4</v>
      </c>
      <c r="L99" s="7">
        <v>13.8</v>
      </c>
      <c r="M99" s="7">
        <v>20.3</v>
      </c>
      <c r="N99" s="7">
        <v>15.4</v>
      </c>
      <c r="O99" s="7">
        <v>12.6</v>
      </c>
      <c r="P99" s="8">
        <f t="shared" si="25"/>
        <v>19.891666666666669</v>
      </c>
      <c r="Q99" s="9">
        <f t="shared" si="26"/>
        <v>1</v>
      </c>
      <c r="R99" s="140">
        <f t="shared" si="27"/>
        <v>17.466666666666669</v>
      </c>
      <c r="S99" s="24">
        <f t="shared" si="28"/>
        <v>1</v>
      </c>
      <c r="T99" s="140">
        <f t="shared" si="29"/>
        <v>21.599999999999998</v>
      </c>
      <c r="U99" s="150">
        <f t="shared" si="30"/>
        <v>1</v>
      </c>
      <c r="V99" s="141">
        <f t="shared" si="31"/>
        <v>19.891666666666669</v>
      </c>
      <c r="W99" s="142">
        <f t="shared" si="32"/>
        <v>1</v>
      </c>
      <c r="X99" s="144">
        <f t="shared" ca="1" si="22"/>
        <v>21.099999999999998</v>
      </c>
      <c r="Y99" s="144">
        <f t="shared" ca="1" si="23"/>
        <v>26.984848484848484</v>
      </c>
      <c r="Z99" s="144">
        <f t="shared" ca="1" si="24"/>
        <v>24.066515151515151</v>
      </c>
      <c r="AA99" s="10"/>
      <c r="AB99" s="357" t="str">
        <f>VLOOKUP($B99,'2007-2020 Metadata'!$A$4:$S$214,MATCH("Urban Area /Monitoring Zone",'2007-2020 Metadata'!$A$4:$S$4,0),FALSE)</f>
        <v>Wellington</v>
      </c>
      <c r="AC99" s="87" t="str">
        <f>VLOOKUP(B99,'2007-2020 Metadata'!$A$6:$A$214,1,FALSE)</f>
        <v>WEL007</v>
      </c>
      <c r="AD99" s="230" t="str">
        <f>VLOOKUP($AC99,'2007-2020 Metadata'!$A$6:$S$214,9,FALSE)</f>
        <v>Wellington</v>
      </c>
      <c r="AE99" s="248">
        <f>IF(ISBLANK(VLOOKUP($AC99,'2007-2020 Metadata'!$A$6:$S$214,19,FALSE)),"",VLOOKUP($AC99,'2007-2020 Metadata'!$A$6:$S$214,19,FALSE))</f>
        <v>1</v>
      </c>
      <c r="AF99" s="88" t="str">
        <f>VLOOKUP($B99,'2007-2020 Metadata'!$A$4:$S$214,MATCH("Site type",'2007-2020 Metadata'!$A$4:$S$4,0),FALSE)</f>
        <v>SH</v>
      </c>
      <c r="AG99" s="143">
        <f t="shared" si="33"/>
        <v>12.6</v>
      </c>
      <c r="AH99" s="143">
        <f t="shared" si="34"/>
        <v>29.8</v>
      </c>
      <c r="AI99" s="144">
        <f t="shared" ca="1" si="35"/>
        <v>24.066515151515151</v>
      </c>
    </row>
    <row r="100" spans="2:35" ht="12" customHeight="1" x14ac:dyDescent="0.15">
      <c r="B100" s="11" t="s">
        <v>54</v>
      </c>
      <c r="C100" s="29">
        <f>IF(ISBLANK(VLOOKUP($B100,'Monthly Summary 2009'!$B$7:$Q$106,14,FALSE)),"",IF(ISERROR(VLOOKUP(B100,'Monthly Summary 2009'!$B$7:$Q$106,14,FALSE)),"",VLOOKUP(B100,'Monthly Summary 2009'!$B$7:$Q$106,14,FALSE)))</f>
        <v>16.5</v>
      </c>
      <c r="D100" s="7">
        <v>29</v>
      </c>
      <c r="E100" s="7">
        <v>32.1</v>
      </c>
      <c r="F100" s="7">
        <v>32.1</v>
      </c>
      <c r="G100" s="7">
        <v>35.9</v>
      </c>
      <c r="H100" s="7">
        <v>37.4</v>
      </c>
      <c r="I100" s="7">
        <v>50.3</v>
      </c>
      <c r="J100" s="7">
        <v>48.1</v>
      </c>
      <c r="K100" s="7">
        <v>39.4</v>
      </c>
      <c r="L100" s="7">
        <v>33.799999999999997</v>
      </c>
      <c r="M100" s="7">
        <v>29.3</v>
      </c>
      <c r="N100" s="7">
        <v>28.7</v>
      </c>
      <c r="O100" s="7">
        <v>29.6</v>
      </c>
      <c r="P100" s="8">
        <f t="shared" si="25"/>
        <v>35.475000000000001</v>
      </c>
      <c r="Q100" s="9">
        <f t="shared" si="26"/>
        <v>1</v>
      </c>
      <c r="R100" s="140">
        <f t="shared" si="27"/>
        <v>31.066666666666666</v>
      </c>
      <c r="S100" s="24">
        <f t="shared" si="28"/>
        <v>1</v>
      </c>
      <c r="T100" s="140">
        <f t="shared" si="29"/>
        <v>40.43333333333333</v>
      </c>
      <c r="U100" s="150">
        <f t="shared" si="30"/>
        <v>1</v>
      </c>
      <c r="V100" s="141">
        <f t="shared" si="31"/>
        <v>35.475000000000001</v>
      </c>
      <c r="W100" s="142">
        <f t="shared" si="32"/>
        <v>1</v>
      </c>
      <c r="X100" s="144">
        <f t="shared" ca="1" si="22"/>
        <v>21.099999999999998</v>
      </c>
      <c r="Y100" s="144">
        <f t="shared" ca="1" si="23"/>
        <v>26.984848484848484</v>
      </c>
      <c r="Z100" s="144">
        <f t="shared" ca="1" si="24"/>
        <v>24.066515151515151</v>
      </c>
      <c r="AA100" s="10"/>
      <c r="AB100" s="357" t="str">
        <f>VLOOKUP($B100,'2007-2020 Metadata'!$A$4:$S$214,MATCH("Urban Area /Monitoring Zone",'2007-2020 Metadata'!$A$4:$S$4,0),FALSE)</f>
        <v>Wellington</v>
      </c>
      <c r="AC100" s="87" t="str">
        <f>VLOOKUP(B100,'2007-2020 Metadata'!$A$6:$A$214,1,FALSE)</f>
        <v>WEL008</v>
      </c>
      <c r="AD100" s="230" t="str">
        <f>VLOOKUP($AC100,'2007-2020 Metadata'!$A$6:$S$214,9,FALSE)</f>
        <v>Wellington</v>
      </c>
      <c r="AE100" s="248">
        <f>IF(ISBLANK(VLOOKUP($AC100,'2007-2020 Metadata'!$A$6:$S$214,19,FALSE)),"",VLOOKUP($AC100,'2007-2020 Metadata'!$A$6:$S$214,19,FALSE))</f>
        <v>3.1</v>
      </c>
      <c r="AF100" s="88" t="str">
        <f>VLOOKUP($B100,'2007-2020 Metadata'!$A$4:$S$214,MATCH("Site type",'2007-2020 Metadata'!$A$4:$S$4,0),FALSE)</f>
        <v>SH</v>
      </c>
      <c r="AG100" s="143">
        <f t="shared" si="33"/>
        <v>28.7</v>
      </c>
      <c r="AH100" s="143">
        <f t="shared" si="34"/>
        <v>50.3</v>
      </c>
      <c r="AI100" s="144">
        <f t="shared" ca="1" si="35"/>
        <v>24.066515151515151</v>
      </c>
    </row>
    <row r="101" spans="2:35" ht="12" customHeight="1" x14ac:dyDescent="0.15">
      <c r="B101" s="11" t="s">
        <v>55</v>
      </c>
      <c r="C101" s="29">
        <f>IF(ISBLANK(VLOOKUP($B101,'Monthly Summary 2009'!$B$7:$Q$106,14,FALSE)),"",IF(ISERROR(VLOOKUP(B101,'Monthly Summary 2009'!$B$7:$Q$106,14,FALSE)),"",VLOOKUP(B101,'Monthly Summary 2009'!$B$7:$Q$106,14,FALSE)))</f>
        <v>11.4</v>
      </c>
      <c r="D101" s="7">
        <v>23.1</v>
      </c>
      <c r="E101" s="7">
        <v>18.399999999999999</v>
      </c>
      <c r="F101" s="7">
        <v>17.100000000000001</v>
      </c>
      <c r="G101" s="7">
        <v>23.3</v>
      </c>
      <c r="H101" s="7">
        <v>29.8</v>
      </c>
      <c r="I101" s="7">
        <v>23.3</v>
      </c>
      <c r="J101" s="7">
        <v>28.8</v>
      </c>
      <c r="K101" s="7">
        <v>25.8</v>
      </c>
      <c r="L101" s="7">
        <v>22.1</v>
      </c>
      <c r="M101" s="7">
        <v>17.5</v>
      </c>
      <c r="N101" s="7">
        <v>21.7</v>
      </c>
      <c r="O101" s="7"/>
      <c r="P101" s="8">
        <f t="shared" si="25"/>
        <v>22.809090909090909</v>
      </c>
      <c r="Q101" s="9">
        <f t="shared" si="26"/>
        <v>0.91666666666666663</v>
      </c>
      <c r="R101" s="140">
        <f t="shared" si="27"/>
        <v>19.533333333333335</v>
      </c>
      <c r="S101" s="24">
        <f t="shared" si="28"/>
        <v>1</v>
      </c>
      <c r="T101" s="140">
        <f t="shared" si="29"/>
        <v>25.566666666666666</v>
      </c>
      <c r="U101" s="150">
        <f t="shared" si="30"/>
        <v>1</v>
      </c>
      <c r="V101" s="141">
        <f t="shared" si="31"/>
        <v>22.809090909090909</v>
      </c>
      <c r="W101" s="142">
        <f t="shared" si="32"/>
        <v>0.91666666666666663</v>
      </c>
      <c r="X101" s="144">
        <f t="shared" ca="1" si="22"/>
        <v>17.766666666666666</v>
      </c>
      <c r="Y101" s="144">
        <f t="shared" ca="1" si="23"/>
        <v>21.75</v>
      </c>
      <c r="Z101" s="144">
        <f t="shared" ca="1" si="24"/>
        <v>20.56818181818182</v>
      </c>
      <c r="AA101" s="10"/>
      <c r="AB101" s="357" t="str">
        <f>VLOOKUP($B101,'2007-2020 Metadata'!$A$4:$S$214,MATCH("Urban Area /Monitoring Zone",'2007-2020 Metadata'!$A$4:$S$4,0),FALSE)</f>
        <v>Nelson</v>
      </c>
      <c r="AC101" s="87" t="str">
        <f>VLOOKUP(B101,'2007-2020 Metadata'!$A$6:$A$214,1,FALSE)</f>
        <v>WEL009</v>
      </c>
      <c r="AD101" s="230" t="str">
        <f>VLOOKUP($AC101,'2007-2020 Metadata'!$A$6:$S$214,9,FALSE)</f>
        <v>Nelson</v>
      </c>
      <c r="AE101" s="248">
        <f>IF(ISBLANK(VLOOKUP($AC101,'2007-2020 Metadata'!$A$6:$S$214,19,FALSE)),"",VLOOKUP($AC101,'2007-2020 Metadata'!$A$6:$S$214,19,FALSE))</f>
        <v>3</v>
      </c>
      <c r="AF101" s="88" t="str">
        <f>VLOOKUP($B101,'2007-2020 Metadata'!$A$4:$S$214,MATCH("Site type",'2007-2020 Metadata'!$A$4:$S$4,0),FALSE)</f>
        <v>SH</v>
      </c>
      <c r="AG101" s="143">
        <f t="shared" si="33"/>
        <v>17.100000000000001</v>
      </c>
      <c r="AH101" s="143">
        <f t="shared" si="34"/>
        <v>29.8</v>
      </c>
      <c r="AI101" s="144">
        <f t="shared" ca="1" si="35"/>
        <v>20.56818181818182</v>
      </c>
    </row>
    <row r="102" spans="2:35" ht="12" customHeight="1" x14ac:dyDescent="0.15">
      <c r="B102" s="11" t="s">
        <v>56</v>
      </c>
      <c r="C102" s="29">
        <f>IF(ISBLANK(VLOOKUP($B102,'Monthly Summary 2009'!$B$7:$Q$106,14,FALSE)),"",IF(ISERROR(VLOOKUP(B102,'Monthly Summary 2009'!$B$7:$Q$106,14,FALSE)),"",VLOOKUP(B102,'Monthly Summary 2009'!$B$7:$Q$106,14,FALSE)))</f>
        <v>7.3</v>
      </c>
      <c r="D102" s="7">
        <v>16.7</v>
      </c>
      <c r="E102" s="7">
        <v>17.899999999999999</v>
      </c>
      <c r="F102" s="7">
        <v>13.4</v>
      </c>
      <c r="G102" s="7">
        <v>14</v>
      </c>
      <c r="H102" s="7">
        <v>28</v>
      </c>
      <c r="I102" s="7">
        <v>26.7</v>
      </c>
      <c r="J102" s="7">
        <v>28.7</v>
      </c>
      <c r="K102" s="7">
        <v>21.6</v>
      </c>
      <c r="L102" s="7"/>
      <c r="M102" s="7">
        <v>9.3000000000000007</v>
      </c>
      <c r="N102" s="7">
        <v>14.3</v>
      </c>
      <c r="O102" s="7">
        <v>11</v>
      </c>
      <c r="P102" s="8">
        <f t="shared" si="25"/>
        <v>18.327272727272728</v>
      </c>
      <c r="Q102" s="9">
        <f t="shared" si="26"/>
        <v>0.91666666666666663</v>
      </c>
      <c r="R102" s="140">
        <f t="shared" si="27"/>
        <v>15.999999999999998</v>
      </c>
      <c r="S102" s="24">
        <f t="shared" si="28"/>
        <v>1</v>
      </c>
      <c r="T102" s="140">
        <f t="shared" si="29"/>
        <v>25.15</v>
      </c>
      <c r="U102" s="150">
        <f t="shared" si="30"/>
        <v>0.66666666666666663</v>
      </c>
      <c r="V102" s="141">
        <f t="shared" si="31"/>
        <v>18.327272727272728</v>
      </c>
      <c r="W102" s="142">
        <f t="shared" si="32"/>
        <v>0.91666666666666663</v>
      </c>
      <c r="X102" s="144">
        <f t="shared" ca="1" si="22"/>
        <v>17.766666666666666</v>
      </c>
      <c r="Y102" s="144">
        <f t="shared" ca="1" si="23"/>
        <v>21.75</v>
      </c>
      <c r="Z102" s="144">
        <f t="shared" ca="1" si="24"/>
        <v>20.56818181818182</v>
      </c>
      <c r="AA102" s="10"/>
      <c r="AB102" s="357" t="str">
        <f>VLOOKUP($B102,'2007-2020 Metadata'!$A$4:$S$214,MATCH("Urban Area /Monitoring Zone",'2007-2020 Metadata'!$A$4:$S$4,0),FALSE)</f>
        <v>Nelson</v>
      </c>
      <c r="AC102" s="87" t="str">
        <f>VLOOKUP(B102,'2007-2020 Metadata'!$A$6:$A$214,1,FALSE)</f>
        <v>WEL010</v>
      </c>
      <c r="AD102" s="230" t="str">
        <f>VLOOKUP($AC102,'2007-2020 Metadata'!$A$6:$S$214,9,FALSE)</f>
        <v>Nelson</v>
      </c>
      <c r="AE102" s="248">
        <f>IF(ISBLANK(VLOOKUP($AC102,'2007-2020 Metadata'!$A$6:$S$214,19,FALSE)),"",VLOOKUP($AC102,'2007-2020 Metadata'!$A$6:$S$214,19,FALSE))</f>
        <v>2.4</v>
      </c>
      <c r="AF102" s="88" t="str">
        <f>VLOOKUP($B102,'2007-2020 Metadata'!$A$4:$S$214,MATCH("Site type",'2007-2020 Metadata'!$A$4:$S$4,0),FALSE)</f>
        <v>SH</v>
      </c>
      <c r="AG102" s="143">
        <f t="shared" si="33"/>
        <v>9.3000000000000007</v>
      </c>
      <c r="AH102" s="143">
        <f t="shared" si="34"/>
        <v>28.7</v>
      </c>
      <c r="AI102" s="144">
        <f t="shared" ca="1" si="35"/>
        <v>20.56818181818182</v>
      </c>
    </row>
    <row r="103" spans="2:35" ht="12" customHeight="1" x14ac:dyDescent="0.15">
      <c r="B103" s="11" t="s">
        <v>57</v>
      </c>
      <c r="C103" s="29">
        <f>IF(ISBLANK(VLOOKUP($B103,'Monthly Summary 2009'!$B$7:$Q$106,14,FALSE)),"",IF(ISERROR(VLOOKUP(B103,'Monthly Summary 2009'!$B$7:$Q$106,14,FALSE)),"",VLOOKUP(B103,'Monthly Summary 2009'!$B$7:$Q$106,14,FALSE)))</f>
        <v>7.6</v>
      </c>
      <c r="D103" s="7">
        <v>12.9</v>
      </c>
      <c r="E103" s="7">
        <v>14</v>
      </c>
      <c r="F103" s="7">
        <v>12.4</v>
      </c>
      <c r="G103" s="7">
        <v>15.8</v>
      </c>
      <c r="H103" s="7">
        <v>22</v>
      </c>
      <c r="I103" s="7">
        <v>18.399999999999999</v>
      </c>
      <c r="J103" s="7">
        <v>22.2</v>
      </c>
      <c r="K103" s="7">
        <v>20</v>
      </c>
      <c r="L103" s="7">
        <v>15.1</v>
      </c>
      <c r="M103" s="7">
        <v>9</v>
      </c>
      <c r="N103" s="7">
        <v>11.9</v>
      </c>
      <c r="O103" s="7">
        <v>7</v>
      </c>
      <c r="P103" s="8">
        <f t="shared" si="25"/>
        <v>15.058333333333332</v>
      </c>
      <c r="Q103" s="9">
        <f t="shared" si="26"/>
        <v>1</v>
      </c>
      <c r="R103" s="140">
        <f t="shared" si="27"/>
        <v>13.1</v>
      </c>
      <c r="S103" s="24">
        <f t="shared" si="28"/>
        <v>1</v>
      </c>
      <c r="T103" s="140">
        <f t="shared" si="29"/>
        <v>19.100000000000001</v>
      </c>
      <c r="U103" s="150">
        <f t="shared" si="30"/>
        <v>1</v>
      </c>
      <c r="V103" s="141">
        <f t="shared" si="31"/>
        <v>15.058333333333332</v>
      </c>
      <c r="W103" s="142">
        <f t="shared" si="32"/>
        <v>1</v>
      </c>
      <c r="X103" s="144">
        <f t="shared" ref="X103:X134" ca="1" si="36">IF(VLOOKUP($B103,$AC$6:$AI$158,3,FALSE)="",$R103,IF(ISERROR(AVERAGEIF($AD$6:$AD$161,VLOOKUP($B103,$AC$6:$AI$158,2,FALSE),$R$6:$R$158)),"",AVERAGEIF($AD$6:$AD$161,VLOOKUP($B103,$AC$6:$AI$158,2,FALSE),$R$6:$R$158)))</f>
        <v>13.1</v>
      </c>
      <c r="Y103" s="144">
        <f t="shared" ref="Y103:Y134" ca="1" si="37">IF(VLOOKUP($B103,$AC$6:$AI$158,3,FALSE)="",$T103,IF(ISERROR(AVERAGEIF($AD$6:$AD$161,VLOOKUP($B103,$AC$6:$AI$158,2,FALSE),$T$6:$T$158)),"",AVERAGEIF($AD$6:$AD$161,VLOOKUP($B103,$AC$6:$AI$158,2,FALSE),$T$6:$T$158)))</f>
        <v>19.100000000000001</v>
      </c>
      <c r="Z103" s="144">
        <f t="shared" ref="Z103:Z134" ca="1" si="38">IF(VLOOKUP($B103,$AC$6:$AI$158,3,FALSE)="",$V103,IF(ISERROR(AVERAGEIF($AD$6:$AD$161,VLOOKUP($B103,$AC$6:$AI$158,2,FALSE),$V$6:$V$158)),"",AVERAGEIF($AD$6:$AD$161,VLOOKUP($B103,$AC$6:$AI$158,2,FALSE),$V$6:$V$158)))</f>
        <v>15.058333333333332</v>
      </c>
      <c r="AA103" s="10"/>
      <c r="AB103" s="357" t="str">
        <f>VLOOKUP($B103,'2007-2020 Metadata'!$A$4:$S$214,MATCH("Urban Area /Monitoring Zone",'2007-2020 Metadata'!$A$4:$S$4,0),FALSE)</f>
        <v>Nelson</v>
      </c>
      <c r="AC103" s="87" t="str">
        <f>VLOOKUP(B103,'2007-2020 Metadata'!$A$6:$A$214,1,FALSE)</f>
        <v>WEL011</v>
      </c>
      <c r="AD103" s="230" t="str">
        <f>VLOOKUP($AC103,'2007-2020 Metadata'!$A$6:$S$214,9,FALSE)</f>
        <v>Tasman</v>
      </c>
      <c r="AE103" s="248">
        <f>IF(ISBLANK(VLOOKUP($AC103,'2007-2020 Metadata'!$A$6:$S$214,19,FALSE)),"",VLOOKUP($AC103,'2007-2020 Metadata'!$A$6:$S$214,19,FALSE))</f>
        <v>2.4</v>
      </c>
      <c r="AF103" s="88" t="str">
        <f>VLOOKUP($B103,'2007-2020 Metadata'!$A$4:$S$214,MATCH("Site type",'2007-2020 Metadata'!$A$4:$S$4,0),FALSE)</f>
        <v>SH</v>
      </c>
      <c r="AG103" s="143">
        <f t="shared" si="33"/>
        <v>7</v>
      </c>
      <c r="AH103" s="143">
        <f t="shared" si="34"/>
        <v>22.2</v>
      </c>
      <c r="AI103" s="144">
        <f t="shared" ca="1" si="35"/>
        <v>15.058333333333332</v>
      </c>
    </row>
    <row r="104" spans="2:35" ht="12" customHeight="1" x14ac:dyDescent="0.15">
      <c r="B104" s="11" t="s">
        <v>58</v>
      </c>
      <c r="C104" s="29">
        <f>IF(ISBLANK(VLOOKUP($B104,'Monthly Summary 2009'!$B$7:$Q$106,14,FALSE)),"",IF(ISERROR(VLOOKUP(B104,'Monthly Summary 2009'!$B$7:$Q$106,14,FALSE)),"",VLOOKUP(B104,'Monthly Summary 2009'!$B$7:$Q$106,14,FALSE)))</f>
        <v>8.6</v>
      </c>
      <c r="D104" s="7">
        <v>12.3</v>
      </c>
      <c r="E104" s="7">
        <v>8.4</v>
      </c>
      <c r="F104" s="7">
        <v>11.4</v>
      </c>
      <c r="G104" s="7">
        <v>14.4</v>
      </c>
      <c r="H104" s="7">
        <v>26.9</v>
      </c>
      <c r="I104" s="7">
        <v>18.5</v>
      </c>
      <c r="J104" s="7">
        <v>21.8</v>
      </c>
      <c r="K104" s="7">
        <v>17.600000000000001</v>
      </c>
      <c r="L104" s="7">
        <v>11.9</v>
      </c>
      <c r="M104" s="7">
        <v>8.6999999999999993</v>
      </c>
      <c r="N104" s="7">
        <v>7.4</v>
      </c>
      <c r="O104" s="7">
        <v>10</v>
      </c>
      <c r="P104" s="8">
        <f t="shared" si="25"/>
        <v>14.108333333333334</v>
      </c>
      <c r="Q104" s="9">
        <f t="shared" si="26"/>
        <v>1</v>
      </c>
      <c r="R104" s="140">
        <f t="shared" si="27"/>
        <v>10.700000000000001</v>
      </c>
      <c r="S104" s="24">
        <f t="shared" si="28"/>
        <v>1</v>
      </c>
      <c r="T104" s="140">
        <f t="shared" si="29"/>
        <v>17.100000000000001</v>
      </c>
      <c r="U104" s="150">
        <f t="shared" si="30"/>
        <v>1</v>
      </c>
      <c r="V104" s="141">
        <f t="shared" si="31"/>
        <v>14.108333333333334</v>
      </c>
      <c r="W104" s="142">
        <f t="shared" si="32"/>
        <v>1</v>
      </c>
      <c r="X104" s="144">
        <f t="shared" ca="1" si="36"/>
        <v>10.700000000000001</v>
      </c>
      <c r="Y104" s="144">
        <f t="shared" ca="1" si="37"/>
        <v>17.100000000000001</v>
      </c>
      <c r="Z104" s="144">
        <f t="shared" ca="1" si="38"/>
        <v>14.108333333333334</v>
      </c>
      <c r="AA104" s="10"/>
      <c r="AB104" s="357" t="str">
        <f>VLOOKUP($B104,'2007-2020 Metadata'!$A$4:$S$214,MATCH("Urban Area /Monitoring Zone",'2007-2020 Metadata'!$A$4:$S$4,0),FALSE)</f>
        <v>Blenheim</v>
      </c>
      <c r="AC104" s="87" t="str">
        <f>VLOOKUP(B104,'2007-2020 Metadata'!$A$6:$A$214,1,FALSE)</f>
        <v>WEL012</v>
      </c>
      <c r="AD104" s="230" t="str">
        <f>VLOOKUP($AC104,'2007-2020 Metadata'!$A$6:$S$214,9,FALSE)</f>
        <v>Blenheim</v>
      </c>
      <c r="AE104" s="248">
        <f>IF(ISBLANK(VLOOKUP($AC104,'2007-2020 Metadata'!$A$6:$S$214,19,FALSE)),"",VLOOKUP($AC104,'2007-2020 Metadata'!$A$6:$S$214,19,FALSE))</f>
        <v>4.2</v>
      </c>
      <c r="AF104" s="88" t="str">
        <f>VLOOKUP($B104,'2007-2020 Metadata'!$A$4:$S$214,MATCH("Site type",'2007-2020 Metadata'!$A$4:$S$4,0),FALSE)</f>
        <v>SH</v>
      </c>
      <c r="AG104" s="143">
        <f t="shared" si="33"/>
        <v>7.4</v>
      </c>
      <c r="AH104" s="143">
        <f t="shared" si="34"/>
        <v>26.9</v>
      </c>
      <c r="AI104" s="144">
        <f t="shared" ca="1" si="35"/>
        <v>14.108333333333334</v>
      </c>
    </row>
    <row r="105" spans="2:35" ht="12" customHeight="1" x14ac:dyDescent="0.15">
      <c r="B105" s="11" t="s">
        <v>115</v>
      </c>
      <c r="C105" s="29">
        <f>IF(ISBLANK(VLOOKUP($B105,'Monthly Summary 2009'!$B$7:$Q$106,14,FALSE)),"",IF(ISERROR(VLOOKUP(B105,'Monthly Summary 2009'!$B$7:$Q$106,14,FALSE)),"",VLOOKUP(B105,'Monthly Summary 2009'!$B$7:$Q$106,14,FALSE)))</f>
        <v>9.6</v>
      </c>
      <c r="D105" s="7">
        <v>17.899999999999999</v>
      </c>
      <c r="E105" s="7">
        <v>14.7</v>
      </c>
      <c r="F105" s="345"/>
      <c r="G105" s="345"/>
      <c r="H105" s="345"/>
      <c r="I105" s="345"/>
      <c r="J105" s="345"/>
      <c r="K105" s="345"/>
      <c r="L105" s="345"/>
      <c r="M105" s="345"/>
      <c r="N105" s="345"/>
      <c r="O105" s="345"/>
      <c r="P105" s="8">
        <f t="shared" si="25"/>
        <v>16.299999999999997</v>
      </c>
      <c r="Q105" s="9">
        <f t="shared" si="26"/>
        <v>0.16666666666666666</v>
      </c>
      <c r="R105" s="140">
        <f t="shared" si="27"/>
        <v>16.299999999999997</v>
      </c>
      <c r="S105" s="24">
        <f t="shared" si="28"/>
        <v>0.66666666666666663</v>
      </c>
      <c r="T105" s="140" t="str">
        <f t="shared" si="29"/>
        <v/>
      </c>
      <c r="U105" s="150">
        <f t="shared" si="30"/>
        <v>0</v>
      </c>
      <c r="V105" s="141" t="str">
        <f t="shared" si="31"/>
        <v>-</v>
      </c>
      <c r="W105" s="142">
        <f t="shared" si="32"/>
        <v>0.16666666666666666</v>
      </c>
      <c r="X105" s="144">
        <f t="shared" ca="1" si="36"/>
        <v>21.099999999999998</v>
      </c>
      <c r="Y105" s="144">
        <f t="shared" ca="1" si="37"/>
        <v>26.984848484848484</v>
      </c>
      <c r="Z105" s="144">
        <f t="shared" ca="1" si="38"/>
        <v>24.066515151515151</v>
      </c>
      <c r="AA105" s="10"/>
      <c r="AB105" s="357" t="str">
        <f>VLOOKUP($B105,'2007-2020 Metadata'!$A$4:$S$214,MATCH("Urban Area /Monitoring Zone",'2007-2020 Metadata'!$A$4:$S$4,0),FALSE)</f>
        <v>Wellington</v>
      </c>
      <c r="AC105" s="87" t="str">
        <f>VLOOKUP(B105,'2007-2020 Metadata'!$A$6:$A$214,1,FALSE)</f>
        <v>WEL027</v>
      </c>
      <c r="AD105" s="230" t="str">
        <f>VLOOKUP($AC105,'2007-2020 Metadata'!$A$6:$S$214,9,FALSE)</f>
        <v>Wellington</v>
      </c>
      <c r="AE105" s="248">
        <f>IF(ISBLANK(VLOOKUP($AC105,'2007-2020 Metadata'!$A$6:$S$214,19,FALSE)),"",VLOOKUP($AC105,'2007-2020 Metadata'!$A$6:$S$214,19,FALSE))</f>
        <v>4</v>
      </c>
      <c r="AF105" s="88" t="str">
        <f>VLOOKUP($B105,'2007-2020 Metadata'!$A$4:$S$214,MATCH("Site type",'2007-2020 Metadata'!$A$4:$S$4,0),FALSE)</f>
        <v>SH</v>
      </c>
      <c r="AG105" s="143">
        <f t="shared" si="33"/>
        <v>14.7</v>
      </c>
      <c r="AH105" s="143">
        <f t="shared" si="34"/>
        <v>17.899999999999999</v>
      </c>
      <c r="AI105" s="144" t="str">
        <f t="shared" si="35"/>
        <v xml:space="preserve"> </v>
      </c>
    </row>
    <row r="106" spans="2:35" ht="12" customHeight="1" x14ac:dyDescent="0.15">
      <c r="B106" s="11" t="s">
        <v>119</v>
      </c>
      <c r="C106" s="29">
        <f>IF(ISBLANK(VLOOKUP($B106,'Monthly Summary 2009'!$B$7:$Q$106,14,FALSE)),"",IF(ISERROR(VLOOKUP(B106,'Monthly Summary 2009'!$B$7:$Q$106,14,FALSE)),"",VLOOKUP(B106,'Monthly Summary 2009'!$B$7:$Q$106,14,FALSE)))</f>
        <v>10.7</v>
      </c>
      <c r="D106" s="7">
        <v>23.2</v>
      </c>
      <c r="E106" s="7">
        <v>15.7</v>
      </c>
      <c r="F106" s="7">
        <v>20.5</v>
      </c>
      <c r="G106" s="7">
        <v>31.8</v>
      </c>
      <c r="H106" s="7">
        <v>44.8</v>
      </c>
      <c r="I106" s="7">
        <v>41.9</v>
      </c>
      <c r="J106" s="7">
        <v>38.9</v>
      </c>
      <c r="K106" s="7">
        <v>34.5</v>
      </c>
      <c r="L106" s="7">
        <v>19.8</v>
      </c>
      <c r="M106" s="7">
        <v>24.7</v>
      </c>
      <c r="N106" s="7">
        <v>23.5</v>
      </c>
      <c r="O106" s="7">
        <v>14.6</v>
      </c>
      <c r="P106" s="8">
        <f t="shared" si="25"/>
        <v>27.825000000000003</v>
      </c>
      <c r="Q106" s="9">
        <f t="shared" si="26"/>
        <v>1</v>
      </c>
      <c r="R106" s="260">
        <f t="shared" si="27"/>
        <v>19.8</v>
      </c>
      <c r="S106" s="264">
        <f t="shared" si="28"/>
        <v>1</v>
      </c>
      <c r="T106" s="260">
        <f t="shared" si="29"/>
        <v>31.066666666666666</v>
      </c>
      <c r="U106" s="261">
        <f t="shared" si="30"/>
        <v>1</v>
      </c>
      <c r="V106" s="262">
        <f t="shared" si="31"/>
        <v>27.825000000000003</v>
      </c>
      <c r="W106" s="261">
        <f t="shared" si="32"/>
        <v>1</v>
      </c>
      <c r="X106" s="177">
        <f t="shared" ca="1" si="36"/>
        <v>21.099999999999998</v>
      </c>
      <c r="Y106" s="177">
        <f t="shared" ca="1" si="37"/>
        <v>26.984848484848484</v>
      </c>
      <c r="Z106" s="177">
        <f t="shared" ca="1" si="38"/>
        <v>24.066515151515151</v>
      </c>
      <c r="AA106" s="10"/>
      <c r="AB106" s="357" t="str">
        <f>VLOOKUP($B106,'2007-2020 Metadata'!$A$4:$S$214,MATCH("Urban Area /Monitoring Zone",'2007-2020 Metadata'!$A$4:$S$4,0),FALSE)</f>
        <v>Wellington</v>
      </c>
      <c r="AC106" s="259" t="str">
        <f>VLOOKUP(B106,'2007-2020 Metadata'!$A$6:$A$214,1,FALSE)</f>
        <v>WEL031</v>
      </c>
      <c r="AD106" s="256" t="str">
        <f>VLOOKUP($AC106,'2007-2020 Metadata'!$A$6:$S$214,9,FALSE)</f>
        <v>Wellington</v>
      </c>
      <c r="AE106" s="263">
        <f>IF(ISBLANK(VLOOKUP($AC106,'2007-2020 Metadata'!$A$6:$S$214,19,FALSE)),"",VLOOKUP($AC106,'2007-2020 Metadata'!$A$6:$S$214,19,FALSE))</f>
        <v>5.3</v>
      </c>
      <c r="AF106" s="257" t="str">
        <f>VLOOKUP($B106,'2007-2020 Metadata'!$A$4:$S$214,MATCH("Site type",'2007-2020 Metadata'!$A$4:$S$4,0),FALSE)</f>
        <v>SH</v>
      </c>
      <c r="AG106" s="258">
        <f>MIN(AVERAGE(D$106:D$108),AVERAGE(E$106:E$108),AVERAGE(F$106:F$108),AVERAGE(G$106:G$108),AVERAGE(H$106:H$108),AVERAGE(I$106:I$108),AVERAGE(J$106:J$108),AVERAGE(K$106:K$108),AVERAGE(L$106:L$108),AVERAGE(M$106:M$108),AVERAGE(N$106:N$108),AVERAGE(O$106:O$108))</f>
        <v>15.266666666666666</v>
      </c>
      <c r="AH106" s="258">
        <f>MAX(AVERAGE(D$106:D$108),AVERAGE(E$106:E$108),AVERAGE(F$106:F$108),AVERAGE(G$106:G$108),AVERAGE(H$106:H$108),AVERAGE(I$106:I$108),AVERAGE(J$106:J$108),AVERAGE(K$106:K$108),AVERAGE(L$106:L$108),AVERAGE(M$106:M$108),AVERAGE(N$106:N$108),AVERAGE(O$106:O$108))</f>
        <v>42.866666666666667</v>
      </c>
      <c r="AI106" s="177">
        <f t="shared" ca="1" si="35"/>
        <v>24.066515151515151</v>
      </c>
    </row>
    <row r="107" spans="2:35" ht="12" customHeight="1" x14ac:dyDescent="0.15">
      <c r="B107" s="11" t="s">
        <v>120</v>
      </c>
      <c r="C107" s="29">
        <f>IF(ISBLANK(VLOOKUP($B107,'Monthly Summary 2009'!$B$7:$Q$106,14,FALSE)),"",IF(ISERROR(VLOOKUP(B107,'Monthly Summary 2009'!$B$7:$Q$106,14,FALSE)),"",VLOOKUP(B107,'Monthly Summary 2009'!$B$7:$Q$106,14,FALSE)))</f>
        <v>8.3000000000000007</v>
      </c>
      <c r="D107" s="7">
        <v>22.7</v>
      </c>
      <c r="E107" s="7">
        <v>18.3</v>
      </c>
      <c r="F107" s="7">
        <v>19.399999999999999</v>
      </c>
      <c r="G107" s="7">
        <v>29.9</v>
      </c>
      <c r="H107" s="7">
        <v>40.9</v>
      </c>
      <c r="I107" s="7">
        <v>42.1</v>
      </c>
      <c r="J107" s="7">
        <v>40.200000000000003</v>
      </c>
      <c r="K107" s="7">
        <v>36.6</v>
      </c>
      <c r="L107" s="7">
        <v>17.100000000000001</v>
      </c>
      <c r="M107" s="7">
        <v>22.8</v>
      </c>
      <c r="N107" s="7">
        <v>22.3</v>
      </c>
      <c r="O107" s="7">
        <v>15.8</v>
      </c>
      <c r="P107" s="8">
        <f t="shared" si="25"/>
        <v>27.341666666666669</v>
      </c>
      <c r="Q107" s="9">
        <f t="shared" si="26"/>
        <v>1</v>
      </c>
      <c r="R107" s="260">
        <f t="shared" si="27"/>
        <v>20.133333333333333</v>
      </c>
      <c r="S107" s="264">
        <f t="shared" si="28"/>
        <v>1</v>
      </c>
      <c r="T107" s="260">
        <f t="shared" si="29"/>
        <v>31.3</v>
      </c>
      <c r="U107" s="261">
        <f t="shared" si="30"/>
        <v>1</v>
      </c>
      <c r="V107" s="262">
        <f t="shared" si="31"/>
        <v>27.341666666666669</v>
      </c>
      <c r="W107" s="261">
        <f t="shared" si="32"/>
        <v>1</v>
      </c>
      <c r="X107" s="177">
        <f t="shared" ca="1" si="36"/>
        <v>21.099999999999998</v>
      </c>
      <c r="Y107" s="177">
        <f t="shared" ca="1" si="37"/>
        <v>26.984848484848484</v>
      </c>
      <c r="Z107" s="177">
        <f t="shared" ca="1" si="38"/>
        <v>24.066515151515151</v>
      </c>
      <c r="AA107" s="10"/>
      <c r="AB107" s="357" t="str">
        <f>VLOOKUP($B107,'2007-2020 Metadata'!$A$4:$S$214,MATCH("Urban Area /Monitoring Zone",'2007-2020 Metadata'!$A$4:$S$4,0),FALSE)</f>
        <v>Wellington</v>
      </c>
      <c r="AC107" s="259" t="str">
        <f>VLOOKUP(B107,'2007-2020 Metadata'!$A$6:$A$214,1,FALSE)</f>
        <v>WEL032</v>
      </c>
      <c r="AD107" s="256" t="str">
        <f>VLOOKUP($AC107,'2007-2020 Metadata'!$A$6:$S$214,9,FALSE)</f>
        <v>Wellington</v>
      </c>
      <c r="AE107" s="263">
        <f>IF(ISBLANK(VLOOKUP($AC107,'2007-2020 Metadata'!$A$6:$S$214,19,FALSE)),"",VLOOKUP($AC107,'2007-2020 Metadata'!$A$6:$S$214,19,FALSE))</f>
        <v>5.3</v>
      </c>
      <c r="AF107" s="257" t="str">
        <f>VLOOKUP($B107,'2007-2020 Metadata'!$A$4:$S$214,MATCH("Site type",'2007-2020 Metadata'!$A$4:$S$4,0),FALSE)</f>
        <v>SH</v>
      </c>
      <c r="AG107" s="258">
        <f>MIN(AVERAGE(D$106:D$108),AVERAGE(E$106:E$108),AVERAGE(F$106:F$108),AVERAGE(G$106:G$108),AVERAGE(H$106:H$108),AVERAGE(I$106:I$108),AVERAGE(J$106:J$108),AVERAGE(K$106:K$108),AVERAGE(L$106:L$108),AVERAGE(M$106:M$108),AVERAGE(N$106:N$108),AVERAGE(O$106:O$108))</f>
        <v>15.266666666666666</v>
      </c>
      <c r="AH107" s="258">
        <f t="shared" ref="AH107:AH108" si="39">MAX(AVERAGE(D$106:D$108),AVERAGE(E$106:E$108),AVERAGE(F$106:F$108),AVERAGE(G$106:G$108),AVERAGE(H$106:H$108),AVERAGE(I$106:I$108),AVERAGE(J$106:J$108),AVERAGE(K$106:K$108),AVERAGE(L$106:L$108),AVERAGE(M$106:M$108),AVERAGE(N$106:N$108),AVERAGE(O$106:O$108))</f>
        <v>42.866666666666667</v>
      </c>
      <c r="AI107" s="177">
        <f t="shared" ca="1" si="35"/>
        <v>24.066515151515151</v>
      </c>
    </row>
    <row r="108" spans="2:35" ht="12" customHeight="1" x14ac:dyDescent="0.15">
      <c r="B108" s="11" t="s">
        <v>121</v>
      </c>
      <c r="C108" s="29">
        <f>IF(ISBLANK(VLOOKUP($B108,'Monthly Summary 2009'!$B$7:$Q$106,14,FALSE)),"",IF(ISERROR(VLOOKUP(B108,'Monthly Summary 2009'!$B$7:$Q$106,14,FALSE)),"",VLOOKUP(B108,'Monthly Summary 2009'!$B$7:$Q$106,14,FALSE)))</f>
        <v>13.2</v>
      </c>
      <c r="D108" s="7">
        <v>24.5</v>
      </c>
      <c r="E108" s="7">
        <v>21.4</v>
      </c>
      <c r="F108" s="7">
        <v>19.600000000000001</v>
      </c>
      <c r="G108" s="7">
        <v>24.4</v>
      </c>
      <c r="H108" s="7">
        <v>42.9</v>
      </c>
      <c r="I108" s="7">
        <v>39.1</v>
      </c>
      <c r="J108" s="7">
        <v>38.799999999999997</v>
      </c>
      <c r="K108" s="7">
        <v>33.799999999999997</v>
      </c>
      <c r="L108" s="7">
        <v>22.5</v>
      </c>
      <c r="M108" s="7">
        <v>24.2</v>
      </c>
      <c r="N108" s="7">
        <v>22.3</v>
      </c>
      <c r="O108" s="7">
        <v>15.4</v>
      </c>
      <c r="P108" s="8">
        <f t="shared" si="25"/>
        <v>27.408333333333331</v>
      </c>
      <c r="Q108" s="9">
        <f t="shared" si="26"/>
        <v>1</v>
      </c>
      <c r="R108" s="260">
        <f t="shared" si="27"/>
        <v>21.833333333333332</v>
      </c>
      <c r="S108" s="264">
        <f t="shared" si="28"/>
        <v>1</v>
      </c>
      <c r="T108" s="260">
        <f t="shared" si="29"/>
        <v>31.7</v>
      </c>
      <c r="U108" s="261">
        <f t="shared" si="30"/>
        <v>1</v>
      </c>
      <c r="V108" s="262">
        <f t="shared" si="31"/>
        <v>27.408333333333331</v>
      </c>
      <c r="W108" s="261">
        <f t="shared" si="32"/>
        <v>1</v>
      </c>
      <c r="X108" s="177">
        <f t="shared" ca="1" si="36"/>
        <v>21.099999999999998</v>
      </c>
      <c r="Y108" s="177">
        <f t="shared" ca="1" si="37"/>
        <v>26.984848484848484</v>
      </c>
      <c r="Z108" s="177">
        <f t="shared" ca="1" si="38"/>
        <v>24.066515151515151</v>
      </c>
      <c r="AA108" s="10"/>
      <c r="AB108" s="357" t="str">
        <f>VLOOKUP($B108,'2007-2020 Metadata'!$A$4:$S$214,MATCH("Urban Area /Monitoring Zone",'2007-2020 Metadata'!$A$4:$S$4,0),FALSE)</f>
        <v>Wellington</v>
      </c>
      <c r="AC108" s="259" t="str">
        <f>VLOOKUP(B108,'2007-2020 Metadata'!$A$6:$A$214,1,FALSE)</f>
        <v>WEL033</v>
      </c>
      <c r="AD108" s="256" t="str">
        <f>VLOOKUP($AC108,'2007-2020 Metadata'!$A$6:$S$214,9,FALSE)</f>
        <v>Wellington</v>
      </c>
      <c r="AE108" s="263">
        <f>IF(ISBLANK(VLOOKUP($AC108,'2007-2020 Metadata'!$A$6:$S$214,19,FALSE)),"",VLOOKUP($AC108,'2007-2020 Metadata'!$A$6:$S$214,19,FALSE))</f>
        <v>5.3</v>
      </c>
      <c r="AF108" s="257" t="str">
        <f>VLOOKUP($B108,'2007-2020 Metadata'!$A$4:$S$214,MATCH("Site type",'2007-2020 Metadata'!$A$4:$S$4,0),FALSE)</f>
        <v>SH</v>
      </c>
      <c r="AG108" s="258">
        <f>MIN(AVERAGE(D$106:D$108),AVERAGE(E$106:E$108),AVERAGE(F$106:F$108),AVERAGE(G$106:G$108),AVERAGE(H$106:H$108),AVERAGE(I$106:I$108),AVERAGE(J$106:J$108),AVERAGE(K$106:K$108),AVERAGE(L$106:L$108),AVERAGE(M$106:M$108),AVERAGE(N$106:N$108),AVERAGE(O$106:O$108))</f>
        <v>15.266666666666666</v>
      </c>
      <c r="AH108" s="258">
        <f t="shared" si="39"/>
        <v>42.866666666666667</v>
      </c>
      <c r="AI108" s="177">
        <f t="shared" ca="1" si="35"/>
        <v>24.066515151515151</v>
      </c>
    </row>
    <row r="109" spans="2:35" ht="12" customHeight="1" x14ac:dyDescent="0.15">
      <c r="B109" s="11" t="s">
        <v>122</v>
      </c>
      <c r="C109" s="29" t="str">
        <f>IF(ISBLANK(VLOOKUP($B109,'Monthly Summary 2009'!$B$7:$Q$106,14,FALSE)),"",IF(ISERROR(VLOOKUP(B109,'Monthly Summary 2009'!$B$7:$Q$106,14,FALSE)),"",VLOOKUP(B109,'Monthly Summary 2009'!$B$7:$Q$106,14,FALSE)))</f>
        <v/>
      </c>
      <c r="D109" s="7">
        <v>7.6</v>
      </c>
      <c r="E109" s="7">
        <v>7.7</v>
      </c>
      <c r="F109" s="7">
        <v>7.5</v>
      </c>
      <c r="G109" s="7">
        <v>11.3</v>
      </c>
      <c r="H109" s="7">
        <v>16</v>
      </c>
      <c r="I109" s="7">
        <v>15.8</v>
      </c>
      <c r="J109" s="7">
        <v>15.2</v>
      </c>
      <c r="K109" s="7">
        <v>13.6</v>
      </c>
      <c r="L109" s="7">
        <v>8.8000000000000007</v>
      </c>
      <c r="M109" s="7">
        <v>7.3</v>
      </c>
      <c r="N109" s="7">
        <v>8.1</v>
      </c>
      <c r="O109" s="7">
        <v>9.5</v>
      </c>
      <c r="P109" s="8">
        <f t="shared" si="25"/>
        <v>10.699999999999998</v>
      </c>
      <c r="Q109" s="9">
        <f t="shared" si="26"/>
        <v>1</v>
      </c>
      <c r="R109" s="260">
        <f t="shared" si="27"/>
        <v>7.6000000000000005</v>
      </c>
      <c r="S109" s="264">
        <f t="shared" si="28"/>
        <v>1</v>
      </c>
      <c r="T109" s="260">
        <f t="shared" si="29"/>
        <v>12.533333333333331</v>
      </c>
      <c r="U109" s="261">
        <f t="shared" si="30"/>
        <v>1</v>
      </c>
      <c r="V109" s="262">
        <f t="shared" si="31"/>
        <v>10.699999999999998</v>
      </c>
      <c r="W109" s="261">
        <f t="shared" si="32"/>
        <v>1</v>
      </c>
      <c r="X109" s="177">
        <f t="shared" ca="1" si="36"/>
        <v>8.2888888888888896</v>
      </c>
      <c r="Y109" s="177">
        <f t="shared" ca="1" si="37"/>
        <v>13.066666666666665</v>
      </c>
      <c r="Z109" s="177">
        <f t="shared" ca="1" si="38"/>
        <v>10.941666666666665</v>
      </c>
      <c r="AA109" s="10"/>
      <c r="AB109" s="357" t="str">
        <f>VLOOKUP($B109,'2007-2020 Metadata'!$A$4:$S$214,MATCH("Urban Area /Monitoring Zone",'2007-2020 Metadata'!$A$4:$S$4,0),FALSE)</f>
        <v>Wellington</v>
      </c>
      <c r="AC109" s="259" t="str">
        <f>VLOOKUP(B109,'2007-2020 Metadata'!$A$6:$A$214,1,FALSE)</f>
        <v>WEL034</v>
      </c>
      <c r="AD109" s="256" t="str">
        <f>VLOOKUP($AC109,'2007-2020 Metadata'!$A$6:$S$214,9,FALSE)</f>
        <v>Tawa</v>
      </c>
      <c r="AE109" s="263">
        <f>IF(ISBLANK(VLOOKUP($AC109,'2007-2020 Metadata'!$A$6:$S$214,19,FALSE)),"",VLOOKUP($AC109,'2007-2020 Metadata'!$A$6:$S$214,19,FALSE))</f>
        <v>3.6</v>
      </c>
      <c r="AF109" s="257" t="str">
        <f>VLOOKUP($B109,'2007-2020 Metadata'!$A$4:$S$214,MATCH("Site type",'2007-2020 Metadata'!$A$4:$S$4,0),FALSE)</f>
        <v>Background</v>
      </c>
      <c r="AG109" s="258">
        <f>MIN(AVERAGE(D$109:D$111),AVERAGE(E$109:E$111),AVERAGE(F$109:F$111),AVERAGE(G$109:G$111),AVERAGE(H$109:H$111),AVERAGE(I$109:I$111),AVERAGE(J$109:J$111),AVERAGE(K$109:K$111),AVERAGE(L$109:L$111),AVERAGE(M$109:M$111),AVERAGE(N$109:N$111),AVERAGE(O$109:O$111))</f>
        <v>7.4333333333333336</v>
      </c>
      <c r="AH109" s="258">
        <f>MAX(AVERAGE(D$109:D$111),AVERAGE(E$109:E$111),AVERAGE(F$109:F$111),AVERAGE(G$109:G$111),AVERAGE(H$109:H$111),AVERAGE(I$109:I$111),AVERAGE(J$109:J$111),AVERAGE(K$109:K$111),AVERAGE(L$109:L$111),AVERAGE(M$109:M$111),AVERAGE(N$109:N$111),AVERAGE(O$109:O$111))</f>
        <v>16.466666666666665</v>
      </c>
      <c r="AI109" s="177">
        <f t="shared" ca="1" si="35"/>
        <v>10.941666666666665</v>
      </c>
    </row>
    <row r="110" spans="2:35" ht="12" customHeight="1" x14ac:dyDescent="0.15">
      <c r="B110" s="11" t="s">
        <v>123</v>
      </c>
      <c r="C110" s="29" t="str">
        <f>IF(ISBLANK(VLOOKUP($B110,'Monthly Summary 2009'!$B$7:$Q$106,14,FALSE)),"",IF(ISERROR(VLOOKUP(B110,'Monthly Summary 2009'!$B$7:$Q$106,14,FALSE)),"",VLOOKUP(B110,'Monthly Summary 2009'!$B$7:$Q$106,14,FALSE)))</f>
        <v/>
      </c>
      <c r="D110" s="7">
        <v>8</v>
      </c>
      <c r="E110" s="7">
        <v>10.1</v>
      </c>
      <c r="F110" s="7">
        <v>9</v>
      </c>
      <c r="G110" s="7">
        <v>11.3</v>
      </c>
      <c r="H110" s="7">
        <v>16</v>
      </c>
      <c r="I110" s="7">
        <v>16.399999999999999</v>
      </c>
      <c r="J110" s="7">
        <v>18.100000000000001</v>
      </c>
      <c r="K110" s="7">
        <v>13.5</v>
      </c>
      <c r="L110" s="7">
        <v>7.8</v>
      </c>
      <c r="M110" s="7">
        <v>8.8000000000000007</v>
      </c>
      <c r="N110" s="7">
        <v>11.1</v>
      </c>
      <c r="O110" s="7">
        <v>6.6</v>
      </c>
      <c r="P110" s="8">
        <f t="shared" si="25"/>
        <v>11.391666666666666</v>
      </c>
      <c r="Q110" s="9">
        <f t="shared" si="26"/>
        <v>1</v>
      </c>
      <c r="R110" s="260">
        <f t="shared" si="27"/>
        <v>9.0333333333333332</v>
      </c>
      <c r="S110" s="264">
        <f t="shared" si="28"/>
        <v>1</v>
      </c>
      <c r="T110" s="260">
        <f t="shared" si="29"/>
        <v>13.133333333333333</v>
      </c>
      <c r="U110" s="261">
        <f t="shared" si="30"/>
        <v>1</v>
      </c>
      <c r="V110" s="262">
        <f t="shared" si="31"/>
        <v>11.391666666666666</v>
      </c>
      <c r="W110" s="261">
        <f t="shared" si="32"/>
        <v>1</v>
      </c>
      <c r="X110" s="177">
        <f t="shared" ca="1" si="36"/>
        <v>8.2888888888888896</v>
      </c>
      <c r="Y110" s="177">
        <f t="shared" ca="1" si="37"/>
        <v>13.066666666666665</v>
      </c>
      <c r="Z110" s="177">
        <f t="shared" ca="1" si="38"/>
        <v>10.941666666666665</v>
      </c>
      <c r="AA110" s="10"/>
      <c r="AB110" s="357" t="str">
        <f>VLOOKUP($B110,'2007-2020 Metadata'!$A$4:$S$214,MATCH("Urban Area /Monitoring Zone",'2007-2020 Metadata'!$A$4:$S$4,0),FALSE)</f>
        <v>Wellington</v>
      </c>
      <c r="AC110" s="259" t="str">
        <f>VLOOKUP(B110,'2007-2020 Metadata'!$A$6:$A$214,1,FALSE)</f>
        <v>WEL035</v>
      </c>
      <c r="AD110" s="256" t="str">
        <f>VLOOKUP($AC110,'2007-2020 Metadata'!$A$6:$S$214,9,FALSE)</f>
        <v>Tawa</v>
      </c>
      <c r="AE110" s="263">
        <f>IF(ISBLANK(VLOOKUP($AC110,'2007-2020 Metadata'!$A$6:$S$214,19,FALSE)),"",VLOOKUP($AC110,'2007-2020 Metadata'!$A$6:$S$214,19,FALSE))</f>
        <v>3.6</v>
      </c>
      <c r="AF110" s="257" t="str">
        <f>VLOOKUP($B110,'2007-2020 Metadata'!$A$4:$S$214,MATCH("Site type",'2007-2020 Metadata'!$A$4:$S$4,0),FALSE)</f>
        <v>Background</v>
      </c>
      <c r="AG110" s="258">
        <f>MIN(AVERAGE(D$109:D$111),AVERAGE(E$109:E$111),AVERAGE(F$109:F$111),AVERAGE(G$109:G$111),AVERAGE(H$109:H$111),AVERAGE(I$109:I$111),AVERAGE(J$109:J$111),AVERAGE(K$109:K$111),AVERAGE(L$109:L$111),AVERAGE(M$109:M$111),AVERAGE(N$109:N$111),AVERAGE(O$109:O$111))</f>
        <v>7.4333333333333336</v>
      </c>
      <c r="AH110" s="258">
        <f t="shared" ref="AH110:AH111" si="40">MAX(AVERAGE(D$109:D$111),AVERAGE(E$109:E$111),AVERAGE(F$109:F$111),AVERAGE(G$109:G$111),AVERAGE(H$109:H$111),AVERAGE(I$109:I$111),AVERAGE(J$109:J$111),AVERAGE(K$109:K$111),AVERAGE(L$109:L$111),AVERAGE(M$109:M$111),AVERAGE(N$109:N$111),AVERAGE(O$109:O$111))</f>
        <v>16.466666666666665</v>
      </c>
      <c r="AI110" s="177">
        <f t="shared" ca="1" si="35"/>
        <v>10.941666666666665</v>
      </c>
    </row>
    <row r="111" spans="2:35" ht="12" customHeight="1" x14ac:dyDescent="0.15">
      <c r="B111" s="11" t="s">
        <v>124</v>
      </c>
      <c r="C111" s="29" t="str">
        <f>IF(ISBLANK(VLOOKUP($B111,'Monthly Summary 2009'!$B$7:$Q$106,14,FALSE)),"",IF(ISERROR(VLOOKUP(B111,'Monthly Summary 2009'!$B$7:$Q$106,14,FALSE)),"",VLOOKUP(B111,'Monthly Summary 2009'!$B$7:$Q$106,14,FALSE)))</f>
        <v/>
      </c>
      <c r="D111" s="7">
        <v>7.4</v>
      </c>
      <c r="E111" s="7">
        <v>8.4</v>
      </c>
      <c r="F111" s="7">
        <v>8.9</v>
      </c>
      <c r="G111" s="7">
        <v>8.9</v>
      </c>
      <c r="H111" s="7">
        <v>16.5</v>
      </c>
      <c r="I111" s="7">
        <v>15.2</v>
      </c>
      <c r="J111" s="7">
        <v>16.100000000000001</v>
      </c>
      <c r="K111" s="7">
        <v>16.2</v>
      </c>
      <c r="L111" s="7">
        <v>8.3000000000000007</v>
      </c>
      <c r="M111" s="7">
        <v>8.4</v>
      </c>
      <c r="N111" s="7">
        <v>8.3000000000000007</v>
      </c>
      <c r="O111" s="7">
        <v>6.2</v>
      </c>
      <c r="P111" s="8">
        <f t="shared" si="25"/>
        <v>10.733333333333334</v>
      </c>
      <c r="Q111" s="9">
        <f t="shared" si="26"/>
        <v>1</v>
      </c>
      <c r="R111" s="260">
        <f t="shared" si="27"/>
        <v>8.2333333333333343</v>
      </c>
      <c r="S111" s="264">
        <f t="shared" si="28"/>
        <v>1</v>
      </c>
      <c r="T111" s="260">
        <f t="shared" si="29"/>
        <v>13.533333333333331</v>
      </c>
      <c r="U111" s="261">
        <f t="shared" si="30"/>
        <v>1</v>
      </c>
      <c r="V111" s="262">
        <f t="shared" si="31"/>
        <v>10.733333333333334</v>
      </c>
      <c r="W111" s="261">
        <f t="shared" si="32"/>
        <v>1</v>
      </c>
      <c r="X111" s="177">
        <f t="shared" ca="1" si="36"/>
        <v>8.2888888888888896</v>
      </c>
      <c r="Y111" s="177">
        <f t="shared" ca="1" si="37"/>
        <v>13.066666666666665</v>
      </c>
      <c r="Z111" s="177">
        <f t="shared" ca="1" si="38"/>
        <v>10.941666666666665</v>
      </c>
      <c r="AA111" s="10"/>
      <c r="AB111" s="357" t="str">
        <f>VLOOKUP($B111,'2007-2020 Metadata'!$A$4:$S$214,MATCH("Urban Area /Monitoring Zone",'2007-2020 Metadata'!$A$4:$S$4,0),FALSE)</f>
        <v>Wellington</v>
      </c>
      <c r="AC111" s="259" t="str">
        <f>VLOOKUP(B111,'2007-2020 Metadata'!$A$6:$A$214,1,FALSE)</f>
        <v>WEL036</v>
      </c>
      <c r="AD111" s="256" t="str">
        <f>VLOOKUP($AC111,'2007-2020 Metadata'!$A$6:$S$214,9,FALSE)</f>
        <v>Tawa</v>
      </c>
      <c r="AE111" s="263">
        <f>IF(ISBLANK(VLOOKUP($AC111,'2007-2020 Metadata'!$A$6:$S$214,19,FALSE)),"",VLOOKUP($AC111,'2007-2020 Metadata'!$A$6:$S$214,19,FALSE))</f>
        <v>3.6</v>
      </c>
      <c r="AF111" s="257" t="str">
        <f>VLOOKUP($B111,'2007-2020 Metadata'!$A$4:$S$214,MATCH("Site type",'2007-2020 Metadata'!$A$4:$S$4,0),FALSE)</f>
        <v>Background</v>
      </c>
      <c r="AG111" s="258">
        <f>MIN(AVERAGE(D$109:D$111),AVERAGE(E$109:E$111),AVERAGE(F$109:F$111),AVERAGE(G$109:G$111),AVERAGE(H$109:H$111),AVERAGE(I$109:I$111),AVERAGE(J$109:J$111),AVERAGE(K$109:K$111),AVERAGE(L$109:L$111),AVERAGE(M$109:M$111),AVERAGE(N$109:N$111),AVERAGE(O$109:O$111))</f>
        <v>7.4333333333333336</v>
      </c>
      <c r="AH111" s="258">
        <f t="shared" si="40"/>
        <v>16.466666666666665</v>
      </c>
      <c r="AI111" s="177">
        <f t="shared" ca="1" si="35"/>
        <v>10.941666666666665</v>
      </c>
    </row>
    <row r="112" spans="2:35" ht="12" customHeight="1" x14ac:dyDescent="0.15">
      <c r="B112" s="11" t="s">
        <v>125</v>
      </c>
      <c r="C112" s="29" t="str">
        <f>IF(ISBLANK(VLOOKUP($B112,'Monthly Summary 2009'!$B$7:$Q$106,14,FALSE)),"",IF(ISERROR(VLOOKUP(B112,'Monthly Summary 2009'!$B$7:$Q$106,14,FALSE)),"",VLOOKUP(B112,'Monthly Summary 2009'!$B$7:$Q$106,14,FALSE)))</f>
        <v/>
      </c>
      <c r="D112" s="7"/>
      <c r="E112" s="7"/>
      <c r="F112" s="7">
        <v>8.9</v>
      </c>
      <c r="G112" s="7">
        <v>12.2</v>
      </c>
      <c r="H112" s="7">
        <v>18.399999999999999</v>
      </c>
      <c r="I112" s="7">
        <v>17.3</v>
      </c>
      <c r="J112" s="7">
        <v>17.600000000000001</v>
      </c>
      <c r="K112" s="7">
        <v>14.7</v>
      </c>
      <c r="L112" s="7">
        <v>10.6</v>
      </c>
      <c r="M112" s="7">
        <v>9.5</v>
      </c>
      <c r="N112" s="7">
        <v>10</v>
      </c>
      <c r="O112" s="7">
        <v>9</v>
      </c>
      <c r="P112" s="8">
        <f t="shared" si="25"/>
        <v>12.819999999999999</v>
      </c>
      <c r="Q112" s="9">
        <f t="shared" si="26"/>
        <v>0.83333333333333337</v>
      </c>
      <c r="R112" s="140" t="str">
        <f t="shared" si="27"/>
        <v>-</v>
      </c>
      <c r="S112" s="24">
        <f t="shared" si="28"/>
        <v>0.33333333333333331</v>
      </c>
      <c r="T112" s="140">
        <f t="shared" si="29"/>
        <v>14.299999999999999</v>
      </c>
      <c r="U112" s="150">
        <f t="shared" si="30"/>
        <v>1</v>
      </c>
      <c r="V112" s="141">
        <f t="shared" si="31"/>
        <v>12.819999999999999</v>
      </c>
      <c r="W112" s="142">
        <f t="shared" si="32"/>
        <v>0.83333333333333337</v>
      </c>
      <c r="X112" s="144">
        <f t="shared" ca="1" si="36"/>
        <v>21.099999999999998</v>
      </c>
      <c r="Y112" s="144">
        <f t="shared" ca="1" si="37"/>
        <v>26.984848484848484</v>
      </c>
      <c r="Z112" s="144">
        <f t="shared" ca="1" si="38"/>
        <v>24.066515151515151</v>
      </c>
      <c r="AA112" s="10"/>
      <c r="AB112" s="357" t="str">
        <f>VLOOKUP($B112,'2007-2020 Metadata'!$A$4:$S$214,MATCH("Urban Area /Monitoring Zone",'2007-2020 Metadata'!$A$4:$S$4,0),FALSE)</f>
        <v>Wellington</v>
      </c>
      <c r="AC112" s="87" t="str">
        <f>VLOOKUP(B112,'2007-2020 Metadata'!$A$6:$A$214,1,FALSE)</f>
        <v>WEL047</v>
      </c>
      <c r="AD112" s="230" t="str">
        <f>VLOOKUP($AC112,'2007-2020 Metadata'!$A$6:$S$214,9,FALSE)</f>
        <v>Wellington</v>
      </c>
      <c r="AE112" s="248">
        <f>IF(ISBLANK(VLOOKUP($AC112,'2007-2020 Metadata'!$A$6:$S$214,19,FALSE)),"",VLOOKUP($AC112,'2007-2020 Metadata'!$A$6:$S$214,19,FALSE))</f>
        <v>3.5</v>
      </c>
      <c r="AF112" s="88" t="str">
        <f>VLOOKUP($B112,'2007-2020 Metadata'!$A$4:$S$214,MATCH("Site type",'2007-2020 Metadata'!$A$4:$S$4,0),FALSE)</f>
        <v>Local</v>
      </c>
      <c r="AG112" s="143">
        <f t="shared" si="33"/>
        <v>8.9</v>
      </c>
      <c r="AH112" s="143">
        <f t="shared" si="34"/>
        <v>18.399999999999999</v>
      </c>
      <c r="AI112" s="144">
        <f t="shared" ca="1" si="35"/>
        <v>24.066515151515151</v>
      </c>
    </row>
    <row r="113" spans="2:36" ht="12" customHeight="1" x14ac:dyDescent="0.15">
      <c r="B113" s="11" t="s">
        <v>126</v>
      </c>
      <c r="C113" s="29" t="str">
        <f>IF(ISBLANK(VLOOKUP($B113,'Monthly Summary 2009'!$B$7:$Q$106,14,FALSE)),"",IF(ISERROR(VLOOKUP(B113,'Monthly Summary 2009'!$B$7:$Q$106,14,FALSE)),"",VLOOKUP(B113,'Monthly Summary 2009'!$B$7:$Q$106,14,FALSE)))</f>
        <v/>
      </c>
      <c r="D113" s="7"/>
      <c r="E113" s="7"/>
      <c r="F113" s="7">
        <v>7.3</v>
      </c>
      <c r="G113" s="7">
        <v>10</v>
      </c>
      <c r="H113" s="7">
        <v>12.5</v>
      </c>
      <c r="I113" s="7">
        <v>16.2</v>
      </c>
      <c r="J113" s="7">
        <v>15.3</v>
      </c>
      <c r="K113" s="7">
        <v>9.9</v>
      </c>
      <c r="L113" s="7">
        <v>8.5</v>
      </c>
      <c r="M113" s="7">
        <v>7.3</v>
      </c>
      <c r="N113" s="7">
        <v>7.2</v>
      </c>
      <c r="O113" s="7">
        <v>7</v>
      </c>
      <c r="P113" s="8">
        <f t="shared" si="25"/>
        <v>10.120000000000001</v>
      </c>
      <c r="Q113" s="9">
        <f t="shared" si="26"/>
        <v>0.83333333333333337</v>
      </c>
      <c r="R113" s="140" t="str">
        <f t="shared" si="27"/>
        <v>-</v>
      </c>
      <c r="S113" s="24">
        <f t="shared" si="28"/>
        <v>0.33333333333333331</v>
      </c>
      <c r="T113" s="140">
        <f t="shared" si="29"/>
        <v>11.233333333333334</v>
      </c>
      <c r="U113" s="150">
        <f t="shared" si="30"/>
        <v>1</v>
      </c>
      <c r="V113" s="141">
        <f t="shared" si="31"/>
        <v>10.120000000000001</v>
      </c>
      <c r="W113" s="142">
        <f t="shared" si="32"/>
        <v>0.83333333333333337</v>
      </c>
      <c r="X113" s="144">
        <f t="shared" ca="1" si="36"/>
        <v>21.099999999999998</v>
      </c>
      <c r="Y113" s="144">
        <f t="shared" ca="1" si="37"/>
        <v>26.984848484848484</v>
      </c>
      <c r="Z113" s="144">
        <f t="shared" ca="1" si="38"/>
        <v>24.066515151515151</v>
      </c>
      <c r="AA113" s="10"/>
      <c r="AB113" s="357" t="str">
        <f>VLOOKUP($B113,'2007-2020 Metadata'!$A$4:$S$214,MATCH("Urban Area /Monitoring Zone",'2007-2020 Metadata'!$A$4:$S$4,0),FALSE)</f>
        <v>Wellington</v>
      </c>
      <c r="AC113" s="87" t="str">
        <f>VLOOKUP(B113,'2007-2020 Metadata'!$A$6:$A$214,1,FALSE)</f>
        <v>WEL048</v>
      </c>
      <c r="AD113" s="230" t="str">
        <f>VLOOKUP($AC113,'2007-2020 Metadata'!$A$6:$S$214,9,FALSE)</f>
        <v>Wellington</v>
      </c>
      <c r="AE113" s="248">
        <f>IF(ISBLANK(VLOOKUP($AC113,'2007-2020 Metadata'!$A$6:$S$214,19,FALSE)),"",VLOOKUP($AC113,'2007-2020 Metadata'!$A$6:$S$214,19,FALSE))</f>
        <v>4</v>
      </c>
      <c r="AF113" s="88" t="str">
        <f>VLOOKUP($B113,'2007-2020 Metadata'!$A$4:$S$214,MATCH("Site type",'2007-2020 Metadata'!$A$4:$S$4,0),FALSE)</f>
        <v>Background</v>
      </c>
      <c r="AG113" s="143">
        <f t="shared" si="33"/>
        <v>7</v>
      </c>
      <c r="AH113" s="143">
        <f t="shared" si="34"/>
        <v>16.2</v>
      </c>
      <c r="AI113" s="144">
        <f t="shared" ca="1" si="35"/>
        <v>24.066515151515151</v>
      </c>
    </row>
    <row r="114" spans="2:36" ht="12" customHeight="1" x14ac:dyDescent="0.15">
      <c r="B114" s="11" t="s">
        <v>127</v>
      </c>
      <c r="C114" s="29" t="str">
        <f>IF(ISBLANK(VLOOKUP($B114,'Monthly Summary 2009'!$B$7:$Q$106,14,FALSE)),"",IF(ISERROR(VLOOKUP(B114,'Monthly Summary 2009'!$B$7:$Q$106,14,FALSE)),"",VLOOKUP(B114,'Monthly Summary 2009'!$B$7:$Q$106,14,FALSE)))</f>
        <v/>
      </c>
      <c r="D114" s="7"/>
      <c r="E114" s="7"/>
      <c r="F114" s="7">
        <v>29</v>
      </c>
      <c r="G114" s="7">
        <v>37.4</v>
      </c>
      <c r="H114" s="7">
        <v>59.1</v>
      </c>
      <c r="I114" s="7">
        <v>52.1</v>
      </c>
      <c r="J114" s="7">
        <v>52.8</v>
      </c>
      <c r="K114" s="7">
        <v>44.4</v>
      </c>
      <c r="L114" s="7">
        <v>25.7</v>
      </c>
      <c r="M114" s="7">
        <v>36</v>
      </c>
      <c r="N114" s="7">
        <v>35.6</v>
      </c>
      <c r="O114" s="7">
        <v>30.9</v>
      </c>
      <c r="P114" s="8">
        <f t="shared" si="25"/>
        <v>40.299999999999997</v>
      </c>
      <c r="Q114" s="9">
        <f t="shared" si="26"/>
        <v>0.83333333333333337</v>
      </c>
      <c r="R114" s="140" t="str">
        <f t="shared" si="27"/>
        <v>-</v>
      </c>
      <c r="S114" s="24">
        <f t="shared" si="28"/>
        <v>0.33333333333333331</v>
      </c>
      <c r="T114" s="140">
        <f t="shared" si="29"/>
        <v>40.966666666666661</v>
      </c>
      <c r="U114" s="150">
        <f t="shared" si="30"/>
        <v>1</v>
      </c>
      <c r="V114" s="141">
        <f t="shared" si="31"/>
        <v>40.299999999999997</v>
      </c>
      <c r="W114" s="142">
        <f t="shared" si="32"/>
        <v>0.83333333333333337</v>
      </c>
      <c r="X114" s="144">
        <f t="shared" ca="1" si="36"/>
        <v>21.099999999999998</v>
      </c>
      <c r="Y114" s="144">
        <f t="shared" ca="1" si="37"/>
        <v>26.984848484848484</v>
      </c>
      <c r="Z114" s="144">
        <f t="shared" ca="1" si="38"/>
        <v>24.066515151515151</v>
      </c>
      <c r="AA114" s="10"/>
      <c r="AB114" s="357" t="str">
        <f>VLOOKUP($B114,'2007-2020 Metadata'!$A$4:$S$214,MATCH("Urban Area /Monitoring Zone",'2007-2020 Metadata'!$A$4:$S$4,0),FALSE)</f>
        <v>Wellington</v>
      </c>
      <c r="AC114" s="87" t="str">
        <f>VLOOKUP(B114,'2007-2020 Metadata'!$A$6:$A$214,1,FALSE)</f>
        <v>WEL049</v>
      </c>
      <c r="AD114" s="230" t="str">
        <f>VLOOKUP($AC114,'2007-2020 Metadata'!$A$6:$S$214,9,FALSE)</f>
        <v>Wellington</v>
      </c>
      <c r="AE114" s="248">
        <f>IF(ISBLANK(VLOOKUP($AC114,'2007-2020 Metadata'!$A$6:$S$214,19,FALSE)),"",VLOOKUP($AC114,'2007-2020 Metadata'!$A$6:$S$214,19,FALSE))</f>
        <v>4</v>
      </c>
      <c r="AF114" s="88" t="str">
        <f>VLOOKUP($B114,'2007-2020 Metadata'!$A$4:$S$214,MATCH("Site type",'2007-2020 Metadata'!$A$4:$S$4,0),FALSE)</f>
        <v>Local</v>
      </c>
      <c r="AG114" s="143">
        <f t="shared" si="33"/>
        <v>25.7</v>
      </c>
      <c r="AH114" s="143">
        <f t="shared" si="34"/>
        <v>59.1</v>
      </c>
      <c r="AI114" s="144">
        <f t="shared" ca="1" si="35"/>
        <v>24.066515151515151</v>
      </c>
    </row>
    <row r="115" spans="2:36" ht="12" customHeight="1" x14ac:dyDescent="0.15">
      <c r="B115" s="11" t="s">
        <v>128</v>
      </c>
      <c r="C115" s="29" t="str">
        <f>IF(ISBLANK(VLOOKUP($B115,'Monthly Summary 2009'!$B$7:$Q$106,14,FALSE)),"",IF(ISERROR(VLOOKUP(B115,'Monthly Summary 2009'!$B$7:$Q$106,14,FALSE)),"",VLOOKUP(B115,'Monthly Summary 2009'!$B$7:$Q$106,14,FALSE)))</f>
        <v/>
      </c>
      <c r="D115" s="7"/>
      <c r="E115" s="7"/>
      <c r="F115" s="7">
        <v>16.600000000000001</v>
      </c>
      <c r="G115" s="7">
        <v>18.7</v>
      </c>
      <c r="H115" s="7">
        <v>28.3</v>
      </c>
      <c r="I115" s="7">
        <v>30.5</v>
      </c>
      <c r="J115" s="7">
        <v>32.1</v>
      </c>
      <c r="K115" s="7">
        <v>28.9</v>
      </c>
      <c r="L115" s="7">
        <v>26.8</v>
      </c>
      <c r="M115" s="7">
        <v>17.7</v>
      </c>
      <c r="N115" s="7">
        <v>13.3</v>
      </c>
      <c r="O115" s="7">
        <v>16.100000000000001</v>
      </c>
      <c r="P115" s="8">
        <f t="shared" si="25"/>
        <v>22.9</v>
      </c>
      <c r="Q115" s="9">
        <f t="shared" si="26"/>
        <v>0.83333333333333337</v>
      </c>
      <c r="R115" s="140" t="str">
        <f t="shared" si="27"/>
        <v>-</v>
      </c>
      <c r="S115" s="24">
        <f t="shared" si="28"/>
        <v>0.33333333333333331</v>
      </c>
      <c r="T115" s="140">
        <f t="shared" si="29"/>
        <v>29.266666666666666</v>
      </c>
      <c r="U115" s="150">
        <f t="shared" si="30"/>
        <v>1</v>
      </c>
      <c r="V115" s="141">
        <f t="shared" si="31"/>
        <v>22.9</v>
      </c>
      <c r="W115" s="142">
        <f t="shared" si="32"/>
        <v>0.83333333333333337</v>
      </c>
      <c r="X115" s="144">
        <f t="shared" ca="1" si="36"/>
        <v>21.099999999999998</v>
      </c>
      <c r="Y115" s="144">
        <f t="shared" ca="1" si="37"/>
        <v>26.984848484848484</v>
      </c>
      <c r="Z115" s="144">
        <f t="shared" ca="1" si="38"/>
        <v>24.066515151515151</v>
      </c>
      <c r="AA115" s="10"/>
      <c r="AB115" s="357" t="str">
        <f>VLOOKUP($B115,'2007-2020 Metadata'!$A$4:$S$214,MATCH("Urban Area /Monitoring Zone",'2007-2020 Metadata'!$A$4:$S$4,0),FALSE)</f>
        <v>Wellington</v>
      </c>
      <c r="AC115" s="87" t="str">
        <f>VLOOKUP(B115,'2007-2020 Metadata'!$A$6:$A$214,1,FALSE)</f>
        <v>WEL050</v>
      </c>
      <c r="AD115" s="230" t="str">
        <f>VLOOKUP($AC115,'2007-2020 Metadata'!$A$6:$S$214,9,FALSE)</f>
        <v>Wellington</v>
      </c>
      <c r="AE115" s="248">
        <f>IF(ISBLANK(VLOOKUP($AC115,'2007-2020 Metadata'!$A$6:$S$214,19,FALSE)),"",VLOOKUP($AC115,'2007-2020 Metadata'!$A$6:$S$214,19,FALSE))</f>
        <v>4</v>
      </c>
      <c r="AF115" s="88" t="str">
        <f>VLOOKUP($B115,'2007-2020 Metadata'!$A$4:$S$214,MATCH("Site type",'2007-2020 Metadata'!$A$4:$S$4,0),FALSE)</f>
        <v>SH</v>
      </c>
      <c r="AG115" s="143">
        <f t="shared" si="33"/>
        <v>13.3</v>
      </c>
      <c r="AH115" s="143">
        <f t="shared" si="34"/>
        <v>32.1</v>
      </c>
      <c r="AI115" s="144">
        <f t="shared" ca="1" si="35"/>
        <v>24.066515151515151</v>
      </c>
    </row>
    <row r="116" spans="2:36" ht="12" customHeight="1" x14ac:dyDescent="0.15">
      <c r="B116" s="11" t="s">
        <v>129</v>
      </c>
      <c r="C116" s="29" t="str">
        <f>IF(ISBLANK(VLOOKUP($B116,'Monthly Summary 2009'!$B$7:$Q$106,14,FALSE)),"",IF(ISERROR(VLOOKUP(B116,'Monthly Summary 2009'!$B$7:$Q$106,14,FALSE)),"",VLOOKUP(B116,'Monthly Summary 2009'!$B$7:$Q$106,14,FALSE)))</f>
        <v/>
      </c>
      <c r="D116" s="7"/>
      <c r="E116" s="7"/>
      <c r="F116" s="7">
        <v>14.3</v>
      </c>
      <c r="G116" s="7">
        <v>17.2</v>
      </c>
      <c r="H116" s="7">
        <v>19.600000000000001</v>
      </c>
      <c r="I116" s="7">
        <v>21.5</v>
      </c>
      <c r="J116" s="7">
        <v>18.899999999999999</v>
      </c>
      <c r="K116" s="7">
        <v>14.1</v>
      </c>
      <c r="L116" s="7">
        <v>14.3</v>
      </c>
      <c r="M116" s="7">
        <v>11</v>
      </c>
      <c r="N116" s="7">
        <v>12.2</v>
      </c>
      <c r="O116" s="7">
        <v>12.3</v>
      </c>
      <c r="P116" s="8">
        <f t="shared" si="25"/>
        <v>15.539999999999997</v>
      </c>
      <c r="Q116" s="9">
        <f t="shared" si="26"/>
        <v>0.83333333333333337</v>
      </c>
      <c r="R116" s="140" t="str">
        <f t="shared" si="27"/>
        <v>-</v>
      </c>
      <c r="S116" s="24">
        <f t="shared" si="28"/>
        <v>0.33333333333333331</v>
      </c>
      <c r="T116" s="140">
        <f t="shared" si="29"/>
        <v>15.766666666666666</v>
      </c>
      <c r="U116" s="150">
        <f t="shared" si="30"/>
        <v>1</v>
      </c>
      <c r="V116" s="141">
        <f t="shared" si="31"/>
        <v>15.539999999999997</v>
      </c>
      <c r="W116" s="142">
        <f t="shared" si="32"/>
        <v>0.83333333333333337</v>
      </c>
      <c r="X116" s="144">
        <f t="shared" ca="1" si="36"/>
        <v>21.099999999999998</v>
      </c>
      <c r="Y116" s="144">
        <f t="shared" ca="1" si="37"/>
        <v>26.984848484848484</v>
      </c>
      <c r="Z116" s="144">
        <f t="shared" ca="1" si="38"/>
        <v>24.066515151515151</v>
      </c>
      <c r="AA116" s="10"/>
      <c r="AB116" s="357" t="str">
        <f>VLOOKUP($B116,'2007-2020 Metadata'!$A$4:$S$214,MATCH("Urban Area /Monitoring Zone",'2007-2020 Metadata'!$A$4:$S$4,0),FALSE)</f>
        <v>Wellington</v>
      </c>
      <c r="AC116" s="87" t="str">
        <f>VLOOKUP(B116,'2007-2020 Metadata'!$A$6:$A$214,1,FALSE)</f>
        <v>WEL051</v>
      </c>
      <c r="AD116" s="230" t="str">
        <f>VLOOKUP($AC116,'2007-2020 Metadata'!$A$6:$S$214,9,FALSE)</f>
        <v>Wellington</v>
      </c>
      <c r="AE116" s="248">
        <f>IF(ISBLANK(VLOOKUP($AC116,'2007-2020 Metadata'!$A$6:$S$214,19,FALSE)),"",VLOOKUP($AC116,'2007-2020 Metadata'!$A$6:$S$214,19,FALSE))</f>
        <v>4</v>
      </c>
      <c r="AF116" s="88" t="str">
        <f>VLOOKUP($B116,'2007-2020 Metadata'!$A$4:$S$214,MATCH("Site type",'2007-2020 Metadata'!$A$4:$S$4,0),FALSE)</f>
        <v>Local</v>
      </c>
      <c r="AG116" s="143">
        <f t="shared" si="33"/>
        <v>11</v>
      </c>
      <c r="AH116" s="143">
        <f t="shared" si="34"/>
        <v>21.5</v>
      </c>
      <c r="AI116" s="144">
        <f t="shared" ca="1" si="35"/>
        <v>24.066515151515151</v>
      </c>
    </row>
    <row r="117" spans="2:36" ht="12" customHeight="1" x14ac:dyDescent="0.15">
      <c r="B117" s="11" t="s">
        <v>130</v>
      </c>
      <c r="C117" s="29" t="str">
        <f>IF(ISBLANK(VLOOKUP($B117,'Monthly Summary 2009'!$B$7:$Q$106,14,FALSE)),"",IF(ISERROR(VLOOKUP(B117,'Monthly Summary 2009'!$B$7:$Q$106,14,FALSE)),"",VLOOKUP(B117,'Monthly Summary 2009'!$B$7:$Q$106,14,FALSE)))</f>
        <v/>
      </c>
      <c r="D117" s="7"/>
      <c r="E117" s="7"/>
      <c r="F117" s="7">
        <v>19.3</v>
      </c>
      <c r="G117" s="7">
        <v>25.7</v>
      </c>
      <c r="H117" s="7">
        <v>32.6</v>
      </c>
      <c r="I117" s="7">
        <v>32.4</v>
      </c>
      <c r="J117" s="7">
        <v>26.6</v>
      </c>
      <c r="K117" s="7">
        <v>28.2</v>
      </c>
      <c r="L117" s="7">
        <v>17.3</v>
      </c>
      <c r="M117" s="7">
        <v>18.399999999999999</v>
      </c>
      <c r="N117" s="7">
        <v>15.4</v>
      </c>
      <c r="O117" s="7">
        <v>9.8000000000000007</v>
      </c>
      <c r="P117" s="8">
        <f t="shared" si="25"/>
        <v>22.57</v>
      </c>
      <c r="Q117" s="9">
        <f t="shared" si="26"/>
        <v>0.83333333333333337</v>
      </c>
      <c r="R117" s="140" t="str">
        <f t="shared" si="27"/>
        <v>-</v>
      </c>
      <c r="S117" s="24">
        <f t="shared" si="28"/>
        <v>0.33333333333333331</v>
      </c>
      <c r="T117" s="140">
        <f t="shared" si="29"/>
        <v>24.033333333333331</v>
      </c>
      <c r="U117" s="150">
        <f t="shared" si="30"/>
        <v>1</v>
      </c>
      <c r="V117" s="141">
        <f t="shared" si="31"/>
        <v>22.57</v>
      </c>
      <c r="W117" s="142">
        <f t="shared" si="32"/>
        <v>0.83333333333333337</v>
      </c>
      <c r="X117" s="144">
        <f t="shared" ca="1" si="36"/>
        <v>16.383333333333333</v>
      </c>
      <c r="Y117" s="144">
        <f t="shared" ca="1" si="37"/>
        <v>21.771428571428569</v>
      </c>
      <c r="Z117" s="144">
        <f t="shared" ca="1" si="38"/>
        <v>19.125216450216453</v>
      </c>
      <c r="AA117" s="10"/>
      <c r="AB117" s="357" t="str">
        <f>VLOOKUP($B117,'2007-2020 Metadata'!$A$4:$S$214,MATCH("Urban Area /Monitoring Zone",'2007-2020 Metadata'!$A$4:$S$4,0),FALSE)</f>
        <v>Lower Hutt</v>
      </c>
      <c r="AC117" s="87" t="str">
        <f>VLOOKUP(B117,'2007-2020 Metadata'!$A$6:$A$214,1,FALSE)</f>
        <v>WEL052</v>
      </c>
      <c r="AD117" s="230" t="str">
        <f>VLOOKUP($AC117,'2007-2020 Metadata'!$A$6:$S$214,9,FALSE)</f>
        <v>Lower Hutt</v>
      </c>
      <c r="AE117" s="248">
        <f>IF(ISBLANK(VLOOKUP($AC117,'2007-2020 Metadata'!$A$6:$S$214,19,FALSE)),"",VLOOKUP($AC117,'2007-2020 Metadata'!$A$6:$S$214,19,FALSE))</f>
        <v>4</v>
      </c>
      <c r="AF117" s="88" t="str">
        <f>VLOOKUP($B117,'2007-2020 Metadata'!$A$4:$S$214,MATCH("Site type",'2007-2020 Metadata'!$A$4:$S$4,0),FALSE)</f>
        <v>SH</v>
      </c>
      <c r="AG117" s="143">
        <f t="shared" si="33"/>
        <v>9.8000000000000007</v>
      </c>
      <c r="AH117" s="143">
        <f t="shared" si="34"/>
        <v>32.6</v>
      </c>
      <c r="AI117" s="144">
        <f t="shared" ca="1" si="35"/>
        <v>19.125216450216453</v>
      </c>
    </row>
    <row r="118" spans="2:36" ht="12" customHeight="1" x14ac:dyDescent="0.15">
      <c r="B118" s="11" t="s">
        <v>131</v>
      </c>
      <c r="C118" s="29" t="str">
        <f>IF(ISBLANK(VLOOKUP($B118,'Monthly Summary 2009'!$B$7:$Q$106,14,FALSE)),"",IF(ISERROR(VLOOKUP(B118,'Monthly Summary 2009'!$B$7:$Q$106,14,FALSE)),"",VLOOKUP(B118,'Monthly Summary 2009'!$B$7:$Q$106,14,FALSE)))</f>
        <v/>
      </c>
      <c r="D118" s="7"/>
      <c r="E118" s="7"/>
      <c r="F118" s="7">
        <v>26</v>
      </c>
      <c r="G118" s="7">
        <v>35.700000000000003</v>
      </c>
      <c r="H118" s="7">
        <v>38.1</v>
      </c>
      <c r="I118" s="7">
        <v>41</v>
      </c>
      <c r="J118" s="7">
        <v>42.1</v>
      </c>
      <c r="K118" s="7">
        <v>33.1</v>
      </c>
      <c r="L118" s="7">
        <v>27.5</v>
      </c>
      <c r="M118" s="7">
        <v>21.9</v>
      </c>
      <c r="N118" s="7">
        <v>24.1</v>
      </c>
      <c r="O118" s="7">
        <v>15.5</v>
      </c>
      <c r="P118" s="8">
        <f t="shared" si="25"/>
        <v>30.5</v>
      </c>
      <c r="Q118" s="9">
        <f t="shared" si="26"/>
        <v>0.83333333333333337</v>
      </c>
      <c r="R118" s="140" t="str">
        <f t="shared" si="27"/>
        <v>-</v>
      </c>
      <c r="S118" s="24">
        <f t="shared" si="28"/>
        <v>0.33333333333333331</v>
      </c>
      <c r="T118" s="140">
        <f t="shared" si="29"/>
        <v>34.233333333333334</v>
      </c>
      <c r="U118" s="150">
        <f t="shared" si="30"/>
        <v>1</v>
      </c>
      <c r="V118" s="141">
        <f t="shared" si="31"/>
        <v>30.5</v>
      </c>
      <c r="W118" s="142">
        <f t="shared" si="32"/>
        <v>0.83333333333333337</v>
      </c>
      <c r="X118" s="144">
        <f t="shared" ca="1" si="36"/>
        <v>16.383333333333333</v>
      </c>
      <c r="Y118" s="144">
        <f t="shared" ca="1" si="37"/>
        <v>21.771428571428569</v>
      </c>
      <c r="Z118" s="144">
        <f t="shared" ca="1" si="38"/>
        <v>19.125216450216453</v>
      </c>
      <c r="AA118" s="10"/>
      <c r="AB118" s="357" t="str">
        <f>VLOOKUP($B118,'2007-2020 Metadata'!$A$4:$S$214,MATCH("Urban Area /Monitoring Zone",'2007-2020 Metadata'!$A$4:$S$4,0),FALSE)</f>
        <v>Lower Hutt</v>
      </c>
      <c r="AC118" s="87" t="str">
        <f>VLOOKUP(B118,'2007-2020 Metadata'!$A$6:$A$214,1,FALSE)</f>
        <v>WEL053</v>
      </c>
      <c r="AD118" s="230" t="str">
        <f>VLOOKUP($AC118,'2007-2020 Metadata'!$A$6:$S$214,9,FALSE)</f>
        <v>Lower Hutt</v>
      </c>
      <c r="AE118" s="248">
        <f>IF(ISBLANK(VLOOKUP($AC118,'2007-2020 Metadata'!$A$6:$S$214,19,FALSE)),"",VLOOKUP($AC118,'2007-2020 Metadata'!$A$6:$S$214,19,FALSE))</f>
        <v>4</v>
      </c>
      <c r="AF118" s="88" t="str">
        <f>VLOOKUP($B118,'2007-2020 Metadata'!$A$4:$S$214,MATCH("Site type",'2007-2020 Metadata'!$A$4:$S$4,0),FALSE)</f>
        <v>Local</v>
      </c>
      <c r="AG118" s="143">
        <f t="shared" si="33"/>
        <v>15.5</v>
      </c>
      <c r="AH118" s="143">
        <f t="shared" si="34"/>
        <v>42.1</v>
      </c>
      <c r="AI118" s="144">
        <f t="shared" ca="1" si="35"/>
        <v>19.125216450216453</v>
      </c>
    </row>
    <row r="119" spans="2:36" ht="12" customHeight="1" x14ac:dyDescent="0.15">
      <c r="B119" s="11" t="s">
        <v>132</v>
      </c>
      <c r="C119" s="29" t="str">
        <f>IF(ISBLANK(VLOOKUP($B119,'Monthly Summary 2009'!$B$7:$Q$106,14,FALSE)),"",IF(ISERROR(VLOOKUP(B119,'Monthly Summary 2009'!$B$7:$Q$106,14,FALSE)),"",VLOOKUP(B119,'Monthly Summary 2009'!$B$7:$Q$106,14,FALSE)))</f>
        <v/>
      </c>
      <c r="D119" s="7"/>
      <c r="E119" s="7"/>
      <c r="F119" s="7">
        <v>10</v>
      </c>
      <c r="G119" s="7">
        <v>11</v>
      </c>
      <c r="H119" s="7">
        <v>20.7</v>
      </c>
      <c r="I119" s="7">
        <v>19.2</v>
      </c>
      <c r="J119" s="7">
        <v>18.7</v>
      </c>
      <c r="K119" s="7">
        <v>16.5</v>
      </c>
      <c r="L119" s="7">
        <v>8.4</v>
      </c>
      <c r="M119" s="7">
        <v>7.3</v>
      </c>
      <c r="N119" s="7">
        <v>10</v>
      </c>
      <c r="O119" s="7">
        <v>6.4</v>
      </c>
      <c r="P119" s="8">
        <f t="shared" si="25"/>
        <v>12.820000000000002</v>
      </c>
      <c r="Q119" s="9">
        <f t="shared" si="26"/>
        <v>0.83333333333333337</v>
      </c>
      <c r="R119" s="260" t="str">
        <f t="shared" si="27"/>
        <v>-</v>
      </c>
      <c r="S119" s="264">
        <f t="shared" si="28"/>
        <v>0.33333333333333331</v>
      </c>
      <c r="T119" s="260">
        <f t="shared" si="29"/>
        <v>14.533333333333333</v>
      </c>
      <c r="U119" s="261">
        <f t="shared" si="30"/>
        <v>1</v>
      </c>
      <c r="V119" s="262">
        <f t="shared" si="31"/>
        <v>12.820000000000002</v>
      </c>
      <c r="W119" s="261">
        <f t="shared" si="32"/>
        <v>0.83333333333333337</v>
      </c>
      <c r="X119" s="177">
        <f t="shared" ca="1" si="36"/>
        <v>16.383333333333333</v>
      </c>
      <c r="Y119" s="177">
        <f t="shared" ca="1" si="37"/>
        <v>21.771428571428569</v>
      </c>
      <c r="Z119" s="177">
        <f t="shared" ca="1" si="38"/>
        <v>19.125216450216453</v>
      </c>
      <c r="AA119" s="10"/>
      <c r="AB119" s="357" t="str">
        <f>VLOOKUP($B119,'2007-2020 Metadata'!$A$4:$S$214,MATCH("Urban Area /Monitoring Zone",'2007-2020 Metadata'!$A$4:$S$4,0),FALSE)</f>
        <v>Lower Hutt</v>
      </c>
      <c r="AC119" s="259" t="str">
        <f>VLOOKUP(B119,'2007-2020 Metadata'!$A$6:$A$214,1,FALSE)</f>
        <v>WEL054</v>
      </c>
      <c r="AD119" s="256" t="str">
        <f>VLOOKUP($AC119,'2007-2020 Metadata'!$A$6:$S$214,9,FALSE)</f>
        <v>Lower Hutt</v>
      </c>
      <c r="AE119" s="263">
        <f>IF(ISBLANK(VLOOKUP($AC119,'2007-2020 Metadata'!$A$6:$S$214,19,FALSE)),"",VLOOKUP($AC119,'2007-2020 Metadata'!$A$6:$S$214,19,FALSE))</f>
        <v>3.5</v>
      </c>
      <c r="AF119" s="257" t="str">
        <f>VLOOKUP($B119,'2007-2020 Metadata'!$A$4:$S$214,MATCH("Site type",'2007-2020 Metadata'!$A$4:$S$4,0),FALSE)</f>
        <v>Background</v>
      </c>
      <c r="AG119" s="258">
        <f>MIN(AVERAGE(F$119:F$121),AVERAGE(G$119:G$121),AVERAGE(H$119:H$121),AVERAGE(I$119:I$121),AVERAGE(J$119:J$121),AVERAGE(K$119:K$121),AVERAGE(L$119:L$121),AVERAGE(M$119:M$121),AVERAGE(N$119:N$121),AVERAGE(O$119:O$121))</f>
        <v>6.5333333333333341</v>
      </c>
      <c r="AH119" s="258">
        <f>MAX(AVERAGE(F$119:F$121),AVERAGE(G$119:G$121),AVERAGE(H$119:H$121),AVERAGE(I$119:I$121),AVERAGE(J$119:J$121),AVERAGE(K$119:K$121),AVERAGE(L$119:L$121),AVERAGE(M$119:M$121),AVERAGE(N$119:N$121),AVERAGE(O$119:O$121))</f>
        <v>20.933333333333334</v>
      </c>
      <c r="AI119" s="177">
        <f t="shared" ca="1" si="35"/>
        <v>19.125216450216453</v>
      </c>
      <c r="AJ119" s="10" t="s">
        <v>550</v>
      </c>
    </row>
    <row r="120" spans="2:36" ht="12" customHeight="1" x14ac:dyDescent="0.15">
      <c r="B120" s="11" t="s">
        <v>133</v>
      </c>
      <c r="C120" s="29" t="str">
        <f>IF(ISBLANK(VLOOKUP($B120,'Monthly Summary 2009'!$B$7:$Q$106,14,FALSE)),"",IF(ISERROR(VLOOKUP(B120,'Monthly Summary 2009'!$B$7:$Q$106,14,FALSE)),"",VLOOKUP(B120,'Monthly Summary 2009'!$B$7:$Q$106,14,FALSE)))</f>
        <v/>
      </c>
      <c r="D120" s="7"/>
      <c r="E120" s="7"/>
      <c r="F120" s="7">
        <v>10.199999999999999</v>
      </c>
      <c r="G120" s="7">
        <v>12.4</v>
      </c>
      <c r="H120" s="7">
        <v>21.2</v>
      </c>
      <c r="I120" s="7">
        <v>19.2</v>
      </c>
      <c r="J120" s="7">
        <v>20</v>
      </c>
      <c r="K120" s="7">
        <v>16</v>
      </c>
      <c r="L120" s="7">
        <v>7.2</v>
      </c>
      <c r="M120" s="7">
        <v>8</v>
      </c>
      <c r="N120" s="7">
        <v>9.1</v>
      </c>
      <c r="O120" s="7">
        <v>6.4</v>
      </c>
      <c r="P120" s="8">
        <f t="shared" si="25"/>
        <v>12.969999999999999</v>
      </c>
      <c r="Q120" s="9">
        <f t="shared" si="26"/>
        <v>0.83333333333333337</v>
      </c>
      <c r="R120" s="260" t="str">
        <f t="shared" si="27"/>
        <v>-</v>
      </c>
      <c r="S120" s="264">
        <f t="shared" si="28"/>
        <v>0.33333333333333331</v>
      </c>
      <c r="T120" s="260">
        <f t="shared" si="29"/>
        <v>14.4</v>
      </c>
      <c r="U120" s="261">
        <f t="shared" si="30"/>
        <v>1</v>
      </c>
      <c r="V120" s="262">
        <f t="shared" si="31"/>
        <v>12.969999999999999</v>
      </c>
      <c r="W120" s="261">
        <f t="shared" si="32"/>
        <v>0.83333333333333337</v>
      </c>
      <c r="X120" s="177">
        <f t="shared" ca="1" si="36"/>
        <v>16.383333333333333</v>
      </c>
      <c r="Y120" s="177">
        <f t="shared" ca="1" si="37"/>
        <v>21.771428571428569</v>
      </c>
      <c r="Z120" s="177">
        <f t="shared" ca="1" si="38"/>
        <v>19.125216450216453</v>
      </c>
      <c r="AA120" s="10"/>
      <c r="AB120" s="357" t="str">
        <f>VLOOKUP($B120,'2007-2020 Metadata'!$A$4:$S$214,MATCH("Urban Area /Monitoring Zone",'2007-2020 Metadata'!$A$4:$S$4,0),FALSE)</f>
        <v>Lower Hutt</v>
      </c>
      <c r="AC120" s="259" t="str">
        <f>VLOOKUP(B120,'2007-2020 Metadata'!$A$6:$A$214,1,FALSE)</f>
        <v>WEL055</v>
      </c>
      <c r="AD120" s="256" t="str">
        <f>VLOOKUP($AC120,'2007-2020 Metadata'!$A$6:$S$214,9,FALSE)</f>
        <v>Lower Hutt</v>
      </c>
      <c r="AE120" s="263">
        <f>IF(ISBLANK(VLOOKUP($AC120,'2007-2020 Metadata'!$A$6:$S$214,19,FALSE)),"",VLOOKUP($AC120,'2007-2020 Metadata'!$A$6:$S$214,19,FALSE))</f>
        <v>3.5</v>
      </c>
      <c r="AF120" s="257" t="str">
        <f>VLOOKUP($B120,'2007-2020 Metadata'!$A$4:$S$214,MATCH("Site type",'2007-2020 Metadata'!$A$4:$S$4,0),FALSE)</f>
        <v>Background</v>
      </c>
      <c r="AG120" s="258">
        <f t="shared" ref="AG120:AG121" si="41">MIN(AVERAGE(F$119:F$121),AVERAGE(G$119:G$121),AVERAGE(H$119:H$121),AVERAGE(I$119:I$121),AVERAGE(J$119:J$121),AVERAGE(K$119:K$121),AVERAGE(L$119:L$121),AVERAGE(M$119:M$121),AVERAGE(N$119:N$121),AVERAGE(O$119:O$121))</f>
        <v>6.5333333333333341</v>
      </c>
      <c r="AH120" s="258">
        <f t="shared" ref="AH120:AH121" si="42">MAX(AVERAGE(F$119:F$121),AVERAGE(G$119:G$121),AVERAGE(H$119:H$121),AVERAGE(I$119:I$121),AVERAGE(J$119:J$121),AVERAGE(K$119:K$121),AVERAGE(L$119:L$121),AVERAGE(M$119:M$121),AVERAGE(N$119:N$121),AVERAGE(O$119:O$121))</f>
        <v>20.933333333333334</v>
      </c>
      <c r="AI120" s="177">
        <f t="shared" ca="1" si="35"/>
        <v>19.125216450216453</v>
      </c>
      <c r="AJ120" s="10" t="s">
        <v>550</v>
      </c>
    </row>
    <row r="121" spans="2:36" ht="12" customHeight="1" x14ac:dyDescent="0.15">
      <c r="B121" s="11" t="s">
        <v>134</v>
      </c>
      <c r="C121" s="29" t="str">
        <f>IF(ISBLANK(VLOOKUP($B121,'Monthly Summary 2009'!$B$7:$Q$106,14,FALSE)),"",IF(ISERROR(VLOOKUP(B121,'Monthly Summary 2009'!$B$7:$Q$106,14,FALSE)),"",VLOOKUP(B121,'Monthly Summary 2009'!$B$7:$Q$106,14,FALSE)))</f>
        <v/>
      </c>
      <c r="D121" s="7"/>
      <c r="E121" s="7"/>
      <c r="F121" s="7">
        <v>9.8000000000000007</v>
      </c>
      <c r="G121" s="7">
        <v>12.5</v>
      </c>
      <c r="H121" s="7">
        <v>20.9</v>
      </c>
      <c r="I121" s="7">
        <v>19.100000000000001</v>
      </c>
      <c r="J121" s="7">
        <v>19.7</v>
      </c>
      <c r="K121" s="7">
        <v>16.7</v>
      </c>
      <c r="L121" s="7">
        <v>8.8000000000000007</v>
      </c>
      <c r="M121" s="7">
        <v>9.9</v>
      </c>
      <c r="N121" s="7">
        <v>7.7</v>
      </c>
      <c r="O121" s="7">
        <v>6.8</v>
      </c>
      <c r="P121" s="8">
        <f t="shared" si="25"/>
        <v>13.190000000000001</v>
      </c>
      <c r="Q121" s="9">
        <f t="shared" si="26"/>
        <v>0.83333333333333337</v>
      </c>
      <c r="R121" s="260" t="str">
        <f t="shared" si="27"/>
        <v>-</v>
      </c>
      <c r="S121" s="264">
        <f t="shared" si="28"/>
        <v>0.33333333333333331</v>
      </c>
      <c r="T121" s="260">
        <f t="shared" si="29"/>
        <v>15.066666666666668</v>
      </c>
      <c r="U121" s="261">
        <f t="shared" si="30"/>
        <v>1</v>
      </c>
      <c r="V121" s="262">
        <f t="shared" si="31"/>
        <v>13.190000000000001</v>
      </c>
      <c r="W121" s="261">
        <f t="shared" si="32"/>
        <v>0.83333333333333337</v>
      </c>
      <c r="X121" s="177">
        <f t="shared" ca="1" si="36"/>
        <v>16.383333333333333</v>
      </c>
      <c r="Y121" s="177">
        <f t="shared" ca="1" si="37"/>
        <v>21.771428571428569</v>
      </c>
      <c r="Z121" s="177">
        <f t="shared" ca="1" si="38"/>
        <v>19.125216450216453</v>
      </c>
      <c r="AA121" s="10"/>
      <c r="AB121" s="357" t="str">
        <f>VLOOKUP($B121,'2007-2020 Metadata'!$A$4:$S$214,MATCH("Urban Area /Monitoring Zone",'2007-2020 Metadata'!$A$4:$S$4,0),FALSE)</f>
        <v>Lower Hutt</v>
      </c>
      <c r="AC121" s="259" t="str">
        <f>VLOOKUP(B121,'2007-2020 Metadata'!$A$6:$A$214,1,FALSE)</f>
        <v>WEL056</v>
      </c>
      <c r="AD121" s="256" t="str">
        <f>VLOOKUP($AC121,'2007-2020 Metadata'!$A$6:$S$214,9,FALSE)</f>
        <v>Lower Hutt</v>
      </c>
      <c r="AE121" s="263">
        <f>IF(ISBLANK(VLOOKUP($AC121,'2007-2020 Metadata'!$A$6:$S$214,19,FALSE)),"",VLOOKUP($AC121,'2007-2020 Metadata'!$A$6:$S$214,19,FALSE))</f>
        <v>3.5</v>
      </c>
      <c r="AF121" s="257" t="str">
        <f>VLOOKUP($B121,'2007-2020 Metadata'!$A$4:$S$214,MATCH("Site type",'2007-2020 Metadata'!$A$4:$S$4,0),FALSE)</f>
        <v>Background</v>
      </c>
      <c r="AG121" s="258">
        <f t="shared" si="41"/>
        <v>6.5333333333333341</v>
      </c>
      <c r="AH121" s="258">
        <f t="shared" si="42"/>
        <v>20.933333333333334</v>
      </c>
      <c r="AI121" s="177">
        <f t="shared" ca="1" si="35"/>
        <v>19.125216450216453</v>
      </c>
      <c r="AJ121" s="10" t="s">
        <v>550</v>
      </c>
    </row>
    <row r="122" spans="2:36" ht="12" customHeight="1" x14ac:dyDescent="0.15">
      <c r="B122" s="11" t="s">
        <v>135</v>
      </c>
      <c r="C122" s="29" t="str">
        <f>IF(ISBLANK(VLOOKUP($B122,'Monthly Summary 2009'!$B$7:$Q$106,14,FALSE)),"",IF(ISERROR(VLOOKUP(B122,'Monthly Summary 2009'!$B$7:$Q$106,14,FALSE)),"",VLOOKUP(B122,'Monthly Summary 2009'!$B$7:$Q$106,14,FALSE)))</f>
        <v/>
      </c>
      <c r="D122" s="7"/>
      <c r="E122" s="7"/>
      <c r="F122" s="7">
        <v>15.7</v>
      </c>
      <c r="G122" s="7">
        <v>20.9</v>
      </c>
      <c r="H122" s="7">
        <v>29.5</v>
      </c>
      <c r="I122" s="7">
        <v>22.9</v>
      </c>
      <c r="J122" s="7">
        <v>25.2</v>
      </c>
      <c r="K122" s="7">
        <v>23.6</v>
      </c>
      <c r="L122" s="7">
        <v>21.9</v>
      </c>
      <c r="M122" s="7">
        <v>12.3</v>
      </c>
      <c r="N122" s="7">
        <v>16.3</v>
      </c>
      <c r="O122" s="7">
        <v>11</v>
      </c>
      <c r="P122" s="8">
        <f t="shared" si="25"/>
        <v>19.930000000000003</v>
      </c>
      <c r="Q122" s="9">
        <f t="shared" si="26"/>
        <v>0.83333333333333337</v>
      </c>
      <c r="R122" s="140" t="str">
        <f t="shared" si="27"/>
        <v>-</v>
      </c>
      <c r="S122" s="24">
        <f t="shared" si="28"/>
        <v>0.33333333333333331</v>
      </c>
      <c r="T122" s="140">
        <f t="shared" si="29"/>
        <v>23.566666666666663</v>
      </c>
      <c r="U122" s="150">
        <f t="shared" si="30"/>
        <v>1</v>
      </c>
      <c r="V122" s="141">
        <f t="shared" si="31"/>
        <v>19.930000000000003</v>
      </c>
      <c r="W122" s="142">
        <f t="shared" si="32"/>
        <v>0.83333333333333337</v>
      </c>
      <c r="X122" s="144" t="str">
        <f t="shared" ca="1" si="36"/>
        <v/>
      </c>
      <c r="Y122" s="144">
        <f t="shared" ca="1" si="37"/>
        <v>14.033333333333333</v>
      </c>
      <c r="Z122" s="144">
        <f t="shared" ca="1" si="38"/>
        <v>11.957500000000001</v>
      </c>
      <c r="AA122" s="10"/>
      <c r="AB122" s="357" t="str">
        <f>VLOOKUP($B122,'2007-2020 Metadata'!$A$4:$S$214,MATCH("Urban Area /Monitoring Zone",'2007-2020 Metadata'!$A$4:$S$4,0),FALSE)</f>
        <v>Upper Hutt</v>
      </c>
      <c r="AC122" s="87" t="str">
        <f>VLOOKUP(B122,'2007-2020 Metadata'!$A$6:$A$214,1,FALSE)</f>
        <v>WEL057</v>
      </c>
      <c r="AD122" s="230" t="str">
        <f>VLOOKUP($AC122,'2007-2020 Metadata'!$A$6:$S$214,9,FALSE)</f>
        <v>Upper Hutt</v>
      </c>
      <c r="AE122" s="248">
        <f>IF(ISBLANK(VLOOKUP($AC122,'2007-2020 Metadata'!$A$6:$S$214,19,FALSE)),"",VLOOKUP($AC122,'2007-2020 Metadata'!$A$6:$S$214,19,FALSE))</f>
        <v>4</v>
      </c>
      <c r="AF122" s="88" t="str">
        <f>VLOOKUP($B122,'2007-2020 Metadata'!$A$4:$S$214,MATCH("Site type",'2007-2020 Metadata'!$A$4:$S$4,0),FALSE)</f>
        <v>SH</v>
      </c>
      <c r="AG122" s="143">
        <f t="shared" si="33"/>
        <v>11</v>
      </c>
      <c r="AH122" s="143">
        <f t="shared" si="34"/>
        <v>29.5</v>
      </c>
      <c r="AI122" s="144">
        <f t="shared" ca="1" si="35"/>
        <v>11.957500000000001</v>
      </c>
    </row>
    <row r="123" spans="2:36" ht="12" customHeight="1" x14ac:dyDescent="0.15">
      <c r="B123" s="11" t="s">
        <v>136</v>
      </c>
      <c r="C123" s="29" t="str">
        <f>IF(ISBLANK(VLOOKUP($B123,'Monthly Summary 2009'!$B$7:$Q$106,14,FALSE)),"",IF(ISERROR(VLOOKUP(B123,'Monthly Summary 2009'!$B$7:$Q$106,14,FALSE)),"",VLOOKUP(B123,'Monthly Summary 2009'!$B$7:$Q$106,14,FALSE)))</f>
        <v/>
      </c>
      <c r="D123" s="7"/>
      <c r="E123" s="7"/>
      <c r="F123" s="7">
        <v>6</v>
      </c>
      <c r="G123" s="7">
        <v>9.3000000000000007</v>
      </c>
      <c r="H123" s="7">
        <v>15.7</v>
      </c>
      <c r="I123" s="7">
        <v>14.3</v>
      </c>
      <c r="J123" s="7">
        <v>14.8</v>
      </c>
      <c r="K123" s="7">
        <v>12.5</v>
      </c>
      <c r="L123" s="7">
        <v>6</v>
      </c>
      <c r="M123" s="7">
        <v>6.6</v>
      </c>
      <c r="N123" s="7">
        <v>5.8</v>
      </c>
      <c r="O123" s="7">
        <v>4.5999999999999996</v>
      </c>
      <c r="P123" s="8">
        <f t="shared" si="25"/>
        <v>9.5599999999999987</v>
      </c>
      <c r="Q123" s="9">
        <f t="shared" si="26"/>
        <v>0.83333333333333337</v>
      </c>
      <c r="R123" s="260" t="str">
        <f t="shared" si="27"/>
        <v>-</v>
      </c>
      <c r="S123" s="264">
        <f t="shared" si="28"/>
        <v>0.33333333333333331</v>
      </c>
      <c r="T123" s="260">
        <f t="shared" si="29"/>
        <v>11.1</v>
      </c>
      <c r="U123" s="261">
        <f t="shared" si="30"/>
        <v>1</v>
      </c>
      <c r="V123" s="262">
        <f t="shared" si="31"/>
        <v>9.5599999999999987</v>
      </c>
      <c r="W123" s="261">
        <f t="shared" si="32"/>
        <v>0.83333333333333337</v>
      </c>
      <c r="X123" s="177" t="str">
        <f t="shared" ca="1" si="36"/>
        <v/>
      </c>
      <c r="Y123" s="177">
        <f t="shared" ca="1" si="37"/>
        <v>14.033333333333333</v>
      </c>
      <c r="Z123" s="177">
        <f t="shared" ca="1" si="38"/>
        <v>11.957500000000001</v>
      </c>
      <c r="AA123" s="10"/>
      <c r="AB123" s="357" t="str">
        <f>VLOOKUP($B123,'2007-2020 Metadata'!$A$4:$S$214,MATCH("Urban Area /Monitoring Zone",'2007-2020 Metadata'!$A$4:$S$4,0),FALSE)</f>
        <v>Upper Hutt</v>
      </c>
      <c r="AC123" s="259" t="str">
        <f>VLOOKUP(B123,'2007-2020 Metadata'!$A$6:$A$214,1,FALSE)</f>
        <v>WEL058</v>
      </c>
      <c r="AD123" s="256" t="str">
        <f>VLOOKUP($AC123,'2007-2020 Metadata'!$A$6:$S$214,9,FALSE)</f>
        <v>Upper Hutt</v>
      </c>
      <c r="AE123" s="263">
        <f>IF(ISBLANK(VLOOKUP($AC123,'2007-2020 Metadata'!$A$6:$S$214,19,FALSE)),"",VLOOKUP($AC123,'2007-2020 Metadata'!$A$6:$S$214,19,FALSE))</f>
        <v>4</v>
      </c>
      <c r="AF123" s="257" t="str">
        <f>VLOOKUP($B123,'2007-2020 Metadata'!$A$4:$S$214,MATCH("Site type",'2007-2020 Metadata'!$A$4:$S$4,0),FALSE)</f>
        <v>Background</v>
      </c>
      <c r="AG123" s="258">
        <f>MIN(AVERAGE(F$123:F$125),AVERAGE(G$123:G$125),AVERAGE(H$123:H$125),AVERAGE(I$123:I$125),AVERAGE(J$123:J$125),AVERAGE(K$123:K$125),AVERAGE(L$123:L$125),AVERAGE(M$123:M$125),AVERAGE(N$123:N$125),AVERAGE(O$123:O$125))</f>
        <v>3.7333333333333329</v>
      </c>
      <c r="AH123" s="258">
        <f>MAX(AVERAGE(F$123:F$125),AVERAGE(G$123:G$125),AVERAGE(H$123:H$125),AVERAGE(I$123:I$125),AVERAGE(J$123:J$125),AVERAGE(K$123:K$125),AVERAGE(L$123:L$125),AVERAGE(M$123:M$125),AVERAGE(N$123:N$125),AVERAGE(O$123:O$125))</f>
        <v>15.166666666666666</v>
      </c>
      <c r="AI123" s="177">
        <f t="shared" ca="1" si="35"/>
        <v>11.957500000000001</v>
      </c>
      <c r="AJ123" s="10" t="s">
        <v>550</v>
      </c>
    </row>
    <row r="124" spans="2:36" ht="12" customHeight="1" x14ac:dyDescent="0.15">
      <c r="B124" s="11" t="s">
        <v>137</v>
      </c>
      <c r="C124" s="29" t="str">
        <f>IF(ISBLANK(VLOOKUP($B124,'Monthly Summary 2009'!$B$7:$Q$106,14,FALSE)),"",IF(ISERROR(VLOOKUP(B124,'Monthly Summary 2009'!$B$7:$Q$106,14,FALSE)),"",VLOOKUP(B124,'Monthly Summary 2009'!$B$7:$Q$106,14,FALSE)))</f>
        <v/>
      </c>
      <c r="D124" s="7"/>
      <c r="E124" s="7"/>
      <c r="F124" s="7">
        <v>5.5</v>
      </c>
      <c r="G124" s="7">
        <v>6.5</v>
      </c>
      <c r="H124" s="7">
        <v>14.9</v>
      </c>
      <c r="I124" s="7">
        <v>15.8</v>
      </c>
      <c r="J124" s="7">
        <v>15.5</v>
      </c>
      <c r="K124" s="7">
        <v>12</v>
      </c>
      <c r="L124" s="7">
        <v>5.5</v>
      </c>
      <c r="M124" s="7">
        <v>6.4</v>
      </c>
      <c r="N124" s="7">
        <v>6.5</v>
      </c>
      <c r="O124" s="7">
        <v>3.1</v>
      </c>
      <c r="P124" s="8">
        <f t="shared" si="25"/>
        <v>9.17</v>
      </c>
      <c r="Q124" s="9">
        <f t="shared" si="26"/>
        <v>0.83333333333333337</v>
      </c>
      <c r="R124" s="260" t="str">
        <f t="shared" si="27"/>
        <v>-</v>
      </c>
      <c r="S124" s="264">
        <f t="shared" si="28"/>
        <v>0.33333333333333331</v>
      </c>
      <c r="T124" s="260">
        <f t="shared" si="29"/>
        <v>11</v>
      </c>
      <c r="U124" s="261">
        <f t="shared" si="30"/>
        <v>1</v>
      </c>
      <c r="V124" s="262">
        <f t="shared" si="31"/>
        <v>9.17</v>
      </c>
      <c r="W124" s="261">
        <f t="shared" si="32"/>
        <v>0.83333333333333337</v>
      </c>
      <c r="X124" s="177" t="str">
        <f t="shared" ca="1" si="36"/>
        <v/>
      </c>
      <c r="Y124" s="177">
        <f t="shared" ca="1" si="37"/>
        <v>14.033333333333333</v>
      </c>
      <c r="Z124" s="177">
        <f t="shared" ca="1" si="38"/>
        <v>11.957500000000001</v>
      </c>
      <c r="AA124" s="10"/>
      <c r="AB124" s="357" t="str">
        <f>VLOOKUP($B124,'2007-2020 Metadata'!$A$4:$S$214,MATCH("Urban Area /Monitoring Zone",'2007-2020 Metadata'!$A$4:$S$4,0),FALSE)</f>
        <v>Upper Hutt</v>
      </c>
      <c r="AC124" s="259" t="str">
        <f>VLOOKUP(B124,'2007-2020 Metadata'!$A$6:$A$214,1,FALSE)</f>
        <v>WEL059</v>
      </c>
      <c r="AD124" s="256" t="str">
        <f>VLOOKUP($AC124,'2007-2020 Metadata'!$A$6:$S$214,9,FALSE)</f>
        <v>Upper Hutt</v>
      </c>
      <c r="AE124" s="263">
        <f>IF(ISBLANK(VLOOKUP($AC124,'2007-2020 Metadata'!$A$6:$S$214,19,FALSE)),"",VLOOKUP($AC124,'2007-2020 Metadata'!$A$6:$S$214,19,FALSE))</f>
        <v>4</v>
      </c>
      <c r="AF124" s="257" t="str">
        <f>VLOOKUP($B124,'2007-2020 Metadata'!$A$4:$S$214,MATCH("Site type",'2007-2020 Metadata'!$A$4:$S$4,0),FALSE)</f>
        <v>Background</v>
      </c>
      <c r="AG124" s="258">
        <f t="shared" ref="AG124:AG125" si="43">MIN(AVERAGE(F$123:F$125),AVERAGE(G$123:G$125),AVERAGE(H$123:H$125),AVERAGE(I$123:I$125),AVERAGE(J$123:J$125),AVERAGE(K$123:K$125),AVERAGE(L$123:L$125),AVERAGE(M$123:M$125),AVERAGE(N$123:N$125),AVERAGE(O$123:O$125))</f>
        <v>3.7333333333333329</v>
      </c>
      <c r="AH124" s="258">
        <f t="shared" ref="AH124:AH125" si="44">MAX(AVERAGE(F$123:F$125),AVERAGE(G$123:G$125),AVERAGE(H$123:H$125),AVERAGE(I$123:I$125),AVERAGE(J$123:J$125),AVERAGE(K$123:K$125),AVERAGE(L$123:L$125),AVERAGE(M$123:M$125),AVERAGE(N$123:N$125),AVERAGE(O$123:O$125))</f>
        <v>15.166666666666666</v>
      </c>
      <c r="AI124" s="177">
        <f t="shared" ca="1" si="35"/>
        <v>11.957500000000001</v>
      </c>
      <c r="AJ124" s="10" t="s">
        <v>550</v>
      </c>
    </row>
    <row r="125" spans="2:36" ht="12" customHeight="1" x14ac:dyDescent="0.15">
      <c r="B125" s="11" t="s">
        <v>138</v>
      </c>
      <c r="C125" s="29" t="str">
        <f>IF(ISBLANK(VLOOKUP($B125,'Monthly Summary 2009'!$B$7:$Q$106,14,FALSE)),"",IF(ISERROR(VLOOKUP(B125,'Monthly Summary 2009'!$B$7:$Q$106,14,FALSE)),"",VLOOKUP(B125,'Monthly Summary 2009'!$B$7:$Q$106,14,FALSE)))</f>
        <v/>
      </c>
      <c r="D125" s="7"/>
      <c r="E125" s="7"/>
      <c r="F125" s="7">
        <v>5.5</v>
      </c>
      <c r="G125" s="7">
        <v>7.4</v>
      </c>
      <c r="H125" s="7">
        <v>14.9</v>
      </c>
      <c r="I125" s="7">
        <v>14</v>
      </c>
      <c r="J125" s="7">
        <v>14.3</v>
      </c>
      <c r="K125" s="7">
        <v>11.2</v>
      </c>
      <c r="L125" s="7">
        <v>5.9</v>
      </c>
      <c r="M125" s="7">
        <v>6.2</v>
      </c>
      <c r="N125" s="7">
        <v>8.8000000000000007</v>
      </c>
      <c r="O125" s="7">
        <v>3.5</v>
      </c>
      <c r="P125" s="8">
        <f t="shared" si="25"/>
        <v>9.17</v>
      </c>
      <c r="Q125" s="9">
        <f t="shared" si="26"/>
        <v>0.83333333333333337</v>
      </c>
      <c r="R125" s="260" t="str">
        <f t="shared" si="27"/>
        <v>-</v>
      </c>
      <c r="S125" s="264">
        <f t="shared" si="28"/>
        <v>0.33333333333333331</v>
      </c>
      <c r="T125" s="260">
        <f t="shared" si="29"/>
        <v>10.466666666666667</v>
      </c>
      <c r="U125" s="261">
        <f t="shared" si="30"/>
        <v>1</v>
      </c>
      <c r="V125" s="262">
        <f t="shared" si="31"/>
        <v>9.17</v>
      </c>
      <c r="W125" s="261">
        <f t="shared" si="32"/>
        <v>0.83333333333333337</v>
      </c>
      <c r="X125" s="177" t="str">
        <f t="shared" ca="1" si="36"/>
        <v/>
      </c>
      <c r="Y125" s="177">
        <f t="shared" ca="1" si="37"/>
        <v>14.033333333333333</v>
      </c>
      <c r="Z125" s="177">
        <f t="shared" ca="1" si="38"/>
        <v>11.957500000000001</v>
      </c>
      <c r="AA125" s="10"/>
      <c r="AB125" s="357" t="str">
        <f>VLOOKUP($B125,'2007-2020 Metadata'!$A$4:$S$214,MATCH("Urban Area /Monitoring Zone",'2007-2020 Metadata'!$A$4:$S$4,0),FALSE)</f>
        <v>Upper Hutt</v>
      </c>
      <c r="AC125" s="259" t="str">
        <f>VLOOKUP(B125,'2007-2020 Metadata'!$A$6:$A$214,1,FALSE)</f>
        <v>WEL060</v>
      </c>
      <c r="AD125" s="256" t="str">
        <f>VLOOKUP($AC125,'2007-2020 Metadata'!$A$6:$S$214,9,FALSE)</f>
        <v>Upper Hutt</v>
      </c>
      <c r="AE125" s="263">
        <f>IF(ISBLANK(VLOOKUP($AC125,'2007-2020 Metadata'!$A$6:$S$214,19,FALSE)),"",VLOOKUP($AC125,'2007-2020 Metadata'!$A$6:$S$214,19,FALSE))</f>
        <v>4</v>
      </c>
      <c r="AF125" s="257" t="str">
        <f>VLOOKUP($B125,'2007-2020 Metadata'!$A$4:$S$214,MATCH("Site type",'2007-2020 Metadata'!$A$4:$S$4,0),FALSE)</f>
        <v>Background</v>
      </c>
      <c r="AG125" s="258">
        <f t="shared" si="43"/>
        <v>3.7333333333333329</v>
      </c>
      <c r="AH125" s="258">
        <f t="shared" si="44"/>
        <v>15.166666666666666</v>
      </c>
      <c r="AI125" s="177">
        <f t="shared" ca="1" si="35"/>
        <v>11.957500000000001</v>
      </c>
      <c r="AJ125" s="10" t="s">
        <v>550</v>
      </c>
    </row>
    <row r="126" spans="2:36" ht="12" customHeight="1" x14ac:dyDescent="0.15">
      <c r="B126" s="11" t="s">
        <v>139</v>
      </c>
      <c r="C126" s="29" t="str">
        <f>IF(ISBLANK(VLOOKUP($B126,'Monthly Summary 2009'!$B$7:$Q$106,14,FALSE)),"",IF(ISERROR(VLOOKUP(B126,'Monthly Summary 2009'!$B$7:$Q$106,14,FALSE)),"",VLOOKUP(B126,'Monthly Summary 2009'!$B$7:$Q$106,14,FALSE)))</f>
        <v/>
      </c>
      <c r="D126" s="7"/>
      <c r="E126" s="7"/>
      <c r="F126" s="7">
        <v>12.8</v>
      </c>
      <c r="G126" s="7">
        <v>12</v>
      </c>
      <c r="H126" s="7">
        <v>27.3</v>
      </c>
      <c r="I126" s="7">
        <v>25.2</v>
      </c>
      <c r="J126" s="7">
        <v>25.4</v>
      </c>
      <c r="K126" s="7">
        <v>19.899999999999999</v>
      </c>
      <c r="L126" s="7">
        <v>15.1</v>
      </c>
      <c r="M126" s="7">
        <v>13</v>
      </c>
      <c r="N126" s="7">
        <v>14</v>
      </c>
      <c r="O126" s="7">
        <v>9.1</v>
      </c>
      <c r="P126" s="8">
        <f t="shared" si="25"/>
        <v>17.38</v>
      </c>
      <c r="Q126" s="9">
        <f t="shared" si="26"/>
        <v>0.83333333333333337</v>
      </c>
      <c r="R126" s="140" t="str">
        <f t="shared" si="27"/>
        <v>-</v>
      </c>
      <c r="S126" s="24">
        <f t="shared" si="28"/>
        <v>0.33333333333333331</v>
      </c>
      <c r="T126" s="140">
        <f t="shared" si="29"/>
        <v>20.133333333333333</v>
      </c>
      <c r="U126" s="150">
        <f t="shared" si="30"/>
        <v>1</v>
      </c>
      <c r="V126" s="141">
        <f t="shared" si="31"/>
        <v>17.38</v>
      </c>
      <c r="W126" s="142">
        <f t="shared" si="32"/>
        <v>0.83333333333333337</v>
      </c>
      <c r="X126" s="144">
        <f t="shared" ca="1" si="36"/>
        <v>16.866666666666664</v>
      </c>
      <c r="Y126" s="144">
        <f t="shared" ca="1" si="37"/>
        <v>20.583333333333336</v>
      </c>
      <c r="Z126" s="144">
        <f t="shared" ca="1" si="38"/>
        <v>17.93090909090909</v>
      </c>
      <c r="AA126" s="10"/>
      <c r="AB126" s="357" t="str">
        <f>VLOOKUP($B126,'2007-2020 Metadata'!$A$4:$S$214,MATCH("Urban Area /Monitoring Zone",'2007-2020 Metadata'!$A$4:$S$4,0),FALSE)</f>
        <v>Otaki</v>
      </c>
      <c r="AC126" s="87" t="str">
        <f>VLOOKUP(B126,'2007-2020 Metadata'!$A$6:$A$214,1,FALSE)</f>
        <v>WEL061</v>
      </c>
      <c r="AD126" s="230" t="str">
        <f>VLOOKUP($AC126,'2007-2020 Metadata'!$A$6:$S$214,9,FALSE)</f>
        <v>Kapiti Coast</v>
      </c>
      <c r="AE126" s="248">
        <f>IF(ISBLANK(VLOOKUP($AC126,'2007-2020 Metadata'!$A$6:$S$214,19,FALSE)),"",VLOOKUP($AC126,'2007-2020 Metadata'!$A$6:$S$214,19,FALSE))</f>
        <v>4</v>
      </c>
      <c r="AF126" s="88" t="str">
        <f>VLOOKUP($B126,'2007-2020 Metadata'!$A$4:$S$214,MATCH("Site type",'2007-2020 Metadata'!$A$4:$S$4,0),FALSE)</f>
        <v>SH</v>
      </c>
      <c r="AG126" s="143">
        <f t="shared" si="33"/>
        <v>9.1</v>
      </c>
      <c r="AH126" s="143">
        <f t="shared" si="34"/>
        <v>27.3</v>
      </c>
      <c r="AI126" s="144">
        <f t="shared" ca="1" si="35"/>
        <v>17.93090909090909</v>
      </c>
    </row>
    <row r="127" spans="2:36" ht="12" customHeight="1" x14ac:dyDescent="0.15">
      <c r="B127" s="11" t="s">
        <v>140</v>
      </c>
      <c r="C127" s="29" t="str">
        <f>IF(ISBLANK(VLOOKUP($B127,'Monthly Summary 2009'!$B$7:$Q$106,14,FALSE)),"",IF(ISERROR(VLOOKUP(B127,'Monthly Summary 2009'!$B$7:$Q$106,14,FALSE)),"",VLOOKUP(B127,'Monthly Summary 2009'!$B$7:$Q$106,14,FALSE)))</f>
        <v/>
      </c>
      <c r="D127" s="7"/>
      <c r="E127" s="7"/>
      <c r="F127" s="7"/>
      <c r="G127" s="7">
        <v>14.1</v>
      </c>
      <c r="H127" s="7">
        <v>18.5</v>
      </c>
      <c r="I127" s="7">
        <v>15.6</v>
      </c>
      <c r="J127" s="7">
        <v>19.399999999999999</v>
      </c>
      <c r="K127" s="7">
        <v>13</v>
      </c>
      <c r="L127" s="7">
        <v>11.2</v>
      </c>
      <c r="M127" s="7">
        <v>7.5</v>
      </c>
      <c r="N127" s="7">
        <v>9.8000000000000007</v>
      </c>
      <c r="O127" s="7">
        <v>7.3</v>
      </c>
      <c r="P127" s="8">
        <f t="shared" si="25"/>
        <v>12.933333333333332</v>
      </c>
      <c r="Q127" s="9">
        <f t="shared" si="26"/>
        <v>0.75</v>
      </c>
      <c r="R127" s="140" t="str">
        <f t="shared" si="27"/>
        <v/>
      </c>
      <c r="S127" s="24">
        <f t="shared" si="28"/>
        <v>0</v>
      </c>
      <c r="T127" s="140">
        <f t="shared" si="29"/>
        <v>14.533333333333331</v>
      </c>
      <c r="U127" s="150">
        <f t="shared" si="30"/>
        <v>1</v>
      </c>
      <c r="V127" s="141" t="str">
        <f t="shared" si="31"/>
        <v>-</v>
      </c>
      <c r="W127" s="142">
        <f t="shared" si="32"/>
        <v>0.75</v>
      </c>
      <c r="X127" s="144">
        <f t="shared" ca="1" si="36"/>
        <v>17.766666666666666</v>
      </c>
      <c r="Y127" s="144">
        <f t="shared" ca="1" si="37"/>
        <v>21.75</v>
      </c>
      <c r="Z127" s="144">
        <f t="shared" ca="1" si="38"/>
        <v>20.56818181818182</v>
      </c>
      <c r="AA127" s="10"/>
      <c r="AB127" s="357" t="str">
        <f>VLOOKUP($B127,'2007-2020 Metadata'!$A$4:$S$214,MATCH("Urban Area /Monitoring Zone",'2007-2020 Metadata'!$A$4:$S$4,0),FALSE)</f>
        <v>Nelson</v>
      </c>
      <c r="AC127" s="87" t="str">
        <f>VLOOKUP(B127,'2007-2020 Metadata'!$A$6:$A$214,1,FALSE)</f>
        <v>WEL062</v>
      </c>
      <c r="AD127" s="230" t="str">
        <f>VLOOKUP($AC127,'2007-2020 Metadata'!$A$6:$S$214,9,FALSE)</f>
        <v>Nelson</v>
      </c>
      <c r="AE127" s="248">
        <f>IF(ISBLANK(VLOOKUP($AC127,'2007-2020 Metadata'!$A$6:$S$214,19,FALSE)),"",VLOOKUP($AC127,'2007-2020 Metadata'!$A$6:$S$214,19,FALSE))</f>
        <v>2.2000000000000002</v>
      </c>
      <c r="AF127" s="88" t="str">
        <f>VLOOKUP($B127,'2007-2020 Metadata'!$A$4:$S$214,MATCH("Site type",'2007-2020 Metadata'!$A$4:$S$4,0),FALSE)</f>
        <v>Background</v>
      </c>
      <c r="AG127" s="143">
        <f t="shared" si="33"/>
        <v>7.3</v>
      </c>
      <c r="AH127" s="143">
        <f t="shared" si="34"/>
        <v>19.399999999999999</v>
      </c>
      <c r="AI127" s="144">
        <f t="shared" ca="1" si="35"/>
        <v>20.56818181818182</v>
      </c>
    </row>
    <row r="128" spans="2:36" ht="12" customHeight="1" x14ac:dyDescent="0.15">
      <c r="B128" s="11" t="s">
        <v>141</v>
      </c>
      <c r="C128" s="29">
        <f>IF(ISBLANK(VLOOKUP($B128,'Monthly Summary 2009'!$B$7:$Q$106,14,FALSE)),"",IF(ISERROR(VLOOKUP(B128,'Monthly Summary 2009'!$B$7:$Q$106,14,FALSE)),"",VLOOKUP(B128,'Monthly Summary 2009'!$B$7:$Q$106,14,FALSE)))</f>
        <v>15</v>
      </c>
      <c r="D128" s="7">
        <v>14</v>
      </c>
      <c r="E128" s="7">
        <v>16.899999999999999</v>
      </c>
      <c r="F128" s="7">
        <v>19.7</v>
      </c>
      <c r="G128" s="7">
        <v>23.5</v>
      </c>
      <c r="H128" s="7"/>
      <c r="I128" s="7">
        <v>25.9</v>
      </c>
      <c r="J128" s="7">
        <v>21.3</v>
      </c>
      <c r="K128" s="7">
        <v>23.6</v>
      </c>
      <c r="L128" s="7">
        <v>18.2</v>
      </c>
      <c r="M128" s="7">
        <v>13.6</v>
      </c>
      <c r="N128" s="7">
        <v>11.4</v>
      </c>
      <c r="O128" s="7">
        <v>15.2</v>
      </c>
      <c r="P128" s="8">
        <f t="shared" si="25"/>
        <v>18.481818181818181</v>
      </c>
      <c r="Q128" s="9">
        <f t="shared" si="26"/>
        <v>0.91666666666666663</v>
      </c>
      <c r="R128" s="140">
        <f t="shared" si="27"/>
        <v>16.866666666666664</v>
      </c>
      <c r="S128" s="24">
        <f t="shared" si="28"/>
        <v>1</v>
      </c>
      <c r="T128" s="140">
        <f t="shared" si="29"/>
        <v>21.033333333333335</v>
      </c>
      <c r="U128" s="150">
        <f t="shared" si="30"/>
        <v>1</v>
      </c>
      <c r="V128" s="141">
        <f t="shared" si="31"/>
        <v>18.481818181818181</v>
      </c>
      <c r="W128" s="142">
        <f t="shared" si="32"/>
        <v>0.91666666666666663</v>
      </c>
      <c r="X128" s="144">
        <f t="shared" ca="1" si="36"/>
        <v>16.866666666666664</v>
      </c>
      <c r="Y128" s="144">
        <f t="shared" ca="1" si="37"/>
        <v>20.583333333333336</v>
      </c>
      <c r="Z128" s="144">
        <f t="shared" ca="1" si="38"/>
        <v>17.93090909090909</v>
      </c>
      <c r="AA128" s="10"/>
      <c r="AB128" s="357" t="str">
        <f>VLOOKUP($B128,'2007-2020 Metadata'!$A$4:$S$214,MATCH("Urban Area /Monitoring Zone",'2007-2020 Metadata'!$A$4:$S$4,0),FALSE)</f>
        <v xml:space="preserve">Kapiti </v>
      </c>
      <c r="AC128" s="87" t="str">
        <f>VLOOKUP(B128,'2007-2020 Metadata'!$A$6:$A$214,1,FALSE)</f>
        <v>WEL063</v>
      </c>
      <c r="AD128" s="230" t="str">
        <f>VLOOKUP($AC128,'2007-2020 Metadata'!$A$6:$S$214,9,FALSE)</f>
        <v>Kapiti Coast</v>
      </c>
      <c r="AE128" s="248">
        <f>IF(ISBLANK(VLOOKUP($AC128,'2007-2020 Metadata'!$A$6:$S$214,19,FALSE)),"",VLOOKUP($AC128,'2007-2020 Metadata'!$A$6:$S$214,19,FALSE))</f>
        <v>3.5</v>
      </c>
      <c r="AF128" s="88" t="str">
        <f>VLOOKUP($B128,'2007-2020 Metadata'!$A$4:$S$214,MATCH("Site type",'2007-2020 Metadata'!$A$4:$S$4,0),FALSE)</f>
        <v>Local (ex SH)</v>
      </c>
      <c r="AG128" s="143">
        <f t="shared" si="33"/>
        <v>11.4</v>
      </c>
      <c r="AH128" s="143">
        <f t="shared" si="34"/>
        <v>25.9</v>
      </c>
      <c r="AI128" s="144">
        <f t="shared" ca="1" si="35"/>
        <v>17.93090909090909</v>
      </c>
    </row>
    <row r="129" spans="2:36" ht="12" customHeight="1" x14ac:dyDescent="0.15">
      <c r="B129" s="11" t="s">
        <v>142</v>
      </c>
      <c r="C129" s="29" t="str">
        <f>IF(ISBLANK(VLOOKUP($B129,'Monthly Summary 2009'!$B$7:$Q$106,14,FALSE)),"",IF(ISERROR(VLOOKUP(B129,'Monthly Summary 2009'!$B$7:$Q$106,14,FALSE)),"",VLOOKUP(B129,'Monthly Summary 2009'!$B$7:$Q$106,14,FALSE)))</f>
        <v/>
      </c>
      <c r="D129" s="345"/>
      <c r="E129" s="345"/>
      <c r="F129" s="7">
        <v>23.4</v>
      </c>
      <c r="G129" s="7">
        <v>23.6</v>
      </c>
      <c r="H129" s="7">
        <v>30.3</v>
      </c>
      <c r="I129" s="7">
        <v>33.700000000000003</v>
      </c>
      <c r="J129" s="7">
        <v>36.1</v>
      </c>
      <c r="K129" s="7">
        <v>31.9</v>
      </c>
      <c r="L129" s="7">
        <v>19.600000000000001</v>
      </c>
      <c r="M129" s="7">
        <v>19.5</v>
      </c>
      <c r="N129" s="7">
        <v>22.3</v>
      </c>
      <c r="O129" s="7">
        <v>10.7</v>
      </c>
      <c r="P129" s="8">
        <f t="shared" si="25"/>
        <v>25.11</v>
      </c>
      <c r="Q129" s="9">
        <f t="shared" si="26"/>
        <v>0.83333333333333337</v>
      </c>
      <c r="R129" s="140" t="str">
        <f t="shared" si="27"/>
        <v>-</v>
      </c>
      <c r="S129" s="24">
        <f t="shared" si="28"/>
        <v>0.33333333333333331</v>
      </c>
      <c r="T129" s="140">
        <f t="shared" si="29"/>
        <v>29.2</v>
      </c>
      <c r="U129" s="150">
        <f t="shared" si="30"/>
        <v>1</v>
      </c>
      <c r="V129" s="141">
        <f t="shared" si="31"/>
        <v>25.11</v>
      </c>
      <c r="W129" s="142">
        <f t="shared" si="32"/>
        <v>0.83333333333333337</v>
      </c>
      <c r="X129" s="144">
        <f t="shared" ca="1" si="36"/>
        <v>21.099999999999998</v>
      </c>
      <c r="Y129" s="144">
        <f t="shared" ca="1" si="37"/>
        <v>26.984848484848484</v>
      </c>
      <c r="Z129" s="144">
        <f t="shared" ca="1" si="38"/>
        <v>24.066515151515151</v>
      </c>
      <c r="AA129" s="10"/>
      <c r="AB129" s="357" t="str">
        <f>VLOOKUP($B129,'2007-2020 Metadata'!$A$4:$S$214,MATCH("Urban Area /Monitoring Zone",'2007-2020 Metadata'!$A$4:$S$4,0),FALSE)</f>
        <v>Wellington</v>
      </c>
      <c r="AC129" s="87" t="str">
        <f>VLOOKUP(B129,'2007-2020 Metadata'!$A$6:$A$214,1,FALSE)</f>
        <v>WEL064</v>
      </c>
      <c r="AD129" s="230" t="str">
        <f>VLOOKUP($AC129,'2007-2020 Metadata'!$A$6:$S$214,9,FALSE)</f>
        <v>Wellington</v>
      </c>
      <c r="AE129" s="248">
        <f>IF(ISBLANK(VLOOKUP($AC129,'2007-2020 Metadata'!$A$6:$S$214,19,FALSE)),"",VLOOKUP($AC129,'2007-2020 Metadata'!$A$6:$S$214,19,FALSE))</f>
        <v>4</v>
      </c>
      <c r="AF129" s="88" t="str">
        <f>VLOOKUP($B129,'2007-2020 Metadata'!$A$4:$S$214,MATCH("Site type",'2007-2020 Metadata'!$A$4:$S$4,0),FALSE)</f>
        <v>SH</v>
      </c>
      <c r="AG129" s="143">
        <f t="shared" si="33"/>
        <v>10.7</v>
      </c>
      <c r="AH129" s="143">
        <f t="shared" si="34"/>
        <v>36.1</v>
      </c>
      <c r="AI129" s="144">
        <f t="shared" ca="1" si="35"/>
        <v>24.066515151515151</v>
      </c>
    </row>
    <row r="130" spans="2:36" ht="12" customHeight="1" x14ac:dyDescent="0.15">
      <c r="B130" s="11" t="s">
        <v>21</v>
      </c>
      <c r="C130" s="29" t="str">
        <f>IF(ISBLANK(VLOOKUP($B136,'Monthly Summary 2009'!$B$7:$Q$106,14,FALSE)),"",IF(ISERROR(VLOOKUP(B136,'Monthly Summary 2009'!$B$7:$Q$106,14,FALSE)),"",VLOOKUP(B136,'Monthly Summary 2009'!$B$7:$Q$106,14,FALSE)))</f>
        <v/>
      </c>
      <c r="D130" s="7">
        <v>9.6</v>
      </c>
      <c r="E130" s="7">
        <v>13.6</v>
      </c>
      <c r="F130" s="7">
        <v>12.3</v>
      </c>
      <c r="G130" s="7">
        <v>18.600000000000001</v>
      </c>
      <c r="H130" s="7">
        <v>14</v>
      </c>
      <c r="I130" s="7">
        <v>9.9</v>
      </c>
      <c r="J130" s="7">
        <v>17.399999999999999</v>
      </c>
      <c r="K130" s="7">
        <v>15.6</v>
      </c>
      <c r="L130" s="7">
        <v>16.5</v>
      </c>
      <c r="M130" s="7">
        <v>10</v>
      </c>
      <c r="N130" s="7">
        <v>11.4</v>
      </c>
      <c r="O130" s="7">
        <v>5.5</v>
      </c>
      <c r="P130" s="8">
        <f t="shared" si="25"/>
        <v>12.866666666666667</v>
      </c>
      <c r="Q130" s="9">
        <f t="shared" si="26"/>
        <v>1</v>
      </c>
      <c r="R130" s="140">
        <f t="shared" si="27"/>
        <v>11.833333333333334</v>
      </c>
      <c r="S130" s="24">
        <f t="shared" si="28"/>
        <v>1</v>
      </c>
      <c r="T130" s="140">
        <f t="shared" si="29"/>
        <v>16.5</v>
      </c>
      <c r="U130" s="150">
        <f t="shared" si="30"/>
        <v>1</v>
      </c>
      <c r="V130" s="141">
        <f t="shared" si="31"/>
        <v>12.866666666666667</v>
      </c>
      <c r="W130" s="142">
        <f t="shared" si="32"/>
        <v>1</v>
      </c>
      <c r="X130" s="144">
        <f t="shared" ca="1" si="36"/>
        <v>11.833333333333334</v>
      </c>
      <c r="Y130" s="144">
        <f t="shared" ca="1" si="37"/>
        <v>16.5</v>
      </c>
      <c r="Z130" s="144">
        <f t="shared" ca="1" si="38"/>
        <v>12.866666666666667</v>
      </c>
      <c r="AA130" s="10"/>
      <c r="AB130" s="357" t="str">
        <f>VLOOKUP($B130,'2007-2020 Metadata'!$A$4:$S$214,MATCH("Urban Area /Monitoring Zone",'2007-2020 Metadata'!$A$4:$S$4,0),FALSE)</f>
        <v>Greymouth</v>
      </c>
      <c r="AC130" s="87" t="str">
        <f>VLOOKUP(B130,'2007-2020 Metadata'!$A$6:$A$214,1,FALSE)</f>
        <v>CHR001</v>
      </c>
      <c r="AD130" s="230" t="str">
        <f>VLOOKUP($AC130,'2007-2020 Metadata'!$A$6:$S$214,9,FALSE)</f>
        <v>Greymouth</v>
      </c>
      <c r="AE130" s="248">
        <f>IF(ISBLANK(VLOOKUP($AC130,'2007-2020 Metadata'!$A$6:$S$214,19,FALSE)),"",VLOOKUP($AC130,'2007-2020 Metadata'!$A$6:$S$214,19,FALSE))</f>
        <v>2.2999999999999998</v>
      </c>
      <c r="AF130" s="88" t="str">
        <f>VLOOKUP($B130,'2007-2020 Metadata'!$A$4:$S$214,MATCH("Site type",'2007-2020 Metadata'!$A$4:$S$4,0),FALSE)</f>
        <v>SH</v>
      </c>
      <c r="AG130" s="143">
        <f t="shared" si="33"/>
        <v>5.5</v>
      </c>
      <c r="AH130" s="143">
        <f t="shared" si="34"/>
        <v>18.600000000000001</v>
      </c>
      <c r="AI130" s="144">
        <f t="shared" ca="1" si="35"/>
        <v>12.866666666666667</v>
      </c>
    </row>
    <row r="131" spans="2:36" ht="12" customHeight="1" x14ac:dyDescent="0.15">
      <c r="B131" s="11" t="s">
        <v>22</v>
      </c>
      <c r="C131" s="29">
        <f>IF(ISBLANK(VLOOKUP($B131,'Monthly Summary 2009'!$B$7:$Q$106,14,FALSE)),"",IF(ISERROR(VLOOKUP(B131,'Monthly Summary 2009'!$B$7:$Q$106,14,FALSE)),"",VLOOKUP(B131,'Monthly Summary 2009'!$B$7:$Q$106,14,FALSE)))</f>
        <v>13.8</v>
      </c>
      <c r="D131" s="7">
        <v>20.8</v>
      </c>
      <c r="E131" s="7">
        <v>22</v>
      </c>
      <c r="F131" s="7">
        <v>26.9</v>
      </c>
      <c r="G131" s="7">
        <v>33.4</v>
      </c>
      <c r="H131" s="7">
        <v>39.5</v>
      </c>
      <c r="I131" s="7">
        <v>23.2</v>
      </c>
      <c r="J131" s="7">
        <v>37.5</v>
      </c>
      <c r="K131" s="7">
        <v>33.4</v>
      </c>
      <c r="L131" s="7">
        <v>23.6</v>
      </c>
      <c r="M131" s="7">
        <v>25</v>
      </c>
      <c r="N131" s="7">
        <v>17.3</v>
      </c>
      <c r="O131" s="7">
        <v>19.3</v>
      </c>
      <c r="P131" s="8">
        <f t="shared" si="25"/>
        <v>26.825000000000003</v>
      </c>
      <c r="Q131" s="9">
        <f t="shared" si="26"/>
        <v>1</v>
      </c>
      <c r="R131" s="140">
        <f t="shared" si="27"/>
        <v>23.233333333333331</v>
      </c>
      <c r="S131" s="24">
        <f t="shared" si="28"/>
        <v>1</v>
      </c>
      <c r="T131" s="140">
        <f t="shared" si="29"/>
        <v>31.5</v>
      </c>
      <c r="U131" s="150">
        <f t="shared" si="30"/>
        <v>1</v>
      </c>
      <c r="V131" s="141">
        <f t="shared" si="31"/>
        <v>26.825000000000003</v>
      </c>
      <c r="W131" s="142">
        <f t="shared" si="32"/>
        <v>1</v>
      </c>
      <c r="X131" s="144">
        <f t="shared" ca="1" si="36"/>
        <v>17.954166666666666</v>
      </c>
      <c r="Y131" s="144">
        <f t="shared" ca="1" si="37"/>
        <v>30.722916666666663</v>
      </c>
      <c r="Z131" s="144">
        <f t="shared" ca="1" si="38"/>
        <v>23.235037878787882</v>
      </c>
      <c r="AA131" s="10"/>
      <c r="AB131" s="357" t="str">
        <f>VLOOKUP($B131,'2007-2020 Metadata'!$A$4:$S$214,MATCH("Urban Area /Monitoring Zone",'2007-2020 Metadata'!$A$4:$S$4,0),FALSE)</f>
        <v>Christchurch</v>
      </c>
      <c r="AC131" s="87" t="str">
        <f>VLOOKUP(B131,'2007-2020 Metadata'!$A$6:$A$214,1,FALSE)</f>
        <v>CHR002</v>
      </c>
      <c r="AD131" s="230" t="str">
        <f>VLOOKUP($AC131,'2007-2020 Metadata'!$A$6:$S$214,9,FALSE)</f>
        <v>Christchurch</v>
      </c>
      <c r="AE131" s="248">
        <f>IF(ISBLANK(VLOOKUP($AC131,'2007-2020 Metadata'!$A$6:$S$214,19,FALSE)),"",VLOOKUP($AC131,'2007-2020 Metadata'!$A$6:$S$214,19,FALSE))</f>
        <v>3.2</v>
      </c>
      <c r="AF131" s="88" t="str">
        <f>VLOOKUP($B131,'2007-2020 Metadata'!$A$4:$S$214,MATCH("Site type",'2007-2020 Metadata'!$A$4:$S$4,0),FALSE)</f>
        <v>SH</v>
      </c>
      <c r="AG131" s="143">
        <f t="shared" si="33"/>
        <v>17.3</v>
      </c>
      <c r="AH131" s="143">
        <f t="shared" si="34"/>
        <v>39.5</v>
      </c>
      <c r="AI131" s="144">
        <f t="shared" ca="1" si="35"/>
        <v>23.235037878787882</v>
      </c>
    </row>
    <row r="132" spans="2:36" ht="12" customHeight="1" x14ac:dyDescent="0.15">
      <c r="B132" s="11" t="s">
        <v>23</v>
      </c>
      <c r="C132" s="29">
        <f>IF(ISBLANK(VLOOKUP($B132,'Monthly Summary 2009'!$B$7:$Q$106,14,FALSE)),"",IF(ISERROR(VLOOKUP(B132,'Monthly Summary 2009'!$B$7:$Q$106,14,FALSE)),"",VLOOKUP(B132,'Monthly Summary 2009'!$B$7:$Q$106,14,FALSE)))</f>
        <v>11.7</v>
      </c>
      <c r="D132" s="7">
        <v>16.2</v>
      </c>
      <c r="E132" s="7">
        <v>17.899999999999999</v>
      </c>
      <c r="F132" s="7">
        <v>23</v>
      </c>
      <c r="G132" s="7">
        <v>34</v>
      </c>
      <c r="H132" s="7">
        <v>45.1</v>
      </c>
      <c r="I132" s="7">
        <v>40.4</v>
      </c>
      <c r="J132" s="7">
        <v>39.200000000000003</v>
      </c>
      <c r="K132" s="7">
        <v>35.799999999999997</v>
      </c>
      <c r="L132" s="7">
        <v>20.2</v>
      </c>
      <c r="M132" s="7">
        <v>17.399999999999999</v>
      </c>
      <c r="N132" s="7">
        <v>16.100000000000001</v>
      </c>
      <c r="O132" s="7">
        <v>17.100000000000001</v>
      </c>
      <c r="P132" s="8">
        <f t="shared" si="25"/>
        <v>26.866666666666671</v>
      </c>
      <c r="Q132" s="9">
        <f t="shared" si="26"/>
        <v>1</v>
      </c>
      <c r="R132" s="140">
        <f t="shared" si="27"/>
        <v>19.033333333333331</v>
      </c>
      <c r="S132" s="24">
        <f t="shared" si="28"/>
        <v>1</v>
      </c>
      <c r="T132" s="140">
        <f t="shared" si="29"/>
        <v>31.733333333333334</v>
      </c>
      <c r="U132" s="150">
        <f t="shared" si="30"/>
        <v>1</v>
      </c>
      <c r="V132" s="141">
        <f t="shared" si="31"/>
        <v>26.866666666666671</v>
      </c>
      <c r="W132" s="142">
        <f t="shared" si="32"/>
        <v>1</v>
      </c>
      <c r="X132" s="144">
        <f t="shared" ca="1" si="36"/>
        <v>17.954166666666666</v>
      </c>
      <c r="Y132" s="144">
        <f t="shared" ca="1" si="37"/>
        <v>30.722916666666663</v>
      </c>
      <c r="Z132" s="144">
        <f t="shared" ca="1" si="38"/>
        <v>23.235037878787882</v>
      </c>
      <c r="AA132" s="10"/>
      <c r="AB132" s="357" t="str">
        <f>VLOOKUP($B132,'2007-2020 Metadata'!$A$4:$S$214,MATCH("Urban Area /Monitoring Zone",'2007-2020 Metadata'!$A$4:$S$4,0),FALSE)</f>
        <v>Christchurch</v>
      </c>
      <c r="AC132" s="87" t="str">
        <f>VLOOKUP(B132,'2007-2020 Metadata'!$A$6:$A$214,1,FALSE)</f>
        <v>CHR003</v>
      </c>
      <c r="AD132" s="230" t="str">
        <f>VLOOKUP($AC132,'2007-2020 Metadata'!$A$6:$S$214,9,FALSE)</f>
        <v>Christchurch</v>
      </c>
      <c r="AE132" s="248">
        <f>IF(ISBLANK(VLOOKUP($AC132,'2007-2020 Metadata'!$A$6:$S$214,19,FALSE)),"",VLOOKUP($AC132,'2007-2020 Metadata'!$A$6:$S$214,19,FALSE))</f>
        <v>3.3</v>
      </c>
      <c r="AF132" s="88" t="str">
        <f>VLOOKUP($B132,'2007-2020 Metadata'!$A$4:$S$214,MATCH("Site type",'2007-2020 Metadata'!$A$4:$S$4,0),FALSE)</f>
        <v>SH</v>
      </c>
      <c r="AG132" s="143">
        <f t="shared" si="33"/>
        <v>16.100000000000001</v>
      </c>
      <c r="AH132" s="143">
        <f t="shared" si="34"/>
        <v>45.1</v>
      </c>
      <c r="AI132" s="144">
        <f t="shared" ca="1" si="35"/>
        <v>23.235037878787882</v>
      </c>
    </row>
    <row r="133" spans="2:36" ht="12" customHeight="1" x14ac:dyDescent="0.15">
      <c r="B133" s="11" t="s">
        <v>24</v>
      </c>
      <c r="C133" s="29">
        <f>IF(ISBLANK(VLOOKUP($B133,'Monthly Summary 2009'!$B$7:$Q$106,14,FALSE)),"",IF(ISERROR(VLOOKUP(B133,'Monthly Summary 2009'!$B$7:$Q$106,14,FALSE)),"",VLOOKUP(B133,'Monthly Summary 2009'!$B$7:$Q$106,14,FALSE)))</f>
        <v>5.2</v>
      </c>
      <c r="D133" s="7"/>
      <c r="E133" s="7">
        <v>10.8</v>
      </c>
      <c r="F133" s="7">
        <v>14.5</v>
      </c>
      <c r="G133" s="7">
        <v>39.1</v>
      </c>
      <c r="H133" s="7">
        <v>17.3</v>
      </c>
      <c r="I133" s="7">
        <v>22.8</v>
      </c>
      <c r="J133" s="7">
        <v>17.399999999999999</v>
      </c>
      <c r="K133" s="7">
        <v>15.7</v>
      </c>
      <c r="L133" s="7">
        <v>8.8000000000000007</v>
      </c>
      <c r="M133" s="7">
        <v>9.3000000000000007</v>
      </c>
      <c r="N133" s="7">
        <v>1.2</v>
      </c>
      <c r="O133" s="7">
        <v>7.9</v>
      </c>
      <c r="P133" s="8">
        <f t="shared" si="25"/>
        <v>14.981818181818182</v>
      </c>
      <c r="Q133" s="9">
        <f t="shared" si="26"/>
        <v>0.91666666666666663</v>
      </c>
      <c r="R133" s="140">
        <f t="shared" si="27"/>
        <v>12.65</v>
      </c>
      <c r="S133" s="24">
        <f t="shared" si="28"/>
        <v>0.66666666666666663</v>
      </c>
      <c r="T133" s="140">
        <f t="shared" si="29"/>
        <v>13.966666666666663</v>
      </c>
      <c r="U133" s="150">
        <f t="shared" si="30"/>
        <v>1</v>
      </c>
      <c r="V133" s="141">
        <f t="shared" si="31"/>
        <v>14.981818181818182</v>
      </c>
      <c r="W133" s="142">
        <f t="shared" si="32"/>
        <v>0.91666666666666663</v>
      </c>
      <c r="X133" s="144">
        <f t="shared" ca="1" si="36"/>
        <v>17.954166666666666</v>
      </c>
      <c r="Y133" s="144">
        <f t="shared" ca="1" si="37"/>
        <v>30.722916666666663</v>
      </c>
      <c r="Z133" s="144">
        <f t="shared" ca="1" si="38"/>
        <v>23.235037878787882</v>
      </c>
      <c r="AA133" s="10"/>
      <c r="AB133" s="357" t="str">
        <f>VLOOKUP($B133,'2007-2020 Metadata'!$A$4:$S$214,MATCH("Urban Area /Monitoring Zone",'2007-2020 Metadata'!$A$4:$S$4,0),FALSE)</f>
        <v>Christchurch</v>
      </c>
      <c r="AC133" s="87" t="str">
        <f>VLOOKUP(B133,'2007-2020 Metadata'!$A$6:$A$214,1,FALSE)</f>
        <v>CHR004</v>
      </c>
      <c r="AD133" s="230" t="str">
        <f>VLOOKUP($AC133,'2007-2020 Metadata'!$A$6:$S$214,9,FALSE)</f>
        <v>Christchurch</v>
      </c>
      <c r="AE133" s="248">
        <f>IF(ISBLANK(VLOOKUP($AC133,'2007-2020 Metadata'!$A$6:$S$214,19,FALSE)),"",VLOOKUP($AC133,'2007-2020 Metadata'!$A$6:$S$214,19,FALSE))</f>
        <v>3.1</v>
      </c>
      <c r="AF133" s="88" t="str">
        <f>VLOOKUP($B133,'2007-2020 Metadata'!$A$4:$S$214,MATCH("Site type",'2007-2020 Metadata'!$A$4:$S$4,0),FALSE)</f>
        <v>Background</v>
      </c>
      <c r="AG133" s="143">
        <f t="shared" si="33"/>
        <v>1.2</v>
      </c>
      <c r="AH133" s="143">
        <f t="shared" si="34"/>
        <v>39.1</v>
      </c>
      <c r="AI133" s="144">
        <f t="shared" ca="1" si="35"/>
        <v>23.235037878787882</v>
      </c>
    </row>
    <row r="134" spans="2:36" ht="12" customHeight="1" x14ac:dyDescent="0.15">
      <c r="B134" s="11" t="s">
        <v>25</v>
      </c>
      <c r="C134" s="29" t="str">
        <f>IF(ISBLANK(VLOOKUP($B134,'Monthly Summary 2009'!$B$7:$Q$106,14,FALSE)),"",IF(ISERROR(VLOOKUP(B134,'Monthly Summary 2009'!$B$7:$Q$106,14,FALSE)),"",VLOOKUP(B134,'Monthly Summary 2009'!$B$7:$Q$106,14,FALSE)))</f>
        <v/>
      </c>
      <c r="D134" s="7">
        <v>10.4</v>
      </c>
      <c r="E134" s="7">
        <v>19.7</v>
      </c>
      <c r="F134" s="7">
        <v>20.6</v>
      </c>
      <c r="G134" s="7">
        <v>37.6</v>
      </c>
      <c r="H134" s="7">
        <v>32.4</v>
      </c>
      <c r="I134" s="7">
        <v>34.700000000000003</v>
      </c>
      <c r="J134" s="7">
        <v>29.5</v>
      </c>
      <c r="K134" s="7">
        <v>30.4</v>
      </c>
      <c r="L134" s="7">
        <v>18.8</v>
      </c>
      <c r="M134" s="7">
        <v>18</v>
      </c>
      <c r="N134" s="7">
        <v>18.5</v>
      </c>
      <c r="O134" s="7">
        <v>20.6</v>
      </c>
      <c r="P134" s="8">
        <f t="shared" si="25"/>
        <v>24.266666666666669</v>
      </c>
      <c r="Q134" s="9">
        <f t="shared" si="26"/>
        <v>1</v>
      </c>
      <c r="R134" s="140">
        <f t="shared" si="27"/>
        <v>16.900000000000002</v>
      </c>
      <c r="S134" s="24">
        <f t="shared" si="28"/>
        <v>1</v>
      </c>
      <c r="T134" s="140">
        <f t="shared" si="29"/>
        <v>26.233333333333334</v>
      </c>
      <c r="U134" s="150">
        <f t="shared" si="30"/>
        <v>1</v>
      </c>
      <c r="V134" s="141">
        <f t="shared" si="31"/>
        <v>24.266666666666669</v>
      </c>
      <c r="W134" s="142">
        <f t="shared" si="32"/>
        <v>1</v>
      </c>
      <c r="X134" s="144">
        <f t="shared" ca="1" si="36"/>
        <v>17.954166666666666</v>
      </c>
      <c r="Y134" s="144">
        <f t="shared" ca="1" si="37"/>
        <v>30.722916666666663</v>
      </c>
      <c r="Z134" s="144">
        <f t="shared" ca="1" si="38"/>
        <v>23.235037878787882</v>
      </c>
      <c r="AA134" s="10"/>
      <c r="AB134" s="357" t="str">
        <f>VLOOKUP($B134,'2007-2020 Metadata'!$A$4:$S$214,MATCH("Urban Area /Monitoring Zone",'2007-2020 Metadata'!$A$4:$S$4,0),FALSE)</f>
        <v>Christchurch</v>
      </c>
      <c r="AC134" s="87" t="str">
        <f>VLOOKUP(B134,'2007-2020 Metadata'!$A$6:$A$214,1,FALSE)</f>
        <v>CHR006</v>
      </c>
      <c r="AD134" s="230" t="str">
        <f>VLOOKUP($AC134,'2007-2020 Metadata'!$A$6:$S$214,9,FALSE)</f>
        <v>Christchurch</v>
      </c>
      <c r="AE134" s="248">
        <f>IF(ISBLANK(VLOOKUP($AC134,'2007-2020 Metadata'!$A$6:$S$214,19,FALSE)),"",VLOOKUP($AC134,'2007-2020 Metadata'!$A$6:$S$214,19,FALSE))</f>
        <v>3.4</v>
      </c>
      <c r="AF134" s="88" t="str">
        <f>VLOOKUP($B134,'2007-2020 Metadata'!$A$4:$S$214,MATCH("Site type",'2007-2020 Metadata'!$A$4:$S$4,0),FALSE)</f>
        <v>SH</v>
      </c>
      <c r="AG134" s="143">
        <f t="shared" si="33"/>
        <v>10.4</v>
      </c>
      <c r="AH134" s="143">
        <f t="shared" si="34"/>
        <v>37.6</v>
      </c>
      <c r="AI134" s="144">
        <f t="shared" ca="1" si="35"/>
        <v>23.235037878787882</v>
      </c>
    </row>
    <row r="135" spans="2:36" ht="12" customHeight="1" x14ac:dyDescent="0.15">
      <c r="B135" s="11" t="s">
        <v>143</v>
      </c>
      <c r="C135" s="29" t="str">
        <f>IF(ISBLANK(VLOOKUP($B135,'Monthly Summary 2009'!$B$7:$Q$106,14,FALSE)),"",IF(ISERROR(VLOOKUP(B135,'Monthly Summary 2009'!$B$7:$Q$106,14,FALSE)),"",VLOOKUP(B135,'Monthly Summary 2009'!$B$7:$Q$106,14,FALSE)))</f>
        <v/>
      </c>
      <c r="D135" s="7"/>
      <c r="E135" s="7"/>
      <c r="F135" s="7"/>
      <c r="G135" s="7">
        <v>27</v>
      </c>
      <c r="H135" s="7">
        <v>40.6</v>
      </c>
      <c r="I135" s="7">
        <v>39.700000000000003</v>
      </c>
      <c r="J135" s="7">
        <v>34.1</v>
      </c>
      <c r="K135" s="7">
        <v>35.4</v>
      </c>
      <c r="L135" s="7">
        <v>18</v>
      </c>
      <c r="M135" s="7">
        <v>16.600000000000001</v>
      </c>
      <c r="N135" s="7">
        <v>18.8</v>
      </c>
      <c r="O135" s="7">
        <v>18.2</v>
      </c>
      <c r="P135" s="8">
        <f t="shared" si="25"/>
        <v>27.6</v>
      </c>
      <c r="Q135" s="9">
        <f t="shared" si="26"/>
        <v>0.75</v>
      </c>
      <c r="R135" s="140" t="str">
        <f t="shared" si="27"/>
        <v/>
      </c>
      <c r="S135" s="24">
        <f t="shared" si="28"/>
        <v>0</v>
      </c>
      <c r="T135" s="140">
        <f t="shared" si="29"/>
        <v>29.166666666666668</v>
      </c>
      <c r="U135" s="150">
        <f t="shared" si="30"/>
        <v>1</v>
      </c>
      <c r="V135" s="141" t="str">
        <f t="shared" si="31"/>
        <v>-</v>
      </c>
      <c r="W135" s="142">
        <f t="shared" si="32"/>
        <v>0.75</v>
      </c>
      <c r="X135" s="144">
        <f t="shared" ref="X135:X156" ca="1" si="45">IF(VLOOKUP($B135,$AC$6:$AI$158,3,FALSE)="",$R135,IF(ISERROR(AVERAGEIF($AD$6:$AD$161,VLOOKUP($B135,$AC$6:$AI$158,2,FALSE),$R$6:$R$158)),"",AVERAGEIF($AD$6:$AD$161,VLOOKUP($B135,$AC$6:$AI$158,2,FALSE),$R$6:$R$158)))</f>
        <v>17.954166666666666</v>
      </c>
      <c r="Y135" s="144">
        <f t="shared" ref="Y135:Y156" ca="1" si="46">IF(VLOOKUP($B135,$AC$6:$AI$158,3,FALSE)="",$T135,IF(ISERROR(AVERAGEIF($AD$6:$AD$161,VLOOKUP($B135,$AC$6:$AI$158,2,FALSE),$T$6:$T$158)),"",AVERAGEIF($AD$6:$AD$161,VLOOKUP($B135,$AC$6:$AI$158,2,FALSE),$T$6:$T$158)))</f>
        <v>30.722916666666663</v>
      </c>
      <c r="Z135" s="144">
        <f t="shared" ref="Z135:Z140" ca="1" si="47">IF(VLOOKUP($B135,$AC$6:$AI$158,3,FALSE)="",$V135,IF(ISERROR(AVERAGEIF($AD$6:$AD$161,VLOOKUP($B135,$AC$6:$AI$158,2,FALSE),$V$6:$V$158)),"",AVERAGEIF($AD$6:$AD$161,VLOOKUP($B135,$AC$6:$AI$158,2,FALSE),$V$6:$V$158)))</f>
        <v>23.235037878787882</v>
      </c>
      <c r="AA135" s="10"/>
      <c r="AB135" s="357" t="str">
        <f>VLOOKUP($B135,'2007-2020 Metadata'!$A$4:$S$214,MATCH("Urban Area /Monitoring Zone",'2007-2020 Metadata'!$A$4:$S$4,0),FALSE)</f>
        <v>Christchurch</v>
      </c>
      <c r="AC135" s="87" t="str">
        <f>VLOOKUP(B135,'2007-2020 Metadata'!$A$6:$A$214,1,FALSE)</f>
        <v>CHR011</v>
      </c>
      <c r="AD135" s="230" t="str">
        <f>VLOOKUP($AC135,'2007-2020 Metadata'!$A$6:$S$214,9,FALSE)</f>
        <v>Christchurch</v>
      </c>
      <c r="AE135" s="248">
        <f>IF(ISBLANK(VLOOKUP($AC135,'2007-2020 Metadata'!$A$6:$S$214,19,FALSE)),"",VLOOKUP($AC135,'2007-2020 Metadata'!$A$6:$S$214,19,FALSE))</f>
        <v>2.85</v>
      </c>
      <c r="AF135" s="88" t="str">
        <f>VLOOKUP($B135,'2007-2020 Metadata'!$A$4:$S$214,MATCH("Site type",'2007-2020 Metadata'!$A$4:$S$4,0),FALSE)</f>
        <v>SH</v>
      </c>
      <c r="AG135" s="143">
        <f t="shared" si="33"/>
        <v>16.600000000000001</v>
      </c>
      <c r="AH135" s="143">
        <f t="shared" si="34"/>
        <v>40.6</v>
      </c>
      <c r="AI135" s="144">
        <f t="shared" ca="1" si="35"/>
        <v>23.235037878787882</v>
      </c>
    </row>
    <row r="136" spans="2:36" ht="12" customHeight="1" x14ac:dyDescent="0.15">
      <c r="B136" s="11" t="s">
        <v>144</v>
      </c>
      <c r="C136" s="29" t="str">
        <f>IF(ISBLANK(VLOOKUP($B136,'Monthly Summary 2009'!$B$7:$Q$106,14,FALSE)),"",IF(ISERROR(VLOOKUP(B136,'Monthly Summary 2009'!$B$7:$Q$106,14,FALSE)),"",VLOOKUP(B136,'Monthly Summary 2009'!$B$7:$Q$106,14,FALSE)))</f>
        <v/>
      </c>
      <c r="D136" s="7"/>
      <c r="E136" s="7"/>
      <c r="F136" s="7"/>
      <c r="G136" s="7"/>
      <c r="H136" s="7">
        <v>31.7</v>
      </c>
      <c r="I136" s="7">
        <v>38.700000000000003</v>
      </c>
      <c r="J136" s="7">
        <v>36.700000000000003</v>
      </c>
      <c r="K136" s="7">
        <v>32.299999999999997</v>
      </c>
      <c r="L136" s="7">
        <v>28.4</v>
      </c>
      <c r="M136" s="7">
        <v>21.5</v>
      </c>
      <c r="N136" s="7">
        <v>27.7</v>
      </c>
      <c r="O136" s="7">
        <v>22.9</v>
      </c>
      <c r="P136" s="8">
        <f t="shared" ref="P136:P156" si="48">AVERAGE(D136:O136)</f>
        <v>29.987500000000001</v>
      </c>
      <c r="Q136" s="22">
        <f t="shared" ref="Q136:Q156" si="49">COUNT(D136:O136)/COUNT($D$6:$O$6)</f>
        <v>0.66666666666666663</v>
      </c>
      <c r="R136" s="140" t="str">
        <f t="shared" ref="R136:R156" si="50">IF($S136=0%,"",IF($S136&gt;66%,AVERAGE($D136:$F136),"-"))</f>
        <v/>
      </c>
      <c r="S136" s="24">
        <f t="shared" ref="S136:S156" si="51">COUNT(D136:F136)/3</f>
        <v>0</v>
      </c>
      <c r="T136" s="140">
        <f t="shared" ref="T136:T156" si="52">IF($U136=0%,"",IF($U136&gt;66%,AVERAGE($J136:$L136),"-"))</f>
        <v>32.466666666666669</v>
      </c>
      <c r="U136" s="150">
        <f t="shared" ref="U136:U156" si="53">COUNT(J136:L136)/3</f>
        <v>1</v>
      </c>
      <c r="V136" s="141" t="str">
        <f t="shared" ref="V136:V156" si="54">IF(AND(($S136&gt;33%),($U136&gt;33%),($W136&gt;=75%)),AVERAGE($D136:$O136),"-")</f>
        <v>-</v>
      </c>
      <c r="W136" s="142">
        <f t="shared" ref="W136:W155" si="55">Q136</f>
        <v>0.66666666666666663</v>
      </c>
      <c r="X136" s="144">
        <f t="shared" ca="1" si="45"/>
        <v>17.954166666666666</v>
      </c>
      <c r="Y136" s="144">
        <f t="shared" ca="1" si="46"/>
        <v>30.722916666666663</v>
      </c>
      <c r="Z136" s="144">
        <f t="shared" ca="1" si="47"/>
        <v>23.235037878787882</v>
      </c>
      <c r="AA136" s="10"/>
      <c r="AB136" s="357" t="str">
        <f>VLOOKUP($B136,'2007-2020 Metadata'!$A$4:$S$214,MATCH("Urban Area /Monitoring Zone",'2007-2020 Metadata'!$A$4:$S$4,0),FALSE)</f>
        <v>Christchurch</v>
      </c>
      <c r="AC136" s="87" t="str">
        <f>VLOOKUP(B136,'2007-2020 Metadata'!$A$6:$A$214,1,FALSE)</f>
        <v>CHR012</v>
      </c>
      <c r="AD136" s="230" t="str">
        <f>VLOOKUP($AC136,'2007-2020 Metadata'!$A$6:$S$214,9,FALSE)</f>
        <v>Christchurch</v>
      </c>
      <c r="AE136" s="248">
        <f>IF(ISBLANK(VLOOKUP($AC136,'2007-2020 Metadata'!$A$6:$S$214,19,FALSE)),"",VLOOKUP($AC136,'2007-2020 Metadata'!$A$6:$S$214,19,FALSE))</f>
        <v>3</v>
      </c>
      <c r="AF136" s="88" t="str">
        <f>VLOOKUP($B136,'2007-2020 Metadata'!$A$4:$S$214,MATCH("Site type",'2007-2020 Metadata'!$A$4:$S$4,0),FALSE)</f>
        <v>Local</v>
      </c>
      <c r="AG136" s="143">
        <f t="shared" ref="AG136:AG156" si="56">MIN($D136:$O136)</f>
        <v>21.5</v>
      </c>
      <c r="AH136" s="143">
        <f t="shared" ref="AH136:AH156" si="57">MAX($D136:$O136)</f>
        <v>38.700000000000003</v>
      </c>
      <c r="AI136" s="144" t="str">
        <f t="shared" ref="AI136:AI156" si="58">IF($W136&gt;=75%,$Z136," ")</f>
        <v xml:space="preserve"> </v>
      </c>
    </row>
    <row r="137" spans="2:36" ht="12" customHeight="1" x14ac:dyDescent="0.15">
      <c r="B137" s="11" t="s">
        <v>145</v>
      </c>
      <c r="C137" s="29" t="str">
        <f>IF(ISBLANK(VLOOKUP($B137,'Monthly Summary 2009'!$B$7:$Q$106,14,FALSE)),"",IF(ISERROR(VLOOKUP(B137,'Monthly Summary 2009'!$B$7:$Q$106,14,FALSE)),"",VLOOKUP(B137,'Monthly Summary 2009'!$B$7:$Q$106,14,FALSE)))</f>
        <v/>
      </c>
      <c r="D137" s="7"/>
      <c r="E137" s="7"/>
      <c r="F137" s="7"/>
      <c r="G137" s="7">
        <v>35.200000000000003</v>
      </c>
      <c r="H137" s="7">
        <v>48.9</v>
      </c>
      <c r="I137" s="7">
        <v>39.799999999999997</v>
      </c>
      <c r="J137" s="7">
        <v>40.299999999999997</v>
      </c>
      <c r="K137" s="7">
        <v>27.8</v>
      </c>
      <c r="L137" s="7">
        <v>27.2</v>
      </c>
      <c r="M137" s="7">
        <v>19.2</v>
      </c>
      <c r="N137" s="7">
        <v>28.2</v>
      </c>
      <c r="O137" s="7">
        <v>22.1</v>
      </c>
      <c r="P137" s="8">
        <f t="shared" si="48"/>
        <v>32.077777777777776</v>
      </c>
      <c r="Q137" s="9">
        <f t="shared" si="49"/>
        <v>0.75</v>
      </c>
      <c r="R137" s="140" t="str">
        <f t="shared" si="50"/>
        <v/>
      </c>
      <c r="S137" s="24">
        <f t="shared" si="51"/>
        <v>0</v>
      </c>
      <c r="T137" s="140">
        <f t="shared" si="52"/>
        <v>31.766666666666666</v>
      </c>
      <c r="U137" s="150">
        <f t="shared" si="53"/>
        <v>1</v>
      </c>
      <c r="V137" s="141" t="str">
        <f t="shared" si="54"/>
        <v>-</v>
      </c>
      <c r="W137" s="142">
        <f t="shared" si="55"/>
        <v>0.75</v>
      </c>
      <c r="X137" s="144">
        <f t="shared" ca="1" si="45"/>
        <v>17.954166666666666</v>
      </c>
      <c r="Y137" s="144">
        <f t="shared" ca="1" si="46"/>
        <v>30.722916666666663</v>
      </c>
      <c r="Z137" s="144">
        <f t="shared" ca="1" si="47"/>
        <v>23.235037878787882</v>
      </c>
      <c r="AA137" s="10"/>
      <c r="AB137" s="357" t="str">
        <f>VLOOKUP($B137,'2007-2020 Metadata'!$A$4:$S$214,MATCH("Urban Area /Monitoring Zone",'2007-2020 Metadata'!$A$4:$S$4,0),FALSE)</f>
        <v>Christchurch</v>
      </c>
      <c r="AC137" s="87" t="str">
        <f>VLOOKUP(B137,'2007-2020 Metadata'!$A$6:$A$214,1,FALSE)</f>
        <v>CHR013</v>
      </c>
      <c r="AD137" s="230" t="str">
        <f>VLOOKUP($AC137,'2007-2020 Metadata'!$A$6:$S$214,9,FALSE)</f>
        <v>Christchurch</v>
      </c>
      <c r="AE137" s="248">
        <f>IF(ISBLANK(VLOOKUP($AC137,'2007-2020 Metadata'!$A$6:$S$214,19,FALSE)),"",VLOOKUP($AC137,'2007-2020 Metadata'!$A$6:$S$214,19,FALSE))</f>
        <v>3.15</v>
      </c>
      <c r="AF137" s="88" t="str">
        <f>VLOOKUP($B137,'2007-2020 Metadata'!$A$4:$S$214,MATCH("Site type",'2007-2020 Metadata'!$A$4:$S$4,0),FALSE)</f>
        <v>SH</v>
      </c>
      <c r="AG137" s="143">
        <f t="shared" si="56"/>
        <v>19.2</v>
      </c>
      <c r="AH137" s="143">
        <f t="shared" si="57"/>
        <v>48.9</v>
      </c>
      <c r="AI137" s="144">
        <f t="shared" ca="1" si="58"/>
        <v>23.235037878787882</v>
      </c>
    </row>
    <row r="138" spans="2:36" ht="12" customHeight="1" x14ac:dyDescent="0.15">
      <c r="B138" s="11" t="s">
        <v>146</v>
      </c>
      <c r="C138" s="29" t="str">
        <f>IF(ISBLANK(VLOOKUP($B138,'Monthly Summary 2009'!$B$7:$Q$106,14,FALSE)),"",IF(ISERROR(VLOOKUP(B138,'Monthly Summary 2009'!$B$7:$Q$106,14,FALSE)),"",VLOOKUP(B138,'Monthly Summary 2009'!$B$7:$Q$106,14,FALSE)))</f>
        <v/>
      </c>
      <c r="D138" s="7"/>
      <c r="E138" s="7"/>
      <c r="F138" s="7"/>
      <c r="G138" s="7">
        <v>19.3</v>
      </c>
      <c r="H138" s="7">
        <v>35.299999999999997</v>
      </c>
      <c r="I138" s="7">
        <v>42.1</v>
      </c>
      <c r="J138" s="7">
        <v>40.200000000000003</v>
      </c>
      <c r="K138" s="7">
        <v>37.1</v>
      </c>
      <c r="L138" s="7">
        <v>29.9</v>
      </c>
      <c r="M138" s="7">
        <v>33.1</v>
      </c>
      <c r="N138" s="7">
        <v>34</v>
      </c>
      <c r="O138" s="7">
        <v>24</v>
      </c>
      <c r="P138" s="8">
        <f t="shared" si="48"/>
        <v>32.777777777777779</v>
      </c>
      <c r="Q138" s="9">
        <f t="shared" si="49"/>
        <v>0.75</v>
      </c>
      <c r="R138" s="140" t="str">
        <f t="shared" si="50"/>
        <v/>
      </c>
      <c r="S138" s="24">
        <f t="shared" si="51"/>
        <v>0</v>
      </c>
      <c r="T138" s="140">
        <f t="shared" si="52"/>
        <v>35.733333333333341</v>
      </c>
      <c r="U138" s="150">
        <f t="shared" si="53"/>
        <v>1</v>
      </c>
      <c r="V138" s="141" t="str">
        <f t="shared" si="54"/>
        <v>-</v>
      </c>
      <c r="W138" s="142">
        <f t="shared" si="55"/>
        <v>0.75</v>
      </c>
      <c r="X138" s="144">
        <f t="shared" ca="1" si="45"/>
        <v>17.954166666666666</v>
      </c>
      <c r="Y138" s="144">
        <f t="shared" ca="1" si="46"/>
        <v>30.722916666666663</v>
      </c>
      <c r="Z138" s="144">
        <f t="shared" ca="1" si="47"/>
        <v>23.235037878787882</v>
      </c>
      <c r="AA138" s="10"/>
      <c r="AB138" s="357" t="str">
        <f>VLOOKUP($B138,'2007-2020 Metadata'!$A$4:$S$214,MATCH("Urban Area /Monitoring Zone",'2007-2020 Metadata'!$A$4:$S$4,0),FALSE)</f>
        <v>Christchurch</v>
      </c>
      <c r="AC138" s="87" t="str">
        <f>VLOOKUP(B138,'2007-2020 Metadata'!$A$6:$A$214,1,FALSE)</f>
        <v>CHR014</v>
      </c>
      <c r="AD138" s="230" t="str">
        <f>VLOOKUP($AC138,'2007-2020 Metadata'!$A$6:$S$214,9,FALSE)</f>
        <v>Christchurch</v>
      </c>
      <c r="AE138" s="248">
        <f>IF(ISBLANK(VLOOKUP($AC138,'2007-2020 Metadata'!$A$6:$S$214,19,FALSE)),"",VLOOKUP($AC138,'2007-2020 Metadata'!$A$6:$S$214,19,FALSE))</f>
        <v>2.9</v>
      </c>
      <c r="AF138" s="88" t="str">
        <f>VLOOKUP($B138,'2007-2020 Metadata'!$A$4:$S$214,MATCH("Site type",'2007-2020 Metadata'!$A$4:$S$4,0),FALSE)</f>
        <v>SH</v>
      </c>
      <c r="AG138" s="143">
        <f t="shared" si="56"/>
        <v>19.3</v>
      </c>
      <c r="AH138" s="143">
        <f t="shared" si="57"/>
        <v>42.1</v>
      </c>
      <c r="AI138" s="144">
        <f t="shared" ca="1" si="58"/>
        <v>23.235037878787882</v>
      </c>
    </row>
    <row r="139" spans="2:36" ht="12" customHeight="1" x14ac:dyDescent="0.15">
      <c r="B139" s="11" t="s">
        <v>147</v>
      </c>
      <c r="C139" s="29" t="str">
        <f>IF(ISBLANK(VLOOKUP($B139,'Monthly Summary 2009'!$B$7:$Q$106,14,FALSE)),"",IF(ISERROR(VLOOKUP(B139,'Monthly Summary 2009'!$B$7:$Q$106,14,FALSE)),"",VLOOKUP(B139,'Monthly Summary 2009'!$B$7:$Q$106,14,FALSE)))</f>
        <v/>
      </c>
      <c r="D139" s="7"/>
      <c r="E139" s="7"/>
      <c r="F139" s="7"/>
      <c r="G139" s="7">
        <v>30.4</v>
      </c>
      <c r="H139" s="7">
        <v>41.4</v>
      </c>
      <c r="I139" s="7">
        <v>42.7</v>
      </c>
      <c r="J139" s="7">
        <v>35.9</v>
      </c>
      <c r="K139" s="7">
        <v>43.2</v>
      </c>
      <c r="L139" s="7">
        <v>29.3</v>
      </c>
      <c r="M139" s="7">
        <v>22.5</v>
      </c>
      <c r="N139" s="7">
        <v>29.5</v>
      </c>
      <c r="O139" s="7">
        <v>25.4</v>
      </c>
      <c r="P139" s="8">
        <f t="shared" si="48"/>
        <v>33.366666666666667</v>
      </c>
      <c r="Q139" s="9">
        <f t="shared" si="49"/>
        <v>0.75</v>
      </c>
      <c r="R139" s="140" t="str">
        <f t="shared" si="50"/>
        <v/>
      </c>
      <c r="S139" s="24">
        <f t="shared" si="51"/>
        <v>0</v>
      </c>
      <c r="T139" s="140">
        <f t="shared" si="52"/>
        <v>36.133333333333333</v>
      </c>
      <c r="U139" s="150">
        <f t="shared" si="53"/>
        <v>1</v>
      </c>
      <c r="V139" s="141" t="str">
        <f t="shared" si="54"/>
        <v>-</v>
      </c>
      <c r="W139" s="142">
        <f t="shared" si="55"/>
        <v>0.75</v>
      </c>
      <c r="X139" s="144">
        <f t="shared" ca="1" si="45"/>
        <v>17.954166666666666</v>
      </c>
      <c r="Y139" s="144">
        <f t="shared" ca="1" si="46"/>
        <v>30.722916666666663</v>
      </c>
      <c r="Z139" s="144">
        <f t="shared" ca="1" si="47"/>
        <v>23.235037878787882</v>
      </c>
      <c r="AA139" s="10"/>
      <c r="AB139" s="357" t="str">
        <f>VLOOKUP($B139,'2007-2020 Metadata'!$A$4:$S$214,MATCH("Urban Area /Monitoring Zone",'2007-2020 Metadata'!$A$4:$S$4,0),FALSE)</f>
        <v>Christchurch</v>
      </c>
      <c r="AC139" s="87" t="str">
        <f>VLOOKUP(B139,'2007-2020 Metadata'!$A$6:$A$214,1,FALSE)</f>
        <v>CHR015</v>
      </c>
      <c r="AD139" s="230" t="str">
        <f>VLOOKUP($AC139,'2007-2020 Metadata'!$A$6:$S$214,9,FALSE)</f>
        <v>Christchurch</v>
      </c>
      <c r="AE139" s="248">
        <f>IF(ISBLANK(VLOOKUP($AC139,'2007-2020 Metadata'!$A$6:$S$214,19,FALSE)),"",VLOOKUP($AC139,'2007-2020 Metadata'!$A$6:$S$214,19,FALSE))</f>
        <v>3.1</v>
      </c>
      <c r="AF139" s="88" t="str">
        <f>VLOOKUP($B139,'2007-2020 Metadata'!$A$4:$S$214,MATCH("Site type",'2007-2020 Metadata'!$A$4:$S$4,0),FALSE)</f>
        <v>Local</v>
      </c>
      <c r="AG139" s="143">
        <f t="shared" si="56"/>
        <v>22.5</v>
      </c>
      <c r="AH139" s="143">
        <f t="shared" si="57"/>
        <v>43.2</v>
      </c>
      <c r="AI139" s="144">
        <f t="shared" ca="1" si="58"/>
        <v>23.235037878787882</v>
      </c>
    </row>
    <row r="140" spans="2:36" ht="12" customHeight="1" x14ac:dyDescent="0.15">
      <c r="B140" s="11" t="s">
        <v>148</v>
      </c>
      <c r="C140" s="29" t="str">
        <f>IF(ISBLANK(VLOOKUP($B140,'Monthly Summary 2009'!$B$7:$Q$106,14,FALSE)),"",IF(ISERROR(VLOOKUP(B140,'Monthly Summary 2009'!$B$7:$Q$106,14,FALSE)),"",VLOOKUP(B140,'Monthly Summary 2009'!$B$7:$Q$106,14,FALSE)))</f>
        <v/>
      </c>
      <c r="D140" s="7"/>
      <c r="E140" s="7"/>
      <c r="F140" s="7"/>
      <c r="G140" s="7">
        <v>38.1</v>
      </c>
      <c r="H140" s="7">
        <v>52.2</v>
      </c>
      <c r="I140" s="7">
        <v>49.3</v>
      </c>
      <c r="J140" s="7">
        <v>48.6</v>
      </c>
      <c r="K140" s="7">
        <v>51</v>
      </c>
      <c r="L140" s="7">
        <v>18.399999999999999</v>
      </c>
      <c r="M140" s="7">
        <v>36.299999999999997</v>
      </c>
      <c r="N140" s="7">
        <v>42.1</v>
      </c>
      <c r="O140" s="7">
        <v>31.7</v>
      </c>
      <c r="P140" s="8">
        <f t="shared" si="48"/>
        <v>40.855555555555561</v>
      </c>
      <c r="Q140" s="9">
        <f t="shared" si="49"/>
        <v>0.75</v>
      </c>
      <c r="R140" s="140" t="str">
        <f t="shared" si="50"/>
        <v/>
      </c>
      <c r="S140" s="24">
        <f t="shared" si="51"/>
        <v>0</v>
      </c>
      <c r="T140" s="140">
        <f t="shared" si="52"/>
        <v>39.333333333333336</v>
      </c>
      <c r="U140" s="150">
        <f t="shared" si="53"/>
        <v>1</v>
      </c>
      <c r="V140" s="141" t="str">
        <f t="shared" si="54"/>
        <v>-</v>
      </c>
      <c r="W140" s="142">
        <f t="shared" si="55"/>
        <v>0.75</v>
      </c>
      <c r="X140" s="144">
        <f t="shared" ca="1" si="45"/>
        <v>17.954166666666666</v>
      </c>
      <c r="Y140" s="144">
        <f t="shared" ca="1" si="46"/>
        <v>30.722916666666663</v>
      </c>
      <c r="Z140" s="144">
        <f t="shared" ca="1" si="47"/>
        <v>23.235037878787882</v>
      </c>
      <c r="AA140" s="10"/>
      <c r="AB140" s="357" t="str">
        <f>VLOOKUP($B140,'2007-2020 Metadata'!$A$4:$S$214,MATCH("Urban Area /Monitoring Zone",'2007-2020 Metadata'!$A$4:$S$4,0),FALSE)</f>
        <v>Christchurch</v>
      </c>
      <c r="AC140" s="87" t="str">
        <f>VLOOKUP(B140,'2007-2020 Metadata'!$A$6:$A$214,1,FALSE)</f>
        <v>CHR016</v>
      </c>
      <c r="AD140" s="230" t="str">
        <f>VLOOKUP($AC140,'2007-2020 Metadata'!$A$6:$S$214,9,FALSE)</f>
        <v>Christchurch</v>
      </c>
      <c r="AE140" s="248">
        <f>IF(ISBLANK(VLOOKUP($AC140,'2007-2020 Metadata'!$A$6:$S$214,19,FALSE)),"",VLOOKUP($AC140,'2007-2020 Metadata'!$A$6:$S$214,19,FALSE))</f>
        <v>3</v>
      </c>
      <c r="AF140" s="88" t="str">
        <f>VLOOKUP($B140,'2007-2020 Metadata'!$A$4:$S$214,MATCH("Site type",'2007-2020 Metadata'!$A$4:$S$4,0),FALSE)</f>
        <v>Local</v>
      </c>
      <c r="AG140" s="143">
        <f t="shared" si="56"/>
        <v>18.399999999999999</v>
      </c>
      <c r="AH140" s="143">
        <f t="shared" si="57"/>
        <v>52.2</v>
      </c>
      <c r="AI140" s="144">
        <f t="shared" ca="1" si="58"/>
        <v>23.235037878787882</v>
      </c>
    </row>
    <row r="141" spans="2:36" ht="12" customHeight="1" x14ac:dyDescent="0.15">
      <c r="B141" s="11" t="s">
        <v>149</v>
      </c>
      <c r="C141" s="29" t="str">
        <f>IF(ISBLANK(VLOOKUP($B141,'Monthly Summary 2009'!$B$7:$Q$106,14,FALSE)),"",IF(ISERROR(VLOOKUP(B141,'Monthly Summary 2009'!$B$7:$Q$106,14,FALSE)),"",VLOOKUP(B141,'Monthly Summary 2009'!$B$7:$Q$106,14,FALSE)))</f>
        <v/>
      </c>
      <c r="D141" s="7"/>
      <c r="E141" s="7"/>
      <c r="F141" s="7"/>
      <c r="G141" s="7">
        <v>47.9</v>
      </c>
      <c r="H141" s="7">
        <v>44.2</v>
      </c>
      <c r="I141" s="7">
        <v>38.4</v>
      </c>
      <c r="J141" s="7">
        <v>51.3</v>
      </c>
      <c r="K141" s="7">
        <v>49.8</v>
      </c>
      <c r="L141" s="7">
        <v>39.5</v>
      </c>
      <c r="M141" s="7">
        <v>36.299999999999997</v>
      </c>
      <c r="N141" s="7">
        <v>42.7</v>
      </c>
      <c r="O141" s="7">
        <v>28.1</v>
      </c>
      <c r="P141" s="8">
        <f t="shared" si="48"/>
        <v>42.022222222222226</v>
      </c>
      <c r="Q141" s="9">
        <f t="shared" si="49"/>
        <v>0.75</v>
      </c>
      <c r="R141" s="260" t="str">
        <f t="shared" si="50"/>
        <v/>
      </c>
      <c r="S141" s="264">
        <f t="shared" si="51"/>
        <v>0</v>
      </c>
      <c r="T141" s="260">
        <f t="shared" si="52"/>
        <v>46.866666666666667</v>
      </c>
      <c r="U141" s="261">
        <f t="shared" si="53"/>
        <v>1</v>
      </c>
      <c r="V141" s="262" t="str">
        <f t="shared" si="54"/>
        <v>-</v>
      </c>
      <c r="W141" s="261">
        <f t="shared" si="55"/>
        <v>0.75</v>
      </c>
      <c r="X141" s="177">
        <f t="shared" ca="1" si="45"/>
        <v>17.954166666666666</v>
      </c>
      <c r="Y141" s="177">
        <f t="shared" ca="1" si="46"/>
        <v>30.722916666666663</v>
      </c>
      <c r="Z141" s="177" t="s">
        <v>493</v>
      </c>
      <c r="AA141" s="10"/>
      <c r="AB141" s="357" t="str">
        <f>VLOOKUP($B141,'2007-2020 Metadata'!$A$4:$S$214,MATCH("Urban Area /Monitoring Zone",'2007-2020 Metadata'!$A$4:$S$4,0),FALSE)</f>
        <v>Christchurch</v>
      </c>
      <c r="AC141" s="259" t="str">
        <f>VLOOKUP(B141,'2007-2020 Metadata'!$A$6:$A$214,1,FALSE)</f>
        <v>CHR017</v>
      </c>
      <c r="AD141" s="256" t="str">
        <f>VLOOKUP($AC141,'2007-2020 Metadata'!$A$6:$S$214,9,FALSE)</f>
        <v>Christchurch</v>
      </c>
      <c r="AE141" s="263">
        <f>IF(ISBLANK(VLOOKUP($AC141,'2007-2020 Metadata'!$A$6:$S$214,19,FALSE)),"",VLOOKUP($AC141,'2007-2020 Metadata'!$A$6:$S$214,19,FALSE))</f>
        <v>3</v>
      </c>
      <c r="AF141" s="257" t="str">
        <f>VLOOKUP($B141,'2007-2020 Metadata'!$A$4:$S$214,MATCH("Site type",'2007-2020 Metadata'!$A$4:$S$4,0),FALSE)</f>
        <v>Local</v>
      </c>
      <c r="AG141" s="258">
        <f>MIN(AVERAGE(G$141:G$143),AVERAGE(H$141:H$143),AVERAGE(I$141:I$143),AVERAGE(J$141:J$143),AVERAGE(K$141:K$143),AVERAGE(L$141:L$143),AVERAGE(M$141:M$143),AVERAGE(N$141:N$143),AVERAGE(O$141:O$143))</f>
        <v>34.700000000000003</v>
      </c>
      <c r="AH141" s="258">
        <f>MAX(AVERAGE(G$141:G$143),AVERAGE(H$141:H$143),AVERAGE(I$141:I$143),AVERAGE(J$141:J$143),AVERAGE(K$141:K$143),AVERAGE(L$141:L$143),AVERAGE(M$141:M$143),AVERAGE(N$141:N$143),AVERAGE(O$141:O$143))</f>
        <v>52.233333333333327</v>
      </c>
      <c r="AI141" s="177" t="str">
        <f t="shared" si="58"/>
        <v>-</v>
      </c>
      <c r="AJ141" s="10" t="s">
        <v>551</v>
      </c>
    </row>
    <row r="142" spans="2:36" ht="12" customHeight="1" x14ac:dyDescent="0.15">
      <c r="B142" s="11" t="s">
        <v>150</v>
      </c>
      <c r="C142" s="29" t="str">
        <f>IF(ISBLANK(VLOOKUP($B142,'Monthly Summary 2009'!$B$7:$Q$106,14,FALSE)),"",IF(ISERROR(VLOOKUP(B142,'Monthly Summary 2009'!$B$7:$Q$106,14,FALSE)),"",VLOOKUP(B142,'Monthly Summary 2009'!$B$7:$Q$106,14,FALSE)))</f>
        <v/>
      </c>
      <c r="D142" s="7"/>
      <c r="E142" s="7"/>
      <c r="F142" s="7"/>
      <c r="G142" s="7">
        <v>50</v>
      </c>
      <c r="H142" s="7">
        <v>48.2</v>
      </c>
      <c r="I142" s="7">
        <v>42.3</v>
      </c>
      <c r="J142" s="7">
        <v>51.5</v>
      </c>
      <c r="K142" s="7">
        <v>42.5</v>
      </c>
      <c r="L142" s="7">
        <v>39.299999999999997</v>
      </c>
      <c r="M142" s="7">
        <v>36.6</v>
      </c>
      <c r="N142" s="7">
        <v>44.5</v>
      </c>
      <c r="O142" s="7">
        <v>40.700000000000003</v>
      </c>
      <c r="P142" s="8">
        <f t="shared" si="48"/>
        <v>43.955555555555556</v>
      </c>
      <c r="Q142" s="9">
        <f t="shared" si="49"/>
        <v>0.75</v>
      </c>
      <c r="R142" s="260" t="str">
        <f t="shared" si="50"/>
        <v/>
      </c>
      <c r="S142" s="264">
        <f t="shared" si="51"/>
        <v>0</v>
      </c>
      <c r="T142" s="260">
        <f t="shared" si="52"/>
        <v>44.433333333333337</v>
      </c>
      <c r="U142" s="261">
        <f t="shared" si="53"/>
        <v>1</v>
      </c>
      <c r="V142" s="262" t="str">
        <f t="shared" si="54"/>
        <v>-</v>
      </c>
      <c r="W142" s="261">
        <f t="shared" si="55"/>
        <v>0.75</v>
      </c>
      <c r="X142" s="177">
        <f t="shared" ca="1" si="45"/>
        <v>17.954166666666666</v>
      </c>
      <c r="Y142" s="177">
        <f t="shared" ca="1" si="46"/>
        <v>30.722916666666663</v>
      </c>
      <c r="Z142" s="177" t="s">
        <v>493</v>
      </c>
      <c r="AA142" s="10"/>
      <c r="AB142" s="357" t="str">
        <f>VLOOKUP($B142,'2007-2020 Metadata'!$A$4:$S$214,MATCH("Urban Area /Monitoring Zone",'2007-2020 Metadata'!$A$4:$S$4,0),FALSE)</f>
        <v>Christchurch</v>
      </c>
      <c r="AC142" s="259" t="str">
        <f>VLOOKUP(B142,'2007-2020 Metadata'!$A$6:$A$214,1,FALSE)</f>
        <v>CHR018</v>
      </c>
      <c r="AD142" s="256" t="str">
        <f>VLOOKUP($AC142,'2007-2020 Metadata'!$A$6:$S$214,9,FALSE)</f>
        <v>Christchurch</v>
      </c>
      <c r="AE142" s="263">
        <f>IF(ISBLANK(VLOOKUP($AC142,'2007-2020 Metadata'!$A$6:$S$214,19,FALSE)),"",VLOOKUP($AC142,'2007-2020 Metadata'!$A$6:$S$214,19,FALSE))</f>
        <v>3</v>
      </c>
      <c r="AF142" s="257" t="str">
        <f>VLOOKUP($B142,'2007-2020 Metadata'!$A$4:$S$214,MATCH("Site type",'2007-2020 Metadata'!$A$4:$S$4,0),FALSE)</f>
        <v>Local</v>
      </c>
      <c r="AG142" s="258">
        <f t="shared" ref="AG142:AG143" si="59">MIN(AVERAGE(G$141:G$143),AVERAGE(H$141:H$143),AVERAGE(I$141:I$143),AVERAGE(J$141:J$143),AVERAGE(K$141:K$143),AVERAGE(L$141:L$143),AVERAGE(M$141:M$143),AVERAGE(N$141:N$143),AVERAGE(O$141:O$143))</f>
        <v>34.700000000000003</v>
      </c>
      <c r="AH142" s="258">
        <f t="shared" ref="AH142:AH143" si="60">MAX(AVERAGE(G$141:G$143),AVERAGE(H$141:H$143),AVERAGE(I$141:I$143),AVERAGE(J$141:J$143),AVERAGE(K$141:K$143),AVERAGE(L$141:L$143),AVERAGE(M$141:M$143),AVERAGE(N$141:N$143),AVERAGE(O$141:O$143))</f>
        <v>52.233333333333327</v>
      </c>
      <c r="AI142" s="177" t="str">
        <f t="shared" si="58"/>
        <v>-</v>
      </c>
      <c r="AJ142" s="10" t="s">
        <v>551</v>
      </c>
    </row>
    <row r="143" spans="2:36" ht="12" customHeight="1" x14ac:dyDescent="0.15">
      <c r="B143" s="11" t="s">
        <v>151</v>
      </c>
      <c r="C143" s="29" t="str">
        <f>IF(ISBLANK(VLOOKUP($B143,'Monthly Summary 2009'!$B$7:$Q$106,14,FALSE)),"",IF(ISERROR(VLOOKUP(B143,'Monthly Summary 2009'!$B$7:$Q$106,14,FALSE)),"",VLOOKUP(B143,'Monthly Summary 2009'!$B$7:$Q$106,14,FALSE)))</f>
        <v/>
      </c>
      <c r="D143" s="7"/>
      <c r="E143" s="7"/>
      <c r="F143" s="7"/>
      <c r="G143" s="7">
        <v>46.8</v>
      </c>
      <c r="H143" s="7">
        <v>39.5</v>
      </c>
      <c r="I143" s="7">
        <v>45.5</v>
      </c>
      <c r="J143" s="7">
        <v>53.9</v>
      </c>
      <c r="K143" s="7">
        <v>46.7</v>
      </c>
      <c r="L143" s="7">
        <v>36.700000000000003</v>
      </c>
      <c r="M143" s="7">
        <v>33.5</v>
      </c>
      <c r="N143" s="7">
        <v>44.6</v>
      </c>
      <c r="O143" s="7">
        <v>35.299999999999997</v>
      </c>
      <c r="P143" s="8">
        <f t="shared" si="48"/>
        <v>42.500000000000007</v>
      </c>
      <c r="Q143" s="9">
        <f t="shared" si="49"/>
        <v>0.75</v>
      </c>
      <c r="R143" s="260" t="str">
        <f t="shared" si="50"/>
        <v/>
      </c>
      <c r="S143" s="264">
        <f t="shared" si="51"/>
        <v>0</v>
      </c>
      <c r="T143" s="260">
        <f t="shared" si="52"/>
        <v>45.766666666666673</v>
      </c>
      <c r="U143" s="261">
        <f t="shared" si="53"/>
        <v>1</v>
      </c>
      <c r="V143" s="262" t="str">
        <f t="shared" si="54"/>
        <v>-</v>
      </c>
      <c r="W143" s="261">
        <f t="shared" si="55"/>
        <v>0.75</v>
      </c>
      <c r="X143" s="177">
        <f t="shared" ca="1" si="45"/>
        <v>17.954166666666666</v>
      </c>
      <c r="Y143" s="177">
        <f t="shared" ca="1" si="46"/>
        <v>30.722916666666663</v>
      </c>
      <c r="Z143" s="177" t="s">
        <v>493</v>
      </c>
      <c r="AA143" s="10"/>
      <c r="AB143" s="357" t="str">
        <f>VLOOKUP($B143,'2007-2020 Metadata'!$A$4:$S$214,MATCH("Urban Area /Monitoring Zone",'2007-2020 Metadata'!$A$4:$S$4,0),FALSE)</f>
        <v>Christchurch</v>
      </c>
      <c r="AC143" s="259" t="str">
        <f>VLOOKUP(B143,'2007-2020 Metadata'!$A$6:$A$214,1,FALSE)</f>
        <v>CHR019</v>
      </c>
      <c r="AD143" s="256" t="str">
        <f>VLOOKUP($AC143,'2007-2020 Metadata'!$A$6:$S$214,9,FALSE)</f>
        <v>Christchurch</v>
      </c>
      <c r="AE143" s="263">
        <f>IF(ISBLANK(VLOOKUP($AC143,'2007-2020 Metadata'!$A$6:$S$214,19,FALSE)),"",VLOOKUP($AC143,'2007-2020 Metadata'!$A$6:$S$214,19,FALSE))</f>
        <v>3</v>
      </c>
      <c r="AF143" s="257" t="str">
        <f>VLOOKUP($B143,'2007-2020 Metadata'!$A$4:$S$214,MATCH("Site type",'2007-2020 Metadata'!$A$4:$S$4,0),FALSE)</f>
        <v>Local</v>
      </c>
      <c r="AG143" s="258">
        <f t="shared" si="59"/>
        <v>34.700000000000003</v>
      </c>
      <c r="AH143" s="258">
        <f t="shared" si="60"/>
        <v>52.233333333333327</v>
      </c>
      <c r="AI143" s="177" t="str">
        <f t="shared" si="58"/>
        <v>-</v>
      </c>
      <c r="AJ143" s="10" t="s">
        <v>551</v>
      </c>
    </row>
    <row r="144" spans="2:36" ht="12" customHeight="1" x14ac:dyDescent="0.15">
      <c r="B144" s="11" t="s">
        <v>152</v>
      </c>
      <c r="C144" s="29" t="str">
        <f>IF(ISBLANK(VLOOKUP($B144,'Monthly Summary 2009'!$B$7:$Q$106,14,FALSE)),"",IF(ISERROR(VLOOKUP(B144,'Monthly Summary 2009'!$B$7:$Q$106,14,FALSE)),"",VLOOKUP(B144,'Monthly Summary 2009'!$B$7:$Q$106,14,FALSE)))</f>
        <v/>
      </c>
      <c r="D144" s="7"/>
      <c r="E144" s="7"/>
      <c r="F144" s="7"/>
      <c r="G144" s="7">
        <v>19.2</v>
      </c>
      <c r="H144" s="7">
        <v>24.4</v>
      </c>
      <c r="I144" s="7">
        <v>22.5</v>
      </c>
      <c r="J144" s="7">
        <v>22.3</v>
      </c>
      <c r="K144" s="7">
        <v>14.9</v>
      </c>
      <c r="L144" s="7">
        <v>8.6999999999999993</v>
      </c>
      <c r="M144" s="7">
        <v>8.1999999999999993</v>
      </c>
      <c r="N144" s="7">
        <v>9.5</v>
      </c>
      <c r="O144" s="7">
        <v>7.5</v>
      </c>
      <c r="P144" s="8">
        <f t="shared" si="48"/>
        <v>15.244444444444444</v>
      </c>
      <c r="Q144" s="9">
        <f t="shared" si="49"/>
        <v>0.75</v>
      </c>
      <c r="R144" s="260" t="str">
        <f t="shared" si="50"/>
        <v/>
      </c>
      <c r="S144" s="264">
        <f t="shared" si="51"/>
        <v>0</v>
      </c>
      <c r="T144" s="260">
        <f t="shared" si="52"/>
        <v>15.300000000000002</v>
      </c>
      <c r="U144" s="261">
        <f t="shared" si="53"/>
        <v>1</v>
      </c>
      <c r="V144" s="262" t="str">
        <f t="shared" si="54"/>
        <v>-</v>
      </c>
      <c r="W144" s="261">
        <f t="shared" si="55"/>
        <v>0.75</v>
      </c>
      <c r="X144" s="177">
        <f t="shared" ca="1" si="45"/>
        <v>17.954166666666666</v>
      </c>
      <c r="Y144" s="177">
        <f t="shared" ca="1" si="46"/>
        <v>30.722916666666663</v>
      </c>
      <c r="Z144" s="177" t="s">
        <v>493</v>
      </c>
      <c r="AA144" s="10"/>
      <c r="AB144" s="357" t="str">
        <f>VLOOKUP($B144,'2007-2020 Metadata'!$A$4:$S$214,MATCH("Urban Area /Monitoring Zone",'2007-2020 Metadata'!$A$4:$S$4,0),FALSE)</f>
        <v>Christchurch</v>
      </c>
      <c r="AC144" s="259" t="str">
        <f>VLOOKUP(B144,'2007-2020 Metadata'!$A$6:$A$214,1,FALSE)</f>
        <v>CHR020</v>
      </c>
      <c r="AD144" s="256" t="str">
        <f>VLOOKUP($AC144,'2007-2020 Metadata'!$A$6:$S$214,9,FALSE)</f>
        <v>Christchurch</v>
      </c>
      <c r="AE144" s="263">
        <f>IF(ISBLANK(VLOOKUP($AC144,'2007-2020 Metadata'!$A$6:$S$214,19,FALSE)),"",VLOOKUP($AC144,'2007-2020 Metadata'!$A$6:$S$214,19,FALSE))</f>
        <v>3.5</v>
      </c>
      <c r="AF144" s="257" t="str">
        <f>VLOOKUP($B144,'2007-2020 Metadata'!$A$4:$S$214,MATCH("Site type",'2007-2020 Metadata'!$A$4:$S$4,0),FALSE)</f>
        <v>Background</v>
      </c>
      <c r="AG144" s="258">
        <f>MIN(AVERAGE(G$144:G$146),AVERAGE(H$144:H$146),AVERAGE(I$144:I$146),AVERAGE(J$144:J$146),AVERAGE(K$144:K$146),AVERAGE(L$144:L$146),AVERAGE(M$144:M$146),AVERAGE(N$144:N$146),AVERAGE(O$144:O$146))</f>
        <v>6.6000000000000005</v>
      </c>
      <c r="AH144" s="258">
        <f>MAX(AVERAGE(G$144:G$146),AVERAGE(H$144:H$146),AVERAGE(I$144:I$146),AVERAGE(J$144:J$146),AVERAGE(K$144:K$146),AVERAGE(L$144:L$146),AVERAGE(M$144:M$146),AVERAGE(N$144:N$146),AVERAGE(O$144:O$146))</f>
        <v>24.533333333333331</v>
      </c>
      <c r="AI144" s="177" t="str">
        <f t="shared" si="58"/>
        <v>-</v>
      </c>
      <c r="AJ144" s="10" t="s">
        <v>551</v>
      </c>
    </row>
    <row r="145" spans="2:36" ht="12" customHeight="1" x14ac:dyDescent="0.15">
      <c r="B145" s="11" t="s">
        <v>153</v>
      </c>
      <c r="C145" s="29" t="str">
        <f>IF(ISBLANK(VLOOKUP($B145,'Monthly Summary 2009'!$B$7:$Q$106,14,FALSE)),"",IF(ISERROR(VLOOKUP(B145,'Monthly Summary 2009'!$B$7:$Q$106,14,FALSE)),"",VLOOKUP(B145,'Monthly Summary 2009'!$B$7:$Q$106,14,FALSE)))</f>
        <v/>
      </c>
      <c r="D145" s="7"/>
      <c r="E145" s="7"/>
      <c r="F145" s="7"/>
      <c r="G145" s="7">
        <v>19.5</v>
      </c>
      <c r="H145" s="7">
        <v>21.5</v>
      </c>
      <c r="I145" s="7">
        <v>24.7</v>
      </c>
      <c r="J145" s="7">
        <v>22.3</v>
      </c>
      <c r="K145" s="7">
        <v>16</v>
      </c>
      <c r="L145" s="7">
        <v>7.7</v>
      </c>
      <c r="M145" s="7">
        <v>6.8</v>
      </c>
      <c r="N145" s="7">
        <v>11</v>
      </c>
      <c r="O145" s="7">
        <v>8.6</v>
      </c>
      <c r="P145" s="8">
        <f t="shared" si="48"/>
        <v>15.344444444444443</v>
      </c>
      <c r="Q145" s="9">
        <f t="shared" si="49"/>
        <v>0.75</v>
      </c>
      <c r="R145" s="260" t="str">
        <f t="shared" si="50"/>
        <v/>
      </c>
      <c r="S145" s="264">
        <f t="shared" si="51"/>
        <v>0</v>
      </c>
      <c r="T145" s="260">
        <f t="shared" si="52"/>
        <v>15.333333333333334</v>
      </c>
      <c r="U145" s="261">
        <f t="shared" si="53"/>
        <v>1</v>
      </c>
      <c r="V145" s="262" t="str">
        <f t="shared" si="54"/>
        <v>-</v>
      </c>
      <c r="W145" s="261">
        <f t="shared" si="55"/>
        <v>0.75</v>
      </c>
      <c r="X145" s="177">
        <f t="shared" ca="1" si="45"/>
        <v>17.954166666666666</v>
      </c>
      <c r="Y145" s="177">
        <f t="shared" ca="1" si="46"/>
        <v>30.722916666666663</v>
      </c>
      <c r="Z145" s="177" t="s">
        <v>493</v>
      </c>
      <c r="AA145" s="10"/>
      <c r="AB145" s="357" t="str">
        <f>VLOOKUP($B145,'2007-2020 Metadata'!$A$4:$S$214,MATCH("Urban Area /Monitoring Zone",'2007-2020 Metadata'!$A$4:$S$4,0),FALSE)</f>
        <v>Christchurch</v>
      </c>
      <c r="AC145" s="259" t="str">
        <f>VLOOKUP(B145,'2007-2020 Metadata'!$A$6:$A$214,1,FALSE)</f>
        <v>CHR021</v>
      </c>
      <c r="AD145" s="256" t="str">
        <f>VLOOKUP($AC145,'2007-2020 Metadata'!$A$6:$S$214,9,FALSE)</f>
        <v>Christchurch</v>
      </c>
      <c r="AE145" s="263">
        <f>IF(ISBLANK(VLOOKUP($AC145,'2007-2020 Metadata'!$A$6:$S$214,19,FALSE)),"",VLOOKUP($AC145,'2007-2020 Metadata'!$A$6:$S$214,19,FALSE))</f>
        <v>3.5</v>
      </c>
      <c r="AF145" s="257" t="str">
        <f>VLOOKUP($B145,'2007-2020 Metadata'!$A$4:$S$214,MATCH("Site type",'2007-2020 Metadata'!$A$4:$S$4,0),FALSE)</f>
        <v>Background</v>
      </c>
      <c r="AG145" s="258">
        <f t="shared" ref="AG145:AG146" si="61">MIN(AVERAGE(G$144:G$146),AVERAGE(H$144:H$146),AVERAGE(I$144:I$146),AVERAGE(J$144:J$146),AVERAGE(K$144:K$146),AVERAGE(L$144:L$146),AVERAGE(M$144:M$146),AVERAGE(N$144:N$146),AVERAGE(O$144:O$146))</f>
        <v>6.6000000000000005</v>
      </c>
      <c r="AH145" s="258">
        <f t="shared" ref="AH145:AH146" si="62">MAX(AVERAGE(G$144:G$146),AVERAGE(H$144:H$146),AVERAGE(I$144:I$146),AVERAGE(J$144:J$146),AVERAGE(K$144:K$146),AVERAGE(L$144:L$146),AVERAGE(M$144:M$146),AVERAGE(N$144:N$146),AVERAGE(O$144:O$146))</f>
        <v>24.533333333333331</v>
      </c>
      <c r="AI145" s="177" t="str">
        <f t="shared" si="58"/>
        <v>-</v>
      </c>
      <c r="AJ145" s="10" t="s">
        <v>551</v>
      </c>
    </row>
    <row r="146" spans="2:36" ht="12" customHeight="1" x14ac:dyDescent="0.15">
      <c r="B146" s="11" t="s">
        <v>154</v>
      </c>
      <c r="C146" s="29" t="str">
        <f>IF(ISBLANK(VLOOKUP($B146,'Monthly Summary 2009'!$B$7:$Q$106,14,FALSE)),"",IF(ISERROR(VLOOKUP(B146,'Monthly Summary 2009'!$B$7:$Q$106,14,FALSE)),"",VLOOKUP(B146,'Monthly Summary 2009'!$B$7:$Q$106,14,FALSE)))</f>
        <v/>
      </c>
      <c r="D146" s="7"/>
      <c r="E146" s="7"/>
      <c r="F146" s="7"/>
      <c r="G146" s="7">
        <v>15</v>
      </c>
      <c r="H146" s="7">
        <v>22.8</v>
      </c>
      <c r="I146" s="7">
        <v>26.4</v>
      </c>
      <c r="J146" s="7">
        <v>23.2</v>
      </c>
      <c r="K146" s="7">
        <v>17.2</v>
      </c>
      <c r="L146" s="7">
        <v>7.1</v>
      </c>
      <c r="M146" s="7">
        <v>9.4</v>
      </c>
      <c r="N146" s="7">
        <v>10.5</v>
      </c>
      <c r="O146" s="7">
        <v>3.7</v>
      </c>
      <c r="P146" s="8">
        <f t="shared" si="48"/>
        <v>15.033333333333331</v>
      </c>
      <c r="Q146" s="9">
        <f t="shared" si="49"/>
        <v>0.75</v>
      </c>
      <c r="R146" s="260" t="str">
        <f t="shared" si="50"/>
        <v/>
      </c>
      <c r="S146" s="264">
        <f t="shared" si="51"/>
        <v>0</v>
      </c>
      <c r="T146" s="260">
        <f t="shared" si="52"/>
        <v>15.833333333333334</v>
      </c>
      <c r="U146" s="261">
        <f t="shared" si="53"/>
        <v>1</v>
      </c>
      <c r="V146" s="262" t="str">
        <f t="shared" si="54"/>
        <v>-</v>
      </c>
      <c r="W146" s="261">
        <f t="shared" si="55"/>
        <v>0.75</v>
      </c>
      <c r="X146" s="177">
        <f t="shared" ca="1" si="45"/>
        <v>17.954166666666666</v>
      </c>
      <c r="Y146" s="177">
        <f t="shared" ca="1" si="46"/>
        <v>30.722916666666663</v>
      </c>
      <c r="Z146" s="177" t="s">
        <v>493</v>
      </c>
      <c r="AA146" s="10"/>
      <c r="AB146" s="357" t="str">
        <f>VLOOKUP($B146,'2007-2020 Metadata'!$A$4:$S$214,MATCH("Urban Area /Monitoring Zone",'2007-2020 Metadata'!$A$4:$S$4,0),FALSE)</f>
        <v>Christchurch</v>
      </c>
      <c r="AC146" s="259" t="str">
        <f>VLOOKUP(B146,'2007-2020 Metadata'!$A$6:$A$214,1,FALSE)</f>
        <v>CHR022</v>
      </c>
      <c r="AD146" s="256" t="str">
        <f>VLOOKUP($AC146,'2007-2020 Metadata'!$A$6:$S$214,9,FALSE)</f>
        <v>Christchurch</v>
      </c>
      <c r="AE146" s="263">
        <f>IF(ISBLANK(VLOOKUP($AC146,'2007-2020 Metadata'!$A$6:$S$214,19,FALSE)),"",VLOOKUP($AC146,'2007-2020 Metadata'!$A$6:$S$214,19,FALSE))</f>
        <v>3.5</v>
      </c>
      <c r="AF146" s="257" t="str">
        <f>VLOOKUP($B146,'2007-2020 Metadata'!$A$4:$S$214,MATCH("Site type",'2007-2020 Metadata'!$A$4:$S$4,0),FALSE)</f>
        <v>Background</v>
      </c>
      <c r="AG146" s="258">
        <f t="shared" si="61"/>
        <v>6.6000000000000005</v>
      </c>
      <c r="AH146" s="258">
        <f t="shared" si="62"/>
        <v>24.533333333333331</v>
      </c>
      <c r="AI146" s="177" t="str">
        <f t="shared" si="58"/>
        <v>-</v>
      </c>
      <c r="AJ146" s="10" t="s">
        <v>551</v>
      </c>
    </row>
    <row r="147" spans="2:36" ht="12" customHeight="1" x14ac:dyDescent="0.15">
      <c r="B147" s="11" t="s">
        <v>26</v>
      </c>
      <c r="C147" s="29" t="str">
        <f>IF(ISBLANK(VLOOKUP($B147,'Monthly Summary 2009'!$B$7:$Q$106,14,FALSE)),"",IF(ISERROR(VLOOKUP(B147,'Monthly Summary 2009'!$B$7:$Q$106,14,FALSE)),"",VLOOKUP(B147,'Monthly Summary 2009'!$B$7:$Q$106,14,FALSE)))</f>
        <v/>
      </c>
      <c r="D147" s="7">
        <v>22.8</v>
      </c>
      <c r="E147" s="7">
        <v>20.5</v>
      </c>
      <c r="F147" s="7">
        <v>22.2</v>
      </c>
      <c r="G147" s="7">
        <v>30.1</v>
      </c>
      <c r="H147" s="7">
        <v>43.3</v>
      </c>
      <c r="I147" s="7">
        <v>32.6</v>
      </c>
      <c r="J147" s="7">
        <v>38.4</v>
      </c>
      <c r="K147" s="7">
        <v>35.1</v>
      </c>
      <c r="L147" s="7">
        <v>23.5</v>
      </c>
      <c r="M147" s="7">
        <v>17.899999999999999</v>
      </c>
      <c r="N147" s="7">
        <v>24.1</v>
      </c>
      <c r="O147" s="7">
        <v>14</v>
      </c>
      <c r="P147" s="8">
        <f t="shared" si="48"/>
        <v>27.041666666666668</v>
      </c>
      <c r="Q147" s="9">
        <f t="shared" si="49"/>
        <v>1</v>
      </c>
      <c r="R147" s="140">
        <f t="shared" si="50"/>
        <v>21.833333333333332</v>
      </c>
      <c r="S147" s="24">
        <f t="shared" si="51"/>
        <v>1</v>
      </c>
      <c r="T147" s="140">
        <f t="shared" si="52"/>
        <v>32.333333333333336</v>
      </c>
      <c r="U147" s="150">
        <f t="shared" si="53"/>
        <v>1</v>
      </c>
      <c r="V147" s="141">
        <f t="shared" si="54"/>
        <v>27.041666666666668</v>
      </c>
      <c r="W147" s="142">
        <f t="shared" si="55"/>
        <v>1</v>
      </c>
      <c r="X147" s="144">
        <f t="shared" ca="1" si="45"/>
        <v>14.133333333333331</v>
      </c>
      <c r="Y147" s="144">
        <f t="shared" ca="1" si="46"/>
        <v>19.461904761904766</v>
      </c>
      <c r="Z147" s="144">
        <f t="shared" ref="Z147:Z156" ca="1" si="63">IF(VLOOKUP($B147,$AC$6:$AI$158,3,FALSE)="",$V147,IF(ISERROR(AVERAGEIF($AD$6:$AD$161,VLOOKUP($B147,$AC$6:$AI$158,2,FALSE),$V$6:$V$158)),"",AVERAGEIF($AD$6:$AD$161,VLOOKUP($B147,$AC$6:$AI$158,2,FALSE),$V$6:$V$158)))</f>
        <v>17.801767676767678</v>
      </c>
      <c r="AA147" s="10"/>
      <c r="AB147" s="357" t="str">
        <f>VLOOKUP($B147,'2007-2020 Metadata'!$A$4:$S$214,MATCH("Urban Area /Monitoring Zone",'2007-2020 Metadata'!$A$4:$S$4,0),FALSE)</f>
        <v>Dunedin</v>
      </c>
      <c r="AC147" s="87" t="str">
        <f>VLOOKUP(B147,'2007-2020 Metadata'!$A$6:$A$214,1,FALSE)</f>
        <v>DUN001</v>
      </c>
      <c r="AD147" s="230" t="str">
        <f>VLOOKUP($AC147,'2007-2020 Metadata'!$A$6:$S$214,9,FALSE)</f>
        <v>Dunedin</v>
      </c>
      <c r="AE147" s="248">
        <f>IF(ISBLANK(VLOOKUP($AC147,'2007-2020 Metadata'!$A$6:$S$214,19,FALSE)),"",VLOOKUP($AC147,'2007-2020 Metadata'!$A$6:$S$214,19,FALSE))</f>
        <v>3</v>
      </c>
      <c r="AF147" s="88" t="str">
        <f>VLOOKUP($B147,'2007-2020 Metadata'!$A$4:$S$214,MATCH("Site type",'2007-2020 Metadata'!$A$4:$S$4,0),FALSE)</f>
        <v>SH</v>
      </c>
      <c r="AG147" s="143">
        <f t="shared" si="56"/>
        <v>14</v>
      </c>
      <c r="AH147" s="143">
        <f t="shared" si="57"/>
        <v>43.3</v>
      </c>
      <c r="AI147" s="144">
        <f t="shared" ca="1" si="58"/>
        <v>17.801767676767678</v>
      </c>
    </row>
    <row r="148" spans="2:36" ht="12" customHeight="1" x14ac:dyDescent="0.15">
      <c r="B148" s="11" t="s">
        <v>27</v>
      </c>
      <c r="C148" s="29">
        <f>IF(ISBLANK(VLOOKUP($B148,'Monthly Summary 2009'!$B$7:$Q$106,14,FALSE)),"",IF(ISERROR(VLOOKUP(B148,'Monthly Summary 2009'!$B$7:$Q$106,14,FALSE)),"",VLOOKUP(B148,'Monthly Summary 2009'!$B$7:$Q$106,14,FALSE)))</f>
        <v>8.1999999999999993</v>
      </c>
      <c r="D148" s="7">
        <v>11.2</v>
      </c>
      <c r="E148" s="7">
        <v>12.1</v>
      </c>
      <c r="F148" s="7">
        <v>13.5</v>
      </c>
      <c r="G148" s="7">
        <v>19.3</v>
      </c>
      <c r="H148" s="7">
        <v>23.4</v>
      </c>
      <c r="I148" s="7">
        <v>19.600000000000001</v>
      </c>
      <c r="J148" s="7">
        <v>20.6</v>
      </c>
      <c r="K148" s="7">
        <v>19.2</v>
      </c>
      <c r="L148" s="7">
        <v>11.8</v>
      </c>
      <c r="M148" s="7">
        <v>11</v>
      </c>
      <c r="N148" s="7">
        <v>14.7</v>
      </c>
      <c r="O148" s="7">
        <v>7.2</v>
      </c>
      <c r="P148" s="8">
        <f t="shared" si="48"/>
        <v>15.299999999999997</v>
      </c>
      <c r="Q148" s="9">
        <f t="shared" si="49"/>
        <v>1</v>
      </c>
      <c r="R148" s="140">
        <f t="shared" si="50"/>
        <v>12.266666666666666</v>
      </c>
      <c r="S148" s="24">
        <f t="shared" si="51"/>
        <v>1</v>
      </c>
      <c r="T148" s="140">
        <f t="shared" si="52"/>
        <v>17.2</v>
      </c>
      <c r="U148" s="150">
        <f t="shared" si="53"/>
        <v>1</v>
      </c>
      <c r="V148" s="141">
        <f t="shared" si="54"/>
        <v>15.299999999999997</v>
      </c>
      <c r="W148" s="142">
        <f t="shared" si="55"/>
        <v>1</v>
      </c>
      <c r="X148" s="144">
        <f t="shared" ca="1" si="45"/>
        <v>14.133333333333331</v>
      </c>
      <c r="Y148" s="144">
        <f t="shared" ca="1" si="46"/>
        <v>19.461904761904766</v>
      </c>
      <c r="Z148" s="144">
        <f t="shared" ca="1" si="63"/>
        <v>17.801767676767678</v>
      </c>
      <c r="AA148" s="10"/>
      <c r="AB148" s="357" t="str">
        <f>VLOOKUP($B148,'2007-2020 Metadata'!$A$4:$S$214,MATCH("Urban Area /Monitoring Zone",'2007-2020 Metadata'!$A$4:$S$4,0),FALSE)</f>
        <v>Dunedin</v>
      </c>
      <c r="AC148" s="87" t="str">
        <f>VLOOKUP(B148,'2007-2020 Metadata'!$A$6:$A$214,1,FALSE)</f>
        <v>DUN002</v>
      </c>
      <c r="AD148" s="230" t="str">
        <f>VLOOKUP($AC148,'2007-2020 Metadata'!$A$6:$S$214,9,FALSE)</f>
        <v>Dunedin</v>
      </c>
      <c r="AE148" s="248">
        <f>IF(ISBLANK(VLOOKUP($AC148,'2007-2020 Metadata'!$A$6:$S$214,19,FALSE)),"",VLOOKUP($AC148,'2007-2020 Metadata'!$A$6:$S$214,19,FALSE))</f>
        <v>3</v>
      </c>
      <c r="AF148" s="88" t="str">
        <f>VLOOKUP($B148,'2007-2020 Metadata'!$A$4:$S$214,MATCH("Site type",'2007-2020 Metadata'!$A$4:$S$4,0),FALSE)</f>
        <v>SH</v>
      </c>
      <c r="AG148" s="143">
        <f t="shared" si="56"/>
        <v>7.2</v>
      </c>
      <c r="AH148" s="143">
        <f t="shared" si="57"/>
        <v>23.4</v>
      </c>
      <c r="AI148" s="144">
        <f t="shared" ca="1" si="58"/>
        <v>17.801767676767678</v>
      </c>
    </row>
    <row r="149" spans="2:36" ht="12" customHeight="1" x14ac:dyDescent="0.15">
      <c r="B149" s="11" t="s">
        <v>28</v>
      </c>
      <c r="C149" s="29">
        <f>IF(ISBLANK(VLOOKUP($B149,'Monthly Summary 2009'!$B$7:$Q$106,14,FALSE)),"",IF(ISERROR(VLOOKUP(B149,'Monthly Summary 2009'!$B$7:$Q$106,14,FALSE)),"",VLOOKUP(B149,'Monthly Summary 2009'!$B$7:$Q$106,14,FALSE)))</f>
        <v>15.1</v>
      </c>
      <c r="D149" s="7"/>
      <c r="E149" s="7">
        <v>8.1999999999999993</v>
      </c>
      <c r="F149" s="7">
        <v>8.4</v>
      </c>
      <c r="G149" s="7">
        <v>11.7</v>
      </c>
      <c r="H149" s="7">
        <v>17.399999999999999</v>
      </c>
      <c r="I149" s="7">
        <v>11.1</v>
      </c>
      <c r="J149" s="7">
        <v>14.7</v>
      </c>
      <c r="K149" s="7">
        <v>12.7</v>
      </c>
      <c r="L149" s="7">
        <v>7.8</v>
      </c>
      <c r="M149" s="7">
        <v>10.1</v>
      </c>
      <c r="N149" s="7">
        <v>13.9</v>
      </c>
      <c r="O149" s="7">
        <v>5.7</v>
      </c>
      <c r="P149" s="8">
        <f t="shared" si="48"/>
        <v>11.063636363636364</v>
      </c>
      <c r="Q149" s="9">
        <f t="shared" si="49"/>
        <v>0.91666666666666663</v>
      </c>
      <c r="R149" s="140">
        <f t="shared" si="50"/>
        <v>8.3000000000000007</v>
      </c>
      <c r="S149" s="24">
        <f t="shared" si="51"/>
        <v>0.66666666666666663</v>
      </c>
      <c r="T149" s="140">
        <f t="shared" si="52"/>
        <v>11.733333333333333</v>
      </c>
      <c r="U149" s="150">
        <f t="shared" si="53"/>
        <v>1</v>
      </c>
      <c r="V149" s="141">
        <f t="shared" si="54"/>
        <v>11.063636363636364</v>
      </c>
      <c r="W149" s="142">
        <f t="shared" si="55"/>
        <v>0.91666666666666663</v>
      </c>
      <c r="X149" s="144">
        <f t="shared" ca="1" si="45"/>
        <v>14.133333333333331</v>
      </c>
      <c r="Y149" s="144">
        <f t="shared" ca="1" si="46"/>
        <v>19.461904761904766</v>
      </c>
      <c r="Z149" s="144">
        <f t="shared" ca="1" si="63"/>
        <v>17.801767676767678</v>
      </c>
      <c r="AA149" s="10"/>
      <c r="AB149" s="357" t="str">
        <f>VLOOKUP($B149,'2007-2020 Metadata'!$A$4:$S$214,MATCH("Urban Area /Monitoring Zone",'2007-2020 Metadata'!$A$4:$S$4,0),FALSE)</f>
        <v>Dunedin</v>
      </c>
      <c r="AC149" s="87" t="str">
        <f>VLOOKUP(B149,'2007-2020 Metadata'!$A$6:$A$214,1,FALSE)</f>
        <v>DUN003</v>
      </c>
      <c r="AD149" s="230" t="str">
        <f>VLOOKUP($AC149,'2007-2020 Metadata'!$A$6:$S$214,9,FALSE)</f>
        <v>Dunedin</v>
      </c>
      <c r="AE149" s="248">
        <f>IF(ISBLANK(VLOOKUP($AC149,'2007-2020 Metadata'!$A$6:$S$214,19,FALSE)),"",VLOOKUP($AC149,'2007-2020 Metadata'!$A$6:$S$214,19,FALSE))</f>
        <v>3</v>
      </c>
      <c r="AF149" s="88" t="str">
        <f>VLOOKUP($B149,'2007-2020 Metadata'!$A$4:$S$214,MATCH("Site type",'2007-2020 Metadata'!$A$4:$S$4,0),FALSE)</f>
        <v>Local</v>
      </c>
      <c r="AG149" s="143">
        <f t="shared" si="56"/>
        <v>5.7</v>
      </c>
      <c r="AH149" s="143">
        <f t="shared" si="57"/>
        <v>17.399999999999999</v>
      </c>
      <c r="AI149" s="144">
        <f t="shared" ca="1" si="58"/>
        <v>17.801767676767678</v>
      </c>
    </row>
    <row r="150" spans="2:36" ht="12" customHeight="1" x14ac:dyDescent="0.15">
      <c r="B150" s="11" t="s">
        <v>29</v>
      </c>
      <c r="C150" s="29">
        <f>IF(ISBLANK(VLOOKUP($B150,'Monthly Summary 2009'!$B$7:$Q$106,14,FALSE)),"",IF(ISERROR(VLOOKUP(B150,'Monthly Summary 2009'!$B$7:$Q$106,14,FALSE)),"",VLOOKUP(B150,'Monthly Summary 2009'!$B$7:$Q$106,14,FALSE)))</f>
        <v>11.2</v>
      </c>
      <c r="D150" s="7">
        <v>14.3</v>
      </c>
      <c r="E150" s="7">
        <v>15.3</v>
      </c>
      <c r="F150" s="7">
        <v>17.8</v>
      </c>
      <c r="G150" s="7">
        <v>25.3</v>
      </c>
      <c r="H150" s="7">
        <v>25.3</v>
      </c>
      <c r="I150" s="7">
        <v>31</v>
      </c>
      <c r="J150" s="7">
        <v>39.4</v>
      </c>
      <c r="K150" s="7">
        <v>29.6</v>
      </c>
      <c r="L150" s="7"/>
      <c r="M150" s="7">
        <v>19.100000000000001</v>
      </c>
      <c r="N150" s="7">
        <v>15.9</v>
      </c>
      <c r="O150" s="7">
        <v>14.9</v>
      </c>
      <c r="P150" s="8">
        <f t="shared" si="48"/>
        <v>22.536363636363635</v>
      </c>
      <c r="Q150" s="9">
        <f t="shared" si="49"/>
        <v>0.91666666666666663</v>
      </c>
      <c r="R150" s="140">
        <f t="shared" si="50"/>
        <v>15.800000000000002</v>
      </c>
      <c r="S150" s="24">
        <f t="shared" si="51"/>
        <v>1</v>
      </c>
      <c r="T150" s="140">
        <f t="shared" si="52"/>
        <v>34.5</v>
      </c>
      <c r="U150" s="150">
        <f t="shared" si="53"/>
        <v>0.66666666666666663</v>
      </c>
      <c r="V150" s="141">
        <f t="shared" si="54"/>
        <v>22.536363636363635</v>
      </c>
      <c r="W150" s="142">
        <f t="shared" si="55"/>
        <v>0.91666666666666663</v>
      </c>
      <c r="X150" s="144">
        <f t="shared" ca="1" si="45"/>
        <v>15.800000000000002</v>
      </c>
      <c r="Y150" s="144">
        <f t="shared" ca="1" si="46"/>
        <v>34.5</v>
      </c>
      <c r="Z150" s="144">
        <f t="shared" ca="1" si="63"/>
        <v>22.536363636363635</v>
      </c>
      <c r="AA150" s="10"/>
      <c r="AB150" s="357" t="str">
        <f>VLOOKUP($B150,'2007-2020 Metadata'!$A$4:$S$214,MATCH("Urban Area /Monitoring Zone",'2007-2020 Metadata'!$A$4:$S$4,0),FALSE)</f>
        <v>Queenstown</v>
      </c>
      <c r="AC150" s="87" t="str">
        <f>VLOOKUP(B150,'2007-2020 Metadata'!$A$6:$A$214,1,FALSE)</f>
        <v>DUN004</v>
      </c>
      <c r="AD150" s="230" t="str">
        <f>VLOOKUP($AC150,'2007-2020 Metadata'!$A$6:$S$214,9,FALSE)</f>
        <v>Queenstown</v>
      </c>
      <c r="AE150" s="248">
        <f>IF(ISBLANK(VLOOKUP($AC150,'2007-2020 Metadata'!$A$6:$S$214,19,FALSE)),"",VLOOKUP($AC150,'2007-2020 Metadata'!$A$6:$S$214,19,FALSE))</f>
        <v>3</v>
      </c>
      <c r="AF150" s="88" t="str">
        <f>VLOOKUP($B150,'2007-2020 Metadata'!$A$4:$S$214,MATCH("Site type",'2007-2020 Metadata'!$A$4:$S$4,0),FALSE)</f>
        <v>SH</v>
      </c>
      <c r="AG150" s="143">
        <f t="shared" si="56"/>
        <v>14.3</v>
      </c>
      <c r="AH150" s="143">
        <f t="shared" si="57"/>
        <v>39.4</v>
      </c>
      <c r="AI150" s="144">
        <f t="shared" ca="1" si="58"/>
        <v>22.536363636363635</v>
      </c>
    </row>
    <row r="151" spans="2:36" ht="12" customHeight="1" x14ac:dyDescent="0.15">
      <c r="B151" s="11" t="s">
        <v>30</v>
      </c>
      <c r="C151" s="29" t="str">
        <f>IF(ISBLANK(VLOOKUP($B151,'Monthly Summary 2009'!$B$7:$Q$106,14,FALSE)),"",IF(ISERROR(VLOOKUP(B151,'Monthly Summary 2009'!$B$7:$Q$106,14,FALSE)),"",VLOOKUP(B151,'Monthly Summary 2009'!$B$7:$Q$106,14,FALSE)))</f>
        <v/>
      </c>
      <c r="D151" s="7"/>
      <c r="E151" s="7"/>
      <c r="F151" s="7"/>
      <c r="G151" s="7">
        <v>44</v>
      </c>
      <c r="H151" s="7">
        <v>41.1</v>
      </c>
      <c r="I151" s="7">
        <v>38.5</v>
      </c>
      <c r="J151" s="7">
        <v>47.2</v>
      </c>
      <c r="K151" s="7">
        <v>36.9</v>
      </c>
      <c r="L151" s="7">
        <v>34.299999999999997</v>
      </c>
      <c r="M151" s="7">
        <v>23.8</v>
      </c>
      <c r="N151" s="7">
        <v>34.9</v>
      </c>
      <c r="O151" s="7"/>
      <c r="P151" s="8">
        <f t="shared" si="48"/>
        <v>37.587499999999999</v>
      </c>
      <c r="Q151" s="22">
        <f t="shared" si="49"/>
        <v>0.66666666666666663</v>
      </c>
      <c r="R151" s="140" t="str">
        <f t="shared" si="50"/>
        <v/>
      </c>
      <c r="S151" s="24">
        <f t="shared" si="51"/>
        <v>0</v>
      </c>
      <c r="T151" s="140">
        <f t="shared" si="52"/>
        <v>39.466666666666661</v>
      </c>
      <c r="U151" s="150">
        <f t="shared" si="53"/>
        <v>1</v>
      </c>
      <c r="V151" s="141" t="str">
        <f t="shared" si="54"/>
        <v>-</v>
      </c>
      <c r="W151" s="142">
        <f t="shared" si="55"/>
        <v>0.66666666666666663</v>
      </c>
      <c r="X151" s="144" t="str">
        <f t="shared" ca="1" si="45"/>
        <v/>
      </c>
      <c r="Y151" s="144">
        <f t="shared" ca="1" si="46"/>
        <v>24.699999999999996</v>
      </c>
      <c r="Z151" s="144" t="str">
        <f t="shared" ca="1" si="63"/>
        <v/>
      </c>
      <c r="AA151" s="10"/>
      <c r="AB151" s="357" t="str">
        <f>VLOOKUP($B151,'2007-2020 Metadata'!$A$4:$S$214,MATCH("Urban Area /Monitoring Zone",'2007-2020 Metadata'!$A$4:$S$4,0),FALSE)</f>
        <v>Invercargill</v>
      </c>
      <c r="AC151" s="87" t="str">
        <f>VLOOKUP(B151,'2007-2020 Metadata'!$A$6:$A$214,1,FALSE)</f>
        <v>DUN005</v>
      </c>
      <c r="AD151" s="230" t="str">
        <f>VLOOKUP($AC151,'2007-2020 Metadata'!$A$6:$S$214,9,FALSE)</f>
        <v>Invercargill</v>
      </c>
      <c r="AE151" s="248">
        <f>IF(ISBLANK(VLOOKUP($AC151,'2007-2020 Metadata'!$A$6:$S$214,19,FALSE)),"",VLOOKUP($AC151,'2007-2020 Metadata'!$A$6:$S$214,19,FALSE))</f>
        <v>3</v>
      </c>
      <c r="AF151" s="88" t="str">
        <f>VLOOKUP($B151,'2007-2020 Metadata'!$A$4:$S$214,MATCH("Site type",'2007-2020 Metadata'!$A$4:$S$4,0),FALSE)</f>
        <v>SH</v>
      </c>
      <c r="AG151" s="143">
        <f t="shared" si="56"/>
        <v>23.8</v>
      </c>
      <c r="AH151" s="143">
        <f t="shared" si="57"/>
        <v>47.2</v>
      </c>
      <c r="AI151" s="144" t="str">
        <f t="shared" si="58"/>
        <v xml:space="preserve"> </v>
      </c>
    </row>
    <row r="152" spans="2:36" ht="12" customHeight="1" x14ac:dyDescent="0.15">
      <c r="B152" s="11" t="s">
        <v>155</v>
      </c>
      <c r="C152" s="29" t="str">
        <f>IF(ISBLANK(VLOOKUP($B152,'Monthly Summary 2009'!$B$7:$Q$106,14,FALSE)),"",IF(ISERROR(VLOOKUP(B152,'Monthly Summary 2009'!$B$7:$Q$106,14,FALSE)),"",VLOOKUP(B152,'Monthly Summary 2009'!$B$7:$Q$106,14,FALSE)))</f>
        <v/>
      </c>
      <c r="D152" s="7"/>
      <c r="E152" s="7"/>
      <c r="F152" s="7"/>
      <c r="G152" s="7">
        <v>20.8</v>
      </c>
      <c r="H152" s="7">
        <v>26.3</v>
      </c>
      <c r="I152" s="7">
        <v>24.4</v>
      </c>
      <c r="J152" s="7">
        <v>29.1</v>
      </c>
      <c r="K152" s="7">
        <v>26.5</v>
      </c>
      <c r="L152" s="7">
        <v>14.8</v>
      </c>
      <c r="M152" s="7">
        <v>12.7</v>
      </c>
      <c r="N152" s="7">
        <v>21.5</v>
      </c>
      <c r="O152" s="7">
        <v>9.4</v>
      </c>
      <c r="P152" s="8">
        <f t="shared" si="48"/>
        <v>20.611111111111111</v>
      </c>
      <c r="Q152" s="9">
        <f t="shared" si="49"/>
        <v>0.75</v>
      </c>
      <c r="R152" s="140" t="str">
        <f t="shared" si="50"/>
        <v/>
      </c>
      <c r="S152" s="24">
        <f t="shared" si="51"/>
        <v>0</v>
      </c>
      <c r="T152" s="140">
        <f t="shared" si="52"/>
        <v>23.466666666666669</v>
      </c>
      <c r="U152" s="150">
        <f t="shared" si="53"/>
        <v>1</v>
      </c>
      <c r="V152" s="141" t="str">
        <f t="shared" si="54"/>
        <v>-</v>
      </c>
      <c r="W152" s="142">
        <f t="shared" si="55"/>
        <v>0.75</v>
      </c>
      <c r="X152" s="144">
        <f t="shared" ca="1" si="45"/>
        <v>14.133333333333331</v>
      </c>
      <c r="Y152" s="144">
        <f t="shared" ca="1" si="46"/>
        <v>19.461904761904766</v>
      </c>
      <c r="Z152" s="144">
        <f t="shared" ca="1" si="63"/>
        <v>17.801767676767678</v>
      </c>
      <c r="AA152" s="10"/>
      <c r="AB152" s="357" t="str">
        <f>VLOOKUP($B152,'2007-2020 Metadata'!$A$4:$S$214,MATCH("Urban Area /Monitoring Zone",'2007-2020 Metadata'!$A$4:$S$4,0),FALSE)</f>
        <v>Dunedin</v>
      </c>
      <c r="AC152" s="87" t="str">
        <f>VLOOKUP(B152,'2007-2020 Metadata'!$A$6:$A$214,1,FALSE)</f>
        <v>DUN006</v>
      </c>
      <c r="AD152" s="230" t="str">
        <f>VLOOKUP($AC152,'2007-2020 Metadata'!$A$6:$S$214,9,FALSE)</f>
        <v>Dunedin</v>
      </c>
      <c r="AE152" s="248">
        <f>IF(ISBLANK(VLOOKUP($AC152,'2007-2020 Metadata'!$A$6:$S$214,19,FALSE)),"",VLOOKUP($AC152,'2007-2020 Metadata'!$A$6:$S$214,19,FALSE))</f>
        <v>3</v>
      </c>
      <c r="AF152" s="88" t="str">
        <f>VLOOKUP($B152,'2007-2020 Metadata'!$A$4:$S$214,MATCH("Site type",'2007-2020 Metadata'!$A$4:$S$4,0),FALSE)</f>
        <v>SH</v>
      </c>
      <c r="AG152" s="143">
        <f t="shared" si="56"/>
        <v>9.4</v>
      </c>
      <c r="AH152" s="143">
        <f t="shared" si="57"/>
        <v>29.1</v>
      </c>
      <c r="AI152" s="144">
        <f t="shared" ca="1" si="58"/>
        <v>17.801767676767678</v>
      </c>
    </row>
    <row r="153" spans="2:36" ht="12" customHeight="1" x14ac:dyDescent="0.15">
      <c r="B153" s="11" t="s">
        <v>156</v>
      </c>
      <c r="C153" s="29" t="str">
        <f>IF(ISBLANK(VLOOKUP($B153,'Monthly Summary 2009'!$B$7:$Q$106,14,FALSE)),"",IF(ISERROR(VLOOKUP(B153,'Monthly Summary 2009'!$B$7:$Q$106,14,FALSE)),"",VLOOKUP(B153,'Monthly Summary 2009'!$B$7:$Q$106,14,FALSE)))</f>
        <v/>
      </c>
      <c r="D153" s="7"/>
      <c r="E153" s="7"/>
      <c r="F153" s="7"/>
      <c r="G153" s="7">
        <v>13.3</v>
      </c>
      <c r="H153" s="7">
        <v>17.399999999999999</v>
      </c>
      <c r="I153" s="7">
        <v>13.7</v>
      </c>
      <c r="J153" s="7">
        <v>15.4</v>
      </c>
      <c r="K153" s="7">
        <v>13.4</v>
      </c>
      <c r="L153" s="7">
        <v>6.6</v>
      </c>
      <c r="M153" s="7">
        <v>8.4</v>
      </c>
      <c r="N153" s="7">
        <v>10.9</v>
      </c>
      <c r="O153" s="7">
        <v>6.9</v>
      </c>
      <c r="P153" s="8">
        <f t="shared" si="48"/>
        <v>11.777777777777779</v>
      </c>
      <c r="Q153" s="9">
        <f t="shared" si="49"/>
        <v>0.75</v>
      </c>
      <c r="R153" s="140" t="str">
        <f t="shared" si="50"/>
        <v/>
      </c>
      <c r="S153" s="24">
        <f t="shared" si="51"/>
        <v>0</v>
      </c>
      <c r="T153" s="140">
        <f t="shared" si="52"/>
        <v>11.799999999999999</v>
      </c>
      <c r="U153" s="150">
        <f t="shared" si="53"/>
        <v>1</v>
      </c>
      <c r="V153" s="141" t="str">
        <f t="shared" si="54"/>
        <v>-</v>
      </c>
      <c r="W153" s="142">
        <f t="shared" si="55"/>
        <v>0.75</v>
      </c>
      <c r="X153" s="144">
        <f t="shared" ca="1" si="45"/>
        <v>14.133333333333331</v>
      </c>
      <c r="Y153" s="144">
        <f t="shared" ca="1" si="46"/>
        <v>19.461904761904766</v>
      </c>
      <c r="Z153" s="144">
        <f t="shared" ca="1" si="63"/>
        <v>17.801767676767678</v>
      </c>
      <c r="AA153" s="10"/>
      <c r="AB153" s="357" t="str">
        <f>VLOOKUP($B153,'2007-2020 Metadata'!$A$4:$S$214,MATCH("Urban Area /Monitoring Zone",'2007-2020 Metadata'!$A$4:$S$4,0),FALSE)</f>
        <v>Dunedin</v>
      </c>
      <c r="AC153" s="87" t="str">
        <f>VLOOKUP(B153,'2007-2020 Metadata'!$A$6:$A$214,1,FALSE)</f>
        <v>DUN007</v>
      </c>
      <c r="AD153" s="230" t="str">
        <f>VLOOKUP($AC153,'2007-2020 Metadata'!$A$6:$S$214,9,FALSE)</f>
        <v>Dunedin</v>
      </c>
      <c r="AE153" s="248">
        <f>IF(ISBLANK(VLOOKUP($AC153,'2007-2020 Metadata'!$A$6:$S$214,19,FALSE)),"",VLOOKUP($AC153,'2007-2020 Metadata'!$A$6:$S$214,19,FALSE))</f>
        <v>3</v>
      </c>
      <c r="AF153" s="88" t="str">
        <f>VLOOKUP($B153,'2007-2020 Metadata'!$A$4:$S$214,MATCH("Site type",'2007-2020 Metadata'!$A$4:$S$4,0),FALSE)</f>
        <v>Background</v>
      </c>
      <c r="AG153" s="143">
        <f t="shared" si="56"/>
        <v>6.6</v>
      </c>
      <c r="AH153" s="143">
        <f t="shared" si="57"/>
        <v>17.399999999999999</v>
      </c>
      <c r="AI153" s="144">
        <f t="shared" ca="1" si="58"/>
        <v>17.801767676767678</v>
      </c>
    </row>
    <row r="154" spans="2:36" ht="12" customHeight="1" x14ac:dyDescent="0.15">
      <c r="B154" s="11" t="s">
        <v>157</v>
      </c>
      <c r="C154" s="29" t="str">
        <f>IF(ISBLANK(VLOOKUP($B154,'Monthly Summary 2009'!$B$7:$Q$106,14,FALSE)),"",IF(ISERROR(VLOOKUP(B154,'Monthly Summary 2009'!$B$7:$Q$106,14,FALSE)),"",VLOOKUP(B154,'Monthly Summary 2009'!$B$7:$Q$106,14,FALSE)))</f>
        <v/>
      </c>
      <c r="D154" s="7"/>
      <c r="E154" s="7"/>
      <c r="F154" s="7"/>
      <c r="G154" s="7">
        <v>17.7</v>
      </c>
      <c r="H154" s="7">
        <v>24.7</v>
      </c>
      <c r="I154" s="7">
        <v>20.2</v>
      </c>
      <c r="J154" s="7">
        <v>21</v>
      </c>
      <c r="K154" s="7">
        <v>20.100000000000001</v>
      </c>
      <c r="L154" s="7">
        <v>11</v>
      </c>
      <c r="M154" s="7">
        <v>14.2</v>
      </c>
      <c r="N154" s="7">
        <v>21.2</v>
      </c>
      <c r="O154" s="7">
        <v>10.6</v>
      </c>
      <c r="P154" s="8">
        <f t="shared" si="48"/>
        <v>17.855555555555551</v>
      </c>
      <c r="Q154" s="9">
        <f t="shared" si="49"/>
        <v>0.75</v>
      </c>
      <c r="R154" s="140" t="str">
        <f t="shared" si="50"/>
        <v/>
      </c>
      <c r="S154" s="24">
        <f t="shared" si="51"/>
        <v>0</v>
      </c>
      <c r="T154" s="140">
        <f t="shared" si="52"/>
        <v>17.366666666666667</v>
      </c>
      <c r="U154" s="150">
        <f t="shared" si="53"/>
        <v>1</v>
      </c>
      <c r="V154" s="141" t="str">
        <f t="shared" si="54"/>
        <v>-</v>
      </c>
      <c r="W154" s="142">
        <f t="shared" si="55"/>
        <v>0.75</v>
      </c>
      <c r="X154" s="144">
        <f t="shared" ca="1" si="45"/>
        <v>14.133333333333331</v>
      </c>
      <c r="Y154" s="144">
        <f t="shared" ca="1" si="46"/>
        <v>19.461904761904766</v>
      </c>
      <c r="Z154" s="144">
        <f t="shared" ca="1" si="63"/>
        <v>17.801767676767678</v>
      </c>
      <c r="AA154" s="10"/>
      <c r="AB154" s="357" t="str">
        <f>VLOOKUP($B154,'2007-2020 Metadata'!$A$4:$S$214,MATCH("Urban Area /Monitoring Zone",'2007-2020 Metadata'!$A$4:$S$4,0),FALSE)</f>
        <v>Dunedin</v>
      </c>
      <c r="AC154" s="87" t="str">
        <f>VLOOKUP(B154,'2007-2020 Metadata'!$A$6:$A$214,1,FALSE)</f>
        <v>DUN008</v>
      </c>
      <c r="AD154" s="230" t="str">
        <f>VLOOKUP($AC154,'2007-2020 Metadata'!$A$6:$S$214,9,FALSE)</f>
        <v>Dunedin</v>
      </c>
      <c r="AE154" s="248">
        <f>IF(ISBLANK(VLOOKUP($AC154,'2007-2020 Metadata'!$A$6:$S$214,19,FALSE)),"",VLOOKUP($AC154,'2007-2020 Metadata'!$A$6:$S$214,19,FALSE))</f>
        <v>3</v>
      </c>
      <c r="AF154" s="88" t="str">
        <f>VLOOKUP($B154,'2007-2020 Metadata'!$A$4:$S$214,MATCH("Site type",'2007-2020 Metadata'!$A$4:$S$4,0),FALSE)</f>
        <v>Local</v>
      </c>
      <c r="AG154" s="143">
        <f t="shared" si="56"/>
        <v>10.6</v>
      </c>
      <c r="AH154" s="143">
        <f t="shared" si="57"/>
        <v>24.7</v>
      </c>
      <c r="AI154" s="144">
        <f t="shared" ca="1" si="58"/>
        <v>17.801767676767678</v>
      </c>
    </row>
    <row r="155" spans="2:36" ht="12" customHeight="1" x14ac:dyDescent="0.15">
      <c r="B155" s="11" t="s">
        <v>158</v>
      </c>
      <c r="C155" s="29" t="str">
        <f>IF(ISBLANK(VLOOKUP($B155,'Monthly Summary 2009'!$B$7:$Q$106,14,FALSE)),"",IF(ISERROR(VLOOKUP(B155,'Monthly Summary 2009'!$B$7:$Q$106,14,FALSE)),"",VLOOKUP(B155,'Monthly Summary 2009'!$B$7:$Q$106,14,FALSE)))</f>
        <v/>
      </c>
      <c r="D155" s="7"/>
      <c r="E155" s="7"/>
      <c r="F155" s="7"/>
      <c r="G155" s="7">
        <v>24.9</v>
      </c>
      <c r="H155" s="7">
        <v>24.3</v>
      </c>
      <c r="I155" s="7">
        <v>23.6</v>
      </c>
      <c r="J155" s="7">
        <v>29</v>
      </c>
      <c r="K155" s="7">
        <v>23.5</v>
      </c>
      <c r="L155" s="7">
        <v>14.5</v>
      </c>
      <c r="M155" s="7">
        <v>15.6</v>
      </c>
      <c r="N155" s="7">
        <v>16.3</v>
      </c>
      <c r="O155" s="7">
        <v>8.5</v>
      </c>
      <c r="P155" s="8">
        <f t="shared" si="48"/>
        <v>20.022222222222226</v>
      </c>
      <c r="Q155" s="9">
        <f t="shared" si="49"/>
        <v>0.75</v>
      </c>
      <c r="R155" s="140" t="str">
        <f t="shared" si="50"/>
        <v/>
      </c>
      <c r="S155" s="24">
        <f t="shared" si="51"/>
        <v>0</v>
      </c>
      <c r="T155" s="140">
        <f t="shared" si="52"/>
        <v>22.333333333333332</v>
      </c>
      <c r="U155" s="150">
        <f t="shared" si="53"/>
        <v>1</v>
      </c>
      <c r="V155" s="141" t="str">
        <f t="shared" si="54"/>
        <v>-</v>
      </c>
      <c r="W155" s="142">
        <f t="shared" si="55"/>
        <v>0.75</v>
      </c>
      <c r="X155" s="144">
        <f t="shared" ca="1" si="45"/>
        <v>14.133333333333331</v>
      </c>
      <c r="Y155" s="144">
        <f t="shared" ca="1" si="46"/>
        <v>19.461904761904766</v>
      </c>
      <c r="Z155" s="144">
        <f t="shared" ca="1" si="63"/>
        <v>17.801767676767678</v>
      </c>
      <c r="AA155" s="10"/>
      <c r="AB155" s="357" t="str">
        <f>VLOOKUP($B155,'2007-2020 Metadata'!$A$4:$S$214,MATCH("Urban Area /Monitoring Zone",'2007-2020 Metadata'!$A$4:$S$4,0),FALSE)</f>
        <v>Dunedin</v>
      </c>
      <c r="AC155" s="87" t="str">
        <f>VLOOKUP(B155,'2007-2020 Metadata'!$A$6:$A$214,1,FALSE)</f>
        <v>DUN009</v>
      </c>
      <c r="AD155" s="230" t="str">
        <f>VLOOKUP($AC155,'2007-2020 Metadata'!$A$6:$S$214,9,FALSE)</f>
        <v>Dunedin</v>
      </c>
      <c r="AE155" s="248">
        <f>IF(ISBLANK(VLOOKUP($AC155,'2007-2020 Metadata'!$A$6:$S$214,19,FALSE)),"",VLOOKUP($AC155,'2007-2020 Metadata'!$A$6:$S$214,19,FALSE))</f>
        <v>3</v>
      </c>
      <c r="AF155" s="88" t="str">
        <f>VLOOKUP($B155,'2007-2020 Metadata'!$A$4:$S$214,MATCH("Site type",'2007-2020 Metadata'!$A$4:$S$4,0),FALSE)</f>
        <v>Local</v>
      </c>
      <c r="AG155" s="143">
        <f t="shared" si="56"/>
        <v>8.5</v>
      </c>
      <c r="AH155" s="143">
        <f t="shared" si="57"/>
        <v>29</v>
      </c>
      <c r="AI155" s="144">
        <f t="shared" ca="1" si="58"/>
        <v>17.801767676767678</v>
      </c>
    </row>
    <row r="156" spans="2:36" ht="12" customHeight="1" x14ac:dyDescent="0.15">
      <c r="B156" s="11" t="s">
        <v>31</v>
      </c>
      <c r="C156" s="29" t="str">
        <f>IF(ISBLANK(VLOOKUP($B156,'Monthly Summary 2009'!$B$7:$Q$106,14,FALSE)),"",IF(ISERROR(VLOOKUP(B156,'Monthly Summary 2009'!$B$7:$Q$106,14,FALSE)),"",VLOOKUP(B156,'Monthly Summary 2009'!$B$7:$Q$106,14,FALSE)))</f>
        <v/>
      </c>
      <c r="D156" s="7"/>
      <c r="E156" s="7"/>
      <c r="F156" s="7"/>
      <c r="G156" s="7"/>
      <c r="H156" s="7">
        <v>12.5</v>
      </c>
      <c r="I156" s="7">
        <v>10.5</v>
      </c>
      <c r="J156" s="7">
        <v>11.6</v>
      </c>
      <c r="K156" s="7">
        <v>11.3</v>
      </c>
      <c r="L156" s="7">
        <v>6.9</v>
      </c>
      <c r="M156" s="7">
        <v>4.3</v>
      </c>
      <c r="N156" s="7">
        <v>6.7</v>
      </c>
      <c r="O156" s="7">
        <v>2.6</v>
      </c>
      <c r="P156" s="8">
        <f t="shared" si="48"/>
        <v>8.3000000000000007</v>
      </c>
      <c r="Q156" s="22">
        <f t="shared" si="49"/>
        <v>0.66666666666666663</v>
      </c>
      <c r="R156" s="140" t="str">
        <f t="shared" si="50"/>
        <v/>
      </c>
      <c r="S156" s="24">
        <f t="shared" si="51"/>
        <v>0</v>
      </c>
      <c r="T156" s="140">
        <f t="shared" si="52"/>
        <v>9.9333333333333318</v>
      </c>
      <c r="U156" s="150">
        <f t="shared" si="53"/>
        <v>1</v>
      </c>
      <c r="V156" s="141" t="str">
        <f t="shared" si="54"/>
        <v>-</v>
      </c>
      <c r="W156" s="142">
        <f>Q156</f>
        <v>0.66666666666666663</v>
      </c>
      <c r="X156" s="144" t="str">
        <f t="shared" ca="1" si="45"/>
        <v/>
      </c>
      <c r="Y156" s="144">
        <f t="shared" ca="1" si="46"/>
        <v>24.699999999999996</v>
      </c>
      <c r="Z156" s="144" t="str">
        <f t="shared" ca="1" si="63"/>
        <v/>
      </c>
      <c r="AA156" s="45"/>
      <c r="AB156" s="357" t="str">
        <f>VLOOKUP($B156,'2007-2020 Metadata'!$A$4:$S$214,MATCH("Urban Area /Monitoring Zone",'2007-2020 Metadata'!$A$4:$S$4,0),FALSE)</f>
        <v>Invercargill</v>
      </c>
      <c r="AC156" s="87" t="str">
        <f>VLOOKUP(B156,'2007-2020 Metadata'!$A$6:$A$214,1,FALSE)</f>
        <v>DUN010</v>
      </c>
      <c r="AD156" s="230" t="str">
        <f>VLOOKUP($AC156,'2007-2020 Metadata'!$A$6:$S$214,9,FALSE)</f>
        <v>Invercargill</v>
      </c>
      <c r="AE156" s="248">
        <f>IF(ISBLANK(VLOOKUP($AC156,'2007-2020 Metadata'!$A$6:$S$214,19,FALSE)),"",VLOOKUP($AC156,'2007-2020 Metadata'!$A$6:$S$214,19,FALSE))</f>
        <v>3</v>
      </c>
      <c r="AF156" s="88" t="str">
        <f>VLOOKUP($B156,'2007-2020 Metadata'!$A$4:$S$214,MATCH("Site type",'2007-2020 Metadata'!$A$4:$S$4,0),FALSE)</f>
        <v>Background</v>
      </c>
      <c r="AG156" s="143">
        <f t="shared" si="56"/>
        <v>2.6</v>
      </c>
      <c r="AH156" s="143">
        <f t="shared" si="57"/>
        <v>12.5</v>
      </c>
      <c r="AI156" s="144" t="str">
        <f t="shared" si="58"/>
        <v xml:space="preserve"> </v>
      </c>
    </row>
    <row r="157" spans="2:36" ht="10.5" customHeight="1" thickBot="1" x14ac:dyDescent="0.2">
      <c r="B157" s="14"/>
      <c r="C157" s="27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6"/>
      <c r="Q157" s="17"/>
      <c r="R157" s="159"/>
      <c r="S157" s="15"/>
      <c r="T157" s="159"/>
      <c r="U157" s="269"/>
      <c r="V157" s="90"/>
      <c r="W157" s="108"/>
      <c r="X157" s="108"/>
      <c r="Y157" s="108"/>
      <c r="Z157" s="108"/>
      <c r="AA157" s="45"/>
      <c r="AB157" s="101"/>
      <c r="AC157" s="90"/>
      <c r="AD157" s="90"/>
      <c r="AE157" s="90"/>
      <c r="AF157" s="92"/>
      <c r="AG157" s="91"/>
      <c r="AH157" s="91"/>
      <c r="AI157" s="92"/>
    </row>
    <row r="158" spans="2:36" ht="11.25" thickTop="1" x14ac:dyDescent="0.15">
      <c r="B158" s="3"/>
      <c r="C158" s="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18"/>
      <c r="Q158" s="18"/>
      <c r="R158" s="25"/>
      <c r="S158" s="25"/>
      <c r="V158" s="45"/>
      <c r="W158" s="45"/>
      <c r="X158" s="45"/>
      <c r="Y158" s="45"/>
      <c r="AA158" s="45"/>
      <c r="AC158" s="45"/>
      <c r="AG158" s="86"/>
      <c r="AH158" s="86"/>
    </row>
    <row r="159" spans="2:36" x14ac:dyDescent="0.15">
      <c r="B159" s="10"/>
      <c r="D159" s="46" t="s">
        <v>455</v>
      </c>
      <c r="E159" s="31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18"/>
      <c r="Q159" s="18"/>
      <c r="R159" s="25"/>
      <c r="S159" s="25"/>
      <c r="V159" s="45"/>
      <c r="W159" s="45"/>
      <c r="X159" s="45"/>
      <c r="Y159" s="45"/>
      <c r="AA159" s="45"/>
      <c r="AC159" s="45"/>
      <c r="AG159" s="86"/>
      <c r="AH159" s="86"/>
    </row>
    <row r="160" spans="2:36" x14ac:dyDescent="0.15">
      <c r="B160" s="10"/>
      <c r="D160" s="321"/>
      <c r="E160" s="301" t="s">
        <v>456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18"/>
      <c r="Q160" s="18"/>
      <c r="R160" s="25"/>
      <c r="S160" s="25"/>
      <c r="V160" s="45"/>
      <c r="W160" s="45"/>
      <c r="X160" s="45"/>
      <c r="Y160" s="45"/>
      <c r="AA160" s="45"/>
      <c r="AC160" s="45"/>
      <c r="AG160" s="86"/>
      <c r="AH160" s="86"/>
    </row>
    <row r="161" spans="2:34" x14ac:dyDescent="0.15">
      <c r="B161" s="10"/>
      <c r="D161" s="371"/>
      <c r="E161" s="301" t="s">
        <v>1085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8"/>
      <c r="Q161" s="18"/>
      <c r="R161" s="25"/>
      <c r="S161" s="25"/>
      <c r="V161" s="45"/>
      <c r="W161" s="45"/>
      <c r="X161" s="45"/>
      <c r="Y161" s="45"/>
      <c r="AA161" s="45"/>
      <c r="AC161" s="45"/>
      <c r="AG161" s="86"/>
      <c r="AH161" s="86"/>
    </row>
    <row r="162" spans="2:34" x14ac:dyDescent="0.15">
      <c r="B162" s="10"/>
      <c r="D162" s="47"/>
      <c r="E162" s="31" t="s">
        <v>469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8"/>
      <c r="Q162" s="18"/>
      <c r="R162" s="25"/>
      <c r="S162" s="25"/>
      <c r="V162" s="45"/>
      <c r="W162" s="45"/>
      <c r="X162" s="45"/>
      <c r="Y162" s="45"/>
      <c r="AA162" s="45"/>
      <c r="AC162" s="45"/>
      <c r="AG162" s="86"/>
      <c r="AH162" s="86"/>
    </row>
    <row r="163" spans="2:34" x14ac:dyDescent="0.15">
      <c r="B163" s="10"/>
      <c r="D163" s="48"/>
      <c r="E163" s="31" t="s">
        <v>457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8"/>
      <c r="Q163" s="18"/>
      <c r="R163" s="25"/>
      <c r="S163" s="25"/>
      <c r="V163" s="45"/>
      <c r="W163" s="45"/>
      <c r="X163" s="45"/>
      <c r="Y163" s="45"/>
      <c r="AA163" s="45"/>
      <c r="AC163" s="45"/>
      <c r="AG163" s="86"/>
      <c r="AH163" s="86"/>
    </row>
    <row r="164" spans="2:34" x14ac:dyDescent="0.15">
      <c r="B164" s="3"/>
      <c r="D164" s="49"/>
      <c r="E164" s="31" t="s">
        <v>458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8"/>
      <c r="Q164" s="18"/>
      <c r="R164" s="25"/>
      <c r="S164" s="25"/>
      <c r="V164" s="45"/>
      <c r="W164" s="45"/>
      <c r="X164" s="45"/>
      <c r="Y164" s="45"/>
      <c r="AA164" s="45"/>
      <c r="AC164" s="45"/>
      <c r="AG164" s="86"/>
      <c r="AH164" s="86"/>
    </row>
    <row r="165" spans="2:34" x14ac:dyDescent="0.15">
      <c r="B165" s="3"/>
      <c r="C165" s="3"/>
      <c r="D165" s="176"/>
      <c r="E165" s="112" t="s">
        <v>510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8"/>
      <c r="Q165" s="18"/>
      <c r="R165" s="25"/>
      <c r="S165" s="25"/>
      <c r="V165" s="45"/>
      <c r="W165" s="45"/>
      <c r="X165" s="45"/>
      <c r="Y165" s="45"/>
      <c r="AA165" s="45"/>
      <c r="AC165" s="45"/>
      <c r="AG165" s="86"/>
      <c r="AH165" s="86"/>
    </row>
    <row r="166" spans="2:34" x14ac:dyDescent="0.15">
      <c r="B166" s="3"/>
      <c r="C166" s="3"/>
      <c r="D166" s="372"/>
      <c r="E166" s="10" t="s">
        <v>1086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18"/>
      <c r="Q166" s="18"/>
      <c r="R166" s="25"/>
      <c r="S166" s="25"/>
      <c r="V166" s="45"/>
      <c r="W166" s="45"/>
      <c r="X166" s="45"/>
      <c r="Y166" s="45"/>
      <c r="AA166" s="45"/>
      <c r="AC166" s="45"/>
      <c r="AG166" s="86"/>
      <c r="AH166" s="86"/>
    </row>
    <row r="167" spans="2:34" x14ac:dyDescent="0.15">
      <c r="B167" s="3"/>
      <c r="C167" s="3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18"/>
      <c r="Q167" s="18"/>
      <c r="R167" s="25"/>
      <c r="S167" s="25"/>
      <c r="V167" s="45"/>
      <c r="W167" s="45"/>
      <c r="X167" s="45"/>
      <c r="Y167" s="45"/>
      <c r="AA167" s="45"/>
      <c r="AC167" s="45"/>
      <c r="AG167" s="86"/>
      <c r="AH167" s="86"/>
    </row>
    <row r="168" spans="2:34" x14ac:dyDescent="0.15">
      <c r="B168" s="3"/>
      <c r="C168" s="3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18"/>
      <c r="Q168" s="18"/>
      <c r="R168" s="25"/>
      <c r="S168" s="25"/>
      <c r="V168" s="45"/>
      <c r="W168" s="45"/>
      <c r="X168" s="45"/>
      <c r="Y168" s="45"/>
      <c r="AA168" s="45"/>
      <c r="AC168" s="45"/>
      <c r="AG168" s="86"/>
      <c r="AH168" s="86"/>
    </row>
    <row r="169" spans="2:34" x14ac:dyDescent="0.15">
      <c r="B169" s="3"/>
      <c r="C169" s="3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18"/>
      <c r="Q169" s="18"/>
      <c r="R169" s="25"/>
      <c r="S169" s="25"/>
      <c r="V169" s="45"/>
      <c r="W169" s="45"/>
      <c r="X169" s="45"/>
      <c r="Y169" s="45"/>
      <c r="AA169" s="45"/>
      <c r="AC169" s="45"/>
      <c r="AG169" s="86"/>
      <c r="AH169" s="86"/>
    </row>
    <row r="170" spans="2:34" x14ac:dyDescent="0.15">
      <c r="B170" s="3"/>
      <c r="C170" s="3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18"/>
      <c r="Q170" s="18"/>
      <c r="R170" s="25"/>
      <c r="S170" s="25"/>
      <c r="V170" s="45"/>
      <c r="W170" s="45"/>
      <c r="X170" s="45"/>
      <c r="Y170" s="45"/>
      <c r="AA170" s="45"/>
      <c r="AC170" s="45"/>
      <c r="AG170" s="86"/>
      <c r="AH170" s="86"/>
    </row>
    <row r="171" spans="2:34" x14ac:dyDescent="0.15">
      <c r="B171" s="3"/>
      <c r="C171" s="3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18"/>
      <c r="Q171" s="18"/>
      <c r="R171" s="25"/>
      <c r="S171" s="25"/>
      <c r="V171" s="45"/>
      <c r="W171" s="45"/>
      <c r="X171" s="45"/>
      <c r="Y171" s="45"/>
      <c r="AA171" s="45"/>
      <c r="AC171" s="45"/>
      <c r="AG171" s="86"/>
      <c r="AH171" s="86"/>
    </row>
    <row r="172" spans="2:34" x14ac:dyDescent="0.15">
      <c r="B172" s="3"/>
      <c r="C172" s="3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18"/>
      <c r="Q172" s="18"/>
      <c r="R172" s="25"/>
      <c r="S172" s="25"/>
      <c r="V172" s="45"/>
      <c r="W172" s="45"/>
      <c r="X172" s="45"/>
      <c r="Y172" s="45"/>
      <c r="AA172" s="45"/>
      <c r="AC172" s="45"/>
      <c r="AG172" s="86"/>
      <c r="AH172" s="86"/>
    </row>
    <row r="173" spans="2:34" x14ac:dyDescent="0.15">
      <c r="B173" s="3"/>
      <c r="C173" s="3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18"/>
      <c r="Q173" s="18"/>
      <c r="R173" s="25"/>
      <c r="S173" s="25"/>
      <c r="V173" s="45"/>
      <c r="W173" s="45"/>
      <c r="X173" s="45"/>
      <c r="Y173" s="45"/>
      <c r="AA173" s="45"/>
      <c r="AC173" s="45"/>
      <c r="AG173" s="86"/>
      <c r="AH173" s="86"/>
    </row>
    <row r="174" spans="2:34" x14ac:dyDescent="0.15">
      <c r="B174" s="3"/>
      <c r="C174" s="3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18"/>
      <c r="Q174" s="18"/>
      <c r="R174" s="25"/>
      <c r="S174" s="25"/>
      <c r="V174" s="45"/>
      <c r="W174" s="45"/>
      <c r="X174" s="45"/>
      <c r="Y174" s="45"/>
      <c r="AA174" s="45"/>
      <c r="AC174" s="45"/>
      <c r="AG174" s="86"/>
      <c r="AH174" s="86"/>
    </row>
    <row r="175" spans="2:34" x14ac:dyDescent="0.15">
      <c r="B175" s="3"/>
      <c r="C175" s="3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18"/>
      <c r="Q175" s="18"/>
      <c r="R175" s="25"/>
      <c r="S175" s="25"/>
      <c r="V175" s="45"/>
      <c r="W175" s="45"/>
      <c r="X175" s="45"/>
      <c r="Y175" s="45"/>
      <c r="AA175" s="45"/>
      <c r="AC175" s="45"/>
      <c r="AG175" s="86"/>
      <c r="AH175" s="86"/>
    </row>
    <row r="176" spans="2:34" x14ac:dyDescent="0.15">
      <c r="B176" s="3"/>
      <c r="C176" s="3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18"/>
      <c r="Q176" s="18"/>
      <c r="R176" s="25"/>
      <c r="S176" s="25"/>
      <c r="V176" s="45"/>
      <c r="W176" s="45"/>
      <c r="X176" s="45"/>
      <c r="Y176" s="45"/>
      <c r="AA176" s="45"/>
      <c r="AC176" s="45"/>
      <c r="AG176" s="86"/>
      <c r="AH176" s="86"/>
    </row>
    <row r="177" spans="2:34" x14ac:dyDescent="0.15">
      <c r="B177" s="3"/>
      <c r="C177" s="3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18"/>
      <c r="Q177" s="18"/>
      <c r="R177" s="25"/>
      <c r="S177" s="25"/>
      <c r="V177" s="45"/>
      <c r="W177" s="45"/>
      <c r="X177" s="45"/>
      <c r="Y177" s="45"/>
      <c r="AA177" s="45"/>
      <c r="AC177" s="45"/>
      <c r="AG177" s="86"/>
      <c r="AH177" s="86"/>
    </row>
    <row r="178" spans="2:34" x14ac:dyDescent="0.15">
      <c r="B178" s="3"/>
      <c r="C178" s="3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18"/>
      <c r="Q178" s="18"/>
      <c r="R178" s="25"/>
      <c r="S178" s="25"/>
      <c r="V178" s="45"/>
      <c r="W178" s="45"/>
      <c r="X178" s="45"/>
      <c r="Y178" s="45"/>
      <c r="AA178" s="45"/>
      <c r="AC178" s="45"/>
      <c r="AG178" s="86"/>
      <c r="AH178" s="86"/>
    </row>
    <row r="179" spans="2:34" x14ac:dyDescent="0.15">
      <c r="B179" s="3"/>
      <c r="C179" s="3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18"/>
      <c r="Q179" s="18"/>
      <c r="R179" s="25"/>
      <c r="S179" s="25"/>
      <c r="AA179" s="45"/>
      <c r="AC179" s="45"/>
      <c r="AG179" s="86"/>
      <c r="AH179" s="86"/>
    </row>
    <row r="180" spans="2:34" x14ac:dyDescent="0.15">
      <c r="B180" s="3"/>
      <c r="C180" s="3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8"/>
      <c r="Q180" s="18"/>
      <c r="R180" s="25"/>
      <c r="S180" s="25"/>
      <c r="AA180" s="45"/>
      <c r="AC180" s="45"/>
      <c r="AG180" s="86"/>
      <c r="AH180" s="86"/>
    </row>
    <row r="181" spans="2:34" x14ac:dyDescent="0.15">
      <c r="B181" s="3"/>
      <c r="C181" s="3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8"/>
      <c r="Q181" s="18"/>
      <c r="R181" s="25"/>
      <c r="S181" s="25"/>
      <c r="AA181" s="45"/>
      <c r="AC181" s="45"/>
      <c r="AG181" s="86"/>
      <c r="AH181" s="86"/>
    </row>
    <row r="182" spans="2:34" x14ac:dyDescent="0.15">
      <c r="B182" s="3"/>
      <c r="C182" s="3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18"/>
      <c r="Q182" s="18"/>
      <c r="R182" s="25"/>
      <c r="S182" s="25"/>
      <c r="AA182" s="45"/>
      <c r="AC182" s="45"/>
      <c r="AG182" s="86"/>
      <c r="AH182" s="86"/>
    </row>
    <row r="183" spans="2:34" x14ac:dyDescent="0.15">
      <c r="B183" s="3"/>
      <c r="C183" s="3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18"/>
      <c r="Q183" s="18"/>
      <c r="R183" s="25"/>
      <c r="S183" s="25"/>
      <c r="AA183" s="45"/>
      <c r="AC183" s="45"/>
    </row>
    <row r="184" spans="2:34" x14ac:dyDescent="0.15">
      <c r="B184" s="3"/>
      <c r="C184" s="3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18"/>
      <c r="Q184" s="18"/>
      <c r="R184" s="25"/>
      <c r="S184" s="25"/>
      <c r="AA184" s="45"/>
      <c r="AC184" s="45"/>
    </row>
    <row r="185" spans="2:34" x14ac:dyDescent="0.15">
      <c r="B185" s="3"/>
      <c r="C185" s="3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18"/>
      <c r="Q185" s="18"/>
      <c r="R185" s="25"/>
      <c r="S185" s="25"/>
      <c r="AC185" s="45"/>
    </row>
    <row r="186" spans="2:34" x14ac:dyDescent="0.15">
      <c r="B186" s="3"/>
      <c r="C186" s="3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18"/>
      <c r="Q186" s="18"/>
      <c r="R186" s="25"/>
      <c r="S186" s="25"/>
    </row>
    <row r="187" spans="2:34" x14ac:dyDescent="0.15">
      <c r="B187" s="3"/>
      <c r="C187" s="3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18"/>
      <c r="Q187" s="18"/>
      <c r="R187" s="25"/>
      <c r="S187" s="25"/>
    </row>
    <row r="188" spans="2:34" x14ac:dyDescent="0.15">
      <c r="B188" s="3"/>
      <c r="C188" s="3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18"/>
      <c r="Q188" s="18"/>
      <c r="R188" s="25"/>
      <c r="S188" s="25"/>
    </row>
    <row r="189" spans="2:34" x14ac:dyDescent="0.15">
      <c r="B189" s="3"/>
      <c r="C189" s="3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18"/>
      <c r="Q189" s="18"/>
      <c r="R189" s="25"/>
      <c r="S189" s="25"/>
    </row>
    <row r="190" spans="2:34" x14ac:dyDescent="0.15">
      <c r="B190" s="3"/>
      <c r="C190" s="3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18"/>
      <c r="Q190" s="18"/>
      <c r="R190" s="25"/>
      <c r="S190" s="25"/>
    </row>
    <row r="191" spans="2:34" x14ac:dyDescent="0.15">
      <c r="B191" s="3"/>
      <c r="C191" s="3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18"/>
      <c r="Q191" s="18"/>
      <c r="R191" s="25"/>
      <c r="S191" s="25"/>
    </row>
    <row r="192" spans="2:34" x14ac:dyDescent="0.15">
      <c r="B192" s="3"/>
      <c r="C192" s="3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18"/>
      <c r="Q192" s="18"/>
      <c r="R192" s="25"/>
      <c r="S192" s="25"/>
    </row>
    <row r="193" spans="2:19" x14ac:dyDescent="0.15">
      <c r="B193" s="3"/>
      <c r="C193" s="3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18"/>
      <c r="Q193" s="18"/>
      <c r="R193" s="25"/>
      <c r="S193" s="25"/>
    </row>
    <row r="194" spans="2:19" x14ac:dyDescent="0.15">
      <c r="B194" s="3"/>
      <c r="C194" s="3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18"/>
      <c r="Q194" s="18"/>
      <c r="R194" s="25"/>
      <c r="S194" s="25"/>
    </row>
    <row r="195" spans="2:19" x14ac:dyDescent="0.15">
      <c r="B195" s="3"/>
      <c r="C195" s="3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18"/>
      <c r="Q195" s="18"/>
      <c r="R195" s="25"/>
      <c r="S195" s="25"/>
    </row>
    <row r="196" spans="2:19" x14ac:dyDescent="0.15">
      <c r="B196" s="3"/>
      <c r="C196" s="3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18"/>
      <c r="Q196" s="18"/>
      <c r="R196" s="25"/>
      <c r="S196" s="25"/>
    </row>
    <row r="197" spans="2:19" x14ac:dyDescent="0.15">
      <c r="B197" s="3"/>
      <c r="C197" s="3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18"/>
      <c r="Q197" s="18"/>
      <c r="R197" s="25"/>
      <c r="S197" s="25"/>
    </row>
    <row r="198" spans="2:19" x14ac:dyDescent="0.15">
      <c r="B198" s="3"/>
      <c r="C198" s="3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18"/>
      <c r="Q198" s="18"/>
      <c r="R198" s="25"/>
      <c r="S198" s="25"/>
    </row>
    <row r="199" spans="2:19" x14ac:dyDescent="0.15">
      <c r="B199" s="3"/>
      <c r="C199" s="3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18"/>
      <c r="Q199" s="18"/>
      <c r="R199" s="25"/>
      <c r="S199" s="25"/>
    </row>
    <row r="200" spans="2:19" x14ac:dyDescent="0.15">
      <c r="B200" s="3"/>
      <c r="C200" s="3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18"/>
      <c r="Q200" s="18"/>
      <c r="R200" s="25"/>
      <c r="S200" s="25"/>
    </row>
    <row r="201" spans="2:19" x14ac:dyDescent="0.15">
      <c r="B201" s="3"/>
      <c r="C201" s="3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18"/>
      <c r="Q201" s="18"/>
      <c r="R201" s="25"/>
      <c r="S201" s="25"/>
    </row>
    <row r="202" spans="2:19" x14ac:dyDescent="0.15">
      <c r="B202" s="3"/>
      <c r="C202" s="3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18"/>
      <c r="Q202" s="18"/>
      <c r="R202" s="25"/>
      <c r="S202" s="25"/>
    </row>
    <row r="203" spans="2:19" x14ac:dyDescent="0.15">
      <c r="B203" s="3"/>
      <c r="C203" s="3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18"/>
      <c r="Q203" s="18"/>
      <c r="R203" s="25"/>
      <c r="S203" s="25"/>
    </row>
    <row r="204" spans="2:19" x14ac:dyDescent="0.15">
      <c r="B204" s="3"/>
      <c r="C204" s="3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18"/>
      <c r="Q204" s="18"/>
      <c r="R204" s="25"/>
      <c r="S204" s="25"/>
    </row>
    <row r="205" spans="2:19" x14ac:dyDescent="0.15">
      <c r="B205" s="3"/>
      <c r="C205" s="3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18"/>
      <c r="Q205" s="18"/>
      <c r="R205" s="25"/>
      <c r="S205" s="25"/>
    </row>
    <row r="206" spans="2:19" x14ac:dyDescent="0.15">
      <c r="B206" s="3"/>
      <c r="C206" s="3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18"/>
      <c r="Q206" s="18"/>
      <c r="R206" s="25"/>
      <c r="S206" s="25"/>
    </row>
    <row r="207" spans="2:19" x14ac:dyDescent="0.15">
      <c r="B207" s="3"/>
      <c r="C207" s="3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18"/>
      <c r="Q207" s="18"/>
      <c r="R207" s="25"/>
      <c r="S207" s="25"/>
    </row>
    <row r="208" spans="2:19" x14ac:dyDescent="0.15">
      <c r="B208" s="3"/>
      <c r="C208" s="3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18"/>
      <c r="Q208" s="18"/>
      <c r="R208" s="25"/>
      <c r="S208" s="25"/>
    </row>
    <row r="209" spans="2:19" x14ac:dyDescent="0.15">
      <c r="B209" s="3"/>
      <c r="C209" s="3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18"/>
      <c r="Q209" s="18"/>
      <c r="R209" s="25"/>
      <c r="S209" s="25"/>
    </row>
    <row r="210" spans="2:19" x14ac:dyDescent="0.15">
      <c r="B210" s="3"/>
      <c r="C210" s="3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18"/>
      <c r="Q210" s="18"/>
      <c r="R210" s="25"/>
      <c r="S210" s="25"/>
    </row>
    <row r="211" spans="2:19" x14ac:dyDescent="0.15">
      <c r="B211" s="3"/>
      <c r="C211" s="3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18"/>
      <c r="Q211" s="18"/>
      <c r="R211" s="25"/>
      <c r="S211" s="25"/>
    </row>
    <row r="212" spans="2:19" x14ac:dyDescent="0.15">
      <c r="B212" s="3"/>
      <c r="C212" s="3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18"/>
      <c r="Q212" s="18"/>
      <c r="R212" s="25"/>
      <c r="S212" s="25"/>
    </row>
    <row r="213" spans="2:19" x14ac:dyDescent="0.15">
      <c r="B213" s="3"/>
      <c r="C213" s="3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18"/>
      <c r="Q213" s="18"/>
      <c r="R213" s="25"/>
      <c r="S213" s="25"/>
    </row>
    <row r="214" spans="2:19" x14ac:dyDescent="0.15">
      <c r="B214" s="3"/>
      <c r="C214" s="3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18"/>
      <c r="Q214" s="18"/>
      <c r="R214" s="25"/>
      <c r="S214" s="25"/>
    </row>
    <row r="215" spans="2:19" x14ac:dyDescent="0.15">
      <c r="B215" s="3"/>
      <c r="C215" s="3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18"/>
      <c r="Q215" s="18"/>
      <c r="R215" s="25"/>
      <c r="S215" s="25"/>
    </row>
    <row r="216" spans="2:19" x14ac:dyDescent="0.15">
      <c r="B216" s="3"/>
      <c r="C216" s="3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18"/>
      <c r="Q216" s="18"/>
      <c r="R216" s="25"/>
      <c r="S216" s="25"/>
    </row>
    <row r="217" spans="2:19" x14ac:dyDescent="0.15">
      <c r="B217" s="3"/>
      <c r="C217" s="3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18"/>
      <c r="Q217" s="18"/>
      <c r="R217" s="25"/>
      <c r="S217" s="25"/>
    </row>
    <row r="218" spans="2:19" x14ac:dyDescent="0.15">
      <c r="B218" s="3"/>
      <c r="C218" s="3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18"/>
      <c r="Q218" s="18"/>
      <c r="R218" s="25"/>
      <c r="S218" s="25"/>
    </row>
    <row r="219" spans="2:19" x14ac:dyDescent="0.15">
      <c r="B219" s="3"/>
      <c r="C219" s="3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18"/>
      <c r="Q219" s="18"/>
      <c r="R219" s="25"/>
      <c r="S219" s="25"/>
    </row>
    <row r="220" spans="2:19" x14ac:dyDescent="0.15">
      <c r="B220" s="3"/>
      <c r="C220" s="3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18"/>
      <c r="Q220" s="18"/>
      <c r="R220" s="25"/>
      <c r="S220" s="25"/>
    </row>
    <row r="221" spans="2:19" x14ac:dyDescent="0.15">
      <c r="B221" s="3"/>
      <c r="C221" s="3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18"/>
      <c r="Q221" s="18"/>
      <c r="R221" s="25"/>
      <c r="S221" s="25"/>
    </row>
    <row r="222" spans="2:19" x14ac:dyDescent="0.15">
      <c r="B222" s="3"/>
      <c r="C222" s="3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18"/>
      <c r="Q222" s="18"/>
      <c r="R222" s="25"/>
      <c r="S222" s="25"/>
    </row>
    <row r="223" spans="2:19" x14ac:dyDescent="0.15">
      <c r="B223" s="3"/>
      <c r="C223" s="3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18"/>
      <c r="Q223" s="18"/>
      <c r="R223" s="25"/>
      <c r="S223" s="25"/>
    </row>
    <row r="224" spans="2:19" x14ac:dyDescent="0.15">
      <c r="B224" s="3"/>
      <c r="C224" s="3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18"/>
      <c r="Q224" s="18"/>
      <c r="R224" s="25"/>
      <c r="S224" s="25"/>
    </row>
    <row r="225" spans="2:19" x14ac:dyDescent="0.15">
      <c r="B225" s="3"/>
      <c r="C225" s="3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18"/>
      <c r="Q225" s="18"/>
      <c r="R225" s="25"/>
      <c r="S225" s="25"/>
    </row>
    <row r="226" spans="2:19" x14ac:dyDescent="0.15">
      <c r="B226" s="3"/>
      <c r="C226" s="3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18"/>
      <c r="Q226" s="18"/>
      <c r="R226" s="25"/>
      <c r="S226" s="25"/>
    </row>
    <row r="227" spans="2:19" x14ac:dyDescent="0.15">
      <c r="B227" s="3"/>
      <c r="C227" s="3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18"/>
      <c r="Q227" s="18"/>
      <c r="R227" s="25"/>
      <c r="S227" s="25"/>
    </row>
    <row r="228" spans="2:19" x14ac:dyDescent="0.15">
      <c r="B228" s="3"/>
      <c r="C228" s="3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18"/>
      <c r="Q228" s="18"/>
      <c r="R228" s="25"/>
      <c r="S228" s="25"/>
    </row>
    <row r="229" spans="2:19" x14ac:dyDescent="0.15">
      <c r="B229" s="3"/>
      <c r="C229" s="3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18"/>
      <c r="Q229" s="18"/>
      <c r="R229" s="25"/>
      <c r="S229" s="25"/>
    </row>
    <row r="230" spans="2:19" x14ac:dyDescent="0.15">
      <c r="B230" s="3"/>
      <c r="C230" s="3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18"/>
      <c r="Q230" s="18"/>
      <c r="R230" s="25"/>
      <c r="S230" s="25"/>
    </row>
    <row r="231" spans="2:19" x14ac:dyDescent="0.15">
      <c r="B231" s="3"/>
      <c r="C231" s="3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18"/>
      <c r="Q231" s="18"/>
      <c r="R231" s="25"/>
      <c r="S231" s="25"/>
    </row>
    <row r="232" spans="2:19" x14ac:dyDescent="0.15">
      <c r="B232" s="3"/>
      <c r="C232" s="3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18"/>
      <c r="Q232" s="18"/>
      <c r="R232" s="25"/>
      <c r="S232" s="25"/>
    </row>
    <row r="233" spans="2:19" x14ac:dyDescent="0.15">
      <c r="B233" s="3"/>
      <c r="C233" s="3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18"/>
      <c r="Q233" s="18"/>
      <c r="R233" s="25"/>
      <c r="S233" s="25"/>
    </row>
    <row r="234" spans="2:19" x14ac:dyDescent="0.15">
      <c r="B234" s="3"/>
      <c r="C234" s="3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18"/>
      <c r="Q234" s="18"/>
      <c r="R234" s="25"/>
      <c r="S234" s="25"/>
    </row>
    <row r="235" spans="2:19" x14ac:dyDescent="0.15">
      <c r="B235" s="3"/>
      <c r="C235" s="3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18"/>
      <c r="Q235" s="18"/>
      <c r="R235" s="25"/>
      <c r="S235" s="25"/>
    </row>
    <row r="236" spans="2:19" x14ac:dyDescent="0.15">
      <c r="B236" s="3"/>
      <c r="C236" s="3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18"/>
      <c r="Q236" s="18"/>
      <c r="R236" s="25"/>
      <c r="S236" s="25"/>
    </row>
    <row r="237" spans="2:19" x14ac:dyDescent="0.15">
      <c r="B237" s="3"/>
      <c r="C237" s="3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18"/>
      <c r="Q237" s="18"/>
      <c r="R237" s="25"/>
      <c r="S237" s="25"/>
    </row>
    <row r="238" spans="2:19" x14ac:dyDescent="0.15">
      <c r="B238" s="3"/>
      <c r="C238" s="3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18"/>
      <c r="Q238" s="18"/>
      <c r="R238" s="25"/>
      <c r="S238" s="25"/>
    </row>
    <row r="239" spans="2:19" x14ac:dyDescent="0.15">
      <c r="B239" s="3"/>
      <c r="C239" s="3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18"/>
      <c r="Q239" s="18"/>
      <c r="R239" s="25"/>
      <c r="S239" s="25"/>
    </row>
    <row r="240" spans="2:19" x14ac:dyDescent="0.15">
      <c r="B240" s="3"/>
      <c r="C240" s="3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18"/>
      <c r="Q240" s="18"/>
      <c r="R240" s="25"/>
      <c r="S240" s="25"/>
    </row>
    <row r="241" spans="2:19" x14ac:dyDescent="0.15">
      <c r="B241" s="3"/>
      <c r="C241" s="3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18"/>
      <c r="Q241" s="18"/>
      <c r="R241" s="25"/>
      <c r="S241" s="25"/>
    </row>
    <row r="242" spans="2:19" x14ac:dyDescent="0.15">
      <c r="B242" s="3"/>
      <c r="C242" s="3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18"/>
      <c r="Q242" s="18"/>
      <c r="R242" s="25"/>
      <c r="S242" s="25"/>
    </row>
    <row r="243" spans="2:19" x14ac:dyDescent="0.15">
      <c r="B243" s="3"/>
      <c r="C243" s="3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18"/>
      <c r="Q243" s="18"/>
      <c r="R243" s="25"/>
      <c r="S243" s="25"/>
    </row>
    <row r="244" spans="2:19" x14ac:dyDescent="0.15">
      <c r="B244" s="3"/>
      <c r="C244" s="3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18"/>
      <c r="Q244" s="18"/>
      <c r="R244" s="25"/>
      <c r="S244" s="25"/>
    </row>
    <row r="245" spans="2:19" x14ac:dyDescent="0.15">
      <c r="B245" s="3"/>
      <c r="C245" s="3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18"/>
      <c r="Q245" s="18"/>
      <c r="R245" s="25"/>
      <c r="S245" s="25"/>
    </row>
    <row r="246" spans="2:19" x14ac:dyDescent="0.15">
      <c r="B246" s="3"/>
      <c r="C246" s="3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18"/>
      <c r="Q246" s="18"/>
      <c r="R246" s="25"/>
      <c r="S246" s="25"/>
    </row>
    <row r="247" spans="2:19" x14ac:dyDescent="0.15">
      <c r="B247" s="3"/>
      <c r="C247" s="3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18"/>
      <c r="Q247" s="18"/>
      <c r="R247" s="25"/>
      <c r="S247" s="25"/>
    </row>
    <row r="248" spans="2:19" x14ac:dyDescent="0.15">
      <c r="B248" s="3"/>
      <c r="C248" s="3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18"/>
      <c r="Q248" s="18"/>
      <c r="R248" s="25"/>
      <c r="S248" s="25"/>
    </row>
    <row r="249" spans="2:19" x14ac:dyDescent="0.15">
      <c r="B249" s="3"/>
      <c r="C249" s="3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18"/>
      <c r="Q249" s="18"/>
      <c r="R249" s="25"/>
      <c r="S249" s="25"/>
    </row>
    <row r="250" spans="2:19" x14ac:dyDescent="0.15">
      <c r="B250" s="3"/>
      <c r="C250" s="3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18"/>
      <c r="Q250" s="18"/>
      <c r="R250" s="25"/>
      <c r="S250" s="25"/>
    </row>
    <row r="251" spans="2:19" x14ac:dyDescent="0.15">
      <c r="B251" s="3"/>
      <c r="C251" s="3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18"/>
      <c r="Q251" s="18"/>
      <c r="R251" s="25"/>
      <c r="S251" s="25"/>
    </row>
    <row r="252" spans="2:19" x14ac:dyDescent="0.15">
      <c r="B252" s="3"/>
      <c r="C252" s="3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18"/>
      <c r="Q252" s="18"/>
      <c r="R252" s="25"/>
      <c r="S252" s="25"/>
    </row>
    <row r="253" spans="2:19" x14ac:dyDescent="0.15">
      <c r="B253" s="3"/>
      <c r="C253" s="3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18"/>
      <c r="Q253" s="18"/>
      <c r="R253" s="25"/>
      <c r="S253" s="25"/>
    </row>
    <row r="254" spans="2:19" x14ac:dyDescent="0.15">
      <c r="B254" s="3"/>
      <c r="C254" s="3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18"/>
      <c r="Q254" s="18"/>
      <c r="R254" s="25"/>
      <c r="S254" s="25"/>
    </row>
    <row r="255" spans="2:19" x14ac:dyDescent="0.15">
      <c r="B255" s="3"/>
      <c r="C255" s="3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18"/>
      <c r="Q255" s="18"/>
      <c r="R255" s="25"/>
      <c r="S255" s="25"/>
    </row>
    <row r="256" spans="2:19" x14ac:dyDescent="0.15">
      <c r="B256" s="3"/>
      <c r="C256" s="3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18"/>
      <c r="Q256" s="18"/>
      <c r="R256" s="25"/>
      <c r="S256" s="25"/>
    </row>
    <row r="257" spans="2:19" x14ac:dyDescent="0.15">
      <c r="B257" s="3"/>
      <c r="C257" s="3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18"/>
      <c r="Q257" s="18"/>
      <c r="R257" s="25"/>
      <c r="S257" s="25"/>
    </row>
    <row r="258" spans="2:19" x14ac:dyDescent="0.15">
      <c r="B258" s="3"/>
      <c r="C258" s="3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18"/>
      <c r="Q258" s="18"/>
      <c r="R258" s="25"/>
      <c r="S258" s="25"/>
    </row>
    <row r="259" spans="2:19" x14ac:dyDescent="0.15">
      <c r="B259" s="3"/>
      <c r="C259" s="3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18"/>
      <c r="Q259" s="18"/>
      <c r="R259" s="25"/>
      <c r="S259" s="25"/>
    </row>
    <row r="260" spans="2:19" x14ac:dyDescent="0.15">
      <c r="B260" s="3"/>
      <c r="C260" s="3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18"/>
      <c r="Q260" s="18"/>
      <c r="R260" s="25"/>
      <c r="S260" s="25"/>
    </row>
    <row r="261" spans="2:19" x14ac:dyDescent="0.15">
      <c r="B261" s="3"/>
      <c r="C261" s="3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18"/>
      <c r="Q261" s="18"/>
      <c r="R261" s="25"/>
      <c r="S261" s="25"/>
    </row>
    <row r="262" spans="2:19" x14ac:dyDescent="0.15">
      <c r="B262" s="3"/>
      <c r="C262" s="3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18"/>
      <c r="Q262" s="18"/>
      <c r="R262" s="25"/>
      <c r="S262" s="25"/>
    </row>
    <row r="263" spans="2:19" x14ac:dyDescent="0.15">
      <c r="B263" s="3"/>
      <c r="C263" s="3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18"/>
      <c r="Q263" s="18"/>
      <c r="R263" s="25"/>
      <c r="S263" s="25"/>
    </row>
    <row r="264" spans="2:19" x14ac:dyDescent="0.15">
      <c r="B264" s="3"/>
      <c r="C264" s="3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18"/>
      <c r="Q264" s="18"/>
      <c r="R264" s="25"/>
      <c r="S264" s="25"/>
    </row>
    <row r="265" spans="2:19" x14ac:dyDescent="0.15">
      <c r="B265" s="3"/>
      <c r="C265" s="3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18"/>
      <c r="Q265" s="18"/>
      <c r="R265" s="25"/>
      <c r="S265" s="25"/>
    </row>
    <row r="266" spans="2:19" x14ac:dyDescent="0.15">
      <c r="B266" s="3"/>
      <c r="C266" s="3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18"/>
      <c r="Q266" s="18"/>
      <c r="R266" s="25"/>
      <c r="S266" s="25"/>
    </row>
    <row r="267" spans="2:19" x14ac:dyDescent="0.15">
      <c r="B267" s="3"/>
      <c r="C267" s="3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18"/>
      <c r="Q267" s="18"/>
      <c r="R267" s="25"/>
      <c r="S267" s="25"/>
    </row>
    <row r="268" spans="2:19" x14ac:dyDescent="0.15">
      <c r="B268" s="3"/>
      <c r="C268" s="3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18"/>
      <c r="Q268" s="18"/>
      <c r="R268" s="25"/>
      <c r="S268" s="25"/>
    </row>
    <row r="269" spans="2:19" x14ac:dyDescent="0.15">
      <c r="B269" s="3"/>
      <c r="C269" s="3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18"/>
      <c r="Q269" s="18"/>
      <c r="R269" s="25"/>
      <c r="S269" s="25"/>
    </row>
    <row r="270" spans="2:19" x14ac:dyDescent="0.15">
      <c r="B270" s="3"/>
      <c r="C270" s="3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18"/>
      <c r="Q270" s="18"/>
      <c r="R270" s="25"/>
      <c r="S270" s="25"/>
    </row>
    <row r="271" spans="2:19" x14ac:dyDescent="0.15">
      <c r="B271" s="3"/>
      <c r="C271" s="3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18"/>
      <c r="Q271" s="18"/>
      <c r="R271" s="25"/>
      <c r="S271" s="25"/>
    </row>
    <row r="272" spans="2:19" x14ac:dyDescent="0.15">
      <c r="B272" s="3"/>
      <c r="C272" s="3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18"/>
      <c r="Q272" s="18"/>
      <c r="R272" s="25"/>
      <c r="S272" s="25"/>
    </row>
    <row r="273" spans="2:19" x14ac:dyDescent="0.15">
      <c r="B273" s="3"/>
      <c r="C273" s="3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18"/>
      <c r="Q273" s="18"/>
      <c r="R273" s="25"/>
      <c r="S273" s="25"/>
    </row>
    <row r="274" spans="2:19" x14ac:dyDescent="0.15">
      <c r="B274" s="3"/>
      <c r="C274" s="3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18"/>
      <c r="Q274" s="18"/>
      <c r="R274" s="25"/>
      <c r="S274" s="25"/>
    </row>
    <row r="275" spans="2:19" x14ac:dyDescent="0.15">
      <c r="B275" s="3"/>
      <c r="C275" s="3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18"/>
      <c r="Q275" s="18"/>
      <c r="R275" s="25"/>
      <c r="S275" s="25"/>
    </row>
    <row r="276" spans="2:19" x14ac:dyDescent="0.15">
      <c r="B276" s="3"/>
      <c r="C276" s="3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18"/>
      <c r="Q276" s="18"/>
      <c r="R276" s="25"/>
      <c r="S276" s="25"/>
    </row>
    <row r="277" spans="2:19" x14ac:dyDescent="0.15">
      <c r="B277" s="3"/>
      <c r="C277" s="3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18"/>
      <c r="Q277" s="18"/>
      <c r="R277" s="25"/>
      <c r="S277" s="25"/>
    </row>
    <row r="278" spans="2:19" x14ac:dyDescent="0.15">
      <c r="B278" s="3"/>
      <c r="C278" s="3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18"/>
      <c r="Q278" s="18"/>
      <c r="R278" s="25"/>
      <c r="S278" s="25"/>
    </row>
    <row r="279" spans="2:19" x14ac:dyDescent="0.15">
      <c r="B279" s="3"/>
      <c r="C279" s="3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18"/>
      <c r="Q279" s="18"/>
      <c r="R279" s="25"/>
      <c r="S279" s="25"/>
    </row>
    <row r="280" spans="2:19" x14ac:dyDescent="0.15">
      <c r="B280" s="3"/>
      <c r="C280" s="3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18"/>
      <c r="Q280" s="18"/>
      <c r="R280" s="25"/>
      <c r="S280" s="25"/>
    </row>
    <row r="281" spans="2:19" x14ac:dyDescent="0.15">
      <c r="B281" s="3"/>
      <c r="C281" s="3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18"/>
      <c r="Q281" s="18"/>
      <c r="R281" s="25"/>
      <c r="S281" s="25"/>
    </row>
    <row r="282" spans="2:19" x14ac:dyDescent="0.15">
      <c r="B282" s="3"/>
      <c r="C282" s="3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18"/>
      <c r="Q282" s="18"/>
      <c r="R282" s="25"/>
      <c r="S282" s="25"/>
    </row>
    <row r="283" spans="2:19" x14ac:dyDescent="0.15">
      <c r="B283" s="3"/>
      <c r="C283" s="3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18"/>
      <c r="Q283" s="18"/>
      <c r="R283" s="25"/>
      <c r="S283" s="25"/>
    </row>
    <row r="284" spans="2:19" x14ac:dyDescent="0.15">
      <c r="B284" s="3"/>
      <c r="C284" s="3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18"/>
      <c r="Q284" s="18"/>
      <c r="R284" s="25"/>
      <c r="S284" s="25"/>
    </row>
    <row r="285" spans="2:19" x14ac:dyDescent="0.15">
      <c r="B285" s="3"/>
      <c r="C285" s="3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18"/>
      <c r="Q285" s="18"/>
      <c r="R285" s="25"/>
      <c r="S285" s="25"/>
    </row>
    <row r="286" spans="2:19" x14ac:dyDescent="0.15">
      <c r="B286" s="3"/>
      <c r="C286" s="3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18"/>
      <c r="Q286" s="18"/>
      <c r="R286" s="25"/>
      <c r="S286" s="25"/>
    </row>
    <row r="287" spans="2:19" x14ac:dyDescent="0.15">
      <c r="B287" s="3"/>
      <c r="C287" s="3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18"/>
      <c r="Q287" s="18"/>
      <c r="R287" s="25"/>
      <c r="S287" s="25"/>
    </row>
    <row r="288" spans="2:19" x14ac:dyDescent="0.15">
      <c r="B288" s="3"/>
      <c r="C288" s="3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18"/>
      <c r="Q288" s="18"/>
      <c r="R288" s="25"/>
      <c r="S288" s="25"/>
    </row>
    <row r="289" spans="2:27" x14ac:dyDescent="0.15">
      <c r="B289" s="3"/>
      <c r="C289" s="3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18"/>
      <c r="Q289" s="18"/>
      <c r="R289" s="25"/>
      <c r="S289" s="25"/>
    </row>
    <row r="290" spans="2:27" x14ac:dyDescent="0.15">
      <c r="B290" s="3"/>
      <c r="C290" s="3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18"/>
      <c r="Q290" s="18"/>
      <c r="R290" s="25"/>
      <c r="S290" s="25"/>
    </row>
    <row r="291" spans="2:27" x14ac:dyDescent="0.15">
      <c r="B291" s="3"/>
      <c r="C291" s="3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18"/>
      <c r="Q291" s="18"/>
      <c r="R291" s="25"/>
      <c r="S291" s="25"/>
    </row>
    <row r="292" spans="2:27" x14ac:dyDescent="0.15">
      <c r="B292" s="3"/>
      <c r="C292" s="3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18"/>
      <c r="Q292" s="18"/>
      <c r="R292" s="25"/>
      <c r="S292" s="25"/>
    </row>
    <row r="293" spans="2:27" x14ac:dyDescent="0.15">
      <c r="B293" s="3"/>
      <c r="C293" s="3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18"/>
      <c r="Q293" s="18"/>
      <c r="R293" s="25"/>
      <c r="S293" s="25"/>
    </row>
    <row r="294" spans="2:27" x14ac:dyDescent="0.15">
      <c r="B294" s="3"/>
      <c r="C294" s="3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18"/>
      <c r="Q294" s="18"/>
      <c r="R294" s="25"/>
      <c r="S294" s="25"/>
    </row>
    <row r="295" spans="2:27" x14ac:dyDescent="0.15">
      <c r="B295" s="3"/>
      <c r="C295" s="3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18"/>
      <c r="Q295" s="18"/>
      <c r="R295" s="25"/>
      <c r="S295" s="25"/>
    </row>
    <row r="296" spans="2:27" x14ac:dyDescent="0.15">
      <c r="B296" s="3"/>
      <c r="C296" s="3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18"/>
      <c r="Q296" s="18"/>
      <c r="R296" s="25"/>
      <c r="S296" s="25"/>
    </row>
    <row r="297" spans="2:27" x14ac:dyDescent="0.15">
      <c r="B297" s="3"/>
      <c r="C297" s="3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Z297" s="50"/>
    </row>
    <row r="298" spans="2:27" x14ac:dyDescent="0.15">
      <c r="B298" s="3"/>
      <c r="C298" s="3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Z298" s="50"/>
    </row>
    <row r="299" spans="2:27" x14ac:dyDescent="0.15">
      <c r="B299" s="3"/>
      <c r="C299" s="3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Z299" s="50"/>
    </row>
    <row r="300" spans="2:27" x14ac:dyDescent="0.15">
      <c r="B300" s="3"/>
      <c r="C300" s="3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Z300" s="50"/>
    </row>
    <row r="301" spans="2:27" x14ac:dyDescent="0.15">
      <c r="B301" s="3"/>
      <c r="C301" s="3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Z301" s="50"/>
    </row>
    <row r="302" spans="2:27" x14ac:dyDescent="0.15">
      <c r="B302" s="3"/>
      <c r="C302" s="3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Z302" s="50"/>
    </row>
    <row r="303" spans="2:27" x14ac:dyDescent="0.15">
      <c r="B303" s="3"/>
      <c r="C303" s="3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Z303" s="50"/>
    </row>
    <row r="304" spans="2:27" x14ac:dyDescent="0.15">
      <c r="B304" s="3"/>
      <c r="C304" s="3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Z304" s="50"/>
      <c r="AA304" s="50"/>
    </row>
    <row r="305" spans="2:35" x14ac:dyDescent="0.15">
      <c r="B305" s="3"/>
      <c r="C305" s="3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Z305" s="50"/>
      <c r="AA305" s="50"/>
      <c r="AB305" s="50"/>
      <c r="AC305" s="50"/>
      <c r="AF305" s="50"/>
      <c r="AG305" s="50"/>
      <c r="AH305" s="50"/>
      <c r="AI305" s="50"/>
    </row>
    <row r="306" spans="2:35" s="20" customFormat="1" x14ac:dyDescent="0.15">
      <c r="B306" s="3"/>
      <c r="C306" s="3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R306" s="26"/>
      <c r="S306" s="26"/>
      <c r="T306" s="21"/>
      <c r="V306" s="10"/>
      <c r="W306" s="10"/>
      <c r="X306" s="10"/>
      <c r="Y306" s="10"/>
      <c r="Z306" s="50"/>
      <c r="AA306" s="50"/>
      <c r="AB306" s="50"/>
      <c r="AC306" s="50"/>
      <c r="AD306" s="230"/>
      <c r="AE306" s="230"/>
      <c r="AF306" s="50"/>
      <c r="AG306" s="50"/>
      <c r="AH306" s="50"/>
      <c r="AI306" s="50"/>
    </row>
    <row r="307" spans="2:35" s="20" customFormat="1" x14ac:dyDescent="0.15">
      <c r="B307" s="3"/>
      <c r="C307" s="3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R307" s="26"/>
      <c r="S307" s="26"/>
      <c r="T307" s="21"/>
      <c r="V307" s="10"/>
      <c r="W307" s="10"/>
      <c r="X307" s="10"/>
      <c r="Y307" s="10"/>
      <c r="Z307" s="50"/>
      <c r="AA307" s="50"/>
      <c r="AB307" s="50"/>
      <c r="AC307" s="50"/>
      <c r="AD307" s="230"/>
      <c r="AE307" s="230"/>
      <c r="AF307" s="50"/>
      <c r="AG307" s="50"/>
      <c r="AH307" s="50"/>
      <c r="AI307" s="50"/>
    </row>
    <row r="308" spans="2:35" s="20" customFormat="1" x14ac:dyDescent="0.15">
      <c r="B308" s="3"/>
      <c r="C308" s="3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R308" s="26"/>
      <c r="S308" s="26"/>
      <c r="T308" s="21"/>
      <c r="V308" s="10"/>
      <c r="W308" s="10"/>
      <c r="X308" s="10"/>
      <c r="Y308" s="10"/>
      <c r="Z308" s="50"/>
      <c r="AA308" s="50"/>
      <c r="AB308" s="50"/>
      <c r="AC308" s="50"/>
      <c r="AD308" s="230"/>
      <c r="AE308" s="230"/>
      <c r="AF308" s="50"/>
      <c r="AG308" s="50"/>
      <c r="AH308" s="50"/>
      <c r="AI308" s="50"/>
    </row>
    <row r="309" spans="2:35" s="20" customFormat="1" x14ac:dyDescent="0.15">
      <c r="B309" s="3"/>
      <c r="C309" s="3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R309" s="26"/>
      <c r="S309" s="26"/>
      <c r="T309" s="21"/>
      <c r="V309" s="10"/>
      <c r="W309" s="10"/>
      <c r="X309" s="10"/>
      <c r="Y309" s="10"/>
      <c r="Z309" s="50"/>
      <c r="AA309" s="50"/>
      <c r="AB309" s="50"/>
      <c r="AC309" s="50"/>
      <c r="AD309" s="247"/>
      <c r="AE309" s="247"/>
      <c r="AF309" s="50"/>
      <c r="AG309" s="50"/>
      <c r="AH309" s="50"/>
      <c r="AI309" s="50"/>
    </row>
    <row r="310" spans="2:35" s="20" customFormat="1" x14ac:dyDescent="0.15">
      <c r="B310" s="3"/>
      <c r="C310" s="3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R310" s="26"/>
      <c r="S310" s="26"/>
      <c r="T310" s="21"/>
      <c r="V310" s="10"/>
      <c r="W310" s="10"/>
      <c r="X310" s="10"/>
      <c r="Y310" s="10"/>
      <c r="Z310" s="50"/>
      <c r="AA310" s="50"/>
      <c r="AB310" s="50"/>
      <c r="AC310" s="50"/>
      <c r="AD310" s="247"/>
      <c r="AE310" s="247"/>
      <c r="AF310" s="50"/>
      <c r="AG310" s="50"/>
      <c r="AH310" s="50"/>
      <c r="AI310" s="50"/>
    </row>
    <row r="311" spans="2:35" s="20" customFormat="1" x14ac:dyDescent="0.15">
      <c r="B311" s="3"/>
      <c r="C311" s="3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R311" s="26"/>
      <c r="S311" s="26"/>
      <c r="T311" s="21"/>
      <c r="V311" s="10"/>
      <c r="W311" s="10"/>
      <c r="X311" s="10"/>
      <c r="Y311" s="10"/>
      <c r="Z311" s="50"/>
      <c r="AA311" s="50"/>
      <c r="AB311" s="50"/>
      <c r="AC311" s="50"/>
      <c r="AD311" s="247"/>
      <c r="AE311" s="247"/>
      <c r="AF311" s="50"/>
      <c r="AG311" s="50"/>
      <c r="AH311" s="50"/>
      <c r="AI311" s="50"/>
    </row>
    <row r="312" spans="2:35" s="20" customFormat="1" x14ac:dyDescent="0.15">
      <c r="B312" s="3"/>
      <c r="C312" s="3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R312" s="26"/>
      <c r="S312" s="26"/>
      <c r="T312" s="21"/>
      <c r="V312" s="10"/>
      <c r="W312" s="10"/>
      <c r="X312" s="10"/>
      <c r="Y312" s="10"/>
      <c r="Z312" s="50"/>
      <c r="AA312" s="50"/>
      <c r="AB312" s="50"/>
      <c r="AC312" s="50"/>
      <c r="AD312" s="247"/>
      <c r="AE312" s="247"/>
      <c r="AF312" s="50"/>
      <c r="AG312" s="50"/>
      <c r="AH312" s="50"/>
      <c r="AI312" s="50"/>
    </row>
    <row r="313" spans="2:35" s="20" customFormat="1" x14ac:dyDescent="0.15">
      <c r="B313" s="3"/>
      <c r="C313" s="3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R313" s="26"/>
      <c r="S313" s="26"/>
      <c r="T313" s="21"/>
      <c r="V313" s="10"/>
      <c r="W313" s="10"/>
      <c r="X313" s="10"/>
      <c r="Y313" s="10"/>
      <c r="Z313" s="50"/>
      <c r="AA313" s="50"/>
      <c r="AB313" s="50"/>
      <c r="AC313" s="50"/>
      <c r="AD313" s="247"/>
      <c r="AE313" s="247"/>
      <c r="AF313" s="50"/>
      <c r="AG313" s="50"/>
      <c r="AH313" s="50"/>
      <c r="AI313" s="50"/>
    </row>
    <row r="314" spans="2:35" s="20" customFormat="1" x14ac:dyDescent="0.15">
      <c r="B314" s="3"/>
      <c r="C314" s="3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R314" s="26"/>
      <c r="S314" s="26"/>
      <c r="T314" s="21"/>
      <c r="V314" s="10"/>
      <c r="W314" s="10"/>
      <c r="X314" s="10"/>
      <c r="Y314" s="10"/>
      <c r="Z314" s="50"/>
      <c r="AA314" s="50"/>
      <c r="AB314" s="50"/>
      <c r="AC314" s="50"/>
      <c r="AD314" s="247"/>
      <c r="AE314" s="247"/>
      <c r="AF314" s="50"/>
      <c r="AG314" s="50"/>
      <c r="AH314" s="50"/>
      <c r="AI314" s="50"/>
    </row>
    <row r="315" spans="2:35" s="20" customFormat="1" x14ac:dyDescent="0.15">
      <c r="B315" s="3"/>
      <c r="C315" s="3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R315" s="26"/>
      <c r="S315" s="26"/>
      <c r="T315" s="21"/>
      <c r="V315" s="10"/>
      <c r="W315" s="10"/>
      <c r="X315" s="10"/>
      <c r="Y315" s="10"/>
      <c r="Z315" s="50"/>
      <c r="AA315" s="50"/>
      <c r="AB315" s="50"/>
      <c r="AC315" s="50"/>
      <c r="AD315" s="247"/>
      <c r="AE315" s="247"/>
      <c r="AF315" s="50"/>
      <c r="AG315" s="50"/>
      <c r="AH315" s="50"/>
      <c r="AI315" s="50"/>
    </row>
    <row r="316" spans="2:35" s="20" customFormat="1" x14ac:dyDescent="0.15">
      <c r="B316" s="3"/>
      <c r="C316" s="3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R316" s="26"/>
      <c r="S316" s="26"/>
      <c r="T316" s="21"/>
      <c r="V316" s="10"/>
      <c r="W316" s="10"/>
      <c r="X316" s="10"/>
      <c r="Y316" s="10"/>
      <c r="Z316" s="50"/>
      <c r="AA316" s="50"/>
      <c r="AB316" s="50"/>
      <c r="AC316" s="50"/>
      <c r="AD316" s="247"/>
      <c r="AE316" s="247"/>
      <c r="AF316" s="50"/>
      <c r="AG316" s="50"/>
      <c r="AH316" s="50"/>
      <c r="AI316" s="50"/>
    </row>
    <row r="317" spans="2:35" s="20" customFormat="1" x14ac:dyDescent="0.15">
      <c r="B317" s="3"/>
      <c r="C317" s="3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R317" s="26"/>
      <c r="S317" s="26"/>
      <c r="T317" s="21"/>
      <c r="V317" s="10"/>
      <c r="W317" s="10"/>
      <c r="X317" s="10"/>
      <c r="Y317" s="10"/>
      <c r="Z317" s="50"/>
      <c r="AA317" s="50"/>
      <c r="AB317" s="50"/>
      <c r="AC317" s="50"/>
      <c r="AD317" s="247"/>
      <c r="AE317" s="247"/>
      <c r="AF317" s="50"/>
      <c r="AG317" s="50"/>
      <c r="AH317" s="50"/>
      <c r="AI317" s="50"/>
    </row>
    <row r="318" spans="2:35" s="20" customFormat="1" x14ac:dyDescent="0.15">
      <c r="B318" s="3"/>
      <c r="C318" s="3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R318" s="26"/>
      <c r="S318" s="26"/>
      <c r="T318" s="21"/>
      <c r="V318" s="10"/>
      <c r="W318" s="10"/>
      <c r="X318" s="10"/>
      <c r="Y318" s="10"/>
      <c r="Z318" s="50"/>
      <c r="AA318" s="50"/>
      <c r="AB318" s="50"/>
      <c r="AC318" s="50"/>
      <c r="AD318" s="247"/>
      <c r="AE318" s="247"/>
      <c r="AF318" s="50"/>
      <c r="AG318" s="50"/>
      <c r="AH318" s="50"/>
      <c r="AI318" s="50"/>
    </row>
    <row r="319" spans="2:35" s="20" customFormat="1" x14ac:dyDescent="0.15">
      <c r="B319" s="3"/>
      <c r="C319" s="3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R319" s="26"/>
      <c r="S319" s="26"/>
      <c r="T319" s="21"/>
      <c r="V319" s="10"/>
      <c r="W319" s="10"/>
      <c r="X319" s="10"/>
      <c r="Y319" s="10"/>
      <c r="Z319" s="50"/>
      <c r="AA319" s="50"/>
      <c r="AB319" s="50"/>
      <c r="AC319" s="50"/>
      <c r="AD319" s="247"/>
      <c r="AE319" s="247"/>
      <c r="AF319" s="50"/>
      <c r="AG319" s="50"/>
      <c r="AH319" s="50"/>
      <c r="AI319" s="50"/>
    </row>
    <row r="320" spans="2:35" s="20" customFormat="1" x14ac:dyDescent="0.15">
      <c r="B320" s="3"/>
      <c r="C320" s="3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R320" s="26"/>
      <c r="S320" s="26"/>
      <c r="T320" s="21"/>
      <c r="V320" s="10"/>
      <c r="W320" s="10"/>
      <c r="X320" s="10"/>
      <c r="Y320" s="10"/>
      <c r="Z320" s="50"/>
      <c r="AA320" s="50"/>
      <c r="AB320" s="50"/>
      <c r="AC320" s="50"/>
      <c r="AD320" s="247"/>
      <c r="AE320" s="247"/>
      <c r="AF320" s="50"/>
      <c r="AG320" s="50"/>
      <c r="AH320" s="50"/>
      <c r="AI320" s="50"/>
    </row>
    <row r="321" spans="2:35" s="20" customFormat="1" x14ac:dyDescent="0.15">
      <c r="B321" s="3"/>
      <c r="C321" s="3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R321" s="26"/>
      <c r="S321" s="26"/>
      <c r="T321" s="21"/>
      <c r="V321" s="10"/>
      <c r="W321" s="10"/>
      <c r="X321" s="10"/>
      <c r="Y321" s="10"/>
      <c r="Z321" s="50"/>
      <c r="AA321" s="50"/>
      <c r="AB321" s="50"/>
      <c r="AC321" s="50"/>
      <c r="AD321" s="247"/>
      <c r="AE321" s="247"/>
      <c r="AF321" s="50"/>
      <c r="AG321" s="50"/>
      <c r="AH321" s="50"/>
      <c r="AI321" s="50"/>
    </row>
    <row r="322" spans="2:35" s="20" customFormat="1" x14ac:dyDescent="0.15">
      <c r="B322" s="3"/>
      <c r="C322" s="3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R322" s="26"/>
      <c r="S322" s="26"/>
      <c r="T322" s="21"/>
      <c r="V322" s="10"/>
      <c r="W322" s="10"/>
      <c r="X322" s="10"/>
      <c r="Y322" s="10"/>
      <c r="Z322" s="50"/>
      <c r="AA322" s="50"/>
      <c r="AB322" s="50"/>
      <c r="AC322" s="50"/>
      <c r="AD322" s="247"/>
      <c r="AE322" s="247"/>
      <c r="AF322" s="50"/>
      <c r="AG322" s="50"/>
      <c r="AH322" s="50"/>
      <c r="AI322" s="50"/>
    </row>
    <row r="323" spans="2:35" s="20" customFormat="1" x14ac:dyDescent="0.15">
      <c r="B323" s="3"/>
      <c r="C323" s="3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R323" s="26"/>
      <c r="S323" s="26"/>
      <c r="T323" s="21"/>
      <c r="V323" s="10"/>
      <c r="W323" s="10"/>
      <c r="X323" s="10"/>
      <c r="Y323" s="10"/>
      <c r="Z323" s="50"/>
      <c r="AA323" s="50"/>
      <c r="AB323" s="50"/>
      <c r="AC323" s="50"/>
      <c r="AD323" s="247"/>
      <c r="AE323" s="247"/>
      <c r="AF323" s="50"/>
      <c r="AG323" s="50"/>
      <c r="AH323" s="50"/>
      <c r="AI323" s="50"/>
    </row>
    <row r="324" spans="2:35" s="20" customFormat="1" x14ac:dyDescent="0.15">
      <c r="B324" s="3"/>
      <c r="C324" s="3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R324" s="26"/>
      <c r="S324" s="26"/>
      <c r="T324" s="21"/>
      <c r="V324" s="10"/>
      <c r="W324" s="10"/>
      <c r="X324" s="10"/>
      <c r="Y324" s="10"/>
      <c r="Z324" s="50"/>
      <c r="AA324" s="50"/>
      <c r="AB324" s="50"/>
      <c r="AC324" s="50"/>
      <c r="AD324" s="247"/>
      <c r="AE324" s="247"/>
      <c r="AF324" s="50"/>
      <c r="AG324" s="50"/>
      <c r="AH324" s="50"/>
      <c r="AI324" s="50"/>
    </row>
    <row r="325" spans="2:35" s="20" customFormat="1" x14ac:dyDescent="0.15">
      <c r="B325" s="3"/>
      <c r="C325" s="3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R325" s="26"/>
      <c r="S325" s="26"/>
      <c r="T325" s="21"/>
      <c r="V325" s="10"/>
      <c r="W325" s="10"/>
      <c r="X325" s="10"/>
      <c r="Y325" s="10"/>
      <c r="Z325" s="50"/>
      <c r="AA325" s="50"/>
      <c r="AB325" s="50"/>
      <c r="AC325" s="50"/>
      <c r="AD325" s="247"/>
      <c r="AE325" s="247"/>
      <c r="AF325" s="50"/>
      <c r="AG325" s="50"/>
      <c r="AH325" s="50"/>
      <c r="AI325" s="50"/>
    </row>
    <row r="326" spans="2:35" s="20" customFormat="1" x14ac:dyDescent="0.15">
      <c r="B326" s="3"/>
      <c r="C326" s="3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R326" s="26"/>
      <c r="S326" s="26"/>
      <c r="T326" s="21"/>
      <c r="Z326" s="50"/>
      <c r="AA326" s="50"/>
      <c r="AB326" s="50"/>
      <c r="AC326" s="50"/>
      <c r="AD326" s="247"/>
      <c r="AE326" s="247"/>
      <c r="AF326" s="50"/>
      <c r="AG326" s="50"/>
      <c r="AH326" s="50"/>
      <c r="AI326" s="50"/>
    </row>
    <row r="327" spans="2:35" s="20" customFormat="1" x14ac:dyDescent="0.15">
      <c r="B327" s="3"/>
      <c r="C327" s="3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R327" s="26"/>
      <c r="S327" s="26"/>
      <c r="T327" s="21"/>
      <c r="Z327" s="50"/>
      <c r="AA327" s="50"/>
      <c r="AB327" s="50"/>
      <c r="AC327" s="50"/>
      <c r="AD327" s="247"/>
      <c r="AE327" s="247"/>
      <c r="AF327" s="50"/>
      <c r="AG327" s="50"/>
      <c r="AH327" s="50"/>
      <c r="AI327" s="50"/>
    </row>
    <row r="328" spans="2:35" s="20" customFormat="1" x14ac:dyDescent="0.15">
      <c r="B328" s="3"/>
      <c r="C328" s="3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R328" s="26"/>
      <c r="S328" s="26"/>
      <c r="T328" s="21"/>
      <c r="Z328" s="50"/>
      <c r="AA328" s="50"/>
      <c r="AB328" s="50"/>
      <c r="AC328" s="50"/>
      <c r="AD328" s="247"/>
      <c r="AE328" s="247"/>
      <c r="AF328" s="50"/>
      <c r="AG328" s="50"/>
      <c r="AH328" s="50"/>
      <c r="AI328" s="50"/>
    </row>
    <row r="329" spans="2:35" s="20" customFormat="1" x14ac:dyDescent="0.15">
      <c r="B329" s="3"/>
      <c r="C329" s="3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R329" s="26"/>
      <c r="S329" s="26"/>
      <c r="T329" s="21"/>
      <c r="Z329" s="50"/>
      <c r="AA329" s="50"/>
      <c r="AB329" s="50"/>
      <c r="AC329" s="50"/>
      <c r="AD329" s="247"/>
      <c r="AE329" s="247"/>
      <c r="AF329" s="50"/>
      <c r="AG329" s="50"/>
      <c r="AH329" s="50"/>
      <c r="AI329" s="50"/>
    </row>
    <row r="330" spans="2:35" s="20" customFormat="1" x14ac:dyDescent="0.15">
      <c r="B330" s="3"/>
      <c r="C330" s="3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R330" s="26"/>
      <c r="S330" s="26"/>
      <c r="T330" s="21"/>
      <c r="Z330" s="50"/>
      <c r="AA330" s="50"/>
      <c r="AB330" s="50"/>
      <c r="AC330" s="50"/>
      <c r="AD330" s="247"/>
      <c r="AE330" s="247"/>
      <c r="AF330" s="50"/>
      <c r="AG330" s="50"/>
      <c r="AH330" s="50"/>
      <c r="AI330" s="50"/>
    </row>
    <row r="331" spans="2:35" s="20" customFormat="1" x14ac:dyDescent="0.15">
      <c r="B331" s="3"/>
      <c r="C331" s="3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R331" s="26"/>
      <c r="S331" s="26"/>
      <c r="T331" s="21"/>
      <c r="Z331" s="50"/>
      <c r="AA331" s="50"/>
      <c r="AB331" s="50"/>
      <c r="AC331" s="50"/>
      <c r="AD331" s="247"/>
      <c r="AE331" s="247"/>
      <c r="AF331" s="50"/>
      <c r="AG331" s="50"/>
      <c r="AH331" s="50"/>
      <c r="AI331" s="50"/>
    </row>
    <row r="332" spans="2:35" s="20" customFormat="1" x14ac:dyDescent="0.15">
      <c r="B332" s="3"/>
      <c r="C332" s="3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R332" s="26"/>
      <c r="S332" s="26"/>
      <c r="T332" s="21"/>
      <c r="Z332" s="50"/>
      <c r="AA332" s="50"/>
      <c r="AB332" s="50"/>
      <c r="AC332" s="50"/>
      <c r="AD332" s="247"/>
      <c r="AE332" s="247"/>
      <c r="AF332" s="50"/>
      <c r="AG332" s="50"/>
      <c r="AH332" s="50"/>
      <c r="AI332" s="50"/>
    </row>
    <row r="333" spans="2:35" s="20" customFormat="1" x14ac:dyDescent="0.15">
      <c r="B333" s="3"/>
      <c r="C333" s="3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R333" s="26"/>
      <c r="S333" s="26"/>
      <c r="T333" s="21"/>
      <c r="Z333" s="50"/>
      <c r="AA333" s="50"/>
      <c r="AB333" s="50"/>
      <c r="AC333" s="50"/>
      <c r="AD333" s="247"/>
      <c r="AE333" s="247"/>
      <c r="AF333" s="50"/>
      <c r="AG333" s="50"/>
      <c r="AH333" s="50"/>
      <c r="AI333" s="50"/>
    </row>
    <row r="334" spans="2:35" s="20" customFormat="1" x14ac:dyDescent="0.15">
      <c r="B334" s="3"/>
      <c r="C334" s="3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R334" s="26"/>
      <c r="S334" s="26"/>
      <c r="T334" s="21"/>
      <c r="Z334" s="50"/>
      <c r="AA334" s="50"/>
      <c r="AB334" s="50"/>
      <c r="AC334" s="50"/>
      <c r="AD334" s="247"/>
      <c r="AE334" s="247"/>
      <c r="AF334" s="50"/>
      <c r="AG334" s="50"/>
      <c r="AH334" s="50"/>
      <c r="AI334" s="50"/>
    </row>
    <row r="335" spans="2:35" s="20" customFormat="1" x14ac:dyDescent="0.15">
      <c r="B335" s="3"/>
      <c r="C335" s="3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R335" s="26"/>
      <c r="S335" s="26"/>
      <c r="T335" s="21"/>
      <c r="Z335" s="50"/>
      <c r="AA335" s="50"/>
      <c r="AB335" s="50"/>
      <c r="AC335" s="50"/>
      <c r="AD335" s="247"/>
      <c r="AE335" s="247"/>
      <c r="AF335" s="50"/>
      <c r="AG335" s="50"/>
      <c r="AH335" s="50"/>
      <c r="AI335" s="50"/>
    </row>
    <row r="336" spans="2:35" s="20" customFormat="1" x14ac:dyDescent="0.15">
      <c r="B336" s="3"/>
      <c r="C336" s="3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R336" s="26"/>
      <c r="S336" s="26"/>
      <c r="T336" s="21"/>
      <c r="Z336" s="50"/>
      <c r="AA336" s="50"/>
      <c r="AB336" s="50"/>
      <c r="AC336" s="50"/>
      <c r="AD336" s="247"/>
      <c r="AE336" s="247"/>
      <c r="AF336" s="50"/>
      <c r="AG336" s="50"/>
      <c r="AH336" s="50"/>
      <c r="AI336" s="50"/>
    </row>
    <row r="337" spans="2:35" s="20" customFormat="1" x14ac:dyDescent="0.15">
      <c r="B337" s="3"/>
      <c r="C337" s="3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R337" s="26"/>
      <c r="S337" s="26"/>
      <c r="T337" s="21"/>
      <c r="Z337" s="50"/>
      <c r="AA337" s="50"/>
      <c r="AB337" s="50"/>
      <c r="AC337" s="50"/>
      <c r="AD337" s="247"/>
      <c r="AE337" s="247"/>
      <c r="AF337" s="50"/>
      <c r="AG337" s="50"/>
      <c r="AH337" s="50"/>
      <c r="AI337" s="50"/>
    </row>
    <row r="338" spans="2:35" s="20" customFormat="1" x14ac:dyDescent="0.15">
      <c r="B338" s="3"/>
      <c r="C338" s="3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R338" s="26"/>
      <c r="S338" s="26"/>
      <c r="T338" s="21"/>
      <c r="Z338" s="50"/>
      <c r="AA338" s="50"/>
      <c r="AB338" s="50"/>
      <c r="AC338" s="50"/>
      <c r="AD338" s="247"/>
      <c r="AE338" s="247"/>
      <c r="AF338" s="50"/>
      <c r="AG338" s="50"/>
      <c r="AH338" s="50"/>
      <c r="AI338" s="50"/>
    </row>
    <row r="339" spans="2:35" s="20" customFormat="1" x14ac:dyDescent="0.15">
      <c r="B339" s="3"/>
      <c r="C339" s="3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R339" s="26"/>
      <c r="S339" s="26"/>
      <c r="T339" s="21"/>
      <c r="Z339" s="50"/>
      <c r="AA339" s="50"/>
      <c r="AB339" s="50"/>
      <c r="AC339" s="50"/>
      <c r="AD339" s="247"/>
      <c r="AE339" s="247"/>
      <c r="AF339" s="50"/>
      <c r="AG339" s="50"/>
      <c r="AH339" s="50"/>
      <c r="AI339" s="50"/>
    </row>
    <row r="340" spans="2:35" s="20" customFormat="1" x14ac:dyDescent="0.15">
      <c r="B340" s="3"/>
      <c r="C340" s="3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R340" s="26"/>
      <c r="S340" s="26"/>
      <c r="T340" s="21"/>
      <c r="Z340" s="50"/>
      <c r="AA340" s="50"/>
      <c r="AB340" s="50"/>
      <c r="AC340" s="50"/>
      <c r="AD340" s="247"/>
      <c r="AE340" s="247"/>
      <c r="AF340" s="50"/>
      <c r="AG340" s="50"/>
      <c r="AH340" s="50"/>
      <c r="AI340" s="50"/>
    </row>
    <row r="341" spans="2:35" s="20" customFormat="1" x14ac:dyDescent="0.15">
      <c r="B341" s="3"/>
      <c r="C341" s="3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R341" s="26"/>
      <c r="S341" s="26"/>
      <c r="T341" s="21"/>
      <c r="Z341" s="50"/>
      <c r="AA341" s="50"/>
      <c r="AB341" s="50"/>
      <c r="AC341" s="50"/>
      <c r="AD341" s="247"/>
      <c r="AE341" s="247"/>
      <c r="AF341" s="50"/>
      <c r="AG341" s="50"/>
      <c r="AH341" s="50"/>
      <c r="AI341" s="50"/>
    </row>
    <row r="342" spans="2:35" s="20" customFormat="1" x14ac:dyDescent="0.15">
      <c r="B342" s="3"/>
      <c r="C342" s="3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R342" s="26"/>
      <c r="S342" s="26"/>
      <c r="T342" s="21"/>
      <c r="Z342" s="50"/>
      <c r="AA342" s="50"/>
      <c r="AB342" s="50"/>
      <c r="AC342" s="50"/>
      <c r="AD342" s="247"/>
      <c r="AE342" s="247"/>
      <c r="AF342" s="50"/>
      <c r="AG342" s="50"/>
      <c r="AH342" s="50"/>
      <c r="AI342" s="50"/>
    </row>
    <row r="343" spans="2:35" s="20" customFormat="1" x14ac:dyDescent="0.15">
      <c r="B343" s="3"/>
      <c r="C343" s="3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R343" s="26"/>
      <c r="S343" s="26"/>
      <c r="T343" s="21"/>
      <c r="Z343" s="50"/>
      <c r="AA343" s="50"/>
      <c r="AB343" s="50"/>
      <c r="AC343" s="50"/>
      <c r="AD343" s="247"/>
      <c r="AE343" s="247"/>
      <c r="AF343" s="50"/>
      <c r="AG343" s="50"/>
      <c r="AH343" s="50"/>
      <c r="AI343" s="50"/>
    </row>
    <row r="344" spans="2:35" s="20" customFormat="1" x14ac:dyDescent="0.15">
      <c r="B344" s="3"/>
      <c r="C344" s="3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R344" s="26"/>
      <c r="S344" s="26"/>
      <c r="T344" s="21"/>
      <c r="Z344" s="50"/>
      <c r="AA344" s="50"/>
      <c r="AB344" s="50"/>
      <c r="AC344" s="50"/>
      <c r="AD344" s="247"/>
      <c r="AE344" s="247"/>
      <c r="AF344" s="50"/>
      <c r="AG344" s="50"/>
      <c r="AH344" s="50"/>
      <c r="AI344" s="50"/>
    </row>
    <row r="345" spans="2:35" s="20" customFormat="1" x14ac:dyDescent="0.15">
      <c r="B345" s="3"/>
      <c r="C345" s="3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R345" s="26"/>
      <c r="S345" s="26"/>
      <c r="T345" s="21"/>
      <c r="Z345" s="50"/>
      <c r="AA345" s="50"/>
      <c r="AB345" s="50"/>
      <c r="AC345" s="50"/>
      <c r="AD345" s="247"/>
      <c r="AE345" s="247"/>
      <c r="AF345" s="50"/>
      <c r="AG345" s="50"/>
      <c r="AH345" s="50"/>
      <c r="AI345" s="50"/>
    </row>
    <row r="346" spans="2:35" s="20" customFormat="1" x14ac:dyDescent="0.15">
      <c r="B346" s="3"/>
      <c r="C346" s="3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R346" s="26"/>
      <c r="S346" s="26"/>
      <c r="T346" s="21"/>
      <c r="Z346" s="50"/>
      <c r="AA346" s="50"/>
      <c r="AB346" s="50"/>
      <c r="AC346" s="50"/>
      <c r="AD346" s="247"/>
      <c r="AE346" s="247"/>
      <c r="AF346" s="50"/>
      <c r="AG346" s="50"/>
      <c r="AH346" s="50"/>
      <c r="AI346" s="50"/>
    </row>
    <row r="347" spans="2:35" s="20" customFormat="1" x14ac:dyDescent="0.15">
      <c r="B347" s="3"/>
      <c r="C347" s="3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R347" s="26"/>
      <c r="S347" s="26"/>
      <c r="T347" s="21"/>
      <c r="Z347" s="50"/>
      <c r="AA347" s="50"/>
      <c r="AB347" s="50"/>
      <c r="AC347" s="50"/>
      <c r="AD347" s="247"/>
      <c r="AE347" s="247"/>
      <c r="AF347" s="50"/>
      <c r="AG347" s="50"/>
      <c r="AH347" s="50"/>
      <c r="AI347" s="50"/>
    </row>
    <row r="348" spans="2:35" s="20" customFormat="1" x14ac:dyDescent="0.15">
      <c r="B348" s="3"/>
      <c r="C348" s="3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R348" s="26"/>
      <c r="S348" s="26"/>
      <c r="T348" s="21"/>
      <c r="Z348" s="50"/>
      <c r="AA348" s="50"/>
      <c r="AB348" s="50"/>
      <c r="AC348" s="50"/>
      <c r="AD348" s="247"/>
      <c r="AE348" s="247"/>
      <c r="AF348" s="50"/>
      <c r="AG348" s="50"/>
      <c r="AH348" s="50"/>
      <c r="AI348" s="50"/>
    </row>
    <row r="349" spans="2:35" s="20" customFormat="1" x14ac:dyDescent="0.15">
      <c r="B349" s="3"/>
      <c r="C349" s="3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R349" s="26"/>
      <c r="S349" s="26"/>
      <c r="T349" s="21"/>
      <c r="Z349" s="50"/>
      <c r="AA349" s="50"/>
      <c r="AB349" s="50"/>
      <c r="AC349" s="50"/>
      <c r="AD349" s="247"/>
      <c r="AE349" s="247"/>
      <c r="AF349" s="50"/>
      <c r="AG349" s="50"/>
      <c r="AH349" s="50"/>
      <c r="AI349" s="50"/>
    </row>
    <row r="350" spans="2:35" s="20" customFormat="1" x14ac:dyDescent="0.15">
      <c r="B350" s="3"/>
      <c r="C350" s="3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R350" s="26"/>
      <c r="S350" s="26"/>
      <c r="T350" s="21"/>
      <c r="Z350" s="50"/>
      <c r="AA350" s="50"/>
      <c r="AB350" s="50"/>
      <c r="AC350" s="50"/>
      <c r="AD350" s="247"/>
      <c r="AE350" s="247"/>
      <c r="AF350" s="50"/>
      <c r="AG350" s="50"/>
      <c r="AH350" s="50"/>
      <c r="AI350" s="50"/>
    </row>
    <row r="351" spans="2:35" s="20" customFormat="1" x14ac:dyDescent="0.15">
      <c r="B351" s="3"/>
      <c r="C351" s="3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R351" s="26"/>
      <c r="S351" s="26"/>
      <c r="T351" s="21"/>
      <c r="Z351" s="50"/>
      <c r="AA351" s="50"/>
      <c r="AB351" s="50"/>
      <c r="AC351" s="50"/>
      <c r="AD351" s="247"/>
      <c r="AE351" s="247"/>
      <c r="AF351" s="50"/>
      <c r="AG351" s="50"/>
      <c r="AH351" s="50"/>
      <c r="AI351" s="50"/>
    </row>
    <row r="352" spans="2:35" s="20" customFormat="1" x14ac:dyDescent="0.15">
      <c r="B352" s="3"/>
      <c r="C352" s="3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R352" s="26"/>
      <c r="S352" s="26"/>
      <c r="T352" s="21"/>
      <c r="Z352" s="50"/>
      <c r="AA352" s="50"/>
      <c r="AB352" s="50"/>
      <c r="AC352" s="50"/>
      <c r="AD352" s="247"/>
      <c r="AE352" s="247"/>
      <c r="AF352" s="50"/>
      <c r="AG352" s="50"/>
      <c r="AH352" s="50"/>
      <c r="AI352" s="50"/>
    </row>
    <row r="353" spans="2:35" s="20" customFormat="1" x14ac:dyDescent="0.15">
      <c r="B353" s="3"/>
      <c r="C353" s="3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R353" s="26"/>
      <c r="S353" s="26"/>
      <c r="T353" s="21"/>
      <c r="Z353" s="50"/>
      <c r="AA353" s="50"/>
      <c r="AB353" s="50"/>
      <c r="AC353" s="50"/>
      <c r="AD353" s="247"/>
      <c r="AE353" s="247"/>
      <c r="AF353" s="50"/>
      <c r="AG353" s="50"/>
      <c r="AH353" s="50"/>
      <c r="AI353" s="50"/>
    </row>
    <row r="354" spans="2:35" s="20" customFormat="1" x14ac:dyDescent="0.15">
      <c r="B354" s="3"/>
      <c r="C354" s="3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R354" s="26"/>
      <c r="S354" s="26"/>
      <c r="T354" s="21"/>
      <c r="Z354" s="50"/>
      <c r="AA354" s="50"/>
      <c r="AB354" s="50"/>
      <c r="AC354" s="50"/>
      <c r="AD354" s="247"/>
      <c r="AE354" s="247"/>
      <c r="AF354" s="50"/>
      <c r="AG354" s="50"/>
      <c r="AH354" s="50"/>
      <c r="AI354" s="50"/>
    </row>
    <row r="355" spans="2:35" s="20" customFormat="1" x14ac:dyDescent="0.15">
      <c r="B355" s="3"/>
      <c r="C355" s="3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R355" s="26"/>
      <c r="S355" s="26"/>
      <c r="T355" s="21"/>
      <c r="Z355" s="50"/>
      <c r="AA355" s="50"/>
      <c r="AB355" s="50"/>
      <c r="AC355" s="50"/>
      <c r="AD355" s="247"/>
      <c r="AE355" s="247"/>
      <c r="AF355" s="50"/>
      <c r="AG355" s="50"/>
      <c r="AH355" s="50"/>
      <c r="AI355" s="50"/>
    </row>
    <row r="356" spans="2:35" s="20" customFormat="1" x14ac:dyDescent="0.15">
      <c r="B356" s="3"/>
      <c r="C356" s="3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R356" s="26"/>
      <c r="S356" s="26"/>
      <c r="T356" s="21"/>
      <c r="Z356" s="50"/>
      <c r="AA356" s="50"/>
      <c r="AB356" s="50"/>
      <c r="AC356" s="50"/>
      <c r="AD356" s="247"/>
      <c r="AE356" s="247"/>
      <c r="AF356" s="50"/>
      <c r="AG356" s="50"/>
      <c r="AH356" s="50"/>
      <c r="AI356" s="50"/>
    </row>
    <row r="357" spans="2:35" s="20" customFormat="1" x14ac:dyDescent="0.15">
      <c r="B357" s="3"/>
      <c r="C357" s="3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R357" s="26"/>
      <c r="S357" s="26"/>
      <c r="T357" s="21"/>
      <c r="Z357" s="50"/>
      <c r="AA357" s="50"/>
      <c r="AB357" s="50"/>
      <c r="AC357" s="50"/>
      <c r="AD357" s="247"/>
      <c r="AE357" s="247"/>
      <c r="AF357" s="50"/>
      <c r="AG357" s="50"/>
      <c r="AH357" s="50"/>
      <c r="AI357" s="50"/>
    </row>
    <row r="358" spans="2:35" s="20" customFormat="1" x14ac:dyDescent="0.15">
      <c r="B358" s="3"/>
      <c r="C358" s="3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R358" s="26"/>
      <c r="S358" s="26"/>
      <c r="T358" s="21"/>
      <c r="Z358" s="50"/>
      <c r="AA358" s="50"/>
      <c r="AB358" s="50"/>
      <c r="AC358" s="50"/>
      <c r="AD358" s="247"/>
      <c r="AE358" s="247"/>
      <c r="AF358" s="50"/>
      <c r="AG358" s="50"/>
      <c r="AH358" s="50"/>
      <c r="AI358" s="50"/>
    </row>
    <row r="359" spans="2:35" s="20" customFormat="1" x14ac:dyDescent="0.15">
      <c r="B359" s="3"/>
      <c r="C359" s="3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R359" s="26"/>
      <c r="S359" s="26"/>
      <c r="T359" s="21"/>
      <c r="Z359" s="50"/>
      <c r="AA359" s="50"/>
      <c r="AB359" s="50"/>
      <c r="AC359" s="50"/>
      <c r="AD359" s="247"/>
      <c r="AE359" s="247"/>
      <c r="AF359" s="50"/>
      <c r="AG359" s="50"/>
      <c r="AH359" s="50"/>
      <c r="AI359" s="50"/>
    </row>
    <row r="360" spans="2:35" s="20" customFormat="1" x14ac:dyDescent="0.15">
      <c r="B360" s="3"/>
      <c r="C360" s="3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R360" s="26"/>
      <c r="S360" s="26"/>
      <c r="T360" s="21"/>
      <c r="Z360" s="50"/>
      <c r="AA360" s="50"/>
      <c r="AB360" s="50"/>
      <c r="AC360" s="50"/>
      <c r="AD360" s="247"/>
      <c r="AE360" s="247"/>
      <c r="AF360" s="50"/>
      <c r="AG360" s="50"/>
      <c r="AH360" s="50"/>
      <c r="AI360" s="50"/>
    </row>
    <row r="361" spans="2:35" s="20" customFormat="1" x14ac:dyDescent="0.15">
      <c r="B361" s="3"/>
      <c r="C361" s="3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R361" s="26"/>
      <c r="S361" s="26"/>
      <c r="T361" s="21"/>
      <c r="Z361" s="50"/>
      <c r="AA361" s="50"/>
      <c r="AB361" s="50"/>
      <c r="AC361" s="50"/>
      <c r="AD361" s="247"/>
      <c r="AE361" s="247"/>
      <c r="AF361" s="50"/>
      <c r="AG361" s="50"/>
      <c r="AH361" s="50"/>
      <c r="AI361" s="50"/>
    </row>
    <row r="362" spans="2:35" s="20" customFormat="1" x14ac:dyDescent="0.15">
      <c r="B362" s="3"/>
      <c r="C362" s="3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R362" s="26"/>
      <c r="S362" s="26"/>
      <c r="T362" s="21"/>
      <c r="Z362" s="50"/>
      <c r="AA362" s="50"/>
      <c r="AB362" s="50"/>
      <c r="AC362" s="50"/>
      <c r="AD362" s="247"/>
      <c r="AE362" s="247"/>
      <c r="AF362" s="50"/>
      <c r="AG362" s="50"/>
      <c r="AH362" s="50"/>
      <c r="AI362" s="50"/>
    </row>
    <row r="363" spans="2:35" s="20" customFormat="1" x14ac:dyDescent="0.15">
      <c r="B363" s="3"/>
      <c r="C363" s="3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R363" s="26"/>
      <c r="S363" s="26"/>
      <c r="T363" s="21"/>
      <c r="Z363" s="50"/>
      <c r="AA363" s="50"/>
      <c r="AB363" s="50"/>
      <c r="AC363" s="50"/>
      <c r="AD363" s="247"/>
      <c r="AE363" s="247"/>
      <c r="AF363" s="50"/>
      <c r="AG363" s="50"/>
      <c r="AH363" s="50"/>
      <c r="AI363" s="50"/>
    </row>
    <row r="364" spans="2:35" s="20" customFormat="1" x14ac:dyDescent="0.15">
      <c r="B364" s="3"/>
      <c r="C364" s="3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R364" s="26"/>
      <c r="S364" s="26"/>
      <c r="T364" s="21"/>
      <c r="Z364" s="50"/>
      <c r="AA364" s="50"/>
      <c r="AB364" s="50"/>
      <c r="AC364" s="50"/>
      <c r="AD364" s="247"/>
      <c r="AE364" s="247"/>
      <c r="AF364" s="50"/>
      <c r="AG364" s="50"/>
      <c r="AH364" s="50"/>
      <c r="AI364" s="50"/>
    </row>
    <row r="365" spans="2:35" s="20" customFormat="1" x14ac:dyDescent="0.15">
      <c r="B365" s="3"/>
      <c r="C365" s="3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R365" s="26"/>
      <c r="S365" s="26"/>
      <c r="T365" s="21"/>
      <c r="Z365" s="50"/>
      <c r="AA365" s="50"/>
      <c r="AB365" s="50"/>
      <c r="AC365" s="50"/>
      <c r="AD365" s="247"/>
      <c r="AE365" s="247"/>
      <c r="AF365" s="50"/>
      <c r="AG365" s="50"/>
      <c r="AH365" s="50"/>
      <c r="AI365" s="50"/>
    </row>
    <row r="366" spans="2:35" s="20" customFormat="1" x14ac:dyDescent="0.15">
      <c r="B366" s="3"/>
      <c r="C366" s="3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R366" s="26"/>
      <c r="S366" s="26"/>
      <c r="T366" s="21"/>
      <c r="Z366" s="50"/>
      <c r="AA366" s="50"/>
      <c r="AB366" s="50"/>
      <c r="AC366" s="50"/>
      <c r="AD366" s="247"/>
      <c r="AE366" s="247"/>
      <c r="AF366" s="50"/>
      <c r="AG366" s="50"/>
      <c r="AH366" s="50"/>
      <c r="AI366" s="50"/>
    </row>
    <row r="367" spans="2:35" s="20" customFormat="1" x14ac:dyDescent="0.15">
      <c r="B367" s="3"/>
      <c r="C367" s="3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R367" s="26"/>
      <c r="S367" s="26"/>
      <c r="T367" s="21"/>
      <c r="Z367" s="50"/>
      <c r="AA367" s="50"/>
      <c r="AB367" s="50"/>
      <c r="AC367" s="50"/>
      <c r="AD367" s="247"/>
      <c r="AE367" s="247"/>
      <c r="AF367" s="50"/>
      <c r="AG367" s="50"/>
      <c r="AH367" s="50"/>
      <c r="AI367" s="50"/>
    </row>
    <row r="368" spans="2:35" s="20" customFormat="1" x14ac:dyDescent="0.15">
      <c r="B368" s="3"/>
      <c r="C368" s="3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R368" s="26"/>
      <c r="S368" s="26"/>
      <c r="T368" s="21"/>
      <c r="Z368" s="50"/>
      <c r="AA368" s="50"/>
      <c r="AB368" s="50"/>
      <c r="AC368" s="50"/>
      <c r="AD368" s="247"/>
      <c r="AE368" s="247"/>
      <c r="AF368" s="50"/>
      <c r="AG368" s="50"/>
      <c r="AH368" s="50"/>
      <c r="AI368" s="50"/>
    </row>
    <row r="369" spans="2:35" s="20" customFormat="1" x14ac:dyDescent="0.15">
      <c r="B369" s="3"/>
      <c r="C369" s="3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R369" s="26"/>
      <c r="S369" s="26"/>
      <c r="T369" s="21"/>
      <c r="Z369" s="50"/>
      <c r="AA369" s="50"/>
      <c r="AB369" s="50"/>
      <c r="AC369" s="50"/>
      <c r="AD369" s="247"/>
      <c r="AE369" s="247"/>
      <c r="AF369" s="50"/>
      <c r="AG369" s="50"/>
      <c r="AH369" s="50"/>
      <c r="AI369" s="50"/>
    </row>
    <row r="370" spans="2:35" s="20" customFormat="1" x14ac:dyDescent="0.15">
      <c r="B370" s="3"/>
      <c r="C370" s="3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R370" s="26"/>
      <c r="S370" s="26"/>
      <c r="T370" s="21"/>
      <c r="Z370" s="50"/>
      <c r="AA370" s="50"/>
      <c r="AB370" s="50"/>
      <c r="AC370" s="50"/>
      <c r="AD370" s="247"/>
      <c r="AE370" s="247"/>
      <c r="AF370" s="50"/>
      <c r="AG370" s="50"/>
      <c r="AH370" s="50"/>
      <c r="AI370" s="50"/>
    </row>
    <row r="371" spans="2:35" s="20" customFormat="1" x14ac:dyDescent="0.15">
      <c r="B371" s="3"/>
      <c r="C371" s="3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R371" s="26"/>
      <c r="S371" s="26"/>
      <c r="T371" s="21"/>
      <c r="Z371" s="50"/>
      <c r="AA371" s="50"/>
      <c r="AB371" s="50"/>
      <c r="AC371" s="50"/>
      <c r="AD371" s="247"/>
      <c r="AE371" s="247"/>
      <c r="AF371" s="50"/>
      <c r="AG371" s="50"/>
      <c r="AH371" s="50"/>
      <c r="AI371" s="50"/>
    </row>
    <row r="372" spans="2:35" s="20" customFormat="1" x14ac:dyDescent="0.15">
      <c r="B372" s="3"/>
      <c r="C372" s="3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R372" s="26"/>
      <c r="S372" s="26"/>
      <c r="T372" s="21"/>
      <c r="Z372" s="50"/>
      <c r="AA372" s="50"/>
      <c r="AB372" s="50"/>
      <c r="AC372" s="50"/>
      <c r="AD372" s="247"/>
      <c r="AE372" s="247"/>
      <c r="AF372" s="50"/>
      <c r="AG372" s="50"/>
      <c r="AH372" s="50"/>
      <c r="AI372" s="50"/>
    </row>
    <row r="373" spans="2:35" s="20" customFormat="1" x14ac:dyDescent="0.15">
      <c r="B373" s="3"/>
      <c r="C373" s="3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R373" s="26"/>
      <c r="S373" s="26"/>
      <c r="T373" s="21"/>
      <c r="Z373" s="50"/>
      <c r="AA373" s="50"/>
      <c r="AB373" s="50"/>
      <c r="AC373" s="50"/>
      <c r="AD373" s="247"/>
      <c r="AE373" s="247"/>
      <c r="AF373" s="50"/>
      <c r="AG373" s="50"/>
      <c r="AH373" s="50"/>
      <c r="AI373" s="50"/>
    </row>
    <row r="374" spans="2:35" s="20" customFormat="1" x14ac:dyDescent="0.15">
      <c r="B374" s="3"/>
      <c r="C374" s="3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R374" s="26"/>
      <c r="S374" s="26"/>
      <c r="T374" s="21"/>
      <c r="Z374" s="50"/>
      <c r="AA374" s="50"/>
      <c r="AB374" s="50"/>
      <c r="AC374" s="50"/>
      <c r="AD374" s="247"/>
      <c r="AE374" s="247"/>
      <c r="AF374" s="50"/>
      <c r="AG374" s="50"/>
      <c r="AH374" s="50"/>
      <c r="AI374" s="50"/>
    </row>
    <row r="375" spans="2:35" s="20" customFormat="1" x14ac:dyDescent="0.15">
      <c r="B375" s="3"/>
      <c r="C375" s="3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R375" s="26"/>
      <c r="S375" s="26"/>
      <c r="T375" s="21"/>
      <c r="Z375" s="50"/>
      <c r="AA375" s="50"/>
      <c r="AB375" s="50"/>
      <c r="AC375" s="50"/>
      <c r="AD375" s="247"/>
      <c r="AE375" s="247"/>
      <c r="AF375" s="50"/>
      <c r="AG375" s="50"/>
      <c r="AH375" s="50"/>
      <c r="AI375" s="50"/>
    </row>
    <row r="376" spans="2:35" s="20" customFormat="1" x14ac:dyDescent="0.15">
      <c r="B376" s="3"/>
      <c r="C376" s="3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R376" s="26"/>
      <c r="S376" s="26"/>
      <c r="T376" s="21"/>
      <c r="Z376" s="50"/>
      <c r="AA376" s="50"/>
      <c r="AB376" s="50"/>
      <c r="AC376" s="50"/>
      <c r="AD376" s="247"/>
      <c r="AE376" s="247"/>
      <c r="AF376" s="50"/>
      <c r="AG376" s="50"/>
      <c r="AH376" s="50"/>
      <c r="AI376" s="50"/>
    </row>
    <row r="377" spans="2:35" s="20" customFormat="1" x14ac:dyDescent="0.15">
      <c r="B377" s="3"/>
      <c r="C377" s="3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R377" s="26"/>
      <c r="S377" s="26"/>
      <c r="T377" s="21"/>
      <c r="Z377" s="50"/>
      <c r="AA377" s="50"/>
      <c r="AB377" s="50"/>
      <c r="AC377" s="50"/>
      <c r="AD377" s="247"/>
      <c r="AE377" s="247"/>
      <c r="AF377" s="50"/>
      <c r="AG377" s="50"/>
      <c r="AH377" s="50"/>
      <c r="AI377" s="50"/>
    </row>
    <row r="378" spans="2:35" s="20" customFormat="1" x14ac:dyDescent="0.15">
      <c r="B378" s="3"/>
      <c r="C378" s="3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R378" s="26"/>
      <c r="S378" s="26"/>
      <c r="T378" s="21"/>
      <c r="Z378" s="50"/>
      <c r="AA378" s="50"/>
      <c r="AB378" s="50"/>
      <c r="AC378" s="50"/>
      <c r="AD378" s="247"/>
      <c r="AE378" s="247"/>
      <c r="AF378" s="50"/>
      <c r="AG378" s="50"/>
      <c r="AH378" s="50"/>
      <c r="AI378" s="50"/>
    </row>
    <row r="379" spans="2:35" s="20" customFormat="1" x14ac:dyDescent="0.15">
      <c r="B379" s="3"/>
      <c r="C379" s="3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R379" s="26"/>
      <c r="S379" s="26"/>
      <c r="T379" s="21"/>
      <c r="Z379" s="50"/>
      <c r="AA379" s="50"/>
      <c r="AB379" s="50"/>
      <c r="AC379" s="50"/>
      <c r="AD379" s="247"/>
      <c r="AE379" s="247"/>
      <c r="AF379" s="50"/>
      <c r="AG379" s="50"/>
      <c r="AH379" s="50"/>
      <c r="AI379" s="50"/>
    </row>
    <row r="380" spans="2:35" s="20" customFormat="1" x14ac:dyDescent="0.15">
      <c r="B380" s="3"/>
      <c r="C380" s="3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R380" s="26"/>
      <c r="S380" s="26"/>
      <c r="T380" s="21"/>
      <c r="Z380" s="50"/>
      <c r="AA380" s="50"/>
      <c r="AB380" s="50"/>
      <c r="AC380" s="50"/>
      <c r="AD380" s="247"/>
      <c r="AE380" s="247"/>
      <c r="AF380" s="50"/>
      <c r="AG380" s="50"/>
      <c r="AH380" s="50"/>
      <c r="AI380" s="50"/>
    </row>
    <row r="381" spans="2:35" s="20" customFormat="1" x14ac:dyDescent="0.15">
      <c r="B381" s="3"/>
      <c r="C381" s="3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R381" s="26"/>
      <c r="S381" s="26"/>
      <c r="T381" s="21"/>
      <c r="Z381" s="50"/>
      <c r="AA381" s="50"/>
      <c r="AB381" s="50"/>
      <c r="AC381" s="50"/>
      <c r="AD381" s="247"/>
      <c r="AE381" s="247"/>
      <c r="AF381" s="50"/>
      <c r="AG381" s="50"/>
      <c r="AH381" s="50"/>
      <c r="AI381" s="50"/>
    </row>
    <row r="382" spans="2:35" s="20" customFormat="1" x14ac:dyDescent="0.15">
      <c r="B382" s="3"/>
      <c r="C382" s="3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R382" s="26"/>
      <c r="S382" s="26"/>
      <c r="T382" s="21"/>
      <c r="Z382" s="50"/>
      <c r="AA382" s="50"/>
      <c r="AB382" s="50"/>
      <c r="AC382" s="50"/>
      <c r="AD382" s="247"/>
      <c r="AE382" s="247"/>
      <c r="AF382" s="50"/>
      <c r="AG382" s="50"/>
      <c r="AH382" s="50"/>
      <c r="AI382" s="50"/>
    </row>
    <row r="383" spans="2:35" s="20" customFormat="1" x14ac:dyDescent="0.15">
      <c r="B383" s="3"/>
      <c r="C383" s="3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R383" s="26"/>
      <c r="S383" s="26"/>
      <c r="T383" s="21"/>
      <c r="Z383" s="50"/>
      <c r="AA383" s="50"/>
      <c r="AB383" s="50"/>
      <c r="AC383" s="50"/>
      <c r="AD383" s="247"/>
      <c r="AE383" s="247"/>
      <c r="AF383" s="50"/>
      <c r="AG383" s="50"/>
      <c r="AH383" s="50"/>
      <c r="AI383" s="50"/>
    </row>
    <row r="384" spans="2:35" s="20" customFormat="1" x14ac:dyDescent="0.15">
      <c r="B384" s="3"/>
      <c r="C384" s="3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R384" s="26"/>
      <c r="S384" s="26"/>
      <c r="T384" s="21"/>
      <c r="Z384" s="50"/>
      <c r="AA384" s="50"/>
      <c r="AB384" s="50"/>
      <c r="AC384" s="50"/>
      <c r="AD384" s="247"/>
      <c r="AE384" s="247"/>
      <c r="AF384" s="50"/>
      <c r="AG384" s="50"/>
      <c r="AH384" s="50"/>
      <c r="AI384" s="50"/>
    </row>
    <row r="385" spans="2:35" s="20" customFormat="1" x14ac:dyDescent="0.15">
      <c r="B385" s="3"/>
      <c r="C385" s="3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R385" s="26"/>
      <c r="S385" s="26"/>
      <c r="T385" s="21"/>
      <c r="Z385" s="50"/>
      <c r="AA385" s="50"/>
      <c r="AB385" s="50"/>
      <c r="AC385" s="50"/>
      <c r="AD385" s="247"/>
      <c r="AE385" s="247"/>
      <c r="AF385" s="50"/>
      <c r="AG385" s="50"/>
      <c r="AH385" s="50"/>
      <c r="AI385" s="50"/>
    </row>
    <row r="386" spans="2:35" s="20" customFormat="1" x14ac:dyDescent="0.15">
      <c r="B386" s="3"/>
      <c r="C386" s="3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R386" s="26"/>
      <c r="S386" s="26"/>
      <c r="T386" s="21"/>
      <c r="Z386" s="50"/>
      <c r="AA386" s="50"/>
      <c r="AB386" s="50"/>
      <c r="AC386" s="50"/>
      <c r="AD386" s="247"/>
      <c r="AE386" s="247"/>
      <c r="AF386" s="50"/>
      <c r="AG386" s="50"/>
      <c r="AH386" s="50"/>
      <c r="AI386" s="50"/>
    </row>
    <row r="387" spans="2:35" s="20" customFormat="1" x14ac:dyDescent="0.15">
      <c r="B387" s="3"/>
      <c r="C387" s="3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R387" s="26"/>
      <c r="S387" s="26"/>
      <c r="T387" s="21"/>
      <c r="Z387" s="50"/>
      <c r="AA387" s="50"/>
      <c r="AB387" s="50"/>
      <c r="AC387" s="50"/>
      <c r="AD387" s="247"/>
      <c r="AE387" s="247"/>
      <c r="AF387" s="50"/>
      <c r="AG387" s="50"/>
      <c r="AH387" s="50"/>
      <c r="AI387" s="50"/>
    </row>
    <row r="388" spans="2:35" s="20" customFormat="1" x14ac:dyDescent="0.15">
      <c r="B388" s="3"/>
      <c r="C388" s="3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R388" s="26"/>
      <c r="S388" s="26"/>
      <c r="T388" s="21"/>
      <c r="Z388" s="50"/>
      <c r="AA388" s="50"/>
      <c r="AB388" s="50"/>
      <c r="AC388" s="50"/>
      <c r="AD388" s="247"/>
      <c r="AE388" s="247"/>
      <c r="AF388" s="50"/>
      <c r="AG388" s="50"/>
      <c r="AH388" s="50"/>
      <c r="AI388" s="50"/>
    </row>
    <row r="389" spans="2:35" s="20" customFormat="1" x14ac:dyDescent="0.15">
      <c r="B389" s="3"/>
      <c r="C389" s="3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R389" s="26"/>
      <c r="S389" s="26"/>
      <c r="T389" s="21"/>
      <c r="Z389" s="50"/>
      <c r="AA389" s="50"/>
      <c r="AB389" s="50"/>
      <c r="AC389" s="50"/>
      <c r="AD389" s="247"/>
      <c r="AE389" s="247"/>
      <c r="AF389" s="50"/>
      <c r="AG389" s="50"/>
      <c r="AH389" s="50"/>
      <c r="AI389" s="50"/>
    </row>
    <row r="390" spans="2:35" s="20" customFormat="1" x14ac:dyDescent="0.15">
      <c r="B390" s="3"/>
      <c r="C390" s="3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R390" s="26"/>
      <c r="S390" s="26"/>
      <c r="T390" s="21"/>
      <c r="Z390" s="50"/>
      <c r="AA390" s="50"/>
      <c r="AB390" s="50"/>
      <c r="AC390" s="50"/>
      <c r="AD390" s="247"/>
      <c r="AE390" s="247"/>
      <c r="AF390" s="50"/>
      <c r="AG390" s="50"/>
      <c r="AH390" s="50"/>
      <c r="AI390" s="50"/>
    </row>
    <row r="391" spans="2:35" s="20" customFormat="1" x14ac:dyDescent="0.15">
      <c r="B391" s="3"/>
      <c r="C391" s="3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R391" s="26"/>
      <c r="S391" s="26"/>
      <c r="T391" s="21"/>
      <c r="Z391" s="50"/>
      <c r="AA391" s="50"/>
      <c r="AB391" s="50"/>
      <c r="AC391" s="50"/>
      <c r="AD391" s="247"/>
      <c r="AE391" s="247"/>
      <c r="AF391" s="50"/>
      <c r="AG391" s="50"/>
      <c r="AH391" s="50"/>
      <c r="AI391" s="50"/>
    </row>
    <row r="392" spans="2:35" s="20" customFormat="1" x14ac:dyDescent="0.15">
      <c r="B392" s="3"/>
      <c r="C392" s="3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R392" s="26"/>
      <c r="S392" s="26"/>
      <c r="T392" s="21"/>
      <c r="Z392" s="50"/>
      <c r="AA392" s="50"/>
      <c r="AB392" s="50"/>
      <c r="AC392" s="50"/>
      <c r="AD392" s="247"/>
      <c r="AE392" s="247"/>
      <c r="AF392" s="50"/>
      <c r="AG392" s="50"/>
      <c r="AH392" s="50"/>
      <c r="AI392" s="50"/>
    </row>
    <row r="393" spans="2:35" s="20" customFormat="1" x14ac:dyDescent="0.15">
      <c r="B393" s="3"/>
      <c r="C393" s="3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R393" s="26"/>
      <c r="S393" s="26"/>
      <c r="T393" s="21"/>
      <c r="Z393" s="50"/>
      <c r="AA393" s="50"/>
      <c r="AB393" s="50"/>
      <c r="AC393" s="50"/>
      <c r="AD393" s="247"/>
      <c r="AE393" s="247"/>
      <c r="AF393" s="50"/>
      <c r="AG393" s="50"/>
      <c r="AH393" s="50"/>
      <c r="AI393" s="50"/>
    </row>
    <row r="394" spans="2:35" s="20" customFormat="1" x14ac:dyDescent="0.15">
      <c r="B394" s="3"/>
      <c r="C394" s="3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R394" s="26"/>
      <c r="S394" s="26"/>
      <c r="T394" s="21"/>
      <c r="Z394" s="50"/>
      <c r="AA394" s="50"/>
      <c r="AB394" s="50"/>
      <c r="AC394" s="50"/>
      <c r="AD394" s="247"/>
      <c r="AE394" s="247"/>
      <c r="AF394" s="50"/>
      <c r="AG394" s="50"/>
      <c r="AH394" s="50"/>
      <c r="AI394" s="50"/>
    </row>
    <row r="395" spans="2:35" s="20" customFormat="1" x14ac:dyDescent="0.15">
      <c r="B395" s="3"/>
      <c r="C395" s="3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R395" s="26"/>
      <c r="S395" s="26"/>
      <c r="T395" s="21"/>
      <c r="Z395" s="50"/>
      <c r="AA395" s="50"/>
      <c r="AB395" s="50"/>
      <c r="AC395" s="50"/>
      <c r="AD395" s="247"/>
      <c r="AE395" s="247"/>
      <c r="AF395" s="50"/>
      <c r="AG395" s="50"/>
      <c r="AH395" s="50"/>
      <c r="AI395" s="50"/>
    </row>
    <row r="396" spans="2:35" s="20" customFormat="1" x14ac:dyDescent="0.15">
      <c r="B396" s="3"/>
      <c r="C396" s="3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R396" s="26"/>
      <c r="S396" s="26"/>
      <c r="T396" s="21"/>
      <c r="Z396" s="50"/>
      <c r="AA396" s="50"/>
      <c r="AB396" s="50"/>
      <c r="AC396" s="50"/>
      <c r="AD396" s="247"/>
      <c r="AE396" s="247"/>
      <c r="AF396" s="50"/>
      <c r="AG396" s="50"/>
      <c r="AH396" s="50"/>
      <c r="AI396" s="50"/>
    </row>
    <row r="397" spans="2:35" s="20" customFormat="1" x14ac:dyDescent="0.15">
      <c r="B397" s="3"/>
      <c r="C397" s="3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R397" s="26"/>
      <c r="S397" s="26"/>
      <c r="T397" s="21"/>
      <c r="Z397" s="50"/>
      <c r="AA397" s="50"/>
      <c r="AB397" s="50"/>
      <c r="AC397" s="50"/>
      <c r="AD397" s="247"/>
      <c r="AE397" s="247"/>
      <c r="AF397" s="50"/>
      <c r="AG397" s="50"/>
      <c r="AH397" s="50"/>
      <c r="AI397" s="50"/>
    </row>
    <row r="398" spans="2:35" s="20" customFormat="1" x14ac:dyDescent="0.15">
      <c r="B398" s="3"/>
      <c r="C398" s="3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R398" s="26"/>
      <c r="S398" s="26"/>
      <c r="T398" s="21"/>
      <c r="Z398" s="50"/>
      <c r="AA398" s="50"/>
      <c r="AB398" s="50"/>
      <c r="AC398" s="50"/>
      <c r="AD398" s="247"/>
      <c r="AE398" s="247"/>
      <c r="AF398" s="50"/>
      <c r="AG398" s="50"/>
      <c r="AH398" s="50"/>
      <c r="AI398" s="50"/>
    </row>
    <row r="399" spans="2:35" s="20" customFormat="1" x14ac:dyDescent="0.15">
      <c r="B399" s="3"/>
      <c r="C399" s="3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R399" s="26"/>
      <c r="S399" s="26"/>
      <c r="T399" s="21"/>
      <c r="Z399" s="50"/>
      <c r="AA399" s="50"/>
      <c r="AB399" s="50"/>
      <c r="AC399" s="50"/>
      <c r="AD399" s="247"/>
      <c r="AE399" s="247"/>
      <c r="AF399" s="50"/>
      <c r="AG399" s="50"/>
      <c r="AH399" s="50"/>
      <c r="AI399" s="50"/>
    </row>
    <row r="400" spans="2:35" s="20" customFormat="1" x14ac:dyDescent="0.15">
      <c r="B400" s="3"/>
      <c r="C400" s="3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R400" s="26"/>
      <c r="S400" s="26"/>
      <c r="T400" s="21"/>
      <c r="Z400" s="50"/>
      <c r="AA400" s="50"/>
      <c r="AB400" s="50"/>
      <c r="AC400" s="50"/>
      <c r="AD400" s="247"/>
      <c r="AE400" s="247"/>
      <c r="AF400" s="50"/>
      <c r="AG400" s="50"/>
      <c r="AH400" s="50"/>
      <c r="AI400" s="50"/>
    </row>
    <row r="401" spans="2:35" s="20" customFormat="1" x14ac:dyDescent="0.15">
      <c r="B401" s="3"/>
      <c r="C401" s="3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R401" s="26"/>
      <c r="S401" s="26"/>
      <c r="T401" s="21"/>
      <c r="Z401" s="50"/>
      <c r="AA401" s="50"/>
      <c r="AB401" s="50"/>
      <c r="AC401" s="50"/>
      <c r="AD401" s="247"/>
      <c r="AE401" s="247"/>
      <c r="AF401" s="50"/>
      <c r="AG401" s="50"/>
      <c r="AH401" s="50"/>
      <c r="AI401" s="50"/>
    </row>
    <row r="402" spans="2:35" s="20" customFormat="1" x14ac:dyDescent="0.15">
      <c r="B402" s="3"/>
      <c r="C402" s="3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R402" s="26"/>
      <c r="S402" s="26"/>
      <c r="T402" s="21"/>
      <c r="Z402" s="50"/>
      <c r="AA402" s="50"/>
      <c r="AB402" s="50"/>
      <c r="AC402" s="50"/>
      <c r="AD402" s="247"/>
      <c r="AE402" s="247"/>
      <c r="AF402" s="50"/>
      <c r="AG402" s="50"/>
      <c r="AH402" s="50"/>
      <c r="AI402" s="50"/>
    </row>
    <row r="403" spans="2:35" s="20" customFormat="1" x14ac:dyDescent="0.15">
      <c r="B403" s="3"/>
      <c r="C403" s="3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R403" s="26"/>
      <c r="S403" s="26"/>
      <c r="T403" s="21"/>
      <c r="Z403" s="50"/>
      <c r="AA403" s="50"/>
      <c r="AB403" s="50"/>
      <c r="AC403" s="50"/>
      <c r="AD403" s="247"/>
      <c r="AE403" s="247"/>
      <c r="AF403" s="50"/>
      <c r="AG403" s="50"/>
      <c r="AH403" s="50"/>
      <c r="AI403" s="50"/>
    </row>
    <row r="404" spans="2:35" s="20" customFormat="1" x14ac:dyDescent="0.15">
      <c r="B404" s="3"/>
      <c r="C404" s="3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R404" s="26"/>
      <c r="S404" s="26"/>
      <c r="T404" s="21"/>
      <c r="Z404" s="50"/>
      <c r="AA404" s="50"/>
      <c r="AB404" s="50"/>
      <c r="AC404" s="50"/>
      <c r="AD404" s="247"/>
      <c r="AE404" s="247"/>
      <c r="AF404" s="50"/>
      <c r="AG404" s="50"/>
      <c r="AH404" s="50"/>
      <c r="AI404" s="50"/>
    </row>
    <row r="405" spans="2:35" s="20" customFormat="1" x14ac:dyDescent="0.15">
      <c r="B405" s="3"/>
      <c r="C405" s="3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R405" s="26"/>
      <c r="S405" s="26"/>
      <c r="T405" s="21"/>
      <c r="Z405" s="50"/>
      <c r="AA405" s="50"/>
      <c r="AB405" s="50"/>
      <c r="AC405" s="50"/>
      <c r="AD405" s="247"/>
      <c r="AE405" s="247"/>
      <c r="AF405" s="50"/>
      <c r="AG405" s="50"/>
      <c r="AH405" s="50"/>
      <c r="AI405" s="50"/>
    </row>
    <row r="406" spans="2:35" s="20" customFormat="1" x14ac:dyDescent="0.15">
      <c r="B406" s="3"/>
      <c r="C406" s="3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R406" s="26"/>
      <c r="S406" s="26"/>
      <c r="T406" s="21"/>
      <c r="Z406" s="50"/>
      <c r="AA406" s="50"/>
      <c r="AB406" s="50"/>
      <c r="AC406" s="50"/>
      <c r="AD406" s="247"/>
      <c r="AE406" s="247"/>
      <c r="AF406" s="50"/>
      <c r="AG406" s="50"/>
      <c r="AH406" s="50"/>
      <c r="AI406" s="50"/>
    </row>
    <row r="407" spans="2:35" s="20" customFormat="1" x14ac:dyDescent="0.15">
      <c r="B407" s="3"/>
      <c r="C407" s="3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R407" s="26"/>
      <c r="S407" s="26"/>
      <c r="T407" s="21"/>
      <c r="Z407" s="39"/>
      <c r="AA407" s="50"/>
      <c r="AB407" s="50"/>
      <c r="AC407" s="50"/>
      <c r="AD407" s="247"/>
      <c r="AE407" s="247"/>
      <c r="AF407" s="50"/>
      <c r="AG407" s="50"/>
      <c r="AH407" s="50"/>
      <c r="AI407" s="50"/>
    </row>
    <row r="408" spans="2:35" s="20" customFormat="1" x14ac:dyDescent="0.15">
      <c r="B408" s="3"/>
      <c r="C408" s="3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R408" s="26"/>
      <c r="S408" s="26"/>
      <c r="T408" s="21"/>
      <c r="Z408" s="39"/>
      <c r="AA408" s="50"/>
      <c r="AB408" s="50"/>
      <c r="AC408" s="50"/>
      <c r="AD408" s="247"/>
      <c r="AE408" s="247"/>
      <c r="AF408" s="50"/>
      <c r="AG408" s="50"/>
      <c r="AH408" s="50"/>
      <c r="AI408" s="50"/>
    </row>
    <row r="409" spans="2:35" s="20" customFormat="1" x14ac:dyDescent="0.15">
      <c r="B409" s="3"/>
      <c r="C409" s="3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R409" s="26"/>
      <c r="S409" s="26"/>
      <c r="T409" s="21"/>
      <c r="Z409" s="39"/>
      <c r="AA409" s="50"/>
      <c r="AB409" s="50"/>
      <c r="AC409" s="50"/>
      <c r="AD409" s="247"/>
      <c r="AE409" s="247"/>
      <c r="AF409" s="50"/>
      <c r="AG409" s="50"/>
      <c r="AH409" s="50"/>
      <c r="AI409" s="50"/>
    </row>
    <row r="410" spans="2:35" s="20" customFormat="1" x14ac:dyDescent="0.15">
      <c r="B410" s="3"/>
      <c r="C410" s="3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R410" s="26"/>
      <c r="S410" s="26"/>
      <c r="T410" s="21"/>
      <c r="Z410" s="39"/>
      <c r="AA410" s="50"/>
      <c r="AB410" s="50"/>
      <c r="AC410" s="50"/>
      <c r="AD410" s="247"/>
      <c r="AE410" s="247"/>
      <c r="AF410" s="50"/>
      <c r="AG410" s="50"/>
      <c r="AH410" s="50"/>
      <c r="AI410" s="50"/>
    </row>
    <row r="411" spans="2:35" s="20" customFormat="1" x14ac:dyDescent="0.15">
      <c r="B411" s="3"/>
      <c r="C411" s="3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R411" s="26"/>
      <c r="S411" s="26"/>
      <c r="T411" s="21"/>
      <c r="Z411" s="39"/>
      <c r="AA411" s="50"/>
      <c r="AB411" s="50"/>
      <c r="AC411" s="50"/>
      <c r="AD411" s="247"/>
      <c r="AE411" s="247"/>
      <c r="AF411" s="50"/>
      <c r="AG411" s="50"/>
      <c r="AH411" s="50"/>
      <c r="AI411" s="50"/>
    </row>
    <row r="412" spans="2:35" s="20" customFormat="1" x14ac:dyDescent="0.15">
      <c r="B412" s="3"/>
      <c r="C412" s="3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R412" s="26"/>
      <c r="S412" s="26"/>
      <c r="T412" s="21"/>
      <c r="Z412" s="39"/>
      <c r="AA412" s="50"/>
      <c r="AB412" s="50"/>
      <c r="AC412" s="50"/>
      <c r="AD412" s="247"/>
      <c r="AE412" s="247"/>
      <c r="AF412" s="50"/>
      <c r="AG412" s="50"/>
      <c r="AH412" s="50"/>
      <c r="AI412" s="50"/>
    </row>
    <row r="413" spans="2:35" s="20" customFormat="1" x14ac:dyDescent="0.15">
      <c r="B413" s="3"/>
      <c r="C413" s="3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R413" s="26"/>
      <c r="S413" s="26"/>
      <c r="T413" s="21"/>
      <c r="Z413" s="39"/>
      <c r="AA413" s="50"/>
      <c r="AB413" s="50"/>
      <c r="AC413" s="50"/>
      <c r="AD413" s="247"/>
      <c r="AE413" s="247"/>
      <c r="AF413" s="50"/>
      <c r="AG413" s="50"/>
      <c r="AH413" s="50"/>
      <c r="AI413" s="50"/>
    </row>
    <row r="414" spans="2:35" s="20" customFormat="1" x14ac:dyDescent="0.15">
      <c r="B414" s="3"/>
      <c r="C414" s="3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R414" s="26"/>
      <c r="S414" s="26"/>
      <c r="T414" s="21"/>
      <c r="Z414" s="39"/>
      <c r="AA414" s="39"/>
      <c r="AB414" s="50"/>
      <c r="AC414" s="50"/>
      <c r="AD414" s="247"/>
      <c r="AE414" s="247"/>
      <c r="AF414" s="50"/>
      <c r="AG414" s="50"/>
      <c r="AH414" s="50"/>
      <c r="AI414" s="50"/>
    </row>
    <row r="415" spans="2:35" s="20" customFormat="1" x14ac:dyDescent="0.15">
      <c r="B415" s="3"/>
      <c r="C415" s="3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R415" s="26"/>
      <c r="S415" s="26"/>
      <c r="T415" s="21"/>
      <c r="Z415" s="39"/>
      <c r="AA415" s="39"/>
      <c r="AB415" s="39"/>
      <c r="AC415" s="39"/>
      <c r="AD415" s="247"/>
      <c r="AE415" s="247"/>
      <c r="AF415" s="39"/>
      <c r="AG415" s="39"/>
      <c r="AH415" s="39"/>
      <c r="AI415" s="39"/>
    </row>
    <row r="416" spans="2:35" x14ac:dyDescent="0.15">
      <c r="V416" s="20"/>
      <c r="W416" s="20"/>
      <c r="X416" s="20"/>
      <c r="Y416" s="20"/>
      <c r="AD416" s="247"/>
      <c r="AE416" s="247"/>
    </row>
    <row r="417" spans="22:31" x14ac:dyDescent="0.15">
      <c r="V417" s="20"/>
      <c r="W417" s="20"/>
      <c r="X417" s="20"/>
      <c r="Y417" s="20"/>
      <c r="AD417" s="247"/>
      <c r="AE417" s="247"/>
    </row>
    <row r="418" spans="22:31" x14ac:dyDescent="0.15">
      <c r="V418" s="20"/>
      <c r="W418" s="20"/>
      <c r="X418" s="20"/>
      <c r="Y418" s="20"/>
      <c r="AD418" s="247"/>
      <c r="AE418" s="247"/>
    </row>
    <row r="419" spans="22:31" x14ac:dyDescent="0.15">
      <c r="V419" s="20"/>
      <c r="W419" s="20"/>
      <c r="X419" s="20"/>
      <c r="Y419" s="20"/>
    </row>
    <row r="420" spans="22:31" x14ac:dyDescent="0.15">
      <c r="V420" s="20"/>
      <c r="W420" s="20"/>
      <c r="X420" s="20"/>
      <c r="Y420" s="20"/>
    </row>
    <row r="421" spans="22:31" x14ac:dyDescent="0.15">
      <c r="V421" s="20"/>
      <c r="W421" s="20"/>
      <c r="X421" s="20"/>
      <c r="Y421" s="20"/>
    </row>
    <row r="422" spans="22:31" x14ac:dyDescent="0.15">
      <c r="V422" s="20"/>
      <c r="W422" s="20"/>
      <c r="X422" s="20"/>
      <c r="Y422" s="20"/>
    </row>
    <row r="423" spans="22:31" x14ac:dyDescent="0.15">
      <c r="V423" s="20"/>
      <c r="W423" s="20"/>
      <c r="X423" s="20"/>
      <c r="Y423" s="20"/>
    </row>
    <row r="424" spans="22:31" x14ac:dyDescent="0.15">
      <c r="V424" s="20"/>
      <c r="W424" s="20"/>
      <c r="X424" s="20"/>
      <c r="Y424" s="20"/>
    </row>
    <row r="425" spans="22:31" x14ac:dyDescent="0.15">
      <c r="V425" s="20"/>
      <c r="W425" s="20"/>
      <c r="X425" s="20"/>
      <c r="Y425" s="20"/>
    </row>
    <row r="426" spans="22:31" x14ac:dyDescent="0.15">
      <c r="V426" s="20"/>
      <c r="W426" s="20"/>
      <c r="X426" s="20"/>
      <c r="Y426" s="20"/>
    </row>
    <row r="427" spans="22:31" x14ac:dyDescent="0.15">
      <c r="V427" s="20"/>
      <c r="W427" s="20"/>
      <c r="X427" s="20"/>
      <c r="Y427" s="20"/>
    </row>
    <row r="428" spans="22:31" x14ac:dyDescent="0.15">
      <c r="V428" s="20"/>
      <c r="W428" s="20"/>
      <c r="X428" s="20"/>
      <c r="Y428" s="20"/>
    </row>
    <row r="429" spans="22:31" x14ac:dyDescent="0.15">
      <c r="V429" s="20"/>
      <c r="W429" s="20"/>
      <c r="X429" s="20"/>
      <c r="Y429" s="20"/>
    </row>
    <row r="430" spans="22:31" x14ac:dyDescent="0.15">
      <c r="V430" s="20"/>
      <c r="W430" s="20"/>
      <c r="X430" s="20"/>
      <c r="Y430" s="20"/>
    </row>
    <row r="431" spans="22:31" x14ac:dyDescent="0.15">
      <c r="V431" s="20"/>
      <c r="W431" s="20"/>
      <c r="X431" s="20"/>
      <c r="Y431" s="20"/>
    </row>
    <row r="432" spans="22:31" x14ac:dyDescent="0.15">
      <c r="V432" s="20"/>
      <c r="W432" s="20"/>
      <c r="X432" s="20"/>
      <c r="Y432" s="20"/>
    </row>
    <row r="433" spans="22:25" x14ac:dyDescent="0.15">
      <c r="V433" s="20"/>
      <c r="W433" s="20"/>
      <c r="X433" s="20"/>
      <c r="Y433" s="20"/>
    </row>
    <row r="434" spans="22:25" x14ac:dyDescent="0.15">
      <c r="V434" s="20"/>
      <c r="W434" s="20"/>
      <c r="X434" s="20"/>
      <c r="Y434" s="20"/>
    </row>
    <row r="435" spans="22:25" x14ac:dyDescent="0.15">
      <c r="V435" s="20"/>
      <c r="W435" s="20"/>
      <c r="X435" s="20"/>
      <c r="Y435" s="20"/>
    </row>
  </sheetData>
  <sheetProtection formatCells="0" formatColumns="0" formatRows="0" insertColumns="0" insertRows="0" insertHyperlinks="0" deleteColumns="0" deleteRows="0" sort="0" autoFilter="0" pivotTables="0"/>
  <dataConsolidate function="average">
    <dataRefs count="1">
      <dataRef ref="A6:B221" sheet="Monthly Summary Jan-Mar" r:id="rId1"/>
    </dataRefs>
  </dataConsolidate>
  <mergeCells count="10">
    <mergeCell ref="Z5:Z6"/>
    <mergeCell ref="W5:W6"/>
    <mergeCell ref="U5:U6"/>
    <mergeCell ref="S5:S6"/>
    <mergeCell ref="B1:Q1"/>
    <mergeCell ref="B2:Q2"/>
    <mergeCell ref="B3:Q3"/>
    <mergeCell ref="Q5:Q6"/>
    <mergeCell ref="D5:P5"/>
    <mergeCell ref="X4:Z4"/>
  </mergeCells>
  <phoneticPr fontId="0" type="noConversion"/>
  <conditionalFormatting sqref="D7:P104 D130:P156 F129:P129 D106:P128 D105:E105 P105">
    <cfRule type="cellIs" dxfId="19" priority="9" stopIfTrue="1" operator="greaterThan">
      <formula>30</formula>
    </cfRule>
    <cfRule type="cellIs" dxfId="18" priority="10" stopIfTrue="1" operator="between">
      <formula>0.1</formula>
      <formula>10</formula>
    </cfRule>
    <cfRule type="cellIs" dxfId="17" priority="11" stopIfTrue="1" operator="lessThan">
      <formula>0.1</formula>
    </cfRule>
  </conditionalFormatting>
  <conditionalFormatting sqref="Q7 S8:S156 Q8:Q156 U7:U156 W7:W156">
    <cfRule type="cellIs" dxfId="16" priority="8" stopIfTrue="1" operator="lessThanOrEqual">
      <formula>0.5</formula>
    </cfRule>
    <cfRule type="cellIs" dxfId="15" priority="12" stopIfTrue="1" operator="lessThan">
      <formula>0.75</formula>
    </cfRule>
  </conditionalFormatting>
  <printOptions horizontalCentered="1"/>
  <pageMargins left="0.74803149606299213" right="0.74803149606299213" top="0.98425196850393704" bottom="0.98425196850393704" header="0.51181102362204722" footer="0.51181102362204722"/>
  <pageSetup paperSize="9" scale="37" fitToHeight="2" orientation="portrait" r:id="rId2"/>
  <headerFooter alignWithMargins="0"/>
  <ignoredErrors>
    <ignoredError sqref="S10:S156 U7:U156" formulaRange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pageSetUpPr fitToPage="1"/>
  </sheetPr>
  <dimension ref="A1:AJ436"/>
  <sheetViews>
    <sheetView zoomScaleNormal="100" workbookViewId="0">
      <pane xSplit="2" ySplit="6" topLeftCell="D7" activePane="bottomRight" state="frozen"/>
      <selection activeCell="W155" sqref="W155"/>
      <selection pane="topRight" activeCell="W155" sqref="W155"/>
      <selection pane="bottomLeft" activeCell="W155" sqref="W155"/>
      <selection pane="bottomRight" activeCell="AD7" sqref="AD7"/>
    </sheetView>
  </sheetViews>
  <sheetFormatPr defaultColWidth="9.140625" defaultRowHeight="11.25" x14ac:dyDescent="0.2"/>
  <cols>
    <col min="1" max="1" width="9.140625" style="179"/>
    <col min="2" max="2" width="18.140625" style="21" customWidth="1"/>
    <col min="3" max="3" width="18.140625" style="21" hidden="1" customWidth="1"/>
    <col min="4" max="15" width="18.140625" style="10" customWidth="1"/>
    <col min="16" max="17" width="18.140625" style="20" customWidth="1"/>
    <col min="18" max="19" width="11.7109375" style="10" customWidth="1"/>
    <col min="20" max="20" width="11.42578125" style="55" customWidth="1"/>
    <col min="21" max="21" width="11.7109375" style="55" customWidth="1"/>
    <col min="22" max="25" width="11.7109375" style="10" customWidth="1"/>
    <col min="26" max="26" width="11.7109375" style="39" customWidth="1"/>
    <col min="27" max="27" width="10.7109375" style="39" customWidth="1"/>
    <col min="28" max="28" width="21" style="39" bestFit="1" customWidth="1"/>
    <col min="29" max="29" width="10.7109375" style="39" customWidth="1"/>
    <col min="30" max="30" width="16.7109375" style="230" bestFit="1" customWidth="1"/>
    <col min="31" max="31" width="9.140625" style="230"/>
    <col min="32" max="32" width="12.42578125" style="39" bestFit="1" customWidth="1"/>
    <col min="33" max="35" width="9.140625" style="39"/>
    <col min="36" max="16384" width="9.140625" style="10"/>
  </cols>
  <sheetData>
    <row r="1" spans="1:36" s="2" customFormat="1" ht="18" customHeight="1" thickTop="1" x14ac:dyDescent="0.15">
      <c r="A1" s="180"/>
      <c r="B1" s="482" t="s">
        <v>448</v>
      </c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483"/>
      <c r="P1" s="483"/>
      <c r="Q1" s="484"/>
      <c r="Z1" s="31"/>
      <c r="AA1" s="31"/>
      <c r="AB1" s="93"/>
      <c r="AC1" s="93"/>
      <c r="AD1" s="206"/>
      <c r="AE1" s="206"/>
      <c r="AF1" s="93"/>
      <c r="AG1" s="93"/>
      <c r="AH1" s="93"/>
      <c r="AI1" s="31"/>
    </row>
    <row r="2" spans="1:36" s="2" customFormat="1" ht="18" customHeight="1" x14ac:dyDescent="0.15">
      <c r="A2" s="180"/>
      <c r="B2" s="485" t="s">
        <v>449</v>
      </c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7"/>
      <c r="Z2" s="31"/>
      <c r="AA2" s="31"/>
      <c r="AB2" s="93"/>
      <c r="AC2" s="93"/>
      <c r="AD2" s="206"/>
      <c r="AE2" s="206"/>
      <c r="AF2" s="93"/>
      <c r="AG2" s="93"/>
      <c r="AH2" s="93"/>
      <c r="AI2" s="31"/>
    </row>
    <row r="3" spans="1:36" s="2" customFormat="1" ht="18" customHeight="1" thickBot="1" x14ac:dyDescent="0.2">
      <c r="A3" s="180"/>
      <c r="B3" s="488" t="s">
        <v>495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489"/>
      <c r="Q3" s="490"/>
      <c r="Z3" s="31"/>
      <c r="AA3" s="31"/>
      <c r="AB3" s="94"/>
      <c r="AC3" s="94"/>
      <c r="AD3" s="206"/>
      <c r="AE3" s="206"/>
      <c r="AF3" s="94"/>
      <c r="AG3" s="94"/>
      <c r="AH3" s="94"/>
      <c r="AI3" s="31"/>
    </row>
    <row r="4" spans="1:36" s="2" customFormat="1" ht="14.25" thickTop="1" thickBot="1" x14ac:dyDescent="0.25">
      <c r="A4" s="180"/>
      <c r="B4" s="3"/>
      <c r="C4" s="3"/>
      <c r="P4" s="4"/>
      <c r="Q4" s="4"/>
      <c r="R4" s="21" t="s">
        <v>497</v>
      </c>
      <c r="S4" s="21"/>
      <c r="T4" s="21" t="s">
        <v>498</v>
      </c>
      <c r="U4" s="10"/>
      <c r="V4" s="1"/>
      <c r="W4" s="1"/>
      <c r="X4" s="449" t="s">
        <v>508</v>
      </c>
      <c r="Y4" s="449"/>
      <c r="Z4" s="449"/>
      <c r="AA4" s="31"/>
      <c r="AB4" s="31"/>
      <c r="AC4" s="31"/>
      <c r="AD4" s="206"/>
      <c r="AE4" s="206"/>
      <c r="AF4" s="31"/>
      <c r="AG4" s="31"/>
      <c r="AH4" s="31"/>
      <c r="AI4" s="31"/>
    </row>
    <row r="5" spans="1:36" s="2" customFormat="1" ht="14.25" customHeight="1" thickTop="1" thickBot="1" x14ac:dyDescent="0.2">
      <c r="A5" s="180"/>
      <c r="B5" s="152"/>
      <c r="C5" s="106"/>
      <c r="D5" s="491" t="s">
        <v>451</v>
      </c>
      <c r="E5" s="491"/>
      <c r="F5" s="491"/>
      <c r="G5" s="491"/>
      <c r="H5" s="491"/>
      <c r="I5" s="491"/>
      <c r="J5" s="491"/>
      <c r="K5" s="491"/>
      <c r="L5" s="491"/>
      <c r="M5" s="491"/>
      <c r="N5" s="491"/>
      <c r="O5" s="491"/>
      <c r="P5" s="494"/>
      <c r="Q5" s="492" t="s">
        <v>452</v>
      </c>
      <c r="R5" s="139" t="s">
        <v>461</v>
      </c>
      <c r="S5" s="480" t="s">
        <v>452</v>
      </c>
      <c r="T5" s="139" t="s">
        <v>460</v>
      </c>
      <c r="U5" s="450" t="s">
        <v>452</v>
      </c>
      <c r="V5" s="168" t="s">
        <v>494</v>
      </c>
      <c r="W5" s="450" t="s">
        <v>452</v>
      </c>
      <c r="X5" s="139" t="s">
        <v>461</v>
      </c>
      <c r="Y5" s="139" t="s">
        <v>460</v>
      </c>
      <c r="Z5" s="450" t="s">
        <v>509</v>
      </c>
      <c r="AA5" s="107"/>
      <c r="AB5" s="95"/>
      <c r="AC5" s="96"/>
      <c r="AD5" s="96"/>
      <c r="AE5" s="96"/>
      <c r="AF5" s="96"/>
      <c r="AG5" s="96"/>
      <c r="AH5" s="96"/>
      <c r="AI5" s="97"/>
    </row>
    <row r="6" spans="1:36" s="2" customFormat="1" ht="14.25" customHeight="1" thickTop="1" thickBot="1" x14ac:dyDescent="0.2">
      <c r="A6" s="180"/>
      <c r="B6" s="153" t="s">
        <v>453</v>
      </c>
      <c r="C6" s="56">
        <v>39783</v>
      </c>
      <c r="D6" s="56">
        <v>39814</v>
      </c>
      <c r="E6" s="154">
        <v>39845</v>
      </c>
      <c r="F6" s="154">
        <v>39873</v>
      </c>
      <c r="G6" s="154">
        <v>39904</v>
      </c>
      <c r="H6" s="154">
        <v>39934</v>
      </c>
      <c r="I6" s="154">
        <v>39965</v>
      </c>
      <c r="J6" s="154">
        <v>39995</v>
      </c>
      <c r="K6" s="154">
        <v>40026</v>
      </c>
      <c r="L6" s="154">
        <v>40057</v>
      </c>
      <c r="M6" s="154">
        <v>40087</v>
      </c>
      <c r="N6" s="154">
        <v>40118</v>
      </c>
      <c r="O6" s="154">
        <v>40148</v>
      </c>
      <c r="P6" s="5" t="s">
        <v>459</v>
      </c>
      <c r="Q6" s="493"/>
      <c r="R6" s="149" t="s">
        <v>454</v>
      </c>
      <c r="S6" s="481"/>
      <c r="T6" s="149" t="s">
        <v>454</v>
      </c>
      <c r="U6" s="451"/>
      <c r="V6" s="158" t="s">
        <v>454</v>
      </c>
      <c r="W6" s="451"/>
      <c r="X6" s="149" t="s">
        <v>454</v>
      </c>
      <c r="Y6" s="149" t="s">
        <v>454</v>
      </c>
      <c r="Z6" s="451"/>
      <c r="AA6" s="31"/>
      <c r="AB6" s="98" t="s">
        <v>166</v>
      </c>
      <c r="AC6" s="34" t="s">
        <v>476</v>
      </c>
      <c r="AD6" s="34" t="s">
        <v>1087</v>
      </c>
      <c r="AE6" s="34" t="s">
        <v>1088</v>
      </c>
      <c r="AF6" s="34" t="s">
        <v>472</v>
      </c>
      <c r="AG6" s="34" t="s">
        <v>474</v>
      </c>
      <c r="AH6" s="34" t="s">
        <v>473</v>
      </c>
      <c r="AI6" s="99" t="s">
        <v>475</v>
      </c>
    </row>
    <row r="7" spans="1:36" ht="12" customHeight="1" thickTop="1" x14ac:dyDescent="0.15">
      <c r="A7" s="178" t="s">
        <v>496</v>
      </c>
      <c r="B7" s="57" t="s">
        <v>2</v>
      </c>
      <c r="C7" s="58">
        <f>IF(ISERROR(VLOOKUP($B7,'Monthly Summary 2008'!$B$7:$U$62,14,FALSE)&gt;0),"",VLOOKUP($B7,'Monthly Summary 2008'!$B$7:$U$62,14,FALSE))</f>
        <v>16.2</v>
      </c>
      <c r="D7" s="59">
        <v>18.600000000000001</v>
      </c>
      <c r="E7" s="60">
        <v>21</v>
      </c>
      <c r="F7" s="60">
        <v>23</v>
      </c>
      <c r="G7" s="60">
        <v>20.9</v>
      </c>
      <c r="H7" s="60">
        <v>19</v>
      </c>
      <c r="I7" s="60">
        <v>43.2</v>
      </c>
      <c r="J7" s="60">
        <v>26.7</v>
      </c>
      <c r="K7" s="60">
        <v>32.700000000000003</v>
      </c>
      <c r="L7" s="60">
        <v>29.3</v>
      </c>
      <c r="M7" s="60">
        <v>26.9</v>
      </c>
      <c r="N7" s="60"/>
      <c r="O7" s="60"/>
      <c r="P7" s="61">
        <f>AVERAGE(D7:O7)</f>
        <v>26.129999999999995</v>
      </c>
      <c r="Q7" s="38">
        <f t="shared" ref="Q7:Q72" si="0">COUNT(D7:O7)/COUNT($D$6:$O$6)</f>
        <v>0.83333333333333337</v>
      </c>
      <c r="R7" s="140">
        <f>IF($S7=0%,"",IF($S7&gt;66%,AVERAGE($D7:$F7),"-"))</f>
        <v>20.866666666666667</v>
      </c>
      <c r="S7" s="24">
        <f>COUNT(D7:F7)/3</f>
        <v>1</v>
      </c>
      <c r="T7" s="140">
        <f>IF($U7=0%,"",IF($U7&gt;66%,AVERAGE($J7:$L7),"-"))</f>
        <v>29.566666666666666</v>
      </c>
      <c r="U7" s="150">
        <f>COUNT(J7:L7)/3</f>
        <v>1</v>
      </c>
      <c r="V7" s="141">
        <f>IF(AND(($S7&gt;33%),($U7&gt;33%),($W7&gt;=75%)),AVERAGE($D7:$O7),"-")</f>
        <v>26.129999999999995</v>
      </c>
      <c r="W7" s="142">
        <f>Q7</f>
        <v>0.83333333333333337</v>
      </c>
      <c r="X7" s="144">
        <f t="shared" ref="X7:X38" si="1">IF(VLOOKUP($B7,$AC$6:$AI$159,3,FALSE)="",$R7,IF(ISERROR(AVERAGEIF($AD$6:$AD$111,VLOOKUP($B7,$AC$6:$AI$159,2,FALSE),$R$6:$R$159)),"",AVERAGEIF($AD$6:$AD$111,VLOOKUP($B7,$AC$6:$AI$159,2,FALSE),$R$6:$R$159)))</f>
        <v>20.866666666666667</v>
      </c>
      <c r="Y7" s="144">
        <f t="shared" ref="Y7:Y38" si="2">IF(VLOOKUP($B7,$AC$6:$AI$159,3,FALSE)="",$T7,IF(ISERROR(AVERAGEIF($AD$6:$AD$111,VLOOKUP($B7,$AC$6:$AI$159,2,FALSE),$T$6:$T$159)),"",AVERAGEIF($AD$6:$AD$111,VLOOKUP($B7,$AC$6:$AI$159,2,FALSE),$T$6:$T$159)))</f>
        <v>16.383333333333333</v>
      </c>
      <c r="Z7" s="144">
        <f t="shared" ref="Z7:Z32" si="3">IF(VLOOKUP($B7,$AC$6:$AI$159,3,FALSE)="",$V7,IF(ISERROR(AVERAGEIF($AD$6:$AD$111,VLOOKUP($B7,$AC$6:$AI$159,2,FALSE),$V$6:$V$159)),"",AVERAGEIF($AD$6:$AD$111,VLOOKUP($B7,$AC$6:$AI$159,2,FALSE),$V$6:$V$159)))</f>
        <v>26.129999999999995</v>
      </c>
      <c r="AA7" s="10"/>
      <c r="AB7" s="100" t="str">
        <f>VLOOKUP($B7,'2007-2020 Metadata'!$A$4:$S$214,MATCH("Urban Area /Monitoring Zone",'2007-2020 Metadata'!$A$4:$S$4,0),FALSE)</f>
        <v>Whangarei</v>
      </c>
      <c r="AC7" s="87" t="str">
        <f>VLOOKUP(B7,'2007-2020 Metadata'!$A$6:$A$214,1,FALSE)</f>
        <v>AUC001</v>
      </c>
      <c r="AD7" s="230" t="str">
        <f>VLOOKUP($AC7,'2007-2020 Metadata'!$A$6:$S$214,9,FALSE)</f>
        <v>Whangarei</v>
      </c>
      <c r="AE7" s="248">
        <f>IF(ISBLANK(VLOOKUP($AC7,'2007-2020 Metadata'!$A$6:$S$214,19,FALSE)),"",VLOOKUP($AC7,'2007-2020 Metadata'!$A$6:$S$214,19,FALSE))</f>
        <v>3.2</v>
      </c>
      <c r="AF7" s="88" t="str">
        <f>VLOOKUP($B7,'2007-2020 Metadata'!$A$4:$S$214,MATCH("Site type",'2007-2020 Metadata'!$A$4:$S$4,0),FALSE)</f>
        <v>SH</v>
      </c>
      <c r="AG7" s="143">
        <f>MIN($D7:$O7)</f>
        <v>18.600000000000001</v>
      </c>
      <c r="AH7" s="143">
        <f>MAX($D7:$O7)</f>
        <v>43.2</v>
      </c>
      <c r="AI7" s="144">
        <f>IF($W7&gt;=75%,$Z7," ")</f>
        <v>26.129999999999995</v>
      </c>
    </row>
    <row r="8" spans="1:36" ht="12" customHeight="1" x14ac:dyDescent="0.15">
      <c r="B8" s="11" t="s">
        <v>3</v>
      </c>
      <c r="C8" s="58">
        <f>IF(ISERROR(VLOOKUP($B8,'Monthly Summary 2008'!$B$7:$U$62,14,FALSE)&gt;0),"",VLOOKUP($B8,'Monthly Summary 2008'!$B$7:$U$62,14,FALSE))</f>
        <v>10.4</v>
      </c>
      <c r="D8" s="12">
        <v>12.2</v>
      </c>
      <c r="E8" s="62">
        <v>8.3000000000000007</v>
      </c>
      <c r="F8" s="62">
        <v>9.3000000000000007</v>
      </c>
      <c r="G8" s="62">
        <v>9</v>
      </c>
      <c r="H8" s="62">
        <v>14</v>
      </c>
      <c r="I8" s="62">
        <v>14.9</v>
      </c>
      <c r="J8" s="62">
        <v>12.6</v>
      </c>
      <c r="K8" s="62">
        <v>22.4</v>
      </c>
      <c r="L8" s="62">
        <v>10.4</v>
      </c>
      <c r="M8" s="62">
        <v>6.8</v>
      </c>
      <c r="N8" s="62">
        <v>5.6</v>
      </c>
      <c r="O8" s="62">
        <v>4.7</v>
      </c>
      <c r="P8" s="63">
        <f t="shared" ref="P8:P73" si="4">AVERAGE(D8:O8)</f>
        <v>10.85</v>
      </c>
      <c r="Q8" s="38">
        <f t="shared" si="0"/>
        <v>1</v>
      </c>
      <c r="R8" s="140">
        <f t="shared" ref="R8:R73" si="5">IF($S8=0%,"",IF($S8&gt;66%,AVERAGE($D8:$F8),"-"))</f>
        <v>9.9333333333333336</v>
      </c>
      <c r="S8" s="24">
        <f t="shared" ref="S8:S73" si="6">COUNT(D8:F8)/3</f>
        <v>1</v>
      </c>
      <c r="T8" s="140">
        <f t="shared" ref="T8:T73" si="7">IF($U8=0%,"",IF($U8&gt;66%,AVERAGE($J8:$L8),"-"))</f>
        <v>15.133333333333333</v>
      </c>
      <c r="U8" s="150">
        <f t="shared" ref="U8:U73" si="8">COUNT(J8:L8)/3</f>
        <v>1</v>
      </c>
      <c r="V8" s="141">
        <f t="shared" ref="V8:V73" si="9">IF(AND(($S8&gt;33%),($U8&gt;33%),($W8&gt;=75%)),AVERAGE($D8:$O8),"-")</f>
        <v>10.85</v>
      </c>
      <c r="W8" s="142">
        <f t="shared" ref="W8:W73" si="10">Q8</f>
        <v>1</v>
      </c>
      <c r="X8" s="144">
        <f t="shared" si="1"/>
        <v>9.9333333333333336</v>
      </c>
      <c r="Y8" s="144">
        <f t="shared" si="2"/>
        <v>15.133333333333333</v>
      </c>
      <c r="Z8" s="144">
        <f t="shared" si="3"/>
        <v>10.85</v>
      </c>
      <c r="AA8" s="10"/>
      <c r="AB8" s="357" t="str">
        <f>VLOOKUP($B8,'2007-2020 Metadata'!$A$4:$S$214,MATCH("Urban Area /Monitoring Zone",'2007-2020 Metadata'!$A$4:$S$4,0),FALSE)</f>
        <v>Auckland - Northern</v>
      </c>
      <c r="AC8" s="87" t="str">
        <f>VLOOKUP(B8,'2007-2020 Metadata'!$A$6:$A$214,1,FALSE)</f>
        <v>AUC004</v>
      </c>
      <c r="AD8" s="230" t="str">
        <f>VLOOKUP($AC8,'2007-2020 Metadata'!$A$6:$S$214,9,FALSE)</f>
        <v>Rodney</v>
      </c>
      <c r="AE8" s="248">
        <f>IF(ISBLANK(VLOOKUP($AC8,'2007-2020 Metadata'!$A$6:$S$214,19,FALSE)),"",VLOOKUP($AC8,'2007-2020 Metadata'!$A$6:$S$214,19,FALSE))</f>
        <v>2.5</v>
      </c>
      <c r="AF8" s="88" t="str">
        <f>VLOOKUP($B8,'2007-2020 Metadata'!$A$4:$S$214,MATCH("Site type",'2007-2020 Metadata'!$A$4:$S$4,0),FALSE)</f>
        <v>SH</v>
      </c>
      <c r="AG8" s="143">
        <f t="shared" ref="AG8:AG73" si="11">MIN($D8:$O8)</f>
        <v>4.7</v>
      </c>
      <c r="AH8" s="143">
        <f t="shared" ref="AH8:AH73" si="12">MAX($D8:$O8)</f>
        <v>22.4</v>
      </c>
      <c r="AI8" s="144">
        <f t="shared" ref="AI8:AI73" si="13">IF($W8&gt;=75%,$Z8," ")</f>
        <v>10.85</v>
      </c>
    </row>
    <row r="9" spans="1:36" ht="12" customHeight="1" x14ac:dyDescent="0.15">
      <c r="B9" s="11" t="s">
        <v>4</v>
      </c>
      <c r="C9" s="58">
        <f>IF(ISERROR(VLOOKUP($B9,'Monthly Summary 2008'!$B$7:$U$62,14,FALSE)&gt;0),"",VLOOKUP($B9,'Monthly Summary 2008'!$B$7:$U$62,14,FALSE))</f>
        <v>19.7</v>
      </c>
      <c r="D9" s="12">
        <v>18.3</v>
      </c>
      <c r="E9" s="62">
        <v>17</v>
      </c>
      <c r="F9" s="62">
        <v>28.3</v>
      </c>
      <c r="G9" s="62">
        <v>27.5</v>
      </c>
      <c r="H9" s="62">
        <v>41.9</v>
      </c>
      <c r="I9" s="62">
        <v>39.799999999999997</v>
      </c>
      <c r="J9" s="62">
        <v>34.6</v>
      </c>
      <c r="K9" s="62">
        <v>33</v>
      </c>
      <c r="L9" s="62">
        <v>33.1</v>
      </c>
      <c r="M9" s="62">
        <v>23.3</v>
      </c>
      <c r="N9" s="62">
        <v>24</v>
      </c>
      <c r="O9" s="62">
        <v>16.899999999999999</v>
      </c>
      <c r="P9" s="63">
        <f t="shared" si="4"/>
        <v>28.141666666666666</v>
      </c>
      <c r="Q9" s="38">
        <f t="shared" si="0"/>
        <v>1</v>
      </c>
      <c r="R9" s="140">
        <f t="shared" si="5"/>
        <v>21.2</v>
      </c>
      <c r="S9" s="24">
        <f t="shared" si="6"/>
        <v>1</v>
      </c>
      <c r="T9" s="140">
        <f t="shared" si="7"/>
        <v>33.566666666666663</v>
      </c>
      <c r="U9" s="150">
        <f t="shared" si="8"/>
        <v>1</v>
      </c>
      <c r="V9" s="141">
        <f t="shared" si="9"/>
        <v>28.141666666666666</v>
      </c>
      <c r="W9" s="142">
        <f t="shared" si="10"/>
        <v>1</v>
      </c>
      <c r="X9" s="144">
        <f t="shared" si="1"/>
        <v>22.833333333333332</v>
      </c>
      <c r="Y9" s="144">
        <f t="shared" si="2"/>
        <v>28.34242424242424</v>
      </c>
      <c r="Z9" s="144">
        <f t="shared" si="3"/>
        <v>26.625378787878788</v>
      </c>
      <c r="AA9" s="10"/>
      <c r="AB9" s="357" t="str">
        <f>VLOOKUP($B9,'2007-2020 Metadata'!$A$4:$S$214,MATCH("Urban Area /Monitoring Zone",'2007-2020 Metadata'!$A$4:$S$4,0),FALSE)</f>
        <v>Auckland - Northern</v>
      </c>
      <c r="AC9" s="87" t="str">
        <f>VLOOKUP(B9,'2007-2020 Metadata'!$A$6:$A$214,1,FALSE)</f>
        <v>AUC005</v>
      </c>
      <c r="AD9" s="230" t="str">
        <f>VLOOKUP($AC9,'2007-2020 Metadata'!$A$6:$S$214,9,FALSE)</f>
        <v xml:space="preserve">North Shore </v>
      </c>
      <c r="AE9" s="248">
        <f>IF(ISBLANK(VLOOKUP($AC9,'2007-2020 Metadata'!$A$6:$S$214,19,FALSE)),"",VLOOKUP($AC9,'2007-2020 Metadata'!$A$6:$S$214,19,FALSE))</f>
        <v>2.1</v>
      </c>
      <c r="AF9" s="88" t="str">
        <f>VLOOKUP($B9,'2007-2020 Metadata'!$A$4:$S$214,MATCH("Site type",'2007-2020 Metadata'!$A$4:$S$4,0),FALSE)</f>
        <v>Local</v>
      </c>
      <c r="AG9" s="143">
        <f t="shared" si="11"/>
        <v>16.899999999999999</v>
      </c>
      <c r="AH9" s="143">
        <f t="shared" si="12"/>
        <v>41.9</v>
      </c>
      <c r="AI9" s="144">
        <f t="shared" si="13"/>
        <v>26.625378787878788</v>
      </c>
    </row>
    <row r="10" spans="1:36" ht="12" customHeight="1" x14ac:dyDescent="0.15">
      <c r="A10" s="178" t="s">
        <v>496</v>
      </c>
      <c r="B10" s="11" t="s">
        <v>5</v>
      </c>
      <c r="C10" s="58">
        <f>IF(ISERROR(VLOOKUP($B10,'Monthly Summary 2008'!$B$7:$U$62,14,FALSE)&gt;0),"",VLOOKUP($B10,'Monthly Summary 2008'!$B$7:$U$62,14,FALSE))</f>
        <v>16.399999999999999</v>
      </c>
      <c r="D10" s="12">
        <v>19.600000000000001</v>
      </c>
      <c r="E10" s="62">
        <v>21.8</v>
      </c>
      <c r="F10" s="62">
        <v>28.5</v>
      </c>
      <c r="G10" s="62">
        <v>33.5</v>
      </c>
      <c r="H10" s="62">
        <v>38.1</v>
      </c>
      <c r="I10" s="62"/>
      <c r="J10" s="343"/>
      <c r="K10" s="343"/>
      <c r="L10" s="343"/>
      <c r="M10" s="343"/>
      <c r="N10" s="343"/>
      <c r="O10" s="343"/>
      <c r="P10" s="63">
        <f t="shared" si="4"/>
        <v>28.3</v>
      </c>
      <c r="Q10" s="38">
        <f t="shared" si="0"/>
        <v>0.41666666666666669</v>
      </c>
      <c r="R10" s="140">
        <f t="shared" si="5"/>
        <v>23.3</v>
      </c>
      <c r="S10" s="24">
        <f t="shared" si="6"/>
        <v>1</v>
      </c>
      <c r="T10" s="140" t="str">
        <f t="shared" si="7"/>
        <v/>
      </c>
      <c r="U10" s="150">
        <f t="shared" si="8"/>
        <v>0</v>
      </c>
      <c r="V10" s="141" t="str">
        <f t="shared" si="9"/>
        <v>-</v>
      </c>
      <c r="W10" s="142">
        <f t="shared" si="10"/>
        <v>0.41666666666666669</v>
      </c>
      <c r="X10" s="144">
        <f t="shared" si="1"/>
        <v>22.833333333333332</v>
      </c>
      <c r="Y10" s="144">
        <f t="shared" si="2"/>
        <v>28.34242424242424</v>
      </c>
      <c r="Z10" s="144">
        <f t="shared" si="3"/>
        <v>26.625378787878788</v>
      </c>
      <c r="AA10" s="10"/>
      <c r="AB10" s="357" t="str">
        <f>VLOOKUP($B10,'2007-2020 Metadata'!$A$4:$S$214,MATCH("Urban Area /Monitoring Zone",'2007-2020 Metadata'!$A$4:$S$4,0),FALSE)</f>
        <v>Auckland - Northern</v>
      </c>
      <c r="AC10" s="87" t="str">
        <f>VLOOKUP(B10,'2007-2020 Metadata'!$A$6:$A$214,1,FALSE)</f>
        <v>AUC006</v>
      </c>
      <c r="AD10" s="230" t="str">
        <f>VLOOKUP($AC10,'2007-2020 Metadata'!$A$6:$S$214,9,FALSE)</f>
        <v xml:space="preserve">North Shore </v>
      </c>
      <c r="AE10" s="248">
        <f>IF(ISBLANK(VLOOKUP($AC10,'2007-2020 Metadata'!$A$6:$S$214,19,FALSE)),"",VLOOKUP($AC10,'2007-2020 Metadata'!$A$6:$S$214,19,FALSE))</f>
        <v>3</v>
      </c>
      <c r="AF10" s="88" t="str">
        <f>VLOOKUP($B10,'2007-2020 Metadata'!$A$4:$S$214,MATCH("Site type",'2007-2020 Metadata'!$A$4:$S$4,0),FALSE)</f>
        <v>SH</v>
      </c>
      <c r="AG10" s="143">
        <f t="shared" si="11"/>
        <v>19.600000000000001</v>
      </c>
      <c r="AH10" s="143">
        <f t="shared" si="12"/>
        <v>38.1</v>
      </c>
      <c r="AI10" s="144" t="str">
        <f t="shared" si="13"/>
        <v xml:space="preserve"> </v>
      </c>
    </row>
    <row r="11" spans="1:36" ht="12" customHeight="1" x14ac:dyDescent="0.15">
      <c r="B11" s="11" t="s">
        <v>6</v>
      </c>
      <c r="C11" s="58">
        <f>IF(ISERROR(VLOOKUP($B11,'Monthly Summary 2008'!$B$7:$U$62,14,FALSE)&gt;0),"",VLOOKUP($B11,'Monthly Summary 2008'!$B$7:$U$62,14,FALSE))</f>
        <v>30.4</v>
      </c>
      <c r="D11" s="12">
        <v>21.4</v>
      </c>
      <c r="E11" s="62">
        <v>22.4</v>
      </c>
      <c r="F11" s="62">
        <v>28.2</v>
      </c>
      <c r="G11" s="62">
        <v>30.7</v>
      </c>
      <c r="H11" s="62">
        <v>26.7</v>
      </c>
      <c r="I11" s="62">
        <v>29.1</v>
      </c>
      <c r="J11" s="62">
        <v>24.8</v>
      </c>
      <c r="K11" s="62">
        <v>30.4</v>
      </c>
      <c r="L11" s="62">
        <v>32.700000000000003</v>
      </c>
      <c r="M11" s="62">
        <v>17.600000000000001</v>
      </c>
      <c r="N11" s="62">
        <v>12.2</v>
      </c>
      <c r="O11" s="62"/>
      <c r="P11" s="63">
        <f t="shared" si="4"/>
        <v>25.109090909090913</v>
      </c>
      <c r="Q11" s="38">
        <f t="shared" si="0"/>
        <v>0.91666666666666663</v>
      </c>
      <c r="R11" s="140">
        <f t="shared" si="5"/>
        <v>24</v>
      </c>
      <c r="S11" s="24">
        <f t="shared" si="6"/>
        <v>1</v>
      </c>
      <c r="T11" s="140">
        <f t="shared" si="7"/>
        <v>29.3</v>
      </c>
      <c r="U11" s="150">
        <f t="shared" si="8"/>
        <v>1</v>
      </c>
      <c r="V11" s="141">
        <f t="shared" si="9"/>
        <v>25.109090909090913</v>
      </c>
      <c r="W11" s="142">
        <f t="shared" si="10"/>
        <v>0.91666666666666663</v>
      </c>
      <c r="X11" s="144">
        <f t="shared" si="1"/>
        <v>22.833333333333332</v>
      </c>
      <c r="Y11" s="144">
        <f t="shared" si="2"/>
        <v>28.34242424242424</v>
      </c>
      <c r="Z11" s="144">
        <f t="shared" si="3"/>
        <v>26.625378787878788</v>
      </c>
      <c r="AA11" s="10"/>
      <c r="AB11" s="357" t="str">
        <f>VLOOKUP($B11,'2007-2020 Metadata'!$A$4:$S$214,MATCH("Urban Area /Monitoring Zone",'2007-2020 Metadata'!$A$4:$S$4,0),FALSE)</f>
        <v>Auckland - Northern</v>
      </c>
      <c r="AC11" s="87" t="str">
        <f>VLOOKUP(B11,'2007-2020 Metadata'!$A$6:$A$214,1,FALSE)</f>
        <v>AUC007</v>
      </c>
      <c r="AD11" s="230" t="str">
        <f>VLOOKUP($AC11,'2007-2020 Metadata'!$A$6:$S$214,9,FALSE)</f>
        <v xml:space="preserve">North Shore </v>
      </c>
      <c r="AE11" s="248">
        <f>IF(ISBLANK(VLOOKUP($AC11,'2007-2020 Metadata'!$A$6:$S$214,19,FALSE)),"",VLOOKUP($AC11,'2007-2020 Metadata'!$A$6:$S$214,19,FALSE))</f>
        <v>3</v>
      </c>
      <c r="AF11" s="88" t="str">
        <f>VLOOKUP($B11,'2007-2020 Metadata'!$A$4:$S$214,MATCH("Site type",'2007-2020 Metadata'!$A$4:$S$4,0),FALSE)</f>
        <v>SH</v>
      </c>
      <c r="AG11" s="143">
        <f t="shared" si="11"/>
        <v>12.2</v>
      </c>
      <c r="AH11" s="143">
        <f t="shared" si="12"/>
        <v>32.700000000000003</v>
      </c>
      <c r="AI11" s="144">
        <f t="shared" si="13"/>
        <v>26.625378787878788</v>
      </c>
    </row>
    <row r="12" spans="1:36" ht="12" customHeight="1" x14ac:dyDescent="0.15">
      <c r="B12" s="11" t="s">
        <v>7</v>
      </c>
      <c r="C12" s="58">
        <f>IF(ISERROR(VLOOKUP($B12,'Monthly Summary 2008'!$B$7:$U$62,14,FALSE)&gt;0),"",VLOOKUP($B12,'Monthly Summary 2008'!$B$7:$U$62,14,FALSE))</f>
        <v>18.399999999999999</v>
      </c>
      <c r="D12" s="12">
        <v>18.2</v>
      </c>
      <c r="E12" s="62">
        <v>24.6</v>
      </c>
      <c r="F12" s="62">
        <v>23.6</v>
      </c>
      <c r="G12" s="62">
        <v>31.6</v>
      </c>
      <c r="H12" s="62">
        <v>23.8</v>
      </c>
      <c r="I12" s="62">
        <v>30.6</v>
      </c>
      <c r="J12" s="62">
        <v>35.700000000000003</v>
      </c>
      <c r="K12" s="62">
        <v>34.9</v>
      </c>
      <c r="L12" s="62">
        <v>29</v>
      </c>
      <c r="M12" s="62">
        <v>14.7</v>
      </c>
      <c r="N12" s="62">
        <v>12.8</v>
      </c>
      <c r="O12" s="62">
        <v>7.5</v>
      </c>
      <c r="P12" s="63">
        <f t="shared" si="4"/>
        <v>23.916666666666671</v>
      </c>
      <c r="Q12" s="38">
        <f t="shared" si="0"/>
        <v>1</v>
      </c>
      <c r="R12" s="140">
        <f t="shared" si="5"/>
        <v>22.133333333333336</v>
      </c>
      <c r="S12" s="24">
        <f t="shared" si="6"/>
        <v>1</v>
      </c>
      <c r="T12" s="140">
        <f t="shared" si="7"/>
        <v>33.199999999999996</v>
      </c>
      <c r="U12" s="150">
        <f t="shared" si="8"/>
        <v>1</v>
      </c>
      <c r="V12" s="141">
        <f t="shared" si="9"/>
        <v>23.916666666666671</v>
      </c>
      <c r="W12" s="142">
        <f t="shared" si="10"/>
        <v>1</v>
      </c>
      <c r="X12" s="144">
        <f t="shared" si="1"/>
        <v>22.483333333333334</v>
      </c>
      <c r="Y12" s="144">
        <f t="shared" si="2"/>
        <v>34.097619047619048</v>
      </c>
      <c r="Z12" s="144">
        <f t="shared" si="3"/>
        <v>30.57721590909091</v>
      </c>
      <c r="AA12" s="10"/>
      <c r="AB12" s="357" t="str">
        <f>VLOOKUP($B12,'2007-2020 Metadata'!$A$4:$S$214,MATCH("Urban Area /Monitoring Zone",'2007-2020 Metadata'!$A$4:$S$4,0),FALSE)</f>
        <v>Auckland - Central</v>
      </c>
      <c r="AC12" s="87" t="str">
        <f>VLOOKUP(B12,'2007-2020 Metadata'!$A$6:$A$214,1,FALSE)</f>
        <v>AUC008</v>
      </c>
      <c r="AD12" s="230" t="str">
        <f>VLOOKUP($AC12,'2007-2020 Metadata'!$A$6:$S$214,9,FALSE)</f>
        <v>Auckland</v>
      </c>
      <c r="AE12" s="248">
        <f>IF(ISBLANK(VLOOKUP($AC12,'2007-2020 Metadata'!$A$6:$S$214,19,FALSE)),"",VLOOKUP($AC12,'2007-2020 Metadata'!$A$6:$S$214,19,FALSE))</f>
        <v>3</v>
      </c>
      <c r="AF12" s="88" t="str">
        <f>VLOOKUP($B12,'2007-2020 Metadata'!$A$4:$S$214,MATCH("Site type",'2007-2020 Metadata'!$A$4:$S$4,0),FALSE)</f>
        <v>SH</v>
      </c>
      <c r="AG12" s="143">
        <f t="shared" si="11"/>
        <v>7.5</v>
      </c>
      <c r="AH12" s="143">
        <f t="shared" si="12"/>
        <v>35.700000000000003</v>
      </c>
      <c r="AI12" s="144">
        <f t="shared" si="13"/>
        <v>30.57721590909091</v>
      </c>
    </row>
    <row r="13" spans="1:36" ht="12" customHeight="1" x14ac:dyDescent="0.15">
      <c r="B13" s="11" t="s">
        <v>8</v>
      </c>
      <c r="C13" s="58">
        <f>IF(ISERROR(VLOOKUP($B13,'Monthly Summary 2008'!$B$7:$U$62,14,FALSE)&gt;0),"",VLOOKUP($B13,'Monthly Summary 2008'!$B$7:$U$62,14,FALSE))</f>
        <v>25.9</v>
      </c>
      <c r="D13" s="12">
        <v>33.4</v>
      </c>
      <c r="E13" s="62">
        <v>32.299999999999997</v>
      </c>
      <c r="F13" s="62">
        <v>37.9</v>
      </c>
      <c r="G13" s="62">
        <v>48.2</v>
      </c>
      <c r="H13" s="62">
        <v>51.8</v>
      </c>
      <c r="I13" s="62">
        <v>55.8</v>
      </c>
      <c r="J13" s="62">
        <v>58.3</v>
      </c>
      <c r="K13" s="62">
        <v>44.4</v>
      </c>
      <c r="L13" s="62">
        <v>46.3</v>
      </c>
      <c r="M13" s="62">
        <v>36.9</v>
      </c>
      <c r="N13" s="62">
        <v>38.4</v>
      </c>
      <c r="O13" s="62"/>
      <c r="P13" s="63">
        <f t="shared" si="4"/>
        <v>43.972727272727269</v>
      </c>
      <c r="Q13" s="38">
        <f t="shared" si="0"/>
        <v>0.91666666666666663</v>
      </c>
      <c r="R13" s="140">
        <f t="shared" si="5"/>
        <v>34.533333333333331</v>
      </c>
      <c r="S13" s="24">
        <f t="shared" si="6"/>
        <v>1</v>
      </c>
      <c r="T13" s="140">
        <f t="shared" si="7"/>
        <v>49.666666666666664</v>
      </c>
      <c r="U13" s="150">
        <f t="shared" si="8"/>
        <v>1</v>
      </c>
      <c r="V13" s="141">
        <f t="shared" si="9"/>
        <v>43.972727272727269</v>
      </c>
      <c r="W13" s="142">
        <f t="shared" si="10"/>
        <v>0.91666666666666663</v>
      </c>
      <c r="X13" s="144">
        <f t="shared" si="1"/>
        <v>22.483333333333334</v>
      </c>
      <c r="Y13" s="144">
        <f t="shared" si="2"/>
        <v>34.097619047619048</v>
      </c>
      <c r="Z13" s="144">
        <f t="shared" si="3"/>
        <v>30.57721590909091</v>
      </c>
      <c r="AA13" s="10"/>
      <c r="AB13" s="357" t="str">
        <f>VLOOKUP($B13,'2007-2020 Metadata'!$A$4:$S$214,MATCH("Urban Area /Monitoring Zone",'2007-2020 Metadata'!$A$4:$S$4,0),FALSE)</f>
        <v>Auckland - Central</v>
      </c>
      <c r="AC13" s="87" t="str">
        <f>VLOOKUP(B13,'2007-2020 Metadata'!$A$6:$A$214,1,FALSE)</f>
        <v>AUC009</v>
      </c>
      <c r="AD13" s="230" t="str">
        <f>VLOOKUP($AC13,'2007-2020 Metadata'!$A$6:$S$214,9,FALSE)</f>
        <v>Auckland</v>
      </c>
      <c r="AE13" s="248">
        <f>IF(ISBLANK(VLOOKUP($AC13,'2007-2020 Metadata'!$A$6:$S$214,19,FALSE)),"",VLOOKUP($AC13,'2007-2020 Metadata'!$A$6:$S$214,19,FALSE))</f>
        <v>3</v>
      </c>
      <c r="AF13" s="88" t="str">
        <f>VLOOKUP($B13,'2007-2020 Metadata'!$A$4:$S$214,MATCH("Site type",'2007-2020 Metadata'!$A$4:$S$4,0),FALSE)</f>
        <v>SH</v>
      </c>
      <c r="AG13" s="143">
        <f t="shared" si="11"/>
        <v>32.299999999999997</v>
      </c>
      <c r="AH13" s="143">
        <f t="shared" si="12"/>
        <v>58.3</v>
      </c>
      <c r="AI13" s="144">
        <f t="shared" si="13"/>
        <v>30.57721590909091</v>
      </c>
    </row>
    <row r="14" spans="1:36" ht="12" customHeight="1" x14ac:dyDescent="0.15">
      <c r="B14" s="11" t="s">
        <v>9</v>
      </c>
      <c r="C14" s="58">
        <f>IF(ISERROR(VLOOKUP($B14,'Monthly Summary 2008'!$B$7:$U$62,14,FALSE)&gt;0),"",VLOOKUP($B14,'Monthly Summary 2008'!$B$7:$U$62,14,FALSE))</f>
        <v>20.2</v>
      </c>
      <c r="D14" s="12">
        <v>33.700000000000003</v>
      </c>
      <c r="E14" s="62">
        <v>27.1</v>
      </c>
      <c r="F14" s="62">
        <v>31.8</v>
      </c>
      <c r="G14" s="62">
        <v>41.6</v>
      </c>
      <c r="H14" s="62">
        <v>51.4</v>
      </c>
      <c r="I14" s="62">
        <v>47</v>
      </c>
      <c r="J14" s="62">
        <v>48.3</v>
      </c>
      <c r="K14" s="62">
        <v>37.700000000000003</v>
      </c>
      <c r="L14" s="62">
        <v>36.299999999999997</v>
      </c>
      <c r="M14" s="62">
        <v>28.4</v>
      </c>
      <c r="N14" s="62">
        <v>37.799999999999997</v>
      </c>
      <c r="O14" s="62">
        <v>22</v>
      </c>
      <c r="P14" s="63">
        <f t="shared" si="4"/>
        <v>36.925000000000004</v>
      </c>
      <c r="Q14" s="38">
        <f t="shared" si="0"/>
        <v>1</v>
      </c>
      <c r="R14" s="140">
        <f t="shared" si="5"/>
        <v>30.866666666666671</v>
      </c>
      <c r="S14" s="24">
        <f t="shared" si="6"/>
        <v>1</v>
      </c>
      <c r="T14" s="140">
        <f t="shared" si="7"/>
        <v>40.766666666666666</v>
      </c>
      <c r="U14" s="150">
        <f t="shared" si="8"/>
        <v>1</v>
      </c>
      <c r="V14" s="141">
        <f t="shared" si="9"/>
        <v>36.925000000000004</v>
      </c>
      <c r="W14" s="142">
        <f t="shared" si="10"/>
        <v>1</v>
      </c>
      <c r="X14" s="144">
        <f t="shared" si="1"/>
        <v>22.483333333333334</v>
      </c>
      <c r="Y14" s="144">
        <f t="shared" si="2"/>
        <v>34.097619047619048</v>
      </c>
      <c r="Z14" s="144">
        <f t="shared" si="3"/>
        <v>30.57721590909091</v>
      </c>
      <c r="AA14" s="10"/>
      <c r="AB14" s="357" t="str">
        <f>VLOOKUP($B14,'2007-2020 Metadata'!$A$4:$S$214,MATCH("Urban Area /Monitoring Zone",'2007-2020 Metadata'!$A$4:$S$4,0),FALSE)</f>
        <v>Auckland - Central</v>
      </c>
      <c r="AC14" s="87" t="str">
        <f>VLOOKUP(B14,'2007-2020 Metadata'!$A$6:$A$214,1,FALSE)</f>
        <v>AUC011</v>
      </c>
      <c r="AD14" s="230" t="str">
        <f>VLOOKUP($AC14,'2007-2020 Metadata'!$A$6:$S$214,9,FALSE)</f>
        <v>Auckland</v>
      </c>
      <c r="AE14" s="248">
        <f>IF(ISBLANK(VLOOKUP($AC14,'2007-2020 Metadata'!$A$6:$S$214,19,FALSE)),"",VLOOKUP($AC14,'2007-2020 Metadata'!$A$6:$S$214,19,FALSE))</f>
        <v>3</v>
      </c>
      <c r="AF14" s="88" t="str">
        <f>VLOOKUP($B14,'2007-2020 Metadata'!$A$4:$S$214,MATCH("Site type",'2007-2020 Metadata'!$A$4:$S$4,0),FALSE)</f>
        <v>SH</v>
      </c>
      <c r="AG14" s="143">
        <f t="shared" si="11"/>
        <v>22</v>
      </c>
      <c r="AH14" s="143">
        <f t="shared" si="12"/>
        <v>51.4</v>
      </c>
      <c r="AI14" s="144">
        <f t="shared" si="13"/>
        <v>30.57721590909091</v>
      </c>
    </row>
    <row r="15" spans="1:36" ht="12" customHeight="1" x14ac:dyDescent="0.15">
      <c r="A15" s="178" t="s">
        <v>496</v>
      </c>
      <c r="B15" s="11" t="s">
        <v>10</v>
      </c>
      <c r="C15" s="58">
        <f>IF(ISERROR(VLOOKUP($B15,'Monthly Summary 2008'!$B$7:$U$62,14,FALSE)&gt;0),"",VLOOKUP($B15,'Monthly Summary 2008'!$B$7:$U$62,14,FALSE))</f>
        <v>11.9</v>
      </c>
      <c r="D15" s="12">
        <v>17.100000000000001</v>
      </c>
      <c r="E15" s="62"/>
      <c r="F15" s="62"/>
      <c r="G15" s="62">
        <v>36.6</v>
      </c>
      <c r="H15" s="62">
        <v>50.5</v>
      </c>
      <c r="I15" s="62">
        <v>41.5</v>
      </c>
      <c r="J15" s="62">
        <v>44.9</v>
      </c>
      <c r="K15" s="62">
        <v>32.9</v>
      </c>
      <c r="L15" s="62">
        <v>32.1</v>
      </c>
      <c r="M15" s="62">
        <v>26.1</v>
      </c>
      <c r="N15" s="62">
        <v>27.7</v>
      </c>
      <c r="O15" s="62">
        <v>18.8</v>
      </c>
      <c r="P15" s="63">
        <f t="shared" si="4"/>
        <v>32.82</v>
      </c>
      <c r="Q15" s="38">
        <f t="shared" si="0"/>
        <v>0.83333333333333337</v>
      </c>
      <c r="R15" s="260" t="str">
        <f t="shared" si="5"/>
        <v>-</v>
      </c>
      <c r="S15" s="24">
        <f t="shared" si="6"/>
        <v>0.33333333333333331</v>
      </c>
      <c r="T15" s="260">
        <f t="shared" si="7"/>
        <v>36.633333333333333</v>
      </c>
      <c r="U15" s="261">
        <f t="shared" si="8"/>
        <v>1</v>
      </c>
      <c r="V15" s="262">
        <f t="shared" si="9"/>
        <v>32.82</v>
      </c>
      <c r="W15" s="261">
        <f t="shared" si="10"/>
        <v>0.83333333333333337</v>
      </c>
      <c r="X15" s="177">
        <f t="shared" si="1"/>
        <v>22.483333333333334</v>
      </c>
      <c r="Y15" s="177">
        <f t="shared" si="2"/>
        <v>34.097619047619048</v>
      </c>
      <c r="Z15" s="177">
        <f t="shared" si="3"/>
        <v>30.57721590909091</v>
      </c>
      <c r="AA15" s="10"/>
      <c r="AB15" s="357" t="str">
        <f>VLOOKUP($B15,'2007-2020 Metadata'!$A$4:$S$214,MATCH("Urban Area /Monitoring Zone",'2007-2020 Metadata'!$A$4:$S$4,0),FALSE)</f>
        <v>Auckland - Central</v>
      </c>
      <c r="AC15" s="259" t="str">
        <f>VLOOKUP(B15,'2007-2020 Metadata'!$A$6:$A$214,1,FALSE)</f>
        <v>AUC013</v>
      </c>
      <c r="AD15" s="256" t="str">
        <f>VLOOKUP($AC15,'2007-2020 Metadata'!$A$6:$S$214,9,FALSE)</f>
        <v>Auckland</v>
      </c>
      <c r="AE15" s="263">
        <f>IF(ISBLANK(VLOOKUP($AC15,'2007-2020 Metadata'!$A$6:$S$214,19,FALSE)),"",VLOOKUP($AC15,'2007-2020 Metadata'!$A$6:$S$214,19,FALSE))</f>
        <v>4</v>
      </c>
      <c r="AF15" s="257" t="str">
        <f>VLOOKUP($B15,'2007-2020 Metadata'!$A$4:$S$214,MATCH("Site type",'2007-2020 Metadata'!$A$4:$S$4,0),FALSE)</f>
        <v>SH</v>
      </c>
      <c r="AG15" s="258">
        <f>MIN(AVERAGE(D$15:D$17),AVERAGE(E$15:E$17),AVERAGE(F$15:F$17),AVERAGE(G$15:G$17),AVERAGE(H$15:H$17),AVERAGE(I$15:I$17),AVERAGE(J$15:J$17),AVERAGE(K$15:K$17),AVERAGE(L$15:L$17),AVERAGE(M$15:M$17),AVERAGE(N$15:N$17),AVERAGE(O$15:O$17))</f>
        <v>16.05</v>
      </c>
      <c r="AH15" s="258">
        <f>MAX(AVERAGE(D$15:D$17),AVERAGE(E$15:E$17),AVERAGE(F$15:F$17),AVERAGE(G$15:G$17),AVERAGE(H$15:H$17),AVERAGE(I$15:I$17),AVERAGE(J$15:J$17),AVERAGE(K$15:K$17),AVERAGE(L$15:L$17),AVERAGE(M$15:M$17),AVERAGE(N$15:N$17),AVERAGE(O$15:O$17))</f>
        <v>43.166666666666664</v>
      </c>
      <c r="AI15" s="177">
        <f t="shared" si="13"/>
        <v>30.57721590909091</v>
      </c>
      <c r="AJ15" s="274"/>
    </row>
    <row r="16" spans="1:36" ht="12" customHeight="1" x14ac:dyDescent="0.15">
      <c r="B16" s="11" t="s">
        <v>11</v>
      </c>
      <c r="C16" s="58">
        <f>IF(ISERROR(VLOOKUP($B16,'Monthly Summary 2008'!$B$7:$U$62,14,FALSE)&gt;0),"",VLOOKUP($B16,'Monthly Summary 2008'!$B$7:$U$62,14,FALSE))</f>
        <v>14.1</v>
      </c>
      <c r="D16" s="12">
        <v>18.8</v>
      </c>
      <c r="E16" s="62">
        <v>14.3</v>
      </c>
      <c r="F16" s="62">
        <v>26.2</v>
      </c>
      <c r="G16" s="62">
        <v>35.1</v>
      </c>
      <c r="H16" s="62">
        <v>40.9</v>
      </c>
      <c r="I16" s="62">
        <v>35.9</v>
      </c>
      <c r="J16" s="62">
        <v>45.3</v>
      </c>
      <c r="K16" s="62">
        <v>32.1</v>
      </c>
      <c r="L16" s="62">
        <v>28.2</v>
      </c>
      <c r="M16" s="62">
        <v>34.1</v>
      </c>
      <c r="N16" s="62">
        <v>24.6</v>
      </c>
      <c r="O16" s="62">
        <v>17.2</v>
      </c>
      <c r="P16" s="63">
        <f t="shared" si="4"/>
        <v>29.391666666666669</v>
      </c>
      <c r="Q16" s="38">
        <f t="shared" si="0"/>
        <v>1</v>
      </c>
      <c r="R16" s="260">
        <f t="shared" si="5"/>
        <v>19.766666666666666</v>
      </c>
      <c r="S16" s="264">
        <f t="shared" si="6"/>
        <v>1</v>
      </c>
      <c r="T16" s="260">
        <f t="shared" si="7"/>
        <v>35.200000000000003</v>
      </c>
      <c r="U16" s="261">
        <f t="shared" si="8"/>
        <v>1</v>
      </c>
      <c r="V16" s="262">
        <f t="shared" si="9"/>
        <v>29.391666666666669</v>
      </c>
      <c r="W16" s="261">
        <f t="shared" si="10"/>
        <v>1</v>
      </c>
      <c r="X16" s="177">
        <f t="shared" si="1"/>
        <v>22.483333333333334</v>
      </c>
      <c r="Y16" s="177">
        <f t="shared" si="2"/>
        <v>34.097619047619048</v>
      </c>
      <c r="Z16" s="177">
        <f t="shared" si="3"/>
        <v>30.57721590909091</v>
      </c>
      <c r="AA16" s="10"/>
      <c r="AB16" s="357" t="str">
        <f>VLOOKUP($B16,'2007-2020 Metadata'!$A$4:$S$214,MATCH("Urban Area /Monitoring Zone",'2007-2020 Metadata'!$A$4:$S$4,0),FALSE)</f>
        <v>Auckland - Central</v>
      </c>
      <c r="AC16" s="259" t="str">
        <f>VLOOKUP(B16,'2007-2020 Metadata'!$A$6:$A$214,1,FALSE)</f>
        <v>AUC014</v>
      </c>
      <c r="AD16" s="256" t="str">
        <f>VLOOKUP($AC16,'2007-2020 Metadata'!$A$6:$S$214,9,FALSE)</f>
        <v>Auckland</v>
      </c>
      <c r="AE16" s="263">
        <f>IF(ISBLANK(VLOOKUP($AC16,'2007-2020 Metadata'!$A$6:$S$214,19,FALSE)),"",VLOOKUP($AC16,'2007-2020 Metadata'!$A$6:$S$214,19,FALSE))</f>
        <v>4</v>
      </c>
      <c r="AF16" s="257" t="str">
        <f>VLOOKUP($B16,'2007-2020 Metadata'!$A$4:$S$214,MATCH("Site type",'2007-2020 Metadata'!$A$4:$S$4,0),FALSE)</f>
        <v>SH</v>
      </c>
      <c r="AG16" s="258">
        <f>MIN(AVERAGE(D$15:D$17),AVERAGE(E$15:E$17),AVERAGE(F$15:F$17),AVERAGE(G$15:G$17),AVERAGE(H$15:H$17),AVERAGE(I$15:I$17),AVERAGE(J$15:J$17),AVERAGE(K$15:K$17),AVERAGE(L$15:L$17),AVERAGE(M$15:M$17),AVERAGE(N$15:N$17),AVERAGE(O$15:O$17))</f>
        <v>16.05</v>
      </c>
      <c r="AH16" s="258">
        <f t="shared" ref="AH16:AH17" si="14">MAX(AVERAGE(D$15:D$17),AVERAGE(E$15:E$17),AVERAGE(F$15:F$17),AVERAGE(G$15:G$17),AVERAGE(H$15:H$17),AVERAGE(I$15:I$17),AVERAGE(J$15:J$17),AVERAGE(K$15:K$17),AVERAGE(L$15:L$17),AVERAGE(M$15:M$17),AVERAGE(N$15:N$17),AVERAGE(O$15:O$17))</f>
        <v>43.166666666666664</v>
      </c>
      <c r="AI16" s="177">
        <f t="shared" si="13"/>
        <v>30.57721590909091</v>
      </c>
      <c r="AJ16" s="274"/>
    </row>
    <row r="17" spans="1:36" ht="12" customHeight="1" x14ac:dyDescent="0.15">
      <c r="B17" s="11" t="s">
        <v>12</v>
      </c>
      <c r="C17" s="58">
        <f>IF(ISERROR(VLOOKUP($B17,'Monthly Summary 2008'!$B$7:$U$62,14,FALSE)&gt;0),"",VLOOKUP($B17,'Monthly Summary 2008'!$B$7:$U$62,14,FALSE))</f>
        <v>12.7</v>
      </c>
      <c r="D17" s="12">
        <v>19</v>
      </c>
      <c r="E17" s="62">
        <v>17.8</v>
      </c>
      <c r="F17" s="62">
        <v>25.7</v>
      </c>
      <c r="G17" s="62">
        <v>35.6</v>
      </c>
      <c r="H17" s="62">
        <v>36.9</v>
      </c>
      <c r="I17" s="62">
        <v>40.200000000000003</v>
      </c>
      <c r="J17" s="62">
        <v>39.299999999999997</v>
      </c>
      <c r="K17" s="62">
        <v>29.3</v>
      </c>
      <c r="L17" s="62">
        <v>30.1</v>
      </c>
      <c r="M17" s="62">
        <v>26.5</v>
      </c>
      <c r="N17" s="62">
        <v>29.6</v>
      </c>
      <c r="O17" s="62">
        <v>17</v>
      </c>
      <c r="P17" s="63">
        <f t="shared" si="4"/>
        <v>28.916666666666671</v>
      </c>
      <c r="Q17" s="38">
        <f t="shared" si="0"/>
        <v>1</v>
      </c>
      <c r="R17" s="260">
        <f t="shared" si="5"/>
        <v>20.833333333333332</v>
      </c>
      <c r="S17" s="264">
        <f t="shared" si="6"/>
        <v>1</v>
      </c>
      <c r="T17" s="260">
        <f t="shared" si="7"/>
        <v>32.9</v>
      </c>
      <c r="U17" s="261">
        <f t="shared" si="8"/>
        <v>1</v>
      </c>
      <c r="V17" s="262">
        <f t="shared" si="9"/>
        <v>28.916666666666671</v>
      </c>
      <c r="W17" s="261">
        <f t="shared" si="10"/>
        <v>1</v>
      </c>
      <c r="X17" s="177">
        <f t="shared" si="1"/>
        <v>22.483333333333334</v>
      </c>
      <c r="Y17" s="177">
        <f t="shared" si="2"/>
        <v>34.097619047619048</v>
      </c>
      <c r="Z17" s="177">
        <f t="shared" si="3"/>
        <v>30.57721590909091</v>
      </c>
      <c r="AA17" s="10"/>
      <c r="AB17" s="357" t="str">
        <f>VLOOKUP($B17,'2007-2020 Metadata'!$A$4:$S$214,MATCH("Urban Area /Monitoring Zone",'2007-2020 Metadata'!$A$4:$S$4,0),FALSE)</f>
        <v>Auckland - Central</v>
      </c>
      <c r="AC17" s="259" t="str">
        <f>VLOOKUP(B17,'2007-2020 Metadata'!$A$6:$A$214,1,FALSE)</f>
        <v>AUC015</v>
      </c>
      <c r="AD17" s="256" t="str">
        <f>VLOOKUP($AC17,'2007-2020 Metadata'!$A$6:$S$214,9,FALSE)</f>
        <v>Auckland</v>
      </c>
      <c r="AE17" s="263">
        <f>IF(ISBLANK(VLOOKUP($AC17,'2007-2020 Metadata'!$A$6:$S$214,19,FALSE)),"",VLOOKUP($AC17,'2007-2020 Metadata'!$A$6:$S$214,19,FALSE))</f>
        <v>4</v>
      </c>
      <c r="AF17" s="257" t="str">
        <f>VLOOKUP($B17,'2007-2020 Metadata'!$A$4:$S$214,MATCH("Site type",'2007-2020 Metadata'!$A$4:$S$4,0),FALSE)</f>
        <v>SH</v>
      </c>
      <c r="AG17" s="258">
        <f>MIN(AVERAGE(D$15:D$17),AVERAGE(E$15:E$17),AVERAGE(F$15:F$17),AVERAGE(G$15:G$17),AVERAGE(H$15:H$17),AVERAGE(I$15:I$17),AVERAGE(J$15:J$17),AVERAGE(K$15:K$17),AVERAGE(L$15:L$17),AVERAGE(M$15:M$17),AVERAGE(N$15:N$17),AVERAGE(O$15:O$17))</f>
        <v>16.05</v>
      </c>
      <c r="AH17" s="258">
        <f t="shared" si="14"/>
        <v>43.166666666666664</v>
      </c>
      <c r="AI17" s="177">
        <f t="shared" si="13"/>
        <v>30.57721590909091</v>
      </c>
      <c r="AJ17" s="274"/>
    </row>
    <row r="18" spans="1:36" ht="12" customHeight="1" x14ac:dyDescent="0.15">
      <c r="B18" s="11" t="s">
        <v>13</v>
      </c>
      <c r="C18" s="58">
        <f>IF(ISERROR(VLOOKUP($B18,'Monthly Summary 2008'!$B$7:$U$62,14,FALSE)&gt;0),"",VLOOKUP($B18,'Monthly Summary 2008'!$B$7:$U$62,14,FALSE))</f>
        <v>20.2</v>
      </c>
      <c r="D18" s="12">
        <v>25.5</v>
      </c>
      <c r="E18" s="62">
        <v>19.899999999999999</v>
      </c>
      <c r="F18" s="62"/>
      <c r="G18" s="62">
        <v>26.8</v>
      </c>
      <c r="H18" s="62">
        <v>49.7</v>
      </c>
      <c r="I18" s="62">
        <v>35.6</v>
      </c>
      <c r="J18" s="62">
        <v>42.5</v>
      </c>
      <c r="K18" s="62">
        <v>21.2</v>
      </c>
      <c r="L18" s="62">
        <v>32.700000000000003</v>
      </c>
      <c r="M18" s="62"/>
      <c r="N18" s="62">
        <v>31.8</v>
      </c>
      <c r="O18" s="62">
        <v>20.9</v>
      </c>
      <c r="P18" s="63">
        <f t="shared" si="4"/>
        <v>30.659999999999997</v>
      </c>
      <c r="Q18" s="38">
        <f t="shared" si="0"/>
        <v>0.83333333333333337</v>
      </c>
      <c r="R18" s="140">
        <f t="shared" si="5"/>
        <v>22.7</v>
      </c>
      <c r="S18" s="24">
        <f t="shared" si="6"/>
        <v>0.66666666666666663</v>
      </c>
      <c r="T18" s="140">
        <f t="shared" si="7"/>
        <v>32.133333333333333</v>
      </c>
      <c r="U18" s="150">
        <f t="shared" si="8"/>
        <v>1</v>
      </c>
      <c r="V18" s="141">
        <f t="shared" si="9"/>
        <v>30.659999999999997</v>
      </c>
      <c r="W18" s="142">
        <f t="shared" si="10"/>
        <v>0.83333333333333337</v>
      </c>
      <c r="X18" s="144">
        <f t="shared" si="1"/>
        <v>17.188888888888886</v>
      </c>
      <c r="Y18" s="144">
        <f t="shared" si="2"/>
        <v>28.003703703703703</v>
      </c>
      <c r="Z18" s="144">
        <f t="shared" si="3"/>
        <v>22.433888888888891</v>
      </c>
      <c r="AA18" s="10"/>
      <c r="AB18" s="357" t="str">
        <f>VLOOKUP($B18,'2007-2020 Metadata'!$A$4:$S$214,MATCH("Urban Area /Monitoring Zone",'2007-2020 Metadata'!$A$4:$S$4,0),FALSE)</f>
        <v xml:space="preserve">Auckland - Southern </v>
      </c>
      <c r="AC18" s="87" t="str">
        <f>VLOOKUP(B18,'2007-2020 Metadata'!$A$6:$A$214,1,FALSE)</f>
        <v>AUC018</v>
      </c>
      <c r="AD18" s="230" t="str">
        <f>VLOOKUP($AC18,'2007-2020 Metadata'!$A$6:$S$214,9,FALSE)</f>
        <v>Manukau</v>
      </c>
      <c r="AE18" s="248">
        <f>IF(ISBLANK(VLOOKUP($AC18,'2007-2020 Metadata'!$A$6:$S$214,19,FALSE)),"",VLOOKUP($AC18,'2007-2020 Metadata'!$A$6:$S$214,19,FALSE))</f>
        <v>3</v>
      </c>
      <c r="AF18" s="88" t="str">
        <f>VLOOKUP($B18,'2007-2020 Metadata'!$A$4:$S$214,MATCH("Site type",'2007-2020 Metadata'!$A$4:$S$4,0),FALSE)</f>
        <v>SH</v>
      </c>
      <c r="AG18" s="143">
        <f t="shared" si="11"/>
        <v>19.899999999999999</v>
      </c>
      <c r="AH18" s="143">
        <f t="shared" si="12"/>
        <v>49.7</v>
      </c>
      <c r="AI18" s="144">
        <f t="shared" si="13"/>
        <v>22.433888888888891</v>
      </c>
    </row>
    <row r="19" spans="1:36" ht="12" customHeight="1" x14ac:dyDescent="0.15">
      <c r="B19" s="11" t="s">
        <v>14</v>
      </c>
      <c r="C19" s="58">
        <f>IF(ISERROR(VLOOKUP($B19,'Monthly Summary 2008'!$B$7:$U$62,14,FALSE)&gt;0),"",VLOOKUP($B19,'Monthly Summary 2008'!$B$7:$U$62,14,FALSE))</f>
        <v>13.5</v>
      </c>
      <c r="D19" s="12">
        <v>10.7</v>
      </c>
      <c r="E19" s="62">
        <v>17.899999999999999</v>
      </c>
      <c r="F19" s="62">
        <v>18.100000000000001</v>
      </c>
      <c r="G19" s="62">
        <v>27.1</v>
      </c>
      <c r="H19" s="62">
        <v>25.7</v>
      </c>
      <c r="I19" s="62">
        <v>30.8</v>
      </c>
      <c r="J19" s="62">
        <v>26.4</v>
      </c>
      <c r="K19" s="62">
        <v>20.399999999999999</v>
      </c>
      <c r="L19" s="62">
        <v>21.5</v>
      </c>
      <c r="M19" s="62">
        <v>13.8</v>
      </c>
      <c r="N19" s="62">
        <v>14.4</v>
      </c>
      <c r="O19" s="62">
        <v>8.6</v>
      </c>
      <c r="P19" s="63">
        <f t="shared" si="4"/>
        <v>19.616666666666671</v>
      </c>
      <c r="Q19" s="38">
        <f t="shared" si="0"/>
        <v>1</v>
      </c>
      <c r="R19" s="140">
        <f t="shared" si="5"/>
        <v>15.566666666666668</v>
      </c>
      <c r="S19" s="24">
        <f t="shared" si="6"/>
        <v>1</v>
      </c>
      <c r="T19" s="140">
        <f t="shared" si="7"/>
        <v>22.766666666666666</v>
      </c>
      <c r="U19" s="150">
        <f t="shared" si="8"/>
        <v>1</v>
      </c>
      <c r="V19" s="141">
        <f t="shared" si="9"/>
        <v>19.616666666666671</v>
      </c>
      <c r="W19" s="142">
        <f t="shared" si="10"/>
        <v>1</v>
      </c>
      <c r="X19" s="144">
        <f t="shared" si="1"/>
        <v>17.188888888888886</v>
      </c>
      <c r="Y19" s="144">
        <f t="shared" si="2"/>
        <v>28.003703703703703</v>
      </c>
      <c r="Z19" s="144">
        <f t="shared" si="3"/>
        <v>22.433888888888891</v>
      </c>
      <c r="AA19" s="10"/>
      <c r="AB19" s="357" t="str">
        <f>VLOOKUP($B19,'2007-2020 Metadata'!$A$4:$S$214,MATCH("Urban Area /Monitoring Zone",'2007-2020 Metadata'!$A$4:$S$4,0),FALSE)</f>
        <v xml:space="preserve">Auckland - Southern </v>
      </c>
      <c r="AC19" s="87" t="str">
        <f>VLOOKUP(B19,'2007-2020 Metadata'!$A$6:$A$214,1,FALSE)</f>
        <v>AUC019</v>
      </c>
      <c r="AD19" s="230" t="str">
        <f>VLOOKUP($AC19,'2007-2020 Metadata'!$A$6:$S$214,9,FALSE)</f>
        <v>Manukau</v>
      </c>
      <c r="AE19" s="248">
        <f>IF(ISBLANK(VLOOKUP($AC19,'2007-2020 Metadata'!$A$6:$S$214,19,FALSE)),"",VLOOKUP($AC19,'2007-2020 Metadata'!$A$6:$S$214,19,FALSE))</f>
        <v>2</v>
      </c>
      <c r="AF19" s="88" t="str">
        <f>VLOOKUP($B19,'2007-2020 Metadata'!$A$4:$S$214,MATCH("Site type",'2007-2020 Metadata'!$A$4:$S$4,0),FALSE)</f>
        <v>SH</v>
      </c>
      <c r="AG19" s="143">
        <f t="shared" si="11"/>
        <v>8.6</v>
      </c>
      <c r="AH19" s="143">
        <f t="shared" si="12"/>
        <v>30.8</v>
      </c>
      <c r="AI19" s="144">
        <f t="shared" si="13"/>
        <v>22.433888888888891</v>
      </c>
    </row>
    <row r="20" spans="1:36" ht="12" customHeight="1" x14ac:dyDescent="0.15">
      <c r="B20" s="11" t="s">
        <v>993</v>
      </c>
      <c r="C20" s="58">
        <f>IF(ISERROR(VLOOKUP($B20,'Monthly Summary 2008'!$B$7:$U$62,14,FALSE)&gt;0),"",VLOOKUP($B20,'Monthly Summary 2008'!$B$7:$U$62,14,FALSE))</f>
        <v>8.4</v>
      </c>
      <c r="D20" s="12">
        <v>10.9</v>
      </c>
      <c r="E20" s="62">
        <v>13</v>
      </c>
      <c r="F20" s="62">
        <v>14</v>
      </c>
      <c r="G20" s="62">
        <v>15.7</v>
      </c>
      <c r="H20" s="62">
        <v>25.1</v>
      </c>
      <c r="I20" s="62">
        <v>19.399999999999999</v>
      </c>
      <c r="J20" s="62">
        <v>23.9</v>
      </c>
      <c r="K20" s="62">
        <v>12.9</v>
      </c>
      <c r="L20" s="62">
        <v>15.3</v>
      </c>
      <c r="M20" s="62">
        <v>16.600000000000001</v>
      </c>
      <c r="N20" s="62">
        <v>15.9</v>
      </c>
      <c r="O20" s="62">
        <v>7.6</v>
      </c>
      <c r="P20" s="63">
        <f t="shared" si="4"/>
        <v>15.858333333333334</v>
      </c>
      <c r="Q20" s="38">
        <f t="shared" si="0"/>
        <v>1</v>
      </c>
      <c r="R20" s="140">
        <f t="shared" si="5"/>
        <v>12.633333333333333</v>
      </c>
      <c r="S20" s="24">
        <f t="shared" si="6"/>
        <v>1</v>
      </c>
      <c r="T20" s="140">
        <f t="shared" si="7"/>
        <v>17.366666666666664</v>
      </c>
      <c r="U20" s="150">
        <f t="shared" si="8"/>
        <v>1</v>
      </c>
      <c r="V20" s="141">
        <f t="shared" si="9"/>
        <v>15.858333333333334</v>
      </c>
      <c r="W20" s="142">
        <f t="shared" si="10"/>
        <v>1</v>
      </c>
      <c r="X20" s="144">
        <f t="shared" si="1"/>
        <v>12.633333333333333</v>
      </c>
      <c r="Y20" s="144">
        <f t="shared" si="2"/>
        <v>17.366666666666664</v>
      </c>
      <c r="Z20" s="144">
        <f t="shared" si="3"/>
        <v>15.858333333333334</v>
      </c>
      <c r="AA20" s="10"/>
      <c r="AB20" s="357">
        <f>VLOOKUP($B20,'2007-2020 Metadata'!$A$4:$S$214,MATCH("Urban Area /Monitoring Zone",'2007-2020 Metadata'!$A$4:$S$4,0),FALSE)</f>
        <v>0</v>
      </c>
      <c r="AC20" s="87" t="str">
        <f>VLOOKUP(B20,'2007-2020 Metadata'!$A$6:$A$214,1,FALSE)</f>
        <v>AUC020a</v>
      </c>
      <c r="AD20" s="230">
        <f>VLOOKUP($AC20,'2007-2020 Metadata'!$A$6:$S$214,9,FALSE)</f>
        <v>0</v>
      </c>
      <c r="AE20" s="248" t="str">
        <f>IF(ISBLANK(VLOOKUP($AC20,'2007-2020 Metadata'!$A$6:$S$214,19,FALSE)),"",VLOOKUP($AC20,'2007-2020 Metadata'!$A$6:$S$214,19,FALSE))</f>
        <v/>
      </c>
      <c r="AF20" s="88" t="str">
        <f>VLOOKUP($B20,'2007-2020 Metadata'!$A$4:$S$214,MATCH("Site type",'2007-2020 Metadata'!$A$4:$S$4,0),FALSE)</f>
        <v>SH</v>
      </c>
      <c r="AG20" s="143">
        <f t="shared" si="11"/>
        <v>7.6</v>
      </c>
      <c r="AH20" s="143">
        <f t="shared" si="12"/>
        <v>25.1</v>
      </c>
      <c r="AI20" s="144">
        <f t="shared" si="13"/>
        <v>15.858333333333334</v>
      </c>
    </row>
    <row r="21" spans="1:36" ht="12" customHeight="1" x14ac:dyDescent="0.15">
      <c r="B21" s="11" t="s">
        <v>16</v>
      </c>
      <c r="C21" s="58">
        <f>IF(ISERROR(VLOOKUP($B21,'Monthly Summary 2008'!$B$7:$U$62,14,FALSE)&gt;0),"",VLOOKUP($B21,'Monthly Summary 2008'!$B$7:$U$62,14,FALSE))</f>
        <v>11.4</v>
      </c>
      <c r="D21" s="12">
        <v>9.5</v>
      </c>
      <c r="E21" s="62">
        <v>16.100000000000001</v>
      </c>
      <c r="F21" s="62">
        <v>14.8</v>
      </c>
      <c r="G21" s="62">
        <v>20.7</v>
      </c>
      <c r="H21" s="62">
        <v>21.4</v>
      </c>
      <c r="I21" s="62">
        <v>15.3</v>
      </c>
      <c r="J21" s="62">
        <v>20.8</v>
      </c>
      <c r="K21" s="62">
        <v>22.4</v>
      </c>
      <c r="L21" s="343"/>
      <c r="M21" s="343"/>
      <c r="N21" s="343"/>
      <c r="O21" s="343"/>
      <c r="P21" s="63">
        <f t="shared" si="4"/>
        <v>17.625</v>
      </c>
      <c r="Q21" s="38">
        <f t="shared" si="0"/>
        <v>0.66666666666666663</v>
      </c>
      <c r="R21" s="140">
        <f t="shared" si="5"/>
        <v>13.466666666666669</v>
      </c>
      <c r="S21" s="24">
        <f t="shared" si="6"/>
        <v>1</v>
      </c>
      <c r="T21" s="140">
        <f t="shared" si="7"/>
        <v>21.6</v>
      </c>
      <c r="U21" s="150">
        <f t="shared" si="8"/>
        <v>0.66666666666666663</v>
      </c>
      <c r="V21" s="141" t="str">
        <f t="shared" si="9"/>
        <v>-</v>
      </c>
      <c r="W21" s="142">
        <f t="shared" si="10"/>
        <v>0.66666666666666663</v>
      </c>
      <c r="X21" s="144">
        <f t="shared" si="1"/>
        <v>22.483333333333334</v>
      </c>
      <c r="Y21" s="144">
        <f t="shared" si="2"/>
        <v>34.097619047619048</v>
      </c>
      <c r="Z21" s="144">
        <f t="shared" si="3"/>
        <v>30.57721590909091</v>
      </c>
      <c r="AA21" s="10"/>
      <c r="AB21" s="357" t="str">
        <f>VLOOKUP($B21,'2007-2020 Metadata'!$A$4:$S$214,MATCH("Urban Area /Monitoring Zone",'2007-2020 Metadata'!$A$4:$S$4,0),FALSE)</f>
        <v>Auckland - Central</v>
      </c>
      <c r="AC21" s="87" t="str">
        <f>VLOOKUP(B21,'2007-2020 Metadata'!$A$6:$A$214,1,FALSE)</f>
        <v>AUC021</v>
      </c>
      <c r="AD21" s="230" t="str">
        <f>VLOOKUP($AC21,'2007-2020 Metadata'!$A$6:$S$214,9,FALSE)</f>
        <v>Auckland</v>
      </c>
      <c r="AE21" s="248">
        <f>IF(ISBLANK(VLOOKUP($AC21,'2007-2020 Metadata'!$A$6:$S$214,19,FALSE)),"",VLOOKUP($AC21,'2007-2020 Metadata'!$A$6:$S$214,19,FALSE))</f>
        <v>3</v>
      </c>
      <c r="AF21" s="88" t="str">
        <f>VLOOKUP($B21,'2007-2020 Metadata'!$A$4:$S$214,MATCH("Site type",'2007-2020 Metadata'!$A$4:$S$4,0),FALSE)</f>
        <v>Background</v>
      </c>
      <c r="AG21" s="143">
        <f t="shared" si="11"/>
        <v>9.5</v>
      </c>
      <c r="AH21" s="143">
        <f t="shared" si="12"/>
        <v>22.4</v>
      </c>
      <c r="AI21" s="144" t="str">
        <f t="shared" si="13"/>
        <v xml:space="preserve"> </v>
      </c>
    </row>
    <row r="22" spans="1:36" ht="12" customHeight="1" x14ac:dyDescent="0.15">
      <c r="B22" s="11" t="s">
        <v>994</v>
      </c>
      <c r="C22" s="58"/>
      <c r="D22" s="342"/>
      <c r="E22" s="343"/>
      <c r="F22" s="343"/>
      <c r="G22" s="343"/>
      <c r="H22" s="343"/>
      <c r="I22" s="343"/>
      <c r="J22" s="343"/>
      <c r="K22" s="343"/>
      <c r="L22" s="62">
        <v>18.100000000000001</v>
      </c>
      <c r="M22" s="62">
        <v>11.9</v>
      </c>
      <c r="N22" s="62">
        <v>11.4</v>
      </c>
      <c r="O22" s="62">
        <v>6.9</v>
      </c>
      <c r="P22" s="63">
        <f t="shared" ref="P22" si="15">AVERAGE(D22:O22)</f>
        <v>12.074999999999999</v>
      </c>
      <c r="Q22" s="38">
        <f t="shared" ref="Q22" si="16">COUNT(D22:O22)/COUNT($D$6:$O$6)</f>
        <v>0.33333333333333331</v>
      </c>
      <c r="R22" s="140" t="str">
        <f t="shared" si="5"/>
        <v/>
      </c>
      <c r="S22" s="24">
        <f t="shared" ref="S22" si="17">COUNT(D22:F22)/3</f>
        <v>0</v>
      </c>
      <c r="T22" s="140" t="str">
        <f t="shared" si="7"/>
        <v>-</v>
      </c>
      <c r="U22" s="150">
        <f t="shared" ref="U22" si="18">COUNT(J22:L22)/3</f>
        <v>0.33333333333333331</v>
      </c>
      <c r="V22" s="141" t="str">
        <f t="shared" si="9"/>
        <v>-</v>
      </c>
      <c r="W22" s="142">
        <f t="shared" ref="W22" si="19">Q22</f>
        <v>0.33333333333333331</v>
      </c>
      <c r="X22" s="144" t="str">
        <f t="shared" si="1"/>
        <v/>
      </c>
      <c r="Y22" s="144" t="str">
        <f t="shared" si="2"/>
        <v>-</v>
      </c>
      <c r="Z22" s="144" t="str">
        <f t="shared" si="3"/>
        <v>-</v>
      </c>
      <c r="AA22" s="10"/>
      <c r="AB22" s="357">
        <f>VLOOKUP($B22,'2007-2020 Metadata'!$A$4:$S$214,MATCH("Urban Area /Monitoring Zone",'2007-2020 Metadata'!$A$4:$S$4,0),FALSE)</f>
        <v>0</v>
      </c>
      <c r="AC22" s="87" t="str">
        <f>VLOOKUP(B22,'2007-2020 Metadata'!$A$6:$A$214,1,FALSE)</f>
        <v>AUC021a</v>
      </c>
      <c r="AD22" s="230">
        <f>VLOOKUP($AC22,'2007-2020 Metadata'!$A$6:$S$214,9,FALSE)</f>
        <v>0</v>
      </c>
      <c r="AE22" s="248" t="str">
        <f>IF(ISBLANK(VLOOKUP($AC22,'2007-2020 Metadata'!$A$6:$S$214,19,FALSE)),"",VLOOKUP($AC22,'2007-2020 Metadata'!$A$6:$S$214,19,FALSE))</f>
        <v/>
      </c>
      <c r="AF22" s="88" t="str">
        <f>VLOOKUP($B22,'2007-2020 Metadata'!$A$4:$S$214,MATCH("Site type",'2007-2020 Metadata'!$A$4:$S$4,0),FALSE)</f>
        <v>Background</v>
      </c>
      <c r="AG22" s="143">
        <f t="shared" si="11"/>
        <v>6.9</v>
      </c>
      <c r="AH22" s="143">
        <f t="shared" si="12"/>
        <v>18.100000000000001</v>
      </c>
      <c r="AI22" s="144" t="str">
        <f t="shared" si="13"/>
        <v xml:space="preserve"> </v>
      </c>
    </row>
    <row r="23" spans="1:36" ht="12" customHeight="1" x14ac:dyDescent="0.15">
      <c r="B23" s="11" t="s">
        <v>17</v>
      </c>
      <c r="C23" s="58">
        <f>IF(ISERROR(VLOOKUP($B23,'Monthly Summary 2008'!$B$7:$U$62,14,FALSE)&gt;0),"",VLOOKUP($B23,'Monthly Summary 2008'!$B$7:$U$62,14,FALSE))</f>
        <v>23.8</v>
      </c>
      <c r="D23" s="12">
        <v>23.3</v>
      </c>
      <c r="E23" s="62">
        <v>25.4</v>
      </c>
      <c r="F23" s="62">
        <v>32.299999999999997</v>
      </c>
      <c r="G23" s="62">
        <v>35.5</v>
      </c>
      <c r="H23" s="62">
        <v>34.9</v>
      </c>
      <c r="I23" s="62">
        <v>42.5</v>
      </c>
      <c r="J23" s="62">
        <v>41.5</v>
      </c>
      <c r="K23" s="62">
        <v>38.299999999999997</v>
      </c>
      <c r="L23" s="62">
        <v>33.6</v>
      </c>
      <c r="M23" s="62">
        <v>30</v>
      </c>
      <c r="N23" s="62">
        <v>28.1</v>
      </c>
      <c r="O23" s="62">
        <v>14.1</v>
      </c>
      <c r="P23" s="63">
        <f t="shared" si="4"/>
        <v>31.625000000000004</v>
      </c>
      <c r="Q23" s="38">
        <f t="shared" si="0"/>
        <v>1</v>
      </c>
      <c r="R23" s="140">
        <f t="shared" si="5"/>
        <v>27</v>
      </c>
      <c r="S23" s="24">
        <f t="shared" si="6"/>
        <v>1</v>
      </c>
      <c r="T23" s="140">
        <f t="shared" si="7"/>
        <v>37.800000000000004</v>
      </c>
      <c r="U23" s="150">
        <f t="shared" si="8"/>
        <v>1</v>
      </c>
      <c r="V23" s="141">
        <f t="shared" si="9"/>
        <v>31.625000000000004</v>
      </c>
      <c r="W23" s="142">
        <f t="shared" si="10"/>
        <v>1</v>
      </c>
      <c r="X23" s="144">
        <f t="shared" si="1"/>
        <v>22.483333333333334</v>
      </c>
      <c r="Y23" s="144">
        <f t="shared" si="2"/>
        <v>34.097619047619048</v>
      </c>
      <c r="Z23" s="144">
        <f t="shared" si="3"/>
        <v>30.57721590909091</v>
      </c>
      <c r="AA23" s="10"/>
      <c r="AB23" s="357" t="str">
        <f>VLOOKUP($B23,'2007-2020 Metadata'!$A$4:$S$214,MATCH("Urban Area /Monitoring Zone",'2007-2020 Metadata'!$A$4:$S$4,0),FALSE)</f>
        <v>Auckland - Central</v>
      </c>
      <c r="AC23" s="87" t="str">
        <f>VLOOKUP(B23,'2007-2020 Metadata'!$A$6:$A$214,1,FALSE)</f>
        <v>AUC022</v>
      </c>
      <c r="AD23" s="230" t="str">
        <f>VLOOKUP($AC23,'2007-2020 Metadata'!$A$6:$S$214,9,FALSE)</f>
        <v>Auckland</v>
      </c>
      <c r="AE23" s="248">
        <f>IF(ISBLANK(VLOOKUP($AC23,'2007-2020 Metadata'!$A$6:$S$214,19,FALSE)),"",VLOOKUP($AC23,'2007-2020 Metadata'!$A$6:$S$214,19,FALSE))</f>
        <v>3</v>
      </c>
      <c r="AF23" s="88" t="str">
        <f>VLOOKUP($B23,'2007-2020 Metadata'!$A$4:$S$214,MATCH("Site type",'2007-2020 Metadata'!$A$4:$S$4,0),FALSE)</f>
        <v>SH</v>
      </c>
      <c r="AG23" s="143">
        <f t="shared" si="11"/>
        <v>14.1</v>
      </c>
      <c r="AH23" s="143">
        <f t="shared" si="12"/>
        <v>42.5</v>
      </c>
      <c r="AI23" s="144">
        <f t="shared" si="13"/>
        <v>30.57721590909091</v>
      </c>
    </row>
    <row r="24" spans="1:36" ht="12" customHeight="1" x14ac:dyDescent="0.15">
      <c r="B24" s="11" t="s">
        <v>18</v>
      </c>
      <c r="C24" s="58">
        <f>IF(ISERROR(VLOOKUP($B24,'Monthly Summary 2008'!$B$7:$U$62,14,FALSE)&gt;0),"",VLOOKUP($B24,'Monthly Summary 2008'!$B$7:$U$62,14,FALSE))</f>
        <v>9.1999999999999993</v>
      </c>
      <c r="D24" s="12">
        <v>9</v>
      </c>
      <c r="E24" s="62">
        <v>12.6</v>
      </c>
      <c r="F24" s="62">
        <v>12.2</v>
      </c>
      <c r="G24" s="62">
        <v>17.2</v>
      </c>
      <c r="H24" s="62">
        <v>22.2</v>
      </c>
      <c r="I24" s="62">
        <v>32.1</v>
      </c>
      <c r="J24" s="62">
        <v>22.3</v>
      </c>
      <c r="K24" s="62">
        <v>22.5</v>
      </c>
      <c r="L24" s="62">
        <v>18.899999999999999</v>
      </c>
      <c r="M24" s="62">
        <v>15.4</v>
      </c>
      <c r="N24" s="62">
        <v>11.5</v>
      </c>
      <c r="O24" s="62">
        <v>8.6999999999999993</v>
      </c>
      <c r="P24" s="63">
        <f t="shared" si="4"/>
        <v>17.05</v>
      </c>
      <c r="Q24" s="38">
        <f t="shared" si="0"/>
        <v>1</v>
      </c>
      <c r="R24" s="140">
        <f t="shared" si="5"/>
        <v>11.266666666666666</v>
      </c>
      <c r="S24" s="24">
        <f t="shared" si="6"/>
        <v>1</v>
      </c>
      <c r="T24" s="140">
        <f t="shared" si="7"/>
        <v>21.233333333333331</v>
      </c>
      <c r="U24" s="150">
        <f t="shared" si="8"/>
        <v>1</v>
      </c>
      <c r="V24" s="141">
        <f t="shared" si="9"/>
        <v>17.05</v>
      </c>
      <c r="W24" s="142">
        <f t="shared" si="10"/>
        <v>1</v>
      </c>
      <c r="X24" s="144">
        <f t="shared" si="1"/>
        <v>22.483333333333334</v>
      </c>
      <c r="Y24" s="144">
        <f t="shared" si="2"/>
        <v>34.097619047619048</v>
      </c>
      <c r="Z24" s="144">
        <f t="shared" si="3"/>
        <v>30.57721590909091</v>
      </c>
      <c r="AA24" s="10"/>
      <c r="AB24" s="357" t="str">
        <f>VLOOKUP($B24,'2007-2020 Metadata'!$A$4:$S$214,MATCH("Urban Area /Monitoring Zone",'2007-2020 Metadata'!$A$4:$S$4,0),FALSE)</f>
        <v>Auckland - Central</v>
      </c>
      <c r="AC24" s="87" t="str">
        <f>VLOOKUP(B24,'2007-2020 Metadata'!$A$6:$A$214,1,FALSE)</f>
        <v>AUC025</v>
      </c>
      <c r="AD24" s="230" t="str">
        <f>VLOOKUP($AC24,'2007-2020 Metadata'!$A$6:$S$214,9,FALSE)</f>
        <v>Auckland</v>
      </c>
      <c r="AE24" s="248">
        <f>IF(ISBLANK(VLOOKUP($AC24,'2007-2020 Metadata'!$A$6:$S$214,19,FALSE)),"",VLOOKUP($AC24,'2007-2020 Metadata'!$A$6:$S$214,19,FALSE))</f>
        <v>3</v>
      </c>
      <c r="AF24" s="88" t="str">
        <f>VLOOKUP($B24,'2007-2020 Metadata'!$A$4:$S$214,MATCH("Site type",'2007-2020 Metadata'!$A$4:$S$4,0),FALSE)</f>
        <v>SH</v>
      </c>
      <c r="AG24" s="143">
        <f t="shared" si="11"/>
        <v>8.6999999999999993</v>
      </c>
      <c r="AH24" s="143">
        <f t="shared" si="12"/>
        <v>32.1</v>
      </c>
      <c r="AI24" s="144">
        <f t="shared" si="13"/>
        <v>30.57721590909091</v>
      </c>
    </row>
    <row r="25" spans="1:36" ht="12" customHeight="1" x14ac:dyDescent="0.15">
      <c r="B25" s="11" t="s">
        <v>19</v>
      </c>
      <c r="C25" s="58">
        <f>IF(ISERROR(VLOOKUP($B25,'Monthly Summary 2008'!$B$7:$U$62,14,FALSE)&gt;0),"",VLOOKUP($B25,'Monthly Summary 2008'!$B$7:$U$62,14,FALSE))</f>
        <v>13</v>
      </c>
      <c r="D25" s="12">
        <v>9.5</v>
      </c>
      <c r="E25" s="62">
        <v>16.2</v>
      </c>
      <c r="F25" s="62">
        <v>14.2</v>
      </c>
      <c r="G25" s="62">
        <v>25</v>
      </c>
      <c r="H25" s="62">
        <v>21.2</v>
      </c>
      <c r="I25" s="62">
        <v>29.4</v>
      </c>
      <c r="J25" s="62">
        <v>21.8</v>
      </c>
      <c r="K25" s="62">
        <v>21.4</v>
      </c>
      <c r="L25" s="62">
        <v>20.2</v>
      </c>
      <c r="M25" s="62">
        <v>10.6</v>
      </c>
      <c r="N25" s="62">
        <v>8.1999999999999993</v>
      </c>
      <c r="O25" s="62">
        <v>6.6</v>
      </c>
      <c r="P25" s="63">
        <f t="shared" si="4"/>
        <v>17.024999999999999</v>
      </c>
      <c r="Q25" s="38">
        <f t="shared" si="0"/>
        <v>1</v>
      </c>
      <c r="R25" s="140">
        <f t="shared" si="5"/>
        <v>13.299999999999999</v>
      </c>
      <c r="S25" s="24">
        <f t="shared" si="6"/>
        <v>1</v>
      </c>
      <c r="T25" s="140">
        <f t="shared" si="7"/>
        <v>21.133333333333336</v>
      </c>
      <c r="U25" s="150">
        <f t="shared" si="8"/>
        <v>1</v>
      </c>
      <c r="V25" s="141">
        <f t="shared" si="9"/>
        <v>17.024999999999999</v>
      </c>
      <c r="W25" s="142">
        <f t="shared" si="10"/>
        <v>1</v>
      </c>
      <c r="X25" s="144">
        <f t="shared" si="1"/>
        <v>17.188888888888886</v>
      </c>
      <c r="Y25" s="144">
        <f t="shared" si="2"/>
        <v>28.003703703703703</v>
      </c>
      <c r="Z25" s="144">
        <f t="shared" si="3"/>
        <v>22.433888888888891</v>
      </c>
      <c r="AA25" s="10"/>
      <c r="AB25" s="357" t="str">
        <f>VLOOKUP($B25,'2007-2020 Metadata'!$A$4:$S$214,MATCH("Urban Area /Monitoring Zone",'2007-2020 Metadata'!$A$4:$S$4,0),FALSE)</f>
        <v xml:space="preserve">Auckland - Southern </v>
      </c>
      <c r="AC25" s="87" t="str">
        <f>VLOOKUP(B25,'2007-2020 Metadata'!$A$6:$A$214,1,FALSE)</f>
        <v>AUC026</v>
      </c>
      <c r="AD25" s="230" t="str">
        <f>VLOOKUP($AC25,'2007-2020 Metadata'!$A$6:$S$214,9,FALSE)</f>
        <v>Manukau</v>
      </c>
      <c r="AE25" s="248">
        <f>IF(ISBLANK(VLOOKUP($AC25,'2007-2020 Metadata'!$A$6:$S$214,19,FALSE)),"",VLOOKUP($AC25,'2007-2020 Metadata'!$A$6:$S$214,19,FALSE))</f>
        <v>3</v>
      </c>
      <c r="AF25" s="88" t="str">
        <f>VLOOKUP($B25,'2007-2020 Metadata'!$A$4:$S$214,MATCH("Site type",'2007-2020 Metadata'!$A$4:$S$4,0),FALSE)</f>
        <v>SH</v>
      </c>
      <c r="AG25" s="143">
        <f t="shared" si="11"/>
        <v>6.6</v>
      </c>
      <c r="AH25" s="143">
        <f t="shared" si="12"/>
        <v>29.4</v>
      </c>
      <c r="AI25" s="144">
        <f t="shared" si="13"/>
        <v>22.433888888888891</v>
      </c>
    </row>
    <row r="26" spans="1:36" ht="12" customHeight="1" x14ac:dyDescent="0.15">
      <c r="B26" s="11" t="s">
        <v>998</v>
      </c>
      <c r="C26" s="58">
        <f>IF(ISERROR(VLOOKUP($B26,'Monthly Summary 2008'!$B$7:$U$62,14,FALSE)&gt;0),"",VLOOKUP($B26,'Monthly Summary 2008'!$B$7:$U$62,14,FALSE))</f>
        <v>14.8</v>
      </c>
      <c r="D26" s="12">
        <v>17.2</v>
      </c>
      <c r="E26" s="62">
        <v>16.100000000000001</v>
      </c>
      <c r="F26" s="62">
        <v>18</v>
      </c>
      <c r="G26" s="62">
        <v>25.5</v>
      </c>
      <c r="H26" s="62">
        <v>32.299999999999997</v>
      </c>
      <c r="I26" s="62">
        <v>15.3</v>
      </c>
      <c r="J26" s="62">
        <v>39.6</v>
      </c>
      <c r="K26" s="62">
        <v>22.7</v>
      </c>
      <c r="L26" s="62">
        <v>25.7</v>
      </c>
      <c r="M26" s="62">
        <v>19.3</v>
      </c>
      <c r="N26" s="62">
        <v>22.4</v>
      </c>
      <c r="O26" s="62">
        <v>6.4</v>
      </c>
      <c r="P26" s="63">
        <f t="shared" si="4"/>
        <v>21.708333333333332</v>
      </c>
      <c r="Q26" s="38">
        <f t="shared" si="0"/>
        <v>1</v>
      </c>
      <c r="R26" s="140">
        <f t="shared" si="5"/>
        <v>17.099999999999998</v>
      </c>
      <c r="S26" s="24">
        <f t="shared" si="6"/>
        <v>1</v>
      </c>
      <c r="T26" s="140">
        <f t="shared" si="7"/>
        <v>29.333333333333332</v>
      </c>
      <c r="U26" s="150">
        <f t="shared" si="8"/>
        <v>1</v>
      </c>
      <c r="V26" s="141">
        <f t="shared" si="9"/>
        <v>21.708333333333332</v>
      </c>
      <c r="W26" s="142">
        <f t="shared" si="10"/>
        <v>1</v>
      </c>
      <c r="X26" s="144">
        <f t="shared" si="1"/>
        <v>17.099999999999998</v>
      </c>
      <c r="Y26" s="144">
        <f t="shared" si="2"/>
        <v>29.333333333333332</v>
      </c>
      <c r="Z26" s="144">
        <f t="shared" si="3"/>
        <v>21.708333333333332</v>
      </c>
      <c r="AA26" s="10"/>
      <c r="AB26" s="357">
        <f>VLOOKUP($B26,'2007-2020 Metadata'!$A$4:$S$214,MATCH("Urban Area /Monitoring Zone",'2007-2020 Metadata'!$A$4:$S$4,0),FALSE)</f>
        <v>0</v>
      </c>
      <c r="AC26" s="87" t="str">
        <f>VLOOKUP(B26,'2007-2020 Metadata'!$A$6:$A$214,1,FALSE)</f>
        <v>AUC027a</v>
      </c>
      <c r="AD26" s="230">
        <f>VLOOKUP($AC26,'2007-2020 Metadata'!$A$6:$S$214,9,FALSE)</f>
        <v>0</v>
      </c>
      <c r="AE26" s="248" t="str">
        <f>IF(ISBLANK(VLOOKUP($AC26,'2007-2020 Metadata'!$A$6:$S$214,19,FALSE)),"",VLOOKUP($AC26,'2007-2020 Metadata'!$A$6:$S$214,19,FALSE))</f>
        <v/>
      </c>
      <c r="AF26" s="88" t="str">
        <f>VLOOKUP($B26,'2007-2020 Metadata'!$A$4:$S$214,MATCH("Site type",'2007-2020 Metadata'!$A$4:$S$4,0),FALSE)</f>
        <v>SH</v>
      </c>
      <c r="AG26" s="143">
        <f t="shared" si="11"/>
        <v>6.4</v>
      </c>
      <c r="AH26" s="143">
        <f t="shared" si="12"/>
        <v>39.6</v>
      </c>
      <c r="AI26" s="144">
        <f t="shared" si="13"/>
        <v>21.708333333333332</v>
      </c>
    </row>
    <row r="27" spans="1:36" ht="12" customHeight="1" x14ac:dyDescent="0.15">
      <c r="A27" s="178" t="s">
        <v>496</v>
      </c>
      <c r="B27" s="6" t="s">
        <v>59</v>
      </c>
      <c r="C27" s="58" t="str">
        <f>IF(ISERROR(VLOOKUP($B27,'Monthly Summary 2008'!$B$7:$U$62,14,FALSE)&gt;0),"",VLOOKUP($B27,'Monthly Summary 2008'!$B$7:$U$62,14,FALSE))</f>
        <v/>
      </c>
      <c r="D27" s="7"/>
      <c r="E27" s="64"/>
      <c r="F27" s="64"/>
      <c r="G27" s="64"/>
      <c r="H27" s="64"/>
      <c r="I27" s="64">
        <v>3.8</v>
      </c>
      <c r="J27" s="64">
        <v>1.7</v>
      </c>
      <c r="K27" s="64">
        <v>4.7</v>
      </c>
      <c r="L27" s="64"/>
      <c r="M27" s="64"/>
      <c r="N27" s="64"/>
      <c r="O27" s="65"/>
      <c r="P27" s="63">
        <f t="shared" si="4"/>
        <v>3.4</v>
      </c>
      <c r="Q27" s="38">
        <f t="shared" si="0"/>
        <v>0.25</v>
      </c>
      <c r="R27" s="140" t="str">
        <f t="shared" si="5"/>
        <v/>
      </c>
      <c r="S27" s="24">
        <f t="shared" si="6"/>
        <v>0</v>
      </c>
      <c r="T27" s="140">
        <f t="shared" si="7"/>
        <v>3.2</v>
      </c>
      <c r="U27" s="150">
        <f t="shared" si="8"/>
        <v>0.66666666666666663</v>
      </c>
      <c r="V27" s="141" t="str">
        <f t="shared" si="9"/>
        <v>-</v>
      </c>
      <c r="W27" s="142">
        <f t="shared" si="10"/>
        <v>0.25</v>
      </c>
      <c r="X27" s="144">
        <f t="shared" si="1"/>
        <v>20.866666666666667</v>
      </c>
      <c r="Y27" s="144">
        <f t="shared" si="2"/>
        <v>16.383333333333333</v>
      </c>
      <c r="Z27" s="144">
        <f t="shared" si="3"/>
        <v>26.129999999999995</v>
      </c>
      <c r="AA27" s="10"/>
      <c r="AB27" s="357" t="str">
        <f>VLOOKUP($B27,'2007-2020 Metadata'!$A$4:$S$214,MATCH("Urban Area /Monitoring Zone",'2007-2020 Metadata'!$A$4:$S$4,0),FALSE)</f>
        <v>Whangarei</v>
      </c>
      <c r="AC27" s="87" t="str">
        <f>VLOOKUP(B27,'2007-2020 Metadata'!$A$6:$A$214,1,FALSE)</f>
        <v>AUC038</v>
      </c>
      <c r="AD27" s="230" t="str">
        <f>VLOOKUP($AC27,'2007-2020 Metadata'!$A$6:$S$214,9,FALSE)</f>
        <v>Whangarei</v>
      </c>
      <c r="AE27" s="248">
        <f>IF(ISBLANK(VLOOKUP($AC27,'2007-2020 Metadata'!$A$6:$S$214,19,FALSE)),"",VLOOKUP($AC27,'2007-2020 Metadata'!$A$6:$S$214,19,FALSE))</f>
        <v>3</v>
      </c>
      <c r="AF27" s="88" t="str">
        <f>VLOOKUP($B27,'2007-2020 Metadata'!$A$4:$S$214,MATCH("Site type",'2007-2020 Metadata'!$A$4:$S$4,0),FALSE)</f>
        <v>Background</v>
      </c>
      <c r="AG27" s="143">
        <f t="shared" si="11"/>
        <v>1.7</v>
      </c>
      <c r="AH27" s="143">
        <f t="shared" si="12"/>
        <v>4.7</v>
      </c>
      <c r="AI27" s="144" t="str">
        <f t="shared" si="13"/>
        <v xml:space="preserve"> </v>
      </c>
    </row>
    <row r="28" spans="1:36" ht="12" customHeight="1" x14ac:dyDescent="0.15">
      <c r="B28" s="11" t="s">
        <v>60</v>
      </c>
      <c r="C28" s="58" t="str">
        <f>IF(ISERROR(VLOOKUP($B28,'Monthly Summary 2008'!$B$7:$U$62,14,FALSE)&gt;0),"",VLOOKUP($B28,'Monthly Summary 2008'!$B$7:$U$62,14,FALSE))</f>
        <v/>
      </c>
      <c r="D28" s="12"/>
      <c r="E28" s="62"/>
      <c r="F28" s="62"/>
      <c r="G28" s="62">
        <v>13.6</v>
      </c>
      <c r="H28" s="62">
        <v>16.7</v>
      </c>
      <c r="I28" s="62">
        <v>17.600000000000001</v>
      </c>
      <c r="J28" s="62">
        <v>19.899999999999999</v>
      </c>
      <c r="K28" s="62">
        <v>13.2</v>
      </c>
      <c r="L28" s="62">
        <v>14.8</v>
      </c>
      <c r="M28" s="62">
        <v>13.5</v>
      </c>
      <c r="N28" s="62">
        <v>13.1</v>
      </c>
      <c r="O28" s="343"/>
      <c r="P28" s="63">
        <f t="shared" si="4"/>
        <v>15.299999999999999</v>
      </c>
      <c r="Q28" s="38">
        <f t="shared" si="0"/>
        <v>0.66666666666666663</v>
      </c>
      <c r="R28" s="140" t="str">
        <f t="shared" si="5"/>
        <v/>
      </c>
      <c r="S28" s="24">
        <f t="shared" si="6"/>
        <v>0</v>
      </c>
      <c r="T28" s="140">
        <f t="shared" si="7"/>
        <v>15.966666666666663</v>
      </c>
      <c r="U28" s="150">
        <f t="shared" si="8"/>
        <v>1</v>
      </c>
      <c r="V28" s="141" t="str">
        <f t="shared" si="9"/>
        <v>-</v>
      </c>
      <c r="W28" s="142">
        <f t="shared" si="10"/>
        <v>0.66666666666666663</v>
      </c>
      <c r="X28" s="144">
        <f t="shared" si="1"/>
        <v>22.833333333333332</v>
      </c>
      <c r="Y28" s="144">
        <f t="shared" si="2"/>
        <v>28.34242424242424</v>
      </c>
      <c r="Z28" s="144">
        <f t="shared" si="3"/>
        <v>26.625378787878788</v>
      </c>
      <c r="AA28" s="10"/>
      <c r="AB28" s="357" t="str">
        <f>VLOOKUP($B28,'2007-2020 Metadata'!$A$4:$S$214,MATCH("Urban Area /Monitoring Zone",'2007-2020 Metadata'!$A$4:$S$4,0),FALSE)</f>
        <v>Auckland - Northern</v>
      </c>
      <c r="AC28" s="87" t="str">
        <f>VLOOKUP(B28,'2007-2020 Metadata'!$A$6:$A$214,1,FALSE)</f>
        <v>AUC039</v>
      </c>
      <c r="AD28" s="230" t="str">
        <f>VLOOKUP($AC28,'2007-2020 Metadata'!$A$6:$S$214,9,FALSE)</f>
        <v xml:space="preserve">North Shore </v>
      </c>
      <c r="AE28" s="248">
        <f>IF(ISBLANK(VLOOKUP($AC28,'2007-2020 Metadata'!$A$6:$S$214,19,FALSE)),"",VLOOKUP($AC28,'2007-2020 Metadata'!$A$6:$S$214,19,FALSE))</f>
        <v>3</v>
      </c>
      <c r="AF28" s="88" t="str">
        <f>VLOOKUP($B28,'2007-2020 Metadata'!$A$4:$S$214,MATCH("Site type",'2007-2020 Metadata'!$A$4:$S$4,0),FALSE)</f>
        <v>SH</v>
      </c>
      <c r="AG28" s="143">
        <f t="shared" si="11"/>
        <v>13.1</v>
      </c>
      <c r="AH28" s="143">
        <f t="shared" si="12"/>
        <v>19.899999999999999</v>
      </c>
      <c r="AI28" s="144" t="str">
        <f t="shared" si="13"/>
        <v xml:space="preserve"> </v>
      </c>
    </row>
    <row r="29" spans="1:36" ht="12" customHeight="1" x14ac:dyDescent="0.15">
      <c r="B29" s="11" t="s">
        <v>1013</v>
      </c>
      <c r="C29" s="58"/>
      <c r="D29" s="342"/>
      <c r="E29" s="343"/>
      <c r="F29" s="343"/>
      <c r="G29" s="343"/>
      <c r="H29" s="343"/>
      <c r="I29" s="343"/>
      <c r="J29" s="343"/>
      <c r="K29" s="343"/>
      <c r="L29" s="343"/>
      <c r="M29" s="343"/>
      <c r="N29" s="343"/>
      <c r="O29" s="62"/>
      <c r="P29" s="63"/>
      <c r="Q29" s="38">
        <f t="shared" ref="Q29" si="20">COUNT(D29:O29)/COUNT($D$6:$O$6)</f>
        <v>0</v>
      </c>
      <c r="R29" s="140" t="str">
        <f t="shared" si="5"/>
        <v/>
      </c>
      <c r="S29" s="24">
        <f t="shared" ref="S29" si="21">COUNT(D29:F29)/3</f>
        <v>0</v>
      </c>
      <c r="T29" s="140" t="str">
        <f t="shared" si="7"/>
        <v/>
      </c>
      <c r="U29" s="150">
        <f t="shared" ref="U29" si="22">COUNT(J29:L29)/3</f>
        <v>0</v>
      </c>
      <c r="V29" s="141" t="str">
        <f t="shared" si="9"/>
        <v>-</v>
      </c>
      <c r="W29" s="142">
        <f t="shared" ref="W29" si="23">Q29</f>
        <v>0</v>
      </c>
      <c r="X29" s="144" t="str">
        <f t="shared" si="1"/>
        <v/>
      </c>
      <c r="Y29" s="144" t="str">
        <f t="shared" si="2"/>
        <v/>
      </c>
      <c r="Z29" s="144" t="str">
        <f t="shared" si="3"/>
        <v>-</v>
      </c>
      <c r="AA29" s="10"/>
      <c r="AB29" s="357">
        <f>VLOOKUP($B29,'2007-2020 Metadata'!$A$4:$S$214,MATCH("Urban Area /Monitoring Zone",'2007-2020 Metadata'!$A$4:$S$4,0),FALSE)</f>
        <v>0</v>
      </c>
      <c r="AC29" s="87" t="str">
        <f>VLOOKUP(B29,'2007-2020 Metadata'!$A$6:$A$214,1,FALSE)</f>
        <v>AUC039a</v>
      </c>
      <c r="AD29" s="230">
        <f>VLOOKUP($AC29,'2007-2020 Metadata'!$A$6:$S$214,9,FALSE)</f>
        <v>0</v>
      </c>
      <c r="AE29" s="248" t="str">
        <f>IF(ISBLANK(VLOOKUP($AC29,'2007-2020 Metadata'!$A$6:$S$214,19,FALSE)),"",VLOOKUP($AC29,'2007-2020 Metadata'!$A$6:$S$214,19,FALSE))</f>
        <v/>
      </c>
      <c r="AF29" s="88" t="str">
        <f>VLOOKUP($B29,'2007-2020 Metadata'!$A$4:$S$214,MATCH("Site type",'2007-2020 Metadata'!$A$4:$S$4,0),FALSE)</f>
        <v>SH</v>
      </c>
      <c r="AG29" s="143">
        <f t="shared" si="11"/>
        <v>0</v>
      </c>
      <c r="AH29" s="143">
        <f t="shared" si="12"/>
        <v>0</v>
      </c>
      <c r="AI29" s="144" t="str">
        <f t="shared" si="13"/>
        <v xml:space="preserve"> </v>
      </c>
    </row>
    <row r="30" spans="1:36" ht="12" customHeight="1" x14ac:dyDescent="0.15">
      <c r="B30" s="11" t="s">
        <v>61</v>
      </c>
      <c r="C30" s="58" t="str">
        <f>IF(ISERROR(VLOOKUP($B30,'Monthly Summary 2008'!$B$7:$U$62,14,FALSE)&gt;0),"",VLOOKUP($B30,'Monthly Summary 2008'!$B$7:$U$62,14,FALSE))</f>
        <v/>
      </c>
      <c r="D30" s="12"/>
      <c r="E30" s="62"/>
      <c r="F30" s="62"/>
      <c r="G30" s="62">
        <v>13.4</v>
      </c>
      <c r="H30" s="62">
        <v>18.600000000000001</v>
      </c>
      <c r="I30" s="62">
        <v>20.9</v>
      </c>
      <c r="J30" s="62">
        <v>20.5</v>
      </c>
      <c r="K30" s="62">
        <v>14.5</v>
      </c>
      <c r="L30" s="62">
        <v>16.899999999999999</v>
      </c>
      <c r="M30" s="62">
        <v>16.100000000000001</v>
      </c>
      <c r="N30" s="62">
        <v>14.4</v>
      </c>
      <c r="O30" s="62">
        <v>8.4</v>
      </c>
      <c r="P30" s="63">
        <f t="shared" si="4"/>
        <v>15.966666666666669</v>
      </c>
      <c r="Q30" s="38">
        <f t="shared" si="0"/>
        <v>0.75</v>
      </c>
      <c r="R30" s="140" t="str">
        <f t="shared" si="5"/>
        <v/>
      </c>
      <c r="S30" s="24">
        <f t="shared" si="6"/>
        <v>0</v>
      </c>
      <c r="T30" s="140">
        <f t="shared" si="7"/>
        <v>17.3</v>
      </c>
      <c r="U30" s="150">
        <f t="shared" si="8"/>
        <v>1</v>
      </c>
      <c r="V30" s="141" t="str">
        <f t="shared" si="9"/>
        <v>-</v>
      </c>
      <c r="W30" s="142">
        <f t="shared" si="10"/>
        <v>0.75</v>
      </c>
      <c r="X30" s="144">
        <f t="shared" si="1"/>
        <v>22.833333333333332</v>
      </c>
      <c r="Y30" s="144">
        <f t="shared" si="2"/>
        <v>28.34242424242424</v>
      </c>
      <c r="Z30" s="144">
        <f t="shared" si="3"/>
        <v>26.625378787878788</v>
      </c>
      <c r="AA30" s="10"/>
      <c r="AB30" s="357" t="str">
        <f>VLOOKUP($B30,'2007-2020 Metadata'!$A$4:$S$214,MATCH("Urban Area /Monitoring Zone",'2007-2020 Metadata'!$A$4:$S$4,0),FALSE)</f>
        <v>Auckland - Northern</v>
      </c>
      <c r="AC30" s="87" t="str">
        <f>VLOOKUP(B30,'2007-2020 Metadata'!$A$6:$A$214,1,FALSE)</f>
        <v>AUC040</v>
      </c>
      <c r="AD30" s="230" t="str">
        <f>VLOOKUP($AC30,'2007-2020 Metadata'!$A$6:$S$214,9,FALSE)</f>
        <v xml:space="preserve">North Shore </v>
      </c>
      <c r="AE30" s="248">
        <f>IF(ISBLANK(VLOOKUP($AC30,'2007-2020 Metadata'!$A$6:$S$214,19,FALSE)),"",VLOOKUP($AC30,'2007-2020 Metadata'!$A$6:$S$214,19,FALSE))</f>
        <v>2.5</v>
      </c>
      <c r="AF30" s="88" t="str">
        <f>VLOOKUP($B30,'2007-2020 Metadata'!$A$4:$S$214,MATCH("Site type",'2007-2020 Metadata'!$A$4:$S$4,0),FALSE)</f>
        <v>SH</v>
      </c>
      <c r="AG30" s="143">
        <f t="shared" si="11"/>
        <v>8.4</v>
      </c>
      <c r="AH30" s="143">
        <f t="shared" si="12"/>
        <v>20.9</v>
      </c>
      <c r="AI30" s="144">
        <f t="shared" si="13"/>
        <v>26.625378787878788</v>
      </c>
    </row>
    <row r="31" spans="1:36" ht="12" customHeight="1" x14ac:dyDescent="0.15">
      <c r="B31" s="11" t="s">
        <v>62</v>
      </c>
      <c r="C31" s="58" t="str">
        <f>IF(ISERROR(VLOOKUP($B31,'Monthly Summary 2008'!$B$7:$U$62,14,FALSE)&gt;0),"",VLOOKUP($B31,'Monthly Summary 2008'!$B$7:$U$62,14,FALSE))</f>
        <v/>
      </c>
      <c r="D31" s="12"/>
      <c r="E31" s="62"/>
      <c r="F31" s="62"/>
      <c r="G31" s="62">
        <v>19</v>
      </c>
      <c r="H31" s="62">
        <v>21.9</v>
      </c>
      <c r="I31" s="62">
        <v>19.100000000000001</v>
      </c>
      <c r="J31" s="62">
        <v>20.8</v>
      </c>
      <c r="K31" s="62">
        <v>18.399999999999999</v>
      </c>
      <c r="L31" s="62">
        <v>16.7</v>
      </c>
      <c r="M31" s="62">
        <v>11.7</v>
      </c>
      <c r="N31" s="62">
        <v>6.6</v>
      </c>
      <c r="O31" s="62">
        <v>8.1999999999999993</v>
      </c>
      <c r="P31" s="63">
        <f t="shared" si="4"/>
        <v>15.822222222222219</v>
      </c>
      <c r="Q31" s="38">
        <f t="shared" si="0"/>
        <v>0.75</v>
      </c>
      <c r="R31" s="140" t="str">
        <f t="shared" si="5"/>
        <v/>
      </c>
      <c r="S31" s="24">
        <f t="shared" si="6"/>
        <v>0</v>
      </c>
      <c r="T31" s="140">
        <f t="shared" si="7"/>
        <v>18.633333333333336</v>
      </c>
      <c r="U31" s="150">
        <f t="shared" si="8"/>
        <v>1</v>
      </c>
      <c r="V31" s="141" t="str">
        <f t="shared" si="9"/>
        <v>-</v>
      </c>
      <c r="W31" s="142">
        <f t="shared" si="10"/>
        <v>0.75</v>
      </c>
      <c r="X31" s="144">
        <f t="shared" si="1"/>
        <v>22.833333333333332</v>
      </c>
      <c r="Y31" s="144">
        <f t="shared" si="2"/>
        <v>28.34242424242424</v>
      </c>
      <c r="Z31" s="144">
        <f t="shared" si="3"/>
        <v>26.625378787878788</v>
      </c>
      <c r="AA31" s="10"/>
      <c r="AB31" s="357" t="str">
        <f>VLOOKUP($B31,'2007-2020 Metadata'!$A$4:$S$214,MATCH("Urban Area /Monitoring Zone",'2007-2020 Metadata'!$A$4:$S$4,0),FALSE)</f>
        <v>Auckland - Northern</v>
      </c>
      <c r="AC31" s="87" t="str">
        <f>VLOOKUP(B31,'2007-2020 Metadata'!$A$6:$A$214,1,FALSE)</f>
        <v>AUC041</v>
      </c>
      <c r="AD31" s="230" t="str">
        <f>VLOOKUP($AC31,'2007-2020 Metadata'!$A$6:$S$214,9,FALSE)</f>
        <v xml:space="preserve">North Shore </v>
      </c>
      <c r="AE31" s="248">
        <f>IF(ISBLANK(VLOOKUP($AC31,'2007-2020 Metadata'!$A$6:$S$214,19,FALSE)),"",VLOOKUP($AC31,'2007-2020 Metadata'!$A$6:$S$214,19,FALSE))</f>
        <v>3</v>
      </c>
      <c r="AF31" s="88" t="str">
        <f>VLOOKUP($B31,'2007-2020 Metadata'!$A$4:$S$214,MATCH("Site type",'2007-2020 Metadata'!$A$4:$S$4,0),FALSE)</f>
        <v>Local</v>
      </c>
      <c r="AG31" s="143">
        <f t="shared" si="11"/>
        <v>6.6</v>
      </c>
      <c r="AH31" s="143">
        <f t="shared" si="12"/>
        <v>21.9</v>
      </c>
      <c r="AI31" s="144">
        <f t="shared" si="13"/>
        <v>26.625378787878788</v>
      </c>
    </row>
    <row r="32" spans="1:36" ht="12" customHeight="1" x14ac:dyDescent="0.15">
      <c r="B32" s="11" t="s">
        <v>63</v>
      </c>
      <c r="C32" s="58" t="str">
        <f>IF(ISERROR(VLOOKUP($B32,'Monthly Summary 2008'!$B$7:$U$62,14,FALSE)&gt;0),"",VLOOKUP($B32,'Monthly Summary 2008'!$B$7:$U$62,14,FALSE))</f>
        <v/>
      </c>
      <c r="D32" s="12"/>
      <c r="E32" s="62"/>
      <c r="F32" s="62"/>
      <c r="G32" s="62">
        <v>31.4</v>
      </c>
      <c r="H32" s="62">
        <v>35.799999999999997</v>
      </c>
      <c r="I32" s="62">
        <v>37.200000000000003</v>
      </c>
      <c r="J32" s="62">
        <v>46.4</v>
      </c>
      <c r="K32" s="62">
        <v>28.1</v>
      </c>
      <c r="L32" s="62">
        <v>33.4</v>
      </c>
      <c r="M32" s="62">
        <v>26.7</v>
      </c>
      <c r="N32" s="62">
        <v>25.9</v>
      </c>
      <c r="O32" s="62">
        <v>19.600000000000001</v>
      </c>
      <c r="P32" s="63">
        <f t="shared" si="4"/>
        <v>31.611111111111111</v>
      </c>
      <c r="Q32" s="38">
        <f t="shared" si="0"/>
        <v>0.75</v>
      </c>
      <c r="R32" s="140" t="str">
        <f t="shared" si="5"/>
        <v/>
      </c>
      <c r="S32" s="24">
        <f t="shared" si="6"/>
        <v>0</v>
      </c>
      <c r="T32" s="140">
        <f t="shared" si="7"/>
        <v>35.966666666666669</v>
      </c>
      <c r="U32" s="150">
        <f t="shared" si="8"/>
        <v>1</v>
      </c>
      <c r="V32" s="141" t="str">
        <f t="shared" si="9"/>
        <v>-</v>
      </c>
      <c r="W32" s="142">
        <f t="shared" si="10"/>
        <v>0.75</v>
      </c>
      <c r="X32" s="144">
        <f t="shared" si="1"/>
        <v>22.833333333333332</v>
      </c>
      <c r="Y32" s="144">
        <f t="shared" si="2"/>
        <v>28.34242424242424</v>
      </c>
      <c r="Z32" s="144">
        <f t="shared" si="3"/>
        <v>26.625378787878788</v>
      </c>
      <c r="AA32" s="10"/>
      <c r="AB32" s="357" t="str">
        <f>VLOOKUP($B32,'2007-2020 Metadata'!$A$4:$S$214,MATCH("Urban Area /Monitoring Zone",'2007-2020 Metadata'!$A$4:$S$4,0),FALSE)</f>
        <v>Auckland - Northern</v>
      </c>
      <c r="AC32" s="87" t="str">
        <f>VLOOKUP(B32,'2007-2020 Metadata'!$A$6:$A$214,1,FALSE)</f>
        <v>AUC042</v>
      </c>
      <c r="AD32" s="230" t="str">
        <f>VLOOKUP($AC32,'2007-2020 Metadata'!$A$6:$S$214,9,FALSE)</f>
        <v xml:space="preserve">North Shore </v>
      </c>
      <c r="AE32" s="248">
        <f>IF(ISBLANK(VLOOKUP($AC32,'2007-2020 Metadata'!$A$6:$S$214,19,FALSE)),"",VLOOKUP($AC32,'2007-2020 Metadata'!$A$6:$S$214,19,FALSE))</f>
        <v>3</v>
      </c>
      <c r="AF32" s="88" t="str">
        <f>VLOOKUP($B32,'2007-2020 Metadata'!$A$4:$S$214,MATCH("Site type",'2007-2020 Metadata'!$A$4:$S$4,0),FALSE)</f>
        <v>Local</v>
      </c>
      <c r="AG32" s="143">
        <f t="shared" si="11"/>
        <v>19.600000000000001</v>
      </c>
      <c r="AH32" s="143">
        <f t="shared" si="12"/>
        <v>46.4</v>
      </c>
      <c r="AI32" s="144">
        <f t="shared" si="13"/>
        <v>26.625378787878788</v>
      </c>
    </row>
    <row r="33" spans="1:36" ht="12" customHeight="1" x14ac:dyDescent="0.15">
      <c r="A33" s="178" t="s">
        <v>496</v>
      </c>
      <c r="B33" s="11" t="s">
        <v>64</v>
      </c>
      <c r="C33" s="58" t="str">
        <f>IF(ISERROR(VLOOKUP($B33,'Monthly Summary 2008'!$B$7:$U$62,14,FALSE)&gt;0),"",VLOOKUP($B33,'Monthly Summary 2008'!$B$7:$U$62,14,FALSE))</f>
        <v/>
      </c>
      <c r="D33" s="12"/>
      <c r="E33" s="62"/>
      <c r="F33" s="62"/>
      <c r="G33" s="62">
        <v>30</v>
      </c>
      <c r="H33" s="62">
        <v>44.8</v>
      </c>
      <c r="I33" s="62">
        <v>39</v>
      </c>
      <c r="J33" s="62"/>
      <c r="K33" s="62"/>
      <c r="L33" s="62">
        <v>31.3</v>
      </c>
      <c r="M33" s="62">
        <v>31.3</v>
      </c>
      <c r="N33" s="62">
        <v>29.1</v>
      </c>
      <c r="O33" s="62">
        <v>16.8</v>
      </c>
      <c r="P33" s="63">
        <f t="shared" si="4"/>
        <v>31.75714285714286</v>
      </c>
      <c r="Q33" s="38">
        <f t="shared" si="0"/>
        <v>0.58333333333333337</v>
      </c>
      <c r="R33" s="260" t="str">
        <f t="shared" si="5"/>
        <v/>
      </c>
      <c r="S33" s="24">
        <f t="shared" si="6"/>
        <v>0</v>
      </c>
      <c r="T33" s="260" t="str">
        <f t="shared" si="7"/>
        <v>-</v>
      </c>
      <c r="U33" s="150">
        <f t="shared" si="8"/>
        <v>0.33333333333333331</v>
      </c>
      <c r="V33" s="262" t="str">
        <f t="shared" si="9"/>
        <v>-</v>
      </c>
      <c r="W33" s="142">
        <f t="shared" si="10"/>
        <v>0.58333333333333337</v>
      </c>
      <c r="X33" s="177">
        <f t="shared" si="1"/>
        <v>22.833333333333332</v>
      </c>
      <c r="Y33" s="177">
        <f t="shared" si="2"/>
        <v>28.34242424242424</v>
      </c>
      <c r="Z33" s="177" t="s">
        <v>493</v>
      </c>
      <c r="AA33" s="10"/>
      <c r="AB33" s="357" t="str">
        <f>VLOOKUP($B33,'2007-2020 Metadata'!$A$4:$S$214,MATCH("Urban Area /Monitoring Zone",'2007-2020 Metadata'!$A$4:$S$4,0),FALSE)</f>
        <v>Auckland - Northern</v>
      </c>
      <c r="AC33" s="259" t="str">
        <f>VLOOKUP(B33,'2007-2020 Metadata'!$A$6:$A$214,1,FALSE)</f>
        <v>AUC043</v>
      </c>
      <c r="AD33" s="256" t="str">
        <f>VLOOKUP($AC33,'2007-2020 Metadata'!$A$6:$S$214,9,FALSE)</f>
        <v xml:space="preserve">North Shore </v>
      </c>
      <c r="AE33" s="263">
        <f>IF(ISBLANK(VLOOKUP($AC33,'2007-2020 Metadata'!$A$6:$S$214,19,FALSE)),"",VLOOKUP($AC33,'2007-2020 Metadata'!$A$6:$S$214,19,FALSE))</f>
        <v>3</v>
      </c>
      <c r="AF33" s="257" t="str">
        <f>VLOOKUP($B33,'2007-2020 Metadata'!$A$4:$S$214,MATCH("Site type",'2007-2020 Metadata'!$A$4:$S$4,0),FALSE)</f>
        <v>SH</v>
      </c>
      <c r="AG33" s="258">
        <f>MIN(AVERAGE(G$33:G$35),AVERAGE(H$33:H$35),AVERAGE(I$33:I$35),AVERAGE(J$33:J$35),AVERAGE(K$33:K$35),AVERAGE(L$33:L$35),AVERAGE(M$33:M$35),AVERAGE(N$33:N$35),AVERAGE(O$33:O$35))</f>
        <v>14.266666666666666</v>
      </c>
      <c r="AH33" s="258">
        <f>MAX(AVERAGE(G$33:G$35),AVERAGE(H$33:H$35),AVERAGE(I$33:I$35),AVERAGE(J$33:J$35),AVERAGE(K$33:K$35),AVERAGE(L$33:L$35),AVERAGE(M$33:M$35),AVERAGE(N$33:N$35),AVERAGE(O$33:O$35))</f>
        <v>40.25</v>
      </c>
      <c r="AI33" s="177" t="str">
        <f t="shared" si="13"/>
        <v xml:space="preserve"> </v>
      </c>
      <c r="AJ33" s="10" t="s">
        <v>553</v>
      </c>
    </row>
    <row r="34" spans="1:36" ht="12" customHeight="1" x14ac:dyDescent="0.15">
      <c r="B34" s="11" t="s">
        <v>65</v>
      </c>
      <c r="C34" s="58" t="str">
        <f>IF(ISERROR(VLOOKUP($B34,'Monthly Summary 2008'!$B$7:$U$62,14,FALSE)&gt;0),"",VLOOKUP($B34,'Monthly Summary 2008'!$B$7:$U$62,14,FALSE))</f>
        <v/>
      </c>
      <c r="D34" s="12"/>
      <c r="E34" s="62"/>
      <c r="F34" s="62"/>
      <c r="G34" s="62">
        <v>28.9</v>
      </c>
      <c r="H34" s="62">
        <v>36.5</v>
      </c>
      <c r="I34" s="62">
        <v>33.5</v>
      </c>
      <c r="J34" s="62">
        <v>41.2</v>
      </c>
      <c r="K34" s="62">
        <v>32.5</v>
      </c>
      <c r="L34" s="62">
        <v>32.799999999999997</v>
      </c>
      <c r="M34" s="62">
        <v>28.9</v>
      </c>
      <c r="N34" s="62">
        <v>27</v>
      </c>
      <c r="O34" s="62">
        <v>14.2</v>
      </c>
      <c r="P34" s="63">
        <f t="shared" si="4"/>
        <v>30.611111111111118</v>
      </c>
      <c r="Q34" s="38">
        <f t="shared" si="0"/>
        <v>0.75</v>
      </c>
      <c r="R34" s="260" t="str">
        <f t="shared" si="5"/>
        <v/>
      </c>
      <c r="S34" s="24">
        <f t="shared" si="6"/>
        <v>0</v>
      </c>
      <c r="T34" s="260">
        <f t="shared" si="7"/>
        <v>35.5</v>
      </c>
      <c r="U34" s="261">
        <f t="shared" si="8"/>
        <v>1</v>
      </c>
      <c r="V34" s="262" t="str">
        <f t="shared" si="9"/>
        <v>-</v>
      </c>
      <c r="W34" s="261">
        <f t="shared" si="10"/>
        <v>0.75</v>
      </c>
      <c r="X34" s="177">
        <f t="shared" si="1"/>
        <v>22.833333333333332</v>
      </c>
      <c r="Y34" s="177">
        <f t="shared" si="2"/>
        <v>28.34242424242424</v>
      </c>
      <c r="Z34" s="177" t="s">
        <v>493</v>
      </c>
      <c r="AA34" s="10"/>
      <c r="AB34" s="357" t="str">
        <f>VLOOKUP($B34,'2007-2020 Metadata'!$A$4:$S$214,MATCH("Urban Area /Monitoring Zone",'2007-2020 Metadata'!$A$4:$S$4,0),FALSE)</f>
        <v>Auckland - Northern</v>
      </c>
      <c r="AC34" s="259" t="str">
        <f>VLOOKUP(B34,'2007-2020 Metadata'!$A$6:$A$214,1,FALSE)</f>
        <v>AUC044</v>
      </c>
      <c r="AD34" s="256" t="str">
        <f>VLOOKUP($AC34,'2007-2020 Metadata'!$A$6:$S$214,9,FALSE)</f>
        <v xml:space="preserve">North Shore </v>
      </c>
      <c r="AE34" s="263">
        <f>IF(ISBLANK(VLOOKUP($AC34,'2007-2020 Metadata'!$A$6:$S$214,19,FALSE)),"",VLOOKUP($AC34,'2007-2020 Metadata'!$A$6:$S$214,19,FALSE))</f>
        <v>3</v>
      </c>
      <c r="AF34" s="257" t="str">
        <f>VLOOKUP($B34,'2007-2020 Metadata'!$A$4:$S$214,MATCH("Site type",'2007-2020 Metadata'!$A$4:$S$4,0),FALSE)</f>
        <v>SH</v>
      </c>
      <c r="AG34" s="258">
        <f t="shared" ref="AG34:AG35" si="24">MIN(AVERAGE(G$33:G$35),AVERAGE(H$33:H$35),AVERAGE(I$33:I$35),AVERAGE(J$33:J$35),AVERAGE(K$33:K$35),AVERAGE(L$33:L$35),AVERAGE(M$33:M$35),AVERAGE(N$33:N$35),AVERAGE(O$33:O$35))</f>
        <v>14.266666666666666</v>
      </c>
      <c r="AH34" s="258">
        <f t="shared" ref="AH34:AH35" si="25">MAX(AVERAGE(G$33:G$35),AVERAGE(H$33:H$35),AVERAGE(I$33:I$35),AVERAGE(J$33:J$35),AVERAGE(K$33:K$35),AVERAGE(L$33:L$35),AVERAGE(M$33:M$35),AVERAGE(N$33:N$35),AVERAGE(O$33:O$35))</f>
        <v>40.25</v>
      </c>
      <c r="AI34" s="177" t="str">
        <f t="shared" si="13"/>
        <v>-</v>
      </c>
      <c r="AJ34" s="10" t="s">
        <v>553</v>
      </c>
    </row>
    <row r="35" spans="1:36" ht="12" customHeight="1" x14ac:dyDescent="0.15">
      <c r="B35" s="11" t="s">
        <v>66</v>
      </c>
      <c r="C35" s="58" t="str">
        <f>IF(ISERROR(VLOOKUP($B35,'Monthly Summary 2008'!$B$7:$U$62,14,FALSE)&gt;0),"",VLOOKUP($B35,'Monthly Summary 2008'!$B$7:$U$62,14,FALSE))</f>
        <v/>
      </c>
      <c r="D35" s="12"/>
      <c r="E35" s="62"/>
      <c r="F35" s="62"/>
      <c r="G35" s="62">
        <v>27.9</v>
      </c>
      <c r="H35" s="62">
        <v>38.9</v>
      </c>
      <c r="I35" s="62">
        <v>38.4</v>
      </c>
      <c r="J35" s="62">
        <v>39.299999999999997</v>
      </c>
      <c r="K35" s="62">
        <v>29.1</v>
      </c>
      <c r="L35" s="62">
        <v>34.299999999999997</v>
      </c>
      <c r="M35" s="62">
        <v>23.7</v>
      </c>
      <c r="N35" s="62">
        <v>25.5</v>
      </c>
      <c r="O35" s="62">
        <v>11.8</v>
      </c>
      <c r="P35" s="63">
        <f t="shared" si="4"/>
        <v>29.877777777777776</v>
      </c>
      <c r="Q35" s="38">
        <f t="shared" si="0"/>
        <v>0.75</v>
      </c>
      <c r="R35" s="260" t="str">
        <f t="shared" si="5"/>
        <v/>
      </c>
      <c r="S35" s="24">
        <f t="shared" si="6"/>
        <v>0</v>
      </c>
      <c r="T35" s="260">
        <f t="shared" si="7"/>
        <v>34.233333333333334</v>
      </c>
      <c r="U35" s="261">
        <f t="shared" si="8"/>
        <v>1</v>
      </c>
      <c r="V35" s="262" t="str">
        <f t="shared" si="9"/>
        <v>-</v>
      </c>
      <c r="W35" s="261">
        <f t="shared" si="10"/>
        <v>0.75</v>
      </c>
      <c r="X35" s="177">
        <f t="shared" si="1"/>
        <v>22.833333333333332</v>
      </c>
      <c r="Y35" s="177">
        <f t="shared" si="2"/>
        <v>28.34242424242424</v>
      </c>
      <c r="Z35" s="177" t="s">
        <v>493</v>
      </c>
      <c r="AA35" s="10"/>
      <c r="AB35" s="357" t="str">
        <f>VLOOKUP($B35,'2007-2020 Metadata'!$A$4:$S$214,MATCH("Urban Area /Monitoring Zone",'2007-2020 Metadata'!$A$4:$S$4,0),FALSE)</f>
        <v>Auckland - Northern</v>
      </c>
      <c r="AC35" s="259" t="str">
        <f>VLOOKUP(B35,'2007-2020 Metadata'!$A$6:$A$214,1,FALSE)</f>
        <v>AUC045</v>
      </c>
      <c r="AD35" s="256" t="str">
        <f>VLOOKUP($AC35,'2007-2020 Metadata'!$A$6:$S$214,9,FALSE)</f>
        <v xml:space="preserve">North Shore </v>
      </c>
      <c r="AE35" s="263">
        <f>IF(ISBLANK(VLOOKUP($AC35,'2007-2020 Metadata'!$A$6:$S$214,19,FALSE)),"",VLOOKUP($AC35,'2007-2020 Metadata'!$A$6:$S$214,19,FALSE))</f>
        <v>3</v>
      </c>
      <c r="AF35" s="257" t="str">
        <f>VLOOKUP($B35,'2007-2020 Metadata'!$A$4:$S$214,MATCH("Site type",'2007-2020 Metadata'!$A$4:$S$4,0),FALSE)</f>
        <v>SH</v>
      </c>
      <c r="AG35" s="258">
        <f t="shared" si="24"/>
        <v>14.266666666666666</v>
      </c>
      <c r="AH35" s="258">
        <f t="shared" si="25"/>
        <v>40.25</v>
      </c>
      <c r="AI35" s="177" t="str">
        <f t="shared" si="13"/>
        <v>-</v>
      </c>
      <c r="AJ35" s="10" t="s">
        <v>553</v>
      </c>
    </row>
    <row r="36" spans="1:36" ht="12" customHeight="1" x14ac:dyDescent="0.15">
      <c r="B36" s="11" t="s">
        <v>67</v>
      </c>
      <c r="C36" s="58" t="str">
        <f>IF(ISERROR(VLOOKUP($B36,'Monthly Summary 2008'!$B$7:$U$62,14,FALSE)&gt;0),"",VLOOKUP($B36,'Monthly Summary 2008'!$B$7:$U$62,14,FALSE))</f>
        <v/>
      </c>
      <c r="D36" s="12"/>
      <c r="E36" s="62"/>
      <c r="F36" s="62"/>
      <c r="G36" s="62">
        <v>29.3</v>
      </c>
      <c r="H36" s="62">
        <v>43.5</v>
      </c>
      <c r="I36" s="62">
        <v>40.9</v>
      </c>
      <c r="J36" s="62">
        <v>47</v>
      </c>
      <c r="K36" s="62">
        <v>27.1</v>
      </c>
      <c r="L36" s="62">
        <v>33.4</v>
      </c>
      <c r="M36" s="62">
        <v>30.2</v>
      </c>
      <c r="N36" s="62">
        <v>34.799999999999997</v>
      </c>
      <c r="O36" s="62">
        <v>16.399999999999999</v>
      </c>
      <c r="P36" s="63">
        <f t="shared" si="4"/>
        <v>33.62222222222222</v>
      </c>
      <c r="Q36" s="38">
        <f t="shared" si="0"/>
        <v>0.75</v>
      </c>
      <c r="R36" s="140" t="str">
        <f t="shared" si="5"/>
        <v/>
      </c>
      <c r="S36" s="24">
        <f t="shared" si="6"/>
        <v>0</v>
      </c>
      <c r="T36" s="140">
        <f t="shared" si="7"/>
        <v>35.833333333333336</v>
      </c>
      <c r="U36" s="150">
        <f t="shared" si="8"/>
        <v>1</v>
      </c>
      <c r="V36" s="141" t="str">
        <f t="shared" si="9"/>
        <v>-</v>
      </c>
      <c r="W36" s="142">
        <f t="shared" si="10"/>
        <v>0.75</v>
      </c>
      <c r="X36" s="144">
        <f t="shared" si="1"/>
        <v>22.833333333333332</v>
      </c>
      <c r="Y36" s="144">
        <f t="shared" si="2"/>
        <v>28.34242424242424</v>
      </c>
      <c r="Z36" s="144">
        <f t="shared" ref="Z36:Z43" si="26">IF(VLOOKUP($B36,$AC$6:$AI$159,3,FALSE)="",$V36,IF(ISERROR(AVERAGEIF($AD$6:$AD$111,VLOOKUP($B36,$AC$6:$AI$159,2,FALSE),$V$6:$V$159)),"",AVERAGEIF($AD$6:$AD$111,VLOOKUP($B36,$AC$6:$AI$159,2,FALSE),$V$6:$V$159)))</f>
        <v>26.625378787878788</v>
      </c>
      <c r="AA36" s="10"/>
      <c r="AB36" s="357" t="str">
        <f>VLOOKUP($B36,'2007-2020 Metadata'!$A$4:$S$214,MATCH("Urban Area /Monitoring Zone",'2007-2020 Metadata'!$A$4:$S$4,0),FALSE)</f>
        <v>Auckland - Northern</v>
      </c>
      <c r="AC36" s="87" t="str">
        <f>VLOOKUP(B36,'2007-2020 Metadata'!$A$6:$A$214,1,FALSE)</f>
        <v>AUC046</v>
      </c>
      <c r="AD36" s="230" t="str">
        <f>VLOOKUP($AC36,'2007-2020 Metadata'!$A$6:$S$214,9,FALSE)</f>
        <v xml:space="preserve">North Shore </v>
      </c>
      <c r="AE36" s="248">
        <f>IF(ISBLANK(VLOOKUP($AC36,'2007-2020 Metadata'!$A$6:$S$214,19,FALSE)),"",VLOOKUP($AC36,'2007-2020 Metadata'!$A$6:$S$214,19,FALSE))</f>
        <v>3</v>
      </c>
      <c r="AF36" s="88" t="str">
        <f>VLOOKUP($B36,'2007-2020 Metadata'!$A$4:$S$214,MATCH("Site type",'2007-2020 Metadata'!$A$4:$S$4,0),FALSE)</f>
        <v>Local</v>
      </c>
      <c r="AG36" s="143">
        <f t="shared" si="11"/>
        <v>16.399999999999999</v>
      </c>
      <c r="AH36" s="143">
        <f t="shared" si="12"/>
        <v>47</v>
      </c>
      <c r="AI36" s="144">
        <f t="shared" si="13"/>
        <v>26.625378787878788</v>
      </c>
    </row>
    <row r="37" spans="1:36" ht="12" customHeight="1" x14ac:dyDescent="0.15">
      <c r="B37" s="11" t="s">
        <v>68</v>
      </c>
      <c r="C37" s="58" t="str">
        <f>IF(ISERROR(VLOOKUP($B37,'Monthly Summary 2008'!$B$7:$U$62,14,FALSE)&gt;0),"",VLOOKUP($B37,'Monthly Summary 2008'!$B$7:$U$62,14,FALSE))</f>
        <v/>
      </c>
      <c r="D37" s="12"/>
      <c r="E37" s="62"/>
      <c r="F37" s="62"/>
      <c r="G37" s="62">
        <v>14.2</v>
      </c>
      <c r="H37" s="62">
        <v>15.1</v>
      </c>
      <c r="I37" s="62">
        <v>17.100000000000001</v>
      </c>
      <c r="J37" s="62">
        <v>19.899999999999999</v>
      </c>
      <c r="K37" s="62">
        <v>12.9</v>
      </c>
      <c r="L37" s="62">
        <v>12</v>
      </c>
      <c r="M37" s="62">
        <v>10.1</v>
      </c>
      <c r="N37" s="62">
        <v>9.9</v>
      </c>
      <c r="O37" s="62">
        <v>6.1</v>
      </c>
      <c r="P37" s="63">
        <f t="shared" si="4"/>
        <v>13.033333333333333</v>
      </c>
      <c r="Q37" s="38">
        <f t="shared" si="0"/>
        <v>0.75</v>
      </c>
      <c r="R37" s="140" t="str">
        <f t="shared" si="5"/>
        <v/>
      </c>
      <c r="S37" s="24">
        <f t="shared" si="6"/>
        <v>0</v>
      </c>
      <c r="T37" s="140">
        <f t="shared" si="7"/>
        <v>14.933333333333332</v>
      </c>
      <c r="U37" s="150">
        <f t="shared" si="8"/>
        <v>1</v>
      </c>
      <c r="V37" s="141" t="str">
        <f t="shared" si="9"/>
        <v>-</v>
      </c>
      <c r="W37" s="142">
        <f t="shared" si="10"/>
        <v>0.75</v>
      </c>
      <c r="X37" s="144">
        <f t="shared" si="1"/>
        <v>22.833333333333332</v>
      </c>
      <c r="Y37" s="144">
        <f t="shared" si="2"/>
        <v>28.34242424242424</v>
      </c>
      <c r="Z37" s="144">
        <f t="shared" si="26"/>
        <v>26.625378787878788</v>
      </c>
      <c r="AA37" s="10"/>
      <c r="AB37" s="357" t="str">
        <f>VLOOKUP($B37,'2007-2020 Metadata'!$A$4:$S$214,MATCH("Urban Area /Monitoring Zone",'2007-2020 Metadata'!$A$4:$S$4,0),FALSE)</f>
        <v>Auckland - Northern</v>
      </c>
      <c r="AC37" s="87" t="str">
        <f>VLOOKUP(B37,'2007-2020 Metadata'!$A$6:$A$214,1,FALSE)</f>
        <v>AUC047</v>
      </c>
      <c r="AD37" s="230" t="str">
        <f>VLOOKUP($AC37,'2007-2020 Metadata'!$A$6:$S$214,9,FALSE)</f>
        <v xml:space="preserve">North Shore </v>
      </c>
      <c r="AE37" s="248">
        <f>IF(ISBLANK(VLOOKUP($AC37,'2007-2020 Metadata'!$A$6:$S$214,19,FALSE)),"",VLOOKUP($AC37,'2007-2020 Metadata'!$A$6:$S$214,19,FALSE))</f>
        <v>3</v>
      </c>
      <c r="AF37" s="88" t="str">
        <f>VLOOKUP($B37,'2007-2020 Metadata'!$A$4:$S$214,MATCH("Site type",'2007-2020 Metadata'!$A$4:$S$4,0),FALSE)</f>
        <v>Background</v>
      </c>
      <c r="AG37" s="143">
        <f t="shared" si="11"/>
        <v>6.1</v>
      </c>
      <c r="AH37" s="143">
        <f t="shared" si="12"/>
        <v>19.899999999999999</v>
      </c>
      <c r="AI37" s="144">
        <f t="shared" si="13"/>
        <v>26.625378787878788</v>
      </c>
    </row>
    <row r="38" spans="1:36" ht="12" customHeight="1" x14ac:dyDescent="0.15">
      <c r="B38" s="11" t="s">
        <v>69</v>
      </c>
      <c r="C38" s="58" t="str">
        <f>IF(ISERROR(VLOOKUP($B38,'Monthly Summary 2008'!$B$7:$U$62,14,FALSE)&gt;0),"",VLOOKUP($B38,'Monthly Summary 2008'!$B$7:$U$62,14,FALSE))</f>
        <v/>
      </c>
      <c r="D38" s="12"/>
      <c r="E38" s="62"/>
      <c r="F38" s="62"/>
      <c r="G38" s="62">
        <v>26.8</v>
      </c>
      <c r="H38" s="62">
        <v>42.6</v>
      </c>
      <c r="I38" s="62">
        <v>40</v>
      </c>
      <c r="J38" s="62">
        <v>42.3</v>
      </c>
      <c r="K38" s="62">
        <v>25.8</v>
      </c>
      <c r="L38" s="62">
        <v>27.5</v>
      </c>
      <c r="M38" s="62">
        <v>28.7</v>
      </c>
      <c r="N38" s="62">
        <v>27.4</v>
      </c>
      <c r="O38" s="62"/>
      <c r="P38" s="63">
        <f t="shared" si="4"/>
        <v>32.637499999999996</v>
      </c>
      <c r="Q38" s="38">
        <f t="shared" si="0"/>
        <v>0.66666666666666663</v>
      </c>
      <c r="R38" s="140" t="str">
        <f t="shared" si="5"/>
        <v/>
      </c>
      <c r="S38" s="24">
        <f t="shared" si="6"/>
        <v>0</v>
      </c>
      <c r="T38" s="140">
        <f t="shared" si="7"/>
        <v>31.866666666666664</v>
      </c>
      <c r="U38" s="150">
        <f t="shared" si="8"/>
        <v>1</v>
      </c>
      <c r="V38" s="141" t="str">
        <f t="shared" si="9"/>
        <v>-</v>
      </c>
      <c r="W38" s="142">
        <f t="shared" si="10"/>
        <v>0.66666666666666663</v>
      </c>
      <c r="X38" s="144" t="str">
        <f t="shared" si="1"/>
        <v/>
      </c>
      <c r="Y38" s="144">
        <f t="shared" si="2"/>
        <v>21.458974358974356</v>
      </c>
      <c r="Z38" s="144" t="str">
        <f t="shared" si="26"/>
        <v/>
      </c>
      <c r="AA38" s="10"/>
      <c r="AB38" s="357" t="str">
        <f>VLOOKUP($B38,'2007-2020 Metadata'!$A$4:$S$214,MATCH("Urban Area /Monitoring Zone",'2007-2020 Metadata'!$A$4:$S$4,0),FALSE)</f>
        <v>Auckland - Western</v>
      </c>
      <c r="AC38" s="87" t="str">
        <f>VLOOKUP(B38,'2007-2020 Metadata'!$A$6:$A$214,1,FALSE)</f>
        <v>AUC048</v>
      </c>
      <c r="AD38" s="230" t="str">
        <f>VLOOKUP($AC38,'2007-2020 Metadata'!$A$6:$S$214,9,FALSE)</f>
        <v>Waitakere</v>
      </c>
      <c r="AE38" s="248">
        <f>IF(ISBLANK(VLOOKUP($AC38,'2007-2020 Metadata'!$A$6:$S$214,19,FALSE)),"",VLOOKUP($AC38,'2007-2020 Metadata'!$A$6:$S$214,19,FALSE))</f>
        <v>3</v>
      </c>
      <c r="AF38" s="88" t="str">
        <f>VLOOKUP($B38,'2007-2020 Metadata'!$A$4:$S$214,MATCH("Site type",'2007-2020 Metadata'!$A$4:$S$4,0),FALSE)</f>
        <v>SH</v>
      </c>
      <c r="AG38" s="143">
        <f t="shared" si="11"/>
        <v>25.8</v>
      </c>
      <c r="AH38" s="143">
        <f t="shared" si="12"/>
        <v>42.6</v>
      </c>
      <c r="AI38" s="144" t="str">
        <f t="shared" si="13"/>
        <v xml:space="preserve"> </v>
      </c>
    </row>
    <row r="39" spans="1:36" ht="12" customHeight="1" x14ac:dyDescent="0.15">
      <c r="A39" s="178" t="s">
        <v>496</v>
      </c>
      <c r="B39" s="11" t="s">
        <v>70</v>
      </c>
      <c r="C39" s="58" t="str">
        <f>IF(ISERROR(VLOOKUP($B39,'Monthly Summary 2008'!$B$7:$U$62,14,FALSE)&gt;0),"",VLOOKUP($B39,'Monthly Summary 2008'!$B$7:$U$62,14,FALSE))</f>
        <v/>
      </c>
      <c r="D39" s="12"/>
      <c r="E39" s="62"/>
      <c r="F39" s="62"/>
      <c r="G39" s="66"/>
      <c r="H39" s="62"/>
      <c r="I39" s="62"/>
      <c r="J39" s="62">
        <v>22.7</v>
      </c>
      <c r="K39" s="62">
        <v>11.9</v>
      </c>
      <c r="L39" s="62">
        <v>16.2</v>
      </c>
      <c r="M39" s="62">
        <v>16.100000000000001</v>
      </c>
      <c r="N39" s="62">
        <v>13.9</v>
      </c>
      <c r="O39" s="62">
        <v>8</v>
      </c>
      <c r="P39" s="63">
        <f t="shared" si="4"/>
        <v>14.800000000000002</v>
      </c>
      <c r="Q39" s="38">
        <f t="shared" si="0"/>
        <v>0.5</v>
      </c>
      <c r="R39" s="140" t="str">
        <f t="shared" si="5"/>
        <v/>
      </c>
      <c r="S39" s="24">
        <f t="shared" si="6"/>
        <v>0</v>
      </c>
      <c r="T39" s="140">
        <f t="shared" si="7"/>
        <v>16.933333333333334</v>
      </c>
      <c r="U39" s="150">
        <f t="shared" si="8"/>
        <v>1</v>
      </c>
      <c r="V39" s="141" t="str">
        <f t="shared" si="9"/>
        <v>-</v>
      </c>
      <c r="W39" s="142">
        <f t="shared" si="10"/>
        <v>0.5</v>
      </c>
      <c r="X39" s="144" t="str">
        <f t="shared" ref="X39:X70" si="27">IF(VLOOKUP($B39,$AC$6:$AI$159,3,FALSE)="",$R39,IF(ISERROR(AVERAGEIF($AD$6:$AD$111,VLOOKUP($B39,$AC$6:$AI$159,2,FALSE),$R$6:$R$159)),"",AVERAGEIF($AD$6:$AD$111,VLOOKUP($B39,$AC$6:$AI$159,2,FALSE),$R$6:$R$159)))</f>
        <v/>
      </c>
      <c r="Y39" s="144">
        <f t="shared" ref="Y39:Y70" si="28">IF(VLOOKUP($B39,$AC$6:$AI$159,3,FALSE)="",$T39,IF(ISERROR(AVERAGEIF($AD$6:$AD$111,VLOOKUP($B39,$AC$6:$AI$159,2,FALSE),$T$6:$T$159)),"",AVERAGEIF($AD$6:$AD$111,VLOOKUP($B39,$AC$6:$AI$159,2,FALSE),$T$6:$T$159)))</f>
        <v>21.458974358974356</v>
      </c>
      <c r="Z39" s="144" t="str">
        <f t="shared" si="26"/>
        <v/>
      </c>
      <c r="AA39" s="10"/>
      <c r="AB39" s="357" t="str">
        <f>VLOOKUP($B39,'2007-2020 Metadata'!$A$4:$S$214,MATCH("Urban Area /Monitoring Zone",'2007-2020 Metadata'!$A$4:$S$4,0),FALSE)</f>
        <v>Auckland - Western</v>
      </c>
      <c r="AC39" s="87" t="str">
        <f>VLOOKUP(B39,'2007-2020 Metadata'!$A$6:$A$214,1,FALSE)</f>
        <v>AUC049</v>
      </c>
      <c r="AD39" s="230" t="str">
        <f>VLOOKUP($AC39,'2007-2020 Metadata'!$A$6:$S$214,9,FALSE)</f>
        <v>Waitakere</v>
      </c>
      <c r="AE39" s="248">
        <f>IF(ISBLANK(VLOOKUP($AC39,'2007-2020 Metadata'!$A$6:$S$214,19,FALSE)),"",VLOOKUP($AC39,'2007-2020 Metadata'!$A$6:$S$214,19,FALSE))</f>
        <v>3</v>
      </c>
      <c r="AF39" s="88" t="str">
        <f>VLOOKUP($B39,'2007-2020 Metadata'!$A$4:$S$214,MATCH("Site type",'2007-2020 Metadata'!$A$4:$S$4,0),FALSE)</f>
        <v>Local (ex SH)</v>
      </c>
      <c r="AG39" s="143">
        <f t="shared" si="11"/>
        <v>8</v>
      </c>
      <c r="AH39" s="143">
        <f t="shared" si="12"/>
        <v>22.7</v>
      </c>
      <c r="AI39" s="144" t="str">
        <f t="shared" si="13"/>
        <v xml:space="preserve"> </v>
      </c>
    </row>
    <row r="40" spans="1:36" ht="12" customHeight="1" x14ac:dyDescent="0.15">
      <c r="B40" s="11" t="s">
        <v>71</v>
      </c>
      <c r="C40" s="58" t="str">
        <f>IF(ISERROR(VLOOKUP($B40,'Monthly Summary 2008'!$B$7:$U$62,14,FALSE)&gt;0),"",VLOOKUP($B40,'Monthly Summary 2008'!$B$7:$U$62,14,FALSE))</f>
        <v/>
      </c>
      <c r="D40" s="12"/>
      <c r="E40" s="62"/>
      <c r="F40" s="62"/>
      <c r="G40" s="62">
        <v>18.5</v>
      </c>
      <c r="H40" s="62">
        <v>18.600000000000001</v>
      </c>
      <c r="I40" s="62">
        <v>17.8</v>
      </c>
      <c r="J40" s="62">
        <v>17.100000000000001</v>
      </c>
      <c r="K40" s="62">
        <v>20.3</v>
      </c>
      <c r="L40" s="62">
        <v>16.5</v>
      </c>
      <c r="M40" s="62">
        <v>10.4</v>
      </c>
      <c r="N40" s="62">
        <v>10.6</v>
      </c>
      <c r="O40" s="62">
        <v>6.8</v>
      </c>
      <c r="P40" s="63">
        <f t="shared" si="4"/>
        <v>15.177777777777781</v>
      </c>
      <c r="Q40" s="38">
        <f t="shared" si="0"/>
        <v>0.75</v>
      </c>
      <c r="R40" s="140" t="str">
        <f t="shared" si="5"/>
        <v/>
      </c>
      <c r="S40" s="24">
        <f t="shared" si="6"/>
        <v>0</v>
      </c>
      <c r="T40" s="140">
        <f t="shared" si="7"/>
        <v>17.966666666666669</v>
      </c>
      <c r="U40" s="150">
        <f t="shared" si="8"/>
        <v>1</v>
      </c>
      <c r="V40" s="141" t="str">
        <f t="shared" si="9"/>
        <v>-</v>
      </c>
      <c r="W40" s="142">
        <f t="shared" si="10"/>
        <v>0.75</v>
      </c>
      <c r="X40" s="144" t="str">
        <f t="shared" si="27"/>
        <v/>
      </c>
      <c r="Y40" s="144">
        <f t="shared" si="28"/>
        <v>21.458974358974356</v>
      </c>
      <c r="Z40" s="144" t="str">
        <f t="shared" si="26"/>
        <v/>
      </c>
      <c r="AA40" s="10"/>
      <c r="AB40" s="357" t="str">
        <f>VLOOKUP($B40,'2007-2020 Metadata'!$A$4:$S$214,MATCH("Urban Area /Monitoring Zone",'2007-2020 Metadata'!$A$4:$S$4,0),FALSE)</f>
        <v>Auckland - Western</v>
      </c>
      <c r="AC40" s="87" t="str">
        <f>VLOOKUP(B40,'2007-2020 Metadata'!$A$6:$A$214,1,FALSE)</f>
        <v>AUC050</v>
      </c>
      <c r="AD40" s="230" t="str">
        <f>VLOOKUP($AC40,'2007-2020 Metadata'!$A$6:$S$214,9,FALSE)</f>
        <v>Waitakere</v>
      </c>
      <c r="AE40" s="248">
        <f>IF(ISBLANK(VLOOKUP($AC40,'2007-2020 Metadata'!$A$6:$S$214,19,FALSE)),"",VLOOKUP($AC40,'2007-2020 Metadata'!$A$6:$S$214,19,FALSE))</f>
        <v>3</v>
      </c>
      <c r="AF40" s="88" t="str">
        <f>VLOOKUP($B40,'2007-2020 Metadata'!$A$4:$S$214,MATCH("Site type",'2007-2020 Metadata'!$A$4:$S$4,0),FALSE)</f>
        <v>SH</v>
      </c>
      <c r="AG40" s="143">
        <f t="shared" si="11"/>
        <v>6.8</v>
      </c>
      <c r="AH40" s="143">
        <f t="shared" si="12"/>
        <v>20.3</v>
      </c>
      <c r="AI40" s="144" t="str">
        <f t="shared" si="13"/>
        <v/>
      </c>
    </row>
    <row r="41" spans="1:36" ht="12" customHeight="1" x14ac:dyDescent="0.15">
      <c r="B41" s="11" t="s">
        <v>72</v>
      </c>
      <c r="C41" s="58" t="str">
        <f>IF(ISERROR(VLOOKUP($B41,'Monthly Summary 2008'!$B$7:$U$62,14,FALSE)&gt;0),"",VLOOKUP($B41,'Monthly Summary 2008'!$B$7:$U$62,14,FALSE))</f>
        <v/>
      </c>
      <c r="D41" s="12"/>
      <c r="E41" s="62"/>
      <c r="F41" s="62"/>
      <c r="G41" s="62">
        <v>18.399999999999999</v>
      </c>
      <c r="H41" s="62">
        <v>23.9</v>
      </c>
      <c r="I41" s="62">
        <v>21</v>
      </c>
      <c r="J41" s="62">
        <v>20.9</v>
      </c>
      <c r="K41" s="62">
        <v>15.4</v>
      </c>
      <c r="L41" s="62">
        <v>17.899999999999999</v>
      </c>
      <c r="M41" s="62">
        <v>19.100000000000001</v>
      </c>
      <c r="N41" s="62"/>
      <c r="O41" s="62">
        <v>11.7</v>
      </c>
      <c r="P41" s="63">
        <f t="shared" si="4"/>
        <v>18.537499999999998</v>
      </c>
      <c r="Q41" s="38">
        <f t="shared" si="0"/>
        <v>0.66666666666666663</v>
      </c>
      <c r="R41" s="140" t="str">
        <f t="shared" si="5"/>
        <v/>
      </c>
      <c r="S41" s="24">
        <f t="shared" si="6"/>
        <v>0</v>
      </c>
      <c r="T41" s="140">
        <f t="shared" si="7"/>
        <v>18.066666666666666</v>
      </c>
      <c r="U41" s="150">
        <f t="shared" si="8"/>
        <v>1</v>
      </c>
      <c r="V41" s="141" t="str">
        <f t="shared" si="9"/>
        <v>-</v>
      </c>
      <c r="W41" s="142">
        <f t="shared" si="10"/>
        <v>0.66666666666666663</v>
      </c>
      <c r="X41" s="144" t="str">
        <f t="shared" si="27"/>
        <v/>
      </c>
      <c r="Y41" s="144">
        <f t="shared" si="28"/>
        <v>21.458974358974356</v>
      </c>
      <c r="Z41" s="144" t="str">
        <f t="shared" si="26"/>
        <v/>
      </c>
      <c r="AA41" s="10"/>
      <c r="AB41" s="357" t="str">
        <f>VLOOKUP($B41,'2007-2020 Metadata'!$A$4:$S$214,MATCH("Urban Area /Monitoring Zone",'2007-2020 Metadata'!$A$4:$S$4,0),FALSE)</f>
        <v>Auckland - Western</v>
      </c>
      <c r="AC41" s="87" t="str">
        <f>VLOOKUP(B41,'2007-2020 Metadata'!$A$6:$A$214,1,FALSE)</f>
        <v>AUC051</v>
      </c>
      <c r="AD41" s="230" t="str">
        <f>VLOOKUP($AC41,'2007-2020 Metadata'!$A$6:$S$214,9,FALSE)</f>
        <v>Waitakere</v>
      </c>
      <c r="AE41" s="248">
        <f>IF(ISBLANK(VLOOKUP($AC41,'2007-2020 Metadata'!$A$6:$S$214,19,FALSE)),"",VLOOKUP($AC41,'2007-2020 Metadata'!$A$6:$S$214,19,FALSE))</f>
        <v>3</v>
      </c>
      <c r="AF41" s="88" t="str">
        <f>VLOOKUP($B41,'2007-2020 Metadata'!$A$4:$S$214,MATCH("Site type",'2007-2020 Metadata'!$A$4:$S$4,0),FALSE)</f>
        <v>SH</v>
      </c>
      <c r="AG41" s="143">
        <f t="shared" si="11"/>
        <v>11.7</v>
      </c>
      <c r="AH41" s="143">
        <f t="shared" si="12"/>
        <v>23.9</v>
      </c>
      <c r="AI41" s="144" t="str">
        <f t="shared" si="13"/>
        <v xml:space="preserve"> </v>
      </c>
    </row>
    <row r="42" spans="1:36" ht="12" customHeight="1" x14ac:dyDescent="0.15">
      <c r="B42" s="11" t="s">
        <v>73</v>
      </c>
      <c r="C42" s="58" t="str">
        <f>IF(ISERROR(VLOOKUP($B42,'Monthly Summary 2008'!$B$7:$U$62,14,FALSE)&gt;0),"",VLOOKUP($B42,'Monthly Summary 2008'!$B$7:$U$62,14,FALSE))</f>
        <v/>
      </c>
      <c r="D42" s="12"/>
      <c r="E42" s="62"/>
      <c r="F42" s="62"/>
      <c r="G42" s="62">
        <v>20.5</v>
      </c>
      <c r="H42" s="62">
        <v>20.9</v>
      </c>
      <c r="I42" s="62">
        <v>30.8</v>
      </c>
      <c r="J42" s="62">
        <v>25.5</v>
      </c>
      <c r="K42" s="62">
        <v>23.5</v>
      </c>
      <c r="L42" s="62">
        <v>21.6</v>
      </c>
      <c r="M42" s="62">
        <v>16.600000000000001</v>
      </c>
      <c r="N42" s="62">
        <v>17.100000000000001</v>
      </c>
      <c r="O42" s="62">
        <v>9.6</v>
      </c>
      <c r="P42" s="63">
        <f t="shared" si="4"/>
        <v>20.677777777777777</v>
      </c>
      <c r="Q42" s="38">
        <f t="shared" si="0"/>
        <v>0.75</v>
      </c>
      <c r="R42" s="140" t="str">
        <f t="shared" si="5"/>
        <v/>
      </c>
      <c r="S42" s="24">
        <f t="shared" si="6"/>
        <v>0</v>
      </c>
      <c r="T42" s="140">
        <f t="shared" si="7"/>
        <v>23.533333333333331</v>
      </c>
      <c r="U42" s="150">
        <f t="shared" si="8"/>
        <v>1</v>
      </c>
      <c r="V42" s="141" t="str">
        <f t="shared" si="9"/>
        <v>-</v>
      </c>
      <c r="W42" s="142">
        <f t="shared" si="10"/>
        <v>0.75</v>
      </c>
      <c r="X42" s="144" t="str">
        <f t="shared" si="27"/>
        <v/>
      </c>
      <c r="Y42" s="144">
        <f t="shared" si="28"/>
        <v>21.458974358974356</v>
      </c>
      <c r="Z42" s="144" t="str">
        <f t="shared" si="26"/>
        <v/>
      </c>
      <c r="AA42" s="10"/>
      <c r="AB42" s="357" t="str">
        <f>VLOOKUP($B42,'2007-2020 Metadata'!$A$4:$S$214,MATCH("Urban Area /Monitoring Zone",'2007-2020 Metadata'!$A$4:$S$4,0),FALSE)</f>
        <v>Auckland - Western</v>
      </c>
      <c r="AC42" s="87" t="str">
        <f>VLOOKUP(B42,'2007-2020 Metadata'!$A$6:$A$214,1,FALSE)</f>
        <v>AUC052</v>
      </c>
      <c r="AD42" s="230" t="str">
        <f>VLOOKUP($AC42,'2007-2020 Metadata'!$A$6:$S$214,9,FALSE)</f>
        <v>Waitakere</v>
      </c>
      <c r="AE42" s="248">
        <f>IF(ISBLANK(VLOOKUP($AC42,'2007-2020 Metadata'!$A$6:$S$214,19,FALSE)),"",VLOOKUP($AC42,'2007-2020 Metadata'!$A$6:$S$214,19,FALSE))</f>
        <v>3</v>
      </c>
      <c r="AF42" s="88" t="str">
        <f>VLOOKUP($B42,'2007-2020 Metadata'!$A$4:$S$214,MATCH("Site type",'2007-2020 Metadata'!$A$4:$S$4,0),FALSE)</f>
        <v>Local</v>
      </c>
      <c r="AG42" s="143">
        <f t="shared" si="11"/>
        <v>9.6</v>
      </c>
      <c r="AH42" s="143">
        <f t="shared" si="12"/>
        <v>30.8</v>
      </c>
      <c r="AI42" s="144" t="str">
        <f t="shared" si="13"/>
        <v/>
      </c>
    </row>
    <row r="43" spans="1:36" ht="12" customHeight="1" x14ac:dyDescent="0.15">
      <c r="B43" s="11" t="s">
        <v>74</v>
      </c>
      <c r="C43" s="58" t="str">
        <f>IF(ISERROR(VLOOKUP($B43,'Monthly Summary 2008'!$B$7:$U$62,14,FALSE)&gt;0),"",VLOOKUP($B43,'Monthly Summary 2008'!$B$7:$U$62,14,FALSE))</f>
        <v/>
      </c>
      <c r="D43" s="12"/>
      <c r="E43" s="62"/>
      <c r="F43" s="62"/>
      <c r="G43" s="62">
        <v>30.3</v>
      </c>
      <c r="H43" s="62">
        <v>42.8</v>
      </c>
      <c r="I43" s="62">
        <v>43.6</v>
      </c>
      <c r="J43" s="62">
        <v>45.4</v>
      </c>
      <c r="K43" s="62">
        <v>31.7</v>
      </c>
      <c r="L43" s="62">
        <v>32.9</v>
      </c>
      <c r="M43" s="62">
        <v>32.299999999999997</v>
      </c>
      <c r="N43" s="62">
        <v>35</v>
      </c>
      <c r="O43" s="62">
        <v>19.2</v>
      </c>
      <c r="P43" s="63">
        <f t="shared" si="4"/>
        <v>34.799999999999997</v>
      </c>
      <c r="Q43" s="38">
        <f t="shared" si="0"/>
        <v>0.75</v>
      </c>
      <c r="R43" s="140" t="str">
        <f t="shared" si="5"/>
        <v/>
      </c>
      <c r="S43" s="24">
        <f t="shared" si="6"/>
        <v>0</v>
      </c>
      <c r="T43" s="140">
        <f t="shared" si="7"/>
        <v>36.666666666666664</v>
      </c>
      <c r="U43" s="150">
        <f t="shared" si="8"/>
        <v>1</v>
      </c>
      <c r="V43" s="141" t="str">
        <f t="shared" si="9"/>
        <v>-</v>
      </c>
      <c r="W43" s="142">
        <f t="shared" si="10"/>
        <v>0.75</v>
      </c>
      <c r="X43" s="144" t="str">
        <f t="shared" si="27"/>
        <v/>
      </c>
      <c r="Y43" s="144">
        <f t="shared" si="28"/>
        <v>21.458974358974356</v>
      </c>
      <c r="Z43" s="144" t="str">
        <f t="shared" si="26"/>
        <v/>
      </c>
      <c r="AA43" s="10"/>
      <c r="AB43" s="357" t="str">
        <f>VLOOKUP($B43,'2007-2020 Metadata'!$A$4:$S$214,MATCH("Urban Area /Monitoring Zone",'2007-2020 Metadata'!$A$4:$S$4,0),FALSE)</f>
        <v>Auckland - Western</v>
      </c>
      <c r="AC43" s="87" t="str">
        <f>VLOOKUP(B43,'2007-2020 Metadata'!$A$6:$A$214,1,FALSE)</f>
        <v>AUC053</v>
      </c>
      <c r="AD43" s="230" t="str">
        <f>VLOOKUP($AC43,'2007-2020 Metadata'!$A$6:$S$214,9,FALSE)</f>
        <v>Waitakere</v>
      </c>
      <c r="AE43" s="248">
        <f>IF(ISBLANK(VLOOKUP($AC43,'2007-2020 Metadata'!$A$6:$S$214,19,FALSE)),"",VLOOKUP($AC43,'2007-2020 Metadata'!$A$6:$S$214,19,FALSE))</f>
        <v>3</v>
      </c>
      <c r="AF43" s="88" t="str">
        <f>VLOOKUP($B43,'2007-2020 Metadata'!$A$4:$S$214,MATCH("Site type",'2007-2020 Metadata'!$A$4:$S$4,0),FALSE)</f>
        <v>Local</v>
      </c>
      <c r="AG43" s="143">
        <f t="shared" si="11"/>
        <v>19.2</v>
      </c>
      <c r="AH43" s="143">
        <f t="shared" si="12"/>
        <v>45.4</v>
      </c>
      <c r="AI43" s="144" t="str">
        <f t="shared" si="13"/>
        <v/>
      </c>
    </row>
    <row r="44" spans="1:36" ht="12" customHeight="1" x14ac:dyDescent="0.15">
      <c r="B44" s="11" t="s">
        <v>75</v>
      </c>
      <c r="C44" s="58" t="str">
        <f>IF(ISERROR(VLOOKUP($B44,'Monthly Summary 2008'!$B$7:$U$62,14,FALSE)&gt;0),"",VLOOKUP($B44,'Monthly Summary 2008'!$B$7:$U$62,14,FALSE))</f>
        <v/>
      </c>
      <c r="D44" s="12"/>
      <c r="E44" s="62"/>
      <c r="F44" s="62"/>
      <c r="G44" s="62">
        <v>24.1</v>
      </c>
      <c r="H44" s="62">
        <v>19.7</v>
      </c>
      <c r="I44" s="62">
        <v>27.4</v>
      </c>
      <c r="J44" s="62">
        <v>20</v>
      </c>
      <c r="K44" s="62">
        <v>21.3</v>
      </c>
      <c r="L44" s="62">
        <v>18</v>
      </c>
      <c r="M44" s="62">
        <v>10.199999999999999</v>
      </c>
      <c r="N44" s="62">
        <v>10.7</v>
      </c>
      <c r="O44" s="62">
        <v>6</v>
      </c>
      <c r="P44" s="63">
        <f t="shared" si="4"/>
        <v>17.488888888888887</v>
      </c>
      <c r="Q44" s="38">
        <f t="shared" si="0"/>
        <v>0.75</v>
      </c>
      <c r="R44" s="260" t="str">
        <f t="shared" si="5"/>
        <v/>
      </c>
      <c r="S44" s="24">
        <f t="shared" si="6"/>
        <v>0</v>
      </c>
      <c r="T44" s="260">
        <f t="shared" si="7"/>
        <v>19.766666666666666</v>
      </c>
      <c r="U44" s="261">
        <f t="shared" si="8"/>
        <v>1</v>
      </c>
      <c r="V44" s="262" t="str">
        <f t="shared" si="9"/>
        <v>-</v>
      </c>
      <c r="W44" s="261">
        <f t="shared" si="10"/>
        <v>0.75</v>
      </c>
      <c r="X44" s="177" t="str">
        <f t="shared" si="27"/>
        <v/>
      </c>
      <c r="Y44" s="177">
        <f t="shared" si="28"/>
        <v>21.458974358974356</v>
      </c>
      <c r="Z44" s="177" t="s">
        <v>493</v>
      </c>
      <c r="AA44" s="10"/>
      <c r="AB44" s="357" t="str">
        <f>VLOOKUP($B44,'2007-2020 Metadata'!$A$4:$S$214,MATCH("Urban Area /Monitoring Zone",'2007-2020 Metadata'!$A$4:$S$4,0),FALSE)</f>
        <v>Auckland - Western</v>
      </c>
      <c r="AC44" s="259" t="str">
        <f>VLOOKUP(B44,'2007-2020 Metadata'!$A$6:$A$214,1,FALSE)</f>
        <v>AUC054</v>
      </c>
      <c r="AD44" s="256" t="str">
        <f>VLOOKUP($AC44,'2007-2020 Metadata'!$A$6:$S$214,9,FALSE)</f>
        <v>Waitakere</v>
      </c>
      <c r="AE44" s="263">
        <f>IF(ISBLANK(VLOOKUP($AC44,'2007-2020 Metadata'!$A$6:$S$214,19,FALSE)),"",VLOOKUP($AC44,'2007-2020 Metadata'!$A$6:$S$214,19,FALSE))</f>
        <v>3</v>
      </c>
      <c r="AF44" s="257" t="str">
        <f>VLOOKUP($B44,'2007-2020 Metadata'!$A$4:$S$214,MATCH("Site type",'2007-2020 Metadata'!$A$4:$S$4,0),FALSE)</f>
        <v>Local</v>
      </c>
      <c r="AG44" s="258">
        <f>MIN(AVERAGE(G$44:G$46),AVERAGE(H$44:H$46),AVERAGE(I$44:I$46),AVERAGE(J$44:J$46),AVERAGE(K$44:K$46),AVERAGE(L$44:L$46),AVERAGE(M$44:M$46),AVERAGE(N$44:N$46),AVERAGE(O$44:O$46))</f>
        <v>6.666666666666667</v>
      </c>
      <c r="AH44" s="258">
        <f>MAX(AVERAGE(G$44:G$46),AVERAGE(H$44:H$46),AVERAGE(I$44:I$46),AVERAGE(J$44:J$46),AVERAGE(K$44:K$46),AVERAGE(L$44:L$46),AVERAGE(M$44:M$46),AVERAGE(N$44:N$46),AVERAGE(O$44:O$46))</f>
        <v>26.366666666666664</v>
      </c>
      <c r="AI44" s="177" t="str">
        <f t="shared" si="13"/>
        <v>-</v>
      </c>
      <c r="AJ44" s="10" t="s">
        <v>553</v>
      </c>
    </row>
    <row r="45" spans="1:36" ht="12" customHeight="1" x14ac:dyDescent="0.15">
      <c r="B45" s="11" t="s">
        <v>76</v>
      </c>
      <c r="C45" s="58" t="str">
        <f>IF(ISERROR(VLOOKUP($B45,'Monthly Summary 2008'!$B$7:$U$62,14,FALSE)&gt;0),"",VLOOKUP($B45,'Monthly Summary 2008'!$B$7:$U$62,14,FALSE))</f>
        <v/>
      </c>
      <c r="D45" s="12"/>
      <c r="E45" s="62"/>
      <c r="F45" s="62"/>
      <c r="G45" s="62">
        <v>21.8</v>
      </c>
      <c r="H45" s="62">
        <v>22.1</v>
      </c>
      <c r="I45" s="62">
        <v>26.4</v>
      </c>
      <c r="J45" s="62">
        <v>20.2</v>
      </c>
      <c r="K45" s="62">
        <v>24.2</v>
      </c>
      <c r="L45" s="62">
        <v>17.899999999999999</v>
      </c>
      <c r="M45" s="62">
        <v>8.6999999999999993</v>
      </c>
      <c r="N45" s="62">
        <v>10.199999999999999</v>
      </c>
      <c r="O45" s="62">
        <v>7.5</v>
      </c>
      <c r="P45" s="63">
        <f t="shared" si="4"/>
        <v>17.666666666666668</v>
      </c>
      <c r="Q45" s="38">
        <f t="shared" si="0"/>
        <v>0.75</v>
      </c>
      <c r="R45" s="260" t="str">
        <f t="shared" si="5"/>
        <v/>
      </c>
      <c r="S45" s="24">
        <f t="shared" si="6"/>
        <v>0</v>
      </c>
      <c r="T45" s="260">
        <f t="shared" si="7"/>
        <v>20.766666666666666</v>
      </c>
      <c r="U45" s="261">
        <f t="shared" si="8"/>
        <v>1</v>
      </c>
      <c r="V45" s="262" t="str">
        <f t="shared" si="9"/>
        <v>-</v>
      </c>
      <c r="W45" s="261">
        <f t="shared" si="10"/>
        <v>0.75</v>
      </c>
      <c r="X45" s="177" t="str">
        <f t="shared" si="27"/>
        <v/>
      </c>
      <c r="Y45" s="177">
        <f t="shared" si="28"/>
        <v>21.458974358974356</v>
      </c>
      <c r="Z45" s="177" t="s">
        <v>493</v>
      </c>
      <c r="AA45" s="10"/>
      <c r="AB45" s="357" t="str">
        <f>VLOOKUP($B45,'2007-2020 Metadata'!$A$4:$S$214,MATCH("Urban Area /Monitoring Zone",'2007-2020 Metadata'!$A$4:$S$4,0),FALSE)</f>
        <v>Auckland - Western</v>
      </c>
      <c r="AC45" s="259" t="str">
        <f>VLOOKUP(B45,'2007-2020 Metadata'!$A$6:$A$214,1,FALSE)</f>
        <v>AUC055</v>
      </c>
      <c r="AD45" s="256" t="str">
        <f>VLOOKUP($AC45,'2007-2020 Metadata'!$A$6:$S$214,9,FALSE)</f>
        <v>Waitakere</v>
      </c>
      <c r="AE45" s="263">
        <f>IF(ISBLANK(VLOOKUP($AC45,'2007-2020 Metadata'!$A$6:$S$214,19,FALSE)),"",VLOOKUP($AC45,'2007-2020 Metadata'!$A$6:$S$214,19,FALSE))</f>
        <v>3</v>
      </c>
      <c r="AF45" s="257" t="str">
        <f>VLOOKUP($B45,'2007-2020 Metadata'!$A$4:$S$214,MATCH("Site type",'2007-2020 Metadata'!$A$4:$S$4,0),FALSE)</f>
        <v>Local</v>
      </c>
      <c r="AG45" s="258">
        <f t="shared" ref="AG45:AG46" si="29">MIN(AVERAGE(G$44:G$46),AVERAGE(H$44:H$46),AVERAGE(I$44:I$46),AVERAGE(J$44:J$46),AVERAGE(K$44:K$46),AVERAGE(L$44:L$46),AVERAGE(M$44:M$46),AVERAGE(N$44:N$46),AVERAGE(O$44:O$46))</f>
        <v>6.666666666666667</v>
      </c>
      <c r="AH45" s="258">
        <f t="shared" ref="AH45:AH46" si="30">MAX(AVERAGE(G$44:G$46),AVERAGE(H$44:H$46),AVERAGE(I$44:I$46),AVERAGE(J$44:J$46),AVERAGE(K$44:K$46),AVERAGE(L$44:L$46),AVERAGE(M$44:M$46),AVERAGE(N$44:N$46),AVERAGE(O$44:O$46))</f>
        <v>26.366666666666664</v>
      </c>
      <c r="AI45" s="177" t="str">
        <f t="shared" si="13"/>
        <v>-</v>
      </c>
      <c r="AJ45" s="10" t="s">
        <v>553</v>
      </c>
    </row>
    <row r="46" spans="1:36" ht="12" customHeight="1" x14ac:dyDescent="0.15">
      <c r="B46" s="11" t="s">
        <v>77</v>
      </c>
      <c r="C46" s="58" t="str">
        <f>IF(ISERROR(VLOOKUP($B46,'Monthly Summary 2008'!$B$7:$U$62,14,FALSE)&gt;0),"",VLOOKUP($B46,'Monthly Summary 2008'!$B$7:$U$62,14,FALSE))</f>
        <v/>
      </c>
      <c r="D46" s="12"/>
      <c r="E46" s="62"/>
      <c r="F46" s="62"/>
      <c r="G46" s="62">
        <v>24.6</v>
      </c>
      <c r="H46" s="62">
        <v>20.7</v>
      </c>
      <c r="I46" s="62">
        <v>25.3</v>
      </c>
      <c r="J46" s="62">
        <v>22.2</v>
      </c>
      <c r="K46" s="62">
        <v>19.8</v>
      </c>
      <c r="L46" s="62">
        <v>18.100000000000001</v>
      </c>
      <c r="M46" s="62">
        <v>9</v>
      </c>
      <c r="N46" s="62">
        <v>10.9</v>
      </c>
      <c r="O46" s="62">
        <v>6.5</v>
      </c>
      <c r="P46" s="63">
        <f t="shared" si="4"/>
        <v>17.455555555555556</v>
      </c>
      <c r="Q46" s="38">
        <f t="shared" si="0"/>
        <v>0.75</v>
      </c>
      <c r="R46" s="260" t="str">
        <f t="shared" si="5"/>
        <v/>
      </c>
      <c r="S46" s="24">
        <f t="shared" si="6"/>
        <v>0</v>
      </c>
      <c r="T46" s="260">
        <f t="shared" si="7"/>
        <v>20.033333333333335</v>
      </c>
      <c r="U46" s="261">
        <f t="shared" si="8"/>
        <v>1</v>
      </c>
      <c r="V46" s="262" t="str">
        <f t="shared" si="9"/>
        <v>-</v>
      </c>
      <c r="W46" s="261">
        <f t="shared" si="10"/>
        <v>0.75</v>
      </c>
      <c r="X46" s="177" t="str">
        <f t="shared" si="27"/>
        <v/>
      </c>
      <c r="Y46" s="177">
        <f t="shared" si="28"/>
        <v>21.458974358974356</v>
      </c>
      <c r="Z46" s="177" t="s">
        <v>493</v>
      </c>
      <c r="AA46" s="10"/>
      <c r="AB46" s="357" t="str">
        <f>VLOOKUP($B46,'2007-2020 Metadata'!$A$4:$S$214,MATCH("Urban Area /Monitoring Zone",'2007-2020 Metadata'!$A$4:$S$4,0),FALSE)</f>
        <v>Auckland - Western</v>
      </c>
      <c r="AC46" s="259" t="str">
        <f>VLOOKUP(B46,'2007-2020 Metadata'!$A$6:$A$214,1,FALSE)</f>
        <v>AUC056</v>
      </c>
      <c r="AD46" s="256" t="str">
        <f>VLOOKUP($AC46,'2007-2020 Metadata'!$A$6:$S$214,9,FALSE)</f>
        <v>Waitakere</v>
      </c>
      <c r="AE46" s="263">
        <f>IF(ISBLANK(VLOOKUP($AC46,'2007-2020 Metadata'!$A$6:$S$214,19,FALSE)),"",VLOOKUP($AC46,'2007-2020 Metadata'!$A$6:$S$214,19,FALSE))</f>
        <v>3</v>
      </c>
      <c r="AF46" s="257" t="str">
        <f>VLOOKUP($B46,'2007-2020 Metadata'!$A$4:$S$214,MATCH("Site type",'2007-2020 Metadata'!$A$4:$S$4,0),FALSE)</f>
        <v>Local</v>
      </c>
      <c r="AG46" s="258">
        <f t="shared" si="29"/>
        <v>6.666666666666667</v>
      </c>
      <c r="AH46" s="258">
        <f t="shared" si="30"/>
        <v>26.366666666666664</v>
      </c>
      <c r="AI46" s="177" t="str">
        <f t="shared" si="13"/>
        <v>-</v>
      </c>
      <c r="AJ46" s="10" t="s">
        <v>553</v>
      </c>
    </row>
    <row r="47" spans="1:36" ht="12" customHeight="1" x14ac:dyDescent="0.15">
      <c r="B47" s="11" t="s">
        <v>78</v>
      </c>
      <c r="C47" s="58" t="str">
        <f>IF(ISERROR(VLOOKUP($B47,'Monthly Summary 2008'!$B$7:$U$62,14,FALSE)&gt;0),"",VLOOKUP($B47,'Monthly Summary 2008'!$B$7:$U$62,14,FALSE))</f>
        <v/>
      </c>
      <c r="D47" s="12"/>
      <c r="E47" s="62"/>
      <c r="F47" s="62"/>
      <c r="G47" s="62">
        <v>14.3</v>
      </c>
      <c r="H47" s="62">
        <v>11.2</v>
      </c>
      <c r="I47" s="62">
        <v>16.8</v>
      </c>
      <c r="J47" s="62">
        <v>13.3</v>
      </c>
      <c r="K47" s="62">
        <v>10.5</v>
      </c>
      <c r="L47" s="62">
        <v>9.6</v>
      </c>
      <c r="M47" s="62">
        <v>5.8</v>
      </c>
      <c r="N47" s="62">
        <v>6.8</v>
      </c>
      <c r="O47" s="62">
        <v>3.4</v>
      </c>
      <c r="P47" s="63">
        <f t="shared" si="4"/>
        <v>10.188888888888888</v>
      </c>
      <c r="Q47" s="38">
        <f t="shared" si="0"/>
        <v>0.75</v>
      </c>
      <c r="R47" s="260" t="str">
        <f t="shared" si="5"/>
        <v/>
      </c>
      <c r="S47" s="24">
        <f t="shared" si="6"/>
        <v>0</v>
      </c>
      <c r="T47" s="260">
        <f t="shared" si="7"/>
        <v>11.133333333333333</v>
      </c>
      <c r="U47" s="261">
        <f t="shared" si="8"/>
        <v>1</v>
      </c>
      <c r="V47" s="262" t="str">
        <f t="shared" si="9"/>
        <v>-</v>
      </c>
      <c r="W47" s="261">
        <f t="shared" si="10"/>
        <v>0.75</v>
      </c>
      <c r="X47" s="177" t="str">
        <f t="shared" si="27"/>
        <v/>
      </c>
      <c r="Y47" s="177">
        <f t="shared" si="28"/>
        <v>21.458974358974356</v>
      </c>
      <c r="Z47" s="177" t="s">
        <v>493</v>
      </c>
      <c r="AA47" s="10"/>
      <c r="AB47" s="357" t="str">
        <f>VLOOKUP($B47,'2007-2020 Metadata'!$A$4:$S$214,MATCH("Urban Area /Monitoring Zone",'2007-2020 Metadata'!$A$4:$S$4,0),FALSE)</f>
        <v>Auckland - Western</v>
      </c>
      <c r="AC47" s="259" t="str">
        <f>VLOOKUP(B47,'2007-2020 Metadata'!$A$6:$A$214,1,FALSE)</f>
        <v>AUC057</v>
      </c>
      <c r="AD47" s="256" t="str">
        <f>VLOOKUP($AC47,'2007-2020 Metadata'!$A$6:$S$214,9,FALSE)</f>
        <v>Waitakere</v>
      </c>
      <c r="AE47" s="263">
        <f>IF(ISBLANK(VLOOKUP($AC47,'2007-2020 Metadata'!$A$6:$S$214,19,FALSE)),"",VLOOKUP($AC47,'2007-2020 Metadata'!$A$6:$S$214,19,FALSE))</f>
        <v>3</v>
      </c>
      <c r="AF47" s="257" t="str">
        <f>VLOOKUP($B47,'2007-2020 Metadata'!$A$4:$S$214,MATCH("Site type",'2007-2020 Metadata'!$A$4:$S$4,0),FALSE)</f>
        <v>Background</v>
      </c>
      <c r="AG47" s="258">
        <f>MIN(AVERAGE(G$47:G$49),AVERAGE(H$47:H$49),AVERAGE(I$47:I$49),AVERAGE(J$47:J$49),AVERAGE(K$47:K$49),AVERAGE(L$47:L$49),AVERAGE(M$47:M$49),AVERAGE(N$47:N$49),AVERAGE(O$47:O$49))</f>
        <v>3.5</v>
      </c>
      <c r="AH47" s="258">
        <f>MAX(AVERAGE(G$47:G$49),AVERAGE(H$47:H$49),AVERAGE(I$47:I$49),AVERAGE(J$47:J$49),AVERAGE(K$47:K$49),AVERAGE(L$47:L$49),AVERAGE(M$47:M$49),AVERAGE(N$47:N$49),AVERAGE(O$47:O$49))</f>
        <v>15.666666666666666</v>
      </c>
      <c r="AI47" s="177" t="str">
        <f t="shared" si="13"/>
        <v>-</v>
      </c>
      <c r="AJ47" s="10" t="s">
        <v>553</v>
      </c>
    </row>
    <row r="48" spans="1:36" ht="12" customHeight="1" x14ac:dyDescent="0.15">
      <c r="B48" s="11" t="s">
        <v>79</v>
      </c>
      <c r="C48" s="58" t="str">
        <f>IF(ISERROR(VLOOKUP($B48,'Monthly Summary 2008'!$B$7:$U$62,14,FALSE)&gt;0),"",VLOOKUP($B48,'Monthly Summary 2008'!$B$7:$U$62,14,FALSE))</f>
        <v/>
      </c>
      <c r="D48" s="12"/>
      <c r="E48" s="62"/>
      <c r="F48" s="62"/>
      <c r="G48" s="62">
        <v>12.5</v>
      </c>
      <c r="H48" s="62">
        <v>13.9</v>
      </c>
      <c r="I48" s="62">
        <v>14.4</v>
      </c>
      <c r="J48" s="62">
        <v>13.6</v>
      </c>
      <c r="K48" s="62">
        <v>10.1</v>
      </c>
      <c r="L48" s="62">
        <v>8.6999999999999993</v>
      </c>
      <c r="M48" s="62">
        <v>5.5</v>
      </c>
      <c r="N48" s="62">
        <v>6.7</v>
      </c>
      <c r="O48" s="62">
        <v>4.0999999999999996</v>
      </c>
      <c r="P48" s="63">
        <f t="shared" si="4"/>
        <v>9.9444444444444446</v>
      </c>
      <c r="Q48" s="38">
        <f t="shared" si="0"/>
        <v>0.75</v>
      </c>
      <c r="R48" s="260" t="str">
        <f t="shared" si="5"/>
        <v/>
      </c>
      <c r="S48" s="24">
        <f t="shared" si="6"/>
        <v>0</v>
      </c>
      <c r="T48" s="260">
        <f t="shared" si="7"/>
        <v>10.799999999999999</v>
      </c>
      <c r="U48" s="261">
        <f t="shared" si="8"/>
        <v>1</v>
      </c>
      <c r="V48" s="262" t="str">
        <f t="shared" si="9"/>
        <v>-</v>
      </c>
      <c r="W48" s="261">
        <f t="shared" si="10"/>
        <v>0.75</v>
      </c>
      <c r="X48" s="177" t="str">
        <f t="shared" si="27"/>
        <v/>
      </c>
      <c r="Y48" s="177">
        <f t="shared" si="28"/>
        <v>21.458974358974356</v>
      </c>
      <c r="Z48" s="177" t="s">
        <v>493</v>
      </c>
      <c r="AA48" s="10"/>
      <c r="AB48" s="357" t="str">
        <f>VLOOKUP($B48,'2007-2020 Metadata'!$A$4:$S$214,MATCH("Urban Area /Monitoring Zone",'2007-2020 Metadata'!$A$4:$S$4,0),FALSE)</f>
        <v>Auckland - Western</v>
      </c>
      <c r="AC48" s="259" t="str">
        <f>VLOOKUP(B48,'2007-2020 Metadata'!$A$6:$A$214,1,FALSE)</f>
        <v>AUC058</v>
      </c>
      <c r="AD48" s="256" t="str">
        <f>VLOOKUP($AC48,'2007-2020 Metadata'!$A$6:$S$214,9,FALSE)</f>
        <v>Waitakere</v>
      </c>
      <c r="AE48" s="263">
        <f>IF(ISBLANK(VLOOKUP($AC48,'2007-2020 Metadata'!$A$6:$S$214,19,FALSE)),"",VLOOKUP($AC48,'2007-2020 Metadata'!$A$6:$S$214,19,FALSE))</f>
        <v>3</v>
      </c>
      <c r="AF48" s="257" t="str">
        <f>VLOOKUP($B48,'2007-2020 Metadata'!$A$4:$S$214,MATCH("Site type",'2007-2020 Metadata'!$A$4:$S$4,0),FALSE)</f>
        <v>Background</v>
      </c>
      <c r="AG48" s="258">
        <f t="shared" ref="AG48:AG49" si="31">MIN(AVERAGE(G$47:G$49),AVERAGE(H$47:H$49),AVERAGE(I$47:I$49),AVERAGE(J$47:J$49),AVERAGE(K$47:K$49),AVERAGE(L$47:L$49),AVERAGE(M$47:M$49),AVERAGE(N$47:N$49),AVERAGE(O$47:O$49))</f>
        <v>3.5</v>
      </c>
      <c r="AH48" s="258">
        <f t="shared" ref="AH48:AH49" si="32">MAX(AVERAGE(G$47:G$49),AVERAGE(H$47:H$49),AVERAGE(I$47:I$49),AVERAGE(J$47:J$49),AVERAGE(K$47:K$49),AVERAGE(L$47:L$49),AVERAGE(M$47:M$49),AVERAGE(N$47:N$49),AVERAGE(O$47:O$49))</f>
        <v>15.666666666666666</v>
      </c>
      <c r="AI48" s="177" t="str">
        <f t="shared" si="13"/>
        <v>-</v>
      </c>
      <c r="AJ48" s="10" t="s">
        <v>553</v>
      </c>
    </row>
    <row r="49" spans="1:36" ht="12" customHeight="1" x14ac:dyDescent="0.15">
      <c r="B49" s="11" t="s">
        <v>80</v>
      </c>
      <c r="C49" s="58" t="str">
        <f>IF(ISERROR(VLOOKUP($B49,'Monthly Summary 2008'!$B$7:$U$62,14,FALSE)&gt;0),"",VLOOKUP($B49,'Monthly Summary 2008'!$B$7:$U$62,14,FALSE))</f>
        <v/>
      </c>
      <c r="D49" s="12"/>
      <c r="E49" s="62"/>
      <c r="F49" s="62"/>
      <c r="G49" s="62">
        <v>12.9</v>
      </c>
      <c r="H49" s="62">
        <v>12.7</v>
      </c>
      <c r="I49" s="62">
        <v>15.8</v>
      </c>
      <c r="J49" s="62">
        <v>11</v>
      </c>
      <c r="K49" s="62">
        <v>9.6</v>
      </c>
      <c r="L49" s="62">
        <v>8.1</v>
      </c>
      <c r="M49" s="62">
        <v>5.5</v>
      </c>
      <c r="N49" s="62">
        <v>6.3</v>
      </c>
      <c r="O49" s="62">
        <v>3</v>
      </c>
      <c r="P49" s="63">
        <f t="shared" si="4"/>
        <v>9.4333333333333336</v>
      </c>
      <c r="Q49" s="38">
        <f t="shared" si="0"/>
        <v>0.75</v>
      </c>
      <c r="R49" s="260" t="str">
        <f t="shared" si="5"/>
        <v/>
      </c>
      <c r="S49" s="24">
        <f t="shared" si="6"/>
        <v>0</v>
      </c>
      <c r="T49" s="260">
        <f t="shared" si="7"/>
        <v>9.5666666666666682</v>
      </c>
      <c r="U49" s="261">
        <f t="shared" si="8"/>
        <v>1</v>
      </c>
      <c r="V49" s="262" t="str">
        <f t="shared" si="9"/>
        <v>-</v>
      </c>
      <c r="W49" s="261">
        <f t="shared" si="10"/>
        <v>0.75</v>
      </c>
      <c r="X49" s="177" t="str">
        <f t="shared" si="27"/>
        <v/>
      </c>
      <c r="Y49" s="177">
        <f t="shared" si="28"/>
        <v>21.458974358974356</v>
      </c>
      <c r="Z49" s="177" t="s">
        <v>493</v>
      </c>
      <c r="AA49" s="10"/>
      <c r="AB49" s="357" t="str">
        <f>VLOOKUP($B49,'2007-2020 Metadata'!$A$4:$S$214,MATCH("Urban Area /Monitoring Zone",'2007-2020 Metadata'!$A$4:$S$4,0),FALSE)</f>
        <v>Auckland - Western</v>
      </c>
      <c r="AC49" s="259" t="str">
        <f>VLOOKUP(B49,'2007-2020 Metadata'!$A$6:$A$214,1,FALSE)</f>
        <v>AUC059</v>
      </c>
      <c r="AD49" s="256" t="str">
        <f>VLOOKUP($AC49,'2007-2020 Metadata'!$A$6:$S$214,9,FALSE)</f>
        <v>Waitakere</v>
      </c>
      <c r="AE49" s="263">
        <f>IF(ISBLANK(VLOOKUP($AC49,'2007-2020 Metadata'!$A$6:$S$214,19,FALSE)),"",VLOOKUP($AC49,'2007-2020 Metadata'!$A$6:$S$214,19,FALSE))</f>
        <v>3</v>
      </c>
      <c r="AF49" s="257" t="str">
        <f>VLOOKUP($B49,'2007-2020 Metadata'!$A$4:$S$214,MATCH("Site type",'2007-2020 Metadata'!$A$4:$S$4,0),FALSE)</f>
        <v>Background</v>
      </c>
      <c r="AG49" s="258">
        <f t="shared" si="31"/>
        <v>3.5</v>
      </c>
      <c r="AH49" s="258">
        <f t="shared" si="32"/>
        <v>15.666666666666666</v>
      </c>
      <c r="AI49" s="177" t="str">
        <f t="shared" si="13"/>
        <v>-</v>
      </c>
      <c r="AJ49" s="10" t="s">
        <v>553</v>
      </c>
    </row>
    <row r="50" spans="1:36" ht="12" customHeight="1" x14ac:dyDescent="0.15">
      <c r="B50" s="11" t="s">
        <v>81</v>
      </c>
      <c r="C50" s="58" t="str">
        <f>IF(ISERROR(VLOOKUP($B50,'Monthly Summary 2008'!$B$7:$U$62,14,FALSE)&gt;0),"",VLOOKUP($B50,'Monthly Summary 2008'!$B$7:$U$62,14,FALSE))</f>
        <v/>
      </c>
      <c r="D50" s="12"/>
      <c r="E50" s="62"/>
      <c r="F50" s="62"/>
      <c r="G50" s="62">
        <v>39</v>
      </c>
      <c r="H50" s="62">
        <v>41</v>
      </c>
      <c r="I50" s="62">
        <v>41.1</v>
      </c>
      <c r="J50" s="62">
        <v>51.1</v>
      </c>
      <c r="K50" s="62">
        <v>44.1</v>
      </c>
      <c r="L50" s="62">
        <v>39.700000000000003</v>
      </c>
      <c r="M50" s="62">
        <v>39.9</v>
      </c>
      <c r="N50" s="62">
        <v>42.5</v>
      </c>
      <c r="O50" s="62">
        <v>29.1</v>
      </c>
      <c r="P50" s="63">
        <f t="shared" si="4"/>
        <v>40.833333333333336</v>
      </c>
      <c r="Q50" s="38">
        <f t="shared" si="0"/>
        <v>0.75</v>
      </c>
      <c r="R50" s="140" t="str">
        <f t="shared" si="5"/>
        <v/>
      </c>
      <c r="S50" s="24">
        <f t="shared" si="6"/>
        <v>0</v>
      </c>
      <c r="T50" s="140">
        <f t="shared" si="7"/>
        <v>44.966666666666669</v>
      </c>
      <c r="U50" s="150">
        <f t="shared" si="8"/>
        <v>1</v>
      </c>
      <c r="V50" s="141" t="str">
        <f t="shared" si="9"/>
        <v>-</v>
      </c>
      <c r="W50" s="142">
        <f t="shared" si="10"/>
        <v>0.75</v>
      </c>
      <c r="X50" s="144">
        <f t="shared" si="27"/>
        <v>22.483333333333334</v>
      </c>
      <c r="Y50" s="144">
        <f t="shared" si="28"/>
        <v>34.097619047619048</v>
      </c>
      <c r="Z50" s="144">
        <f t="shared" ref="Z50:Z81" si="33">IF(VLOOKUP($B50,$AC$6:$AI$159,3,FALSE)="",$V50,IF(ISERROR(AVERAGEIF($AD$6:$AD$111,VLOOKUP($B50,$AC$6:$AI$159,2,FALSE),$V$6:$V$159)),"",AVERAGEIF($AD$6:$AD$111,VLOOKUP($B50,$AC$6:$AI$159,2,FALSE),$V$6:$V$159)))</f>
        <v>30.57721590909091</v>
      </c>
      <c r="AA50" s="10"/>
      <c r="AB50" s="357" t="str">
        <f>VLOOKUP($B50,'2007-2020 Metadata'!$A$4:$S$214,MATCH("Urban Area /Monitoring Zone",'2007-2020 Metadata'!$A$4:$S$4,0),FALSE)</f>
        <v>Auckland - Central</v>
      </c>
      <c r="AC50" s="87" t="str">
        <f>VLOOKUP(B50,'2007-2020 Metadata'!$A$6:$A$214,1,FALSE)</f>
        <v>AUC060</v>
      </c>
      <c r="AD50" s="230" t="str">
        <f>VLOOKUP($AC50,'2007-2020 Metadata'!$A$6:$S$214,9,FALSE)</f>
        <v>Auckland</v>
      </c>
      <c r="AE50" s="248">
        <f>IF(ISBLANK(VLOOKUP($AC50,'2007-2020 Metadata'!$A$6:$S$214,19,FALSE)),"",VLOOKUP($AC50,'2007-2020 Metadata'!$A$6:$S$214,19,FALSE))</f>
        <v>3</v>
      </c>
      <c r="AF50" s="88" t="str">
        <f>VLOOKUP($B50,'2007-2020 Metadata'!$A$4:$S$214,MATCH("Site type",'2007-2020 Metadata'!$A$4:$S$4,0),FALSE)</f>
        <v>Local</v>
      </c>
      <c r="AG50" s="143">
        <f t="shared" si="11"/>
        <v>29.1</v>
      </c>
      <c r="AH50" s="143">
        <f t="shared" si="12"/>
        <v>51.1</v>
      </c>
      <c r="AI50" s="144">
        <f t="shared" si="13"/>
        <v>30.57721590909091</v>
      </c>
    </row>
    <row r="51" spans="1:36" ht="12" customHeight="1" x14ac:dyDescent="0.15">
      <c r="B51" s="11" t="s">
        <v>82</v>
      </c>
      <c r="C51" s="58" t="str">
        <f>IF(ISERROR(VLOOKUP($B51,'Monthly Summary 2008'!$B$7:$U$62,14,FALSE)&gt;0),"",VLOOKUP($B51,'Monthly Summary 2008'!$B$7:$U$62,14,FALSE))</f>
        <v/>
      </c>
      <c r="D51" s="12"/>
      <c r="E51" s="62"/>
      <c r="F51" s="62"/>
      <c r="G51" s="62">
        <v>31.1</v>
      </c>
      <c r="H51" s="62">
        <v>41</v>
      </c>
      <c r="I51" s="62">
        <v>33.799999999999997</v>
      </c>
      <c r="J51" s="62">
        <v>40.6</v>
      </c>
      <c r="K51" s="62">
        <v>21.6</v>
      </c>
      <c r="L51" s="62">
        <v>31.5</v>
      </c>
      <c r="M51" s="62">
        <v>27.6</v>
      </c>
      <c r="N51" s="62">
        <v>18.7</v>
      </c>
      <c r="O51" s="62">
        <v>18.899999999999999</v>
      </c>
      <c r="P51" s="63">
        <f t="shared" si="4"/>
        <v>29.422222222222217</v>
      </c>
      <c r="Q51" s="38">
        <f t="shared" si="0"/>
        <v>0.75</v>
      </c>
      <c r="R51" s="140" t="str">
        <f t="shared" si="5"/>
        <v/>
      </c>
      <c r="S51" s="24">
        <f t="shared" si="6"/>
        <v>0</v>
      </c>
      <c r="T51" s="140">
        <f t="shared" si="7"/>
        <v>31.233333333333334</v>
      </c>
      <c r="U51" s="150">
        <f t="shared" si="8"/>
        <v>1</v>
      </c>
      <c r="V51" s="141" t="str">
        <f t="shared" si="9"/>
        <v>-</v>
      </c>
      <c r="W51" s="142">
        <f t="shared" si="10"/>
        <v>0.75</v>
      </c>
      <c r="X51" s="144">
        <f t="shared" si="27"/>
        <v>22.483333333333334</v>
      </c>
      <c r="Y51" s="144">
        <f t="shared" si="28"/>
        <v>34.097619047619048</v>
      </c>
      <c r="Z51" s="144">
        <f t="shared" si="33"/>
        <v>30.57721590909091</v>
      </c>
      <c r="AA51" s="10"/>
      <c r="AB51" s="357" t="str">
        <f>VLOOKUP($B51,'2007-2020 Metadata'!$A$4:$S$214,MATCH("Urban Area /Monitoring Zone",'2007-2020 Metadata'!$A$4:$S$4,0),FALSE)</f>
        <v>Auckland - Central</v>
      </c>
      <c r="AC51" s="87" t="str">
        <f>VLOOKUP(B51,'2007-2020 Metadata'!$A$6:$A$214,1,FALSE)</f>
        <v>AUC061</v>
      </c>
      <c r="AD51" s="230" t="str">
        <f>VLOOKUP($AC51,'2007-2020 Metadata'!$A$6:$S$214,9,FALSE)</f>
        <v>Auckland</v>
      </c>
      <c r="AE51" s="248">
        <f>IF(ISBLANK(VLOOKUP($AC51,'2007-2020 Metadata'!$A$6:$S$214,19,FALSE)),"",VLOOKUP($AC51,'2007-2020 Metadata'!$A$6:$S$214,19,FALSE))</f>
        <v>3</v>
      </c>
      <c r="AF51" s="88" t="str">
        <f>VLOOKUP($B51,'2007-2020 Metadata'!$A$4:$S$214,MATCH("Site type",'2007-2020 Metadata'!$A$4:$S$4,0),FALSE)</f>
        <v>Local</v>
      </c>
      <c r="AG51" s="143">
        <f t="shared" si="11"/>
        <v>18.7</v>
      </c>
      <c r="AH51" s="143">
        <f t="shared" si="12"/>
        <v>41</v>
      </c>
      <c r="AI51" s="144">
        <f t="shared" si="13"/>
        <v>30.57721590909091</v>
      </c>
    </row>
    <row r="52" spans="1:36" ht="12" customHeight="1" x14ac:dyDescent="0.15">
      <c r="B52" s="11" t="s">
        <v>83</v>
      </c>
      <c r="C52" s="58" t="str">
        <f>IF(ISERROR(VLOOKUP($B52,'Monthly Summary 2008'!$B$7:$U$62,14,FALSE)&gt;0),"",VLOOKUP($B52,'Monthly Summary 2008'!$B$7:$U$62,14,FALSE))</f>
        <v/>
      </c>
      <c r="D52" s="12"/>
      <c r="E52" s="62"/>
      <c r="F52" s="62"/>
      <c r="G52" s="62">
        <v>26.4</v>
      </c>
      <c r="H52" s="62">
        <v>37.9</v>
      </c>
      <c r="I52" s="62">
        <v>32.4</v>
      </c>
      <c r="J52" s="62">
        <v>38.4</v>
      </c>
      <c r="K52" s="62">
        <v>27.7</v>
      </c>
      <c r="L52" s="62">
        <v>27.7</v>
      </c>
      <c r="M52" s="62">
        <v>25.6</v>
      </c>
      <c r="N52" s="62">
        <v>23.7</v>
      </c>
      <c r="O52" s="62">
        <v>13.4</v>
      </c>
      <c r="P52" s="63">
        <f t="shared" si="4"/>
        <v>28.133333333333329</v>
      </c>
      <c r="Q52" s="38">
        <f t="shared" si="0"/>
        <v>0.75</v>
      </c>
      <c r="R52" s="140" t="str">
        <f t="shared" si="5"/>
        <v/>
      </c>
      <c r="S52" s="24">
        <f t="shared" si="6"/>
        <v>0</v>
      </c>
      <c r="T52" s="140">
        <f t="shared" si="7"/>
        <v>31.266666666666666</v>
      </c>
      <c r="U52" s="150">
        <f t="shared" si="8"/>
        <v>1</v>
      </c>
      <c r="V52" s="141" t="str">
        <f t="shared" si="9"/>
        <v>-</v>
      </c>
      <c r="W52" s="142">
        <f t="shared" si="10"/>
        <v>0.75</v>
      </c>
      <c r="X52" s="144">
        <f t="shared" si="27"/>
        <v>22.483333333333334</v>
      </c>
      <c r="Y52" s="144">
        <f t="shared" si="28"/>
        <v>34.097619047619048</v>
      </c>
      <c r="Z52" s="144">
        <f t="shared" si="33"/>
        <v>30.57721590909091</v>
      </c>
      <c r="AA52" s="10"/>
      <c r="AB52" s="357" t="str">
        <f>VLOOKUP($B52,'2007-2020 Metadata'!$A$4:$S$214,MATCH("Urban Area /Monitoring Zone",'2007-2020 Metadata'!$A$4:$S$4,0),FALSE)</f>
        <v>Auckland - Central</v>
      </c>
      <c r="AC52" s="87" t="str">
        <f>VLOOKUP(B52,'2007-2020 Metadata'!$A$6:$A$214,1,FALSE)</f>
        <v>AUC062</v>
      </c>
      <c r="AD52" s="230" t="str">
        <f>VLOOKUP($AC52,'2007-2020 Metadata'!$A$6:$S$214,9,FALSE)</f>
        <v>Auckland</v>
      </c>
      <c r="AE52" s="248">
        <f>IF(ISBLANK(VLOOKUP($AC52,'2007-2020 Metadata'!$A$6:$S$214,19,FALSE)),"",VLOOKUP($AC52,'2007-2020 Metadata'!$A$6:$S$214,19,FALSE))</f>
        <v>2.5</v>
      </c>
      <c r="AF52" s="88" t="str">
        <f>VLOOKUP($B52,'2007-2020 Metadata'!$A$4:$S$214,MATCH("Site type",'2007-2020 Metadata'!$A$4:$S$4,0),FALSE)</f>
        <v>Local</v>
      </c>
      <c r="AG52" s="143">
        <f t="shared" si="11"/>
        <v>13.4</v>
      </c>
      <c r="AH52" s="143">
        <f t="shared" si="12"/>
        <v>38.4</v>
      </c>
      <c r="AI52" s="144">
        <f t="shared" si="13"/>
        <v>30.57721590909091</v>
      </c>
    </row>
    <row r="53" spans="1:36" ht="12" customHeight="1" x14ac:dyDescent="0.15">
      <c r="B53" s="11" t="s">
        <v>84</v>
      </c>
      <c r="C53" s="58" t="str">
        <f>IF(ISERROR(VLOOKUP($B53,'Monthly Summary 2008'!$B$7:$U$62,14,FALSE)&gt;0),"",VLOOKUP($B53,'Monthly Summary 2008'!$B$7:$U$62,14,FALSE))</f>
        <v/>
      </c>
      <c r="D53" s="12"/>
      <c r="E53" s="62"/>
      <c r="F53" s="62"/>
      <c r="G53" s="62">
        <v>44.8</v>
      </c>
      <c r="H53" s="62">
        <v>43.2</v>
      </c>
      <c r="I53" s="62">
        <v>46.9</v>
      </c>
      <c r="J53" s="62">
        <v>39.299999999999997</v>
      </c>
      <c r="K53" s="62">
        <v>40.200000000000003</v>
      </c>
      <c r="L53" s="62">
        <v>46.1</v>
      </c>
      <c r="M53" s="62">
        <v>26.9</v>
      </c>
      <c r="N53" s="62">
        <v>35.6</v>
      </c>
      <c r="O53" s="62">
        <v>17.2</v>
      </c>
      <c r="P53" s="63">
        <f t="shared" si="4"/>
        <v>37.799999999999997</v>
      </c>
      <c r="Q53" s="38">
        <f t="shared" si="0"/>
        <v>0.75</v>
      </c>
      <c r="R53" s="140" t="str">
        <f t="shared" si="5"/>
        <v/>
      </c>
      <c r="S53" s="24">
        <f t="shared" si="6"/>
        <v>0</v>
      </c>
      <c r="T53" s="140">
        <f t="shared" si="7"/>
        <v>41.866666666666667</v>
      </c>
      <c r="U53" s="150">
        <f t="shared" si="8"/>
        <v>1</v>
      </c>
      <c r="V53" s="141" t="str">
        <f t="shared" si="9"/>
        <v>-</v>
      </c>
      <c r="W53" s="142">
        <f t="shared" si="10"/>
        <v>0.75</v>
      </c>
      <c r="X53" s="144" t="str">
        <f t="shared" si="27"/>
        <v/>
      </c>
      <c r="Y53" s="144">
        <f t="shared" si="28"/>
        <v>21.458974358974356</v>
      </c>
      <c r="Z53" s="144" t="str">
        <f t="shared" si="33"/>
        <v/>
      </c>
      <c r="AA53" s="10"/>
      <c r="AB53" s="357" t="str">
        <f>VLOOKUP($B53,'2007-2020 Metadata'!$A$4:$S$214,MATCH("Urban Area /Monitoring Zone",'2007-2020 Metadata'!$A$4:$S$4,0),FALSE)</f>
        <v>Auckland - Western</v>
      </c>
      <c r="AC53" s="87" t="str">
        <f>VLOOKUP(B53,'2007-2020 Metadata'!$A$6:$A$214,1,FALSE)</f>
        <v>AUC063</v>
      </c>
      <c r="AD53" s="230" t="str">
        <f>VLOOKUP($AC53,'2007-2020 Metadata'!$A$6:$S$214,9,FALSE)</f>
        <v>Waitakere</v>
      </c>
      <c r="AE53" s="248">
        <f>IF(ISBLANK(VLOOKUP($AC53,'2007-2020 Metadata'!$A$6:$S$214,19,FALSE)),"",VLOOKUP($AC53,'2007-2020 Metadata'!$A$6:$S$214,19,FALSE))</f>
        <v>3</v>
      </c>
      <c r="AF53" s="88" t="str">
        <f>VLOOKUP($B53,'2007-2020 Metadata'!$A$4:$S$214,MATCH("Site type",'2007-2020 Metadata'!$A$4:$S$4,0),FALSE)</f>
        <v>Local</v>
      </c>
      <c r="AG53" s="143">
        <f t="shared" si="11"/>
        <v>17.2</v>
      </c>
      <c r="AH53" s="143">
        <f t="shared" si="12"/>
        <v>46.9</v>
      </c>
      <c r="AI53" s="144" t="str">
        <f t="shared" si="13"/>
        <v/>
      </c>
    </row>
    <row r="54" spans="1:36" ht="12" customHeight="1" x14ac:dyDescent="0.15">
      <c r="B54" s="11" t="s">
        <v>85</v>
      </c>
      <c r="C54" s="58" t="str">
        <f>IF(ISERROR(VLOOKUP($B54,'Monthly Summary 2008'!$B$7:$U$62,14,FALSE)&gt;0),"",VLOOKUP($B54,'Monthly Summary 2008'!$B$7:$U$62,14,FALSE))</f>
        <v/>
      </c>
      <c r="D54" s="12"/>
      <c r="E54" s="62"/>
      <c r="F54" s="62"/>
      <c r="G54" s="62">
        <v>20.5</v>
      </c>
      <c r="H54" s="62">
        <v>36</v>
      </c>
      <c r="I54" s="62">
        <v>32</v>
      </c>
      <c r="J54" s="62">
        <v>34.299999999999997</v>
      </c>
      <c r="K54" s="62">
        <v>30.2</v>
      </c>
      <c r="L54" s="62">
        <v>28.9</v>
      </c>
      <c r="M54" s="62">
        <v>19.7</v>
      </c>
      <c r="N54" s="62">
        <v>21.5</v>
      </c>
      <c r="O54" s="62">
        <v>12.5</v>
      </c>
      <c r="P54" s="63">
        <f t="shared" si="4"/>
        <v>26.177777777777777</v>
      </c>
      <c r="Q54" s="38">
        <f t="shared" si="0"/>
        <v>0.75</v>
      </c>
      <c r="R54" s="140" t="str">
        <f t="shared" si="5"/>
        <v/>
      </c>
      <c r="S54" s="24">
        <f t="shared" si="6"/>
        <v>0</v>
      </c>
      <c r="T54" s="140">
        <f t="shared" si="7"/>
        <v>31.133333333333336</v>
      </c>
      <c r="U54" s="150">
        <f t="shared" si="8"/>
        <v>1</v>
      </c>
      <c r="V54" s="141" t="str">
        <f t="shared" si="9"/>
        <v>-</v>
      </c>
      <c r="W54" s="142">
        <f t="shared" si="10"/>
        <v>0.75</v>
      </c>
      <c r="X54" s="144">
        <f t="shared" si="27"/>
        <v>22.483333333333334</v>
      </c>
      <c r="Y54" s="144">
        <f t="shared" si="28"/>
        <v>34.097619047619048</v>
      </c>
      <c r="Z54" s="144">
        <f t="shared" si="33"/>
        <v>30.57721590909091</v>
      </c>
      <c r="AA54" s="10"/>
      <c r="AB54" s="357" t="str">
        <f>VLOOKUP($B54,'2007-2020 Metadata'!$A$4:$S$214,MATCH("Urban Area /Monitoring Zone",'2007-2020 Metadata'!$A$4:$S$4,0),FALSE)</f>
        <v>Auckland - Central</v>
      </c>
      <c r="AC54" s="87" t="str">
        <f>VLOOKUP(B54,'2007-2020 Metadata'!$A$6:$A$214,1,FALSE)</f>
        <v>AUC064</v>
      </c>
      <c r="AD54" s="230" t="str">
        <f>VLOOKUP($AC54,'2007-2020 Metadata'!$A$6:$S$214,9,FALSE)</f>
        <v>Auckland</v>
      </c>
      <c r="AE54" s="248">
        <f>IF(ISBLANK(VLOOKUP($AC54,'2007-2020 Metadata'!$A$6:$S$214,19,FALSE)),"",VLOOKUP($AC54,'2007-2020 Metadata'!$A$6:$S$214,19,FALSE))</f>
        <v>3</v>
      </c>
      <c r="AF54" s="88" t="str">
        <f>VLOOKUP($B54,'2007-2020 Metadata'!$A$4:$S$214,MATCH("Site type",'2007-2020 Metadata'!$A$4:$S$4,0),FALSE)</f>
        <v>Local</v>
      </c>
      <c r="AG54" s="143">
        <f t="shared" si="11"/>
        <v>12.5</v>
      </c>
      <c r="AH54" s="143">
        <f t="shared" si="12"/>
        <v>36</v>
      </c>
      <c r="AI54" s="144">
        <f t="shared" si="13"/>
        <v>30.57721590909091</v>
      </c>
    </row>
    <row r="55" spans="1:36" ht="12" customHeight="1" x14ac:dyDescent="0.15">
      <c r="A55" s="178" t="s">
        <v>496</v>
      </c>
      <c r="B55" s="11" t="s">
        <v>86</v>
      </c>
      <c r="C55" s="58" t="str">
        <f>IF(ISERROR(VLOOKUP($B55,'Monthly Summary 2008'!$B$7:$U$62,14,FALSE)&gt;0),"",VLOOKUP($B55,'Monthly Summary 2008'!$B$7:$U$62,14,FALSE))</f>
        <v/>
      </c>
      <c r="D55" s="12"/>
      <c r="E55" s="62"/>
      <c r="F55" s="62"/>
      <c r="G55" s="62"/>
      <c r="H55" s="62"/>
      <c r="I55" s="62"/>
      <c r="J55" s="62">
        <v>38.799999999999997</v>
      </c>
      <c r="K55" s="62">
        <v>23.3</v>
      </c>
      <c r="L55" s="62">
        <v>24.9</v>
      </c>
      <c r="M55" s="62">
        <v>22.5</v>
      </c>
      <c r="N55" s="62">
        <v>22.9</v>
      </c>
      <c r="O55" s="62">
        <v>13.2</v>
      </c>
      <c r="P55" s="63">
        <f t="shared" si="4"/>
        <v>24.266666666666666</v>
      </c>
      <c r="Q55" s="38">
        <f t="shared" si="0"/>
        <v>0.5</v>
      </c>
      <c r="R55" s="140" t="str">
        <f t="shared" si="5"/>
        <v/>
      </c>
      <c r="S55" s="24">
        <f t="shared" si="6"/>
        <v>0</v>
      </c>
      <c r="T55" s="140">
        <f t="shared" si="7"/>
        <v>29</v>
      </c>
      <c r="U55" s="150">
        <f t="shared" si="8"/>
        <v>1</v>
      </c>
      <c r="V55" s="141" t="str">
        <f t="shared" si="9"/>
        <v>-</v>
      </c>
      <c r="W55" s="142">
        <f t="shared" si="10"/>
        <v>0.5</v>
      </c>
      <c r="X55" s="144">
        <f t="shared" si="27"/>
        <v>17.188888888888886</v>
      </c>
      <c r="Y55" s="144">
        <f t="shared" si="28"/>
        <v>28.003703703703703</v>
      </c>
      <c r="Z55" s="144">
        <f t="shared" si="33"/>
        <v>22.433888888888891</v>
      </c>
      <c r="AA55" s="10"/>
      <c r="AB55" s="357" t="str">
        <f>VLOOKUP($B55,'2007-2020 Metadata'!$A$4:$S$214,MATCH("Urban Area /Monitoring Zone",'2007-2020 Metadata'!$A$4:$S$4,0),FALSE)</f>
        <v xml:space="preserve">Auckland - Southern </v>
      </c>
      <c r="AC55" s="87" t="str">
        <f>VLOOKUP(B55,'2007-2020 Metadata'!$A$6:$A$214,1,FALSE)</f>
        <v>AUC067</v>
      </c>
      <c r="AD55" s="230" t="str">
        <f>VLOOKUP($AC55,'2007-2020 Metadata'!$A$6:$S$214,9,FALSE)</f>
        <v>Manukau</v>
      </c>
      <c r="AE55" s="248">
        <f>IF(ISBLANK(VLOOKUP($AC55,'2007-2020 Metadata'!$A$6:$S$214,19,FALSE)),"",VLOOKUP($AC55,'2007-2020 Metadata'!$A$6:$S$214,19,FALSE))</f>
        <v>3</v>
      </c>
      <c r="AF55" s="88" t="str">
        <f>VLOOKUP($B55,'2007-2020 Metadata'!$A$4:$S$214,MATCH("Site type",'2007-2020 Metadata'!$A$4:$S$4,0),FALSE)</f>
        <v>SH</v>
      </c>
      <c r="AG55" s="143">
        <f t="shared" si="11"/>
        <v>13.2</v>
      </c>
      <c r="AH55" s="143">
        <f t="shared" si="12"/>
        <v>38.799999999999997</v>
      </c>
      <c r="AI55" s="144" t="str">
        <f t="shared" si="13"/>
        <v xml:space="preserve"> </v>
      </c>
    </row>
    <row r="56" spans="1:36" ht="12" customHeight="1" x14ac:dyDescent="0.15">
      <c r="A56" s="178" t="s">
        <v>496</v>
      </c>
      <c r="B56" s="11" t="s">
        <v>87</v>
      </c>
      <c r="C56" s="58" t="str">
        <f>IF(ISERROR(VLOOKUP($B56,'Monthly Summary 2008'!$B$7:$U$62,14,FALSE)&gt;0),"",VLOOKUP($B56,'Monthly Summary 2008'!$B$7:$U$62,14,FALSE))</f>
        <v/>
      </c>
      <c r="D56" s="12"/>
      <c r="E56" s="62"/>
      <c r="F56" s="62"/>
      <c r="G56" s="62"/>
      <c r="H56" s="62"/>
      <c r="I56" s="62"/>
      <c r="J56" s="62">
        <v>49.9</v>
      </c>
      <c r="K56" s="62">
        <v>45.6</v>
      </c>
      <c r="L56" s="62">
        <v>44.3</v>
      </c>
      <c r="M56" s="62">
        <v>42.4</v>
      </c>
      <c r="N56" s="62">
        <v>44.3</v>
      </c>
      <c r="O56" s="62">
        <v>27.4</v>
      </c>
      <c r="P56" s="63">
        <f t="shared" si="4"/>
        <v>42.31666666666667</v>
      </c>
      <c r="Q56" s="38">
        <f t="shared" si="0"/>
        <v>0.5</v>
      </c>
      <c r="R56" s="140" t="str">
        <f t="shared" si="5"/>
        <v/>
      </c>
      <c r="S56" s="24">
        <f t="shared" si="6"/>
        <v>0</v>
      </c>
      <c r="T56" s="140">
        <f t="shared" si="7"/>
        <v>46.6</v>
      </c>
      <c r="U56" s="150">
        <f t="shared" si="8"/>
        <v>1</v>
      </c>
      <c r="V56" s="141" t="str">
        <f t="shared" si="9"/>
        <v>-</v>
      </c>
      <c r="W56" s="142">
        <f t="shared" si="10"/>
        <v>0.5</v>
      </c>
      <c r="X56" s="144">
        <f t="shared" si="27"/>
        <v>17.188888888888886</v>
      </c>
      <c r="Y56" s="144">
        <f t="shared" si="28"/>
        <v>28.003703703703703</v>
      </c>
      <c r="Z56" s="144">
        <f t="shared" si="33"/>
        <v>22.433888888888891</v>
      </c>
      <c r="AA56" s="10"/>
      <c r="AB56" s="357" t="str">
        <f>VLOOKUP($B56,'2007-2020 Metadata'!$A$4:$S$214,MATCH("Urban Area /Monitoring Zone",'2007-2020 Metadata'!$A$4:$S$4,0),FALSE)</f>
        <v xml:space="preserve">Auckland - Southern </v>
      </c>
      <c r="AC56" s="87" t="str">
        <f>VLOOKUP(B56,'2007-2020 Metadata'!$A$6:$A$214,1,FALSE)</f>
        <v>AUC068</v>
      </c>
      <c r="AD56" s="230" t="str">
        <f>VLOOKUP($AC56,'2007-2020 Metadata'!$A$6:$S$214,9,FALSE)</f>
        <v>Manukau</v>
      </c>
      <c r="AE56" s="248">
        <f>IF(ISBLANK(VLOOKUP($AC56,'2007-2020 Metadata'!$A$6:$S$214,19,FALSE)),"",VLOOKUP($AC56,'2007-2020 Metadata'!$A$6:$S$214,19,FALSE))</f>
        <v>3</v>
      </c>
      <c r="AF56" s="88" t="str">
        <f>VLOOKUP($B56,'2007-2020 Metadata'!$A$4:$S$214,MATCH("Site type",'2007-2020 Metadata'!$A$4:$S$4,0),FALSE)</f>
        <v>SH</v>
      </c>
      <c r="AG56" s="143">
        <f t="shared" si="11"/>
        <v>27.4</v>
      </c>
      <c r="AH56" s="143">
        <f t="shared" si="12"/>
        <v>49.9</v>
      </c>
      <c r="AI56" s="144" t="str">
        <f t="shared" si="13"/>
        <v xml:space="preserve"> </v>
      </c>
    </row>
    <row r="57" spans="1:36" ht="12" customHeight="1" x14ac:dyDescent="0.15">
      <c r="B57" s="11" t="s">
        <v>88</v>
      </c>
      <c r="C57" s="58" t="str">
        <f>IF(ISERROR(VLOOKUP($B57,'Monthly Summary 2008'!$B$7:$U$62,14,FALSE)&gt;0),"",VLOOKUP($B57,'Monthly Summary 2008'!$B$7:$U$62,14,FALSE))</f>
        <v/>
      </c>
      <c r="D57" s="12"/>
      <c r="E57" s="62"/>
      <c r="F57" s="62"/>
      <c r="G57" s="62">
        <v>30.4</v>
      </c>
      <c r="H57" s="62">
        <v>35.4</v>
      </c>
      <c r="I57" s="62">
        <v>36.9</v>
      </c>
      <c r="J57" s="62">
        <v>34</v>
      </c>
      <c r="K57" s="62">
        <v>28.4</v>
      </c>
      <c r="L57" s="62">
        <v>32</v>
      </c>
      <c r="M57" s="62">
        <v>24.2</v>
      </c>
      <c r="N57" s="62">
        <v>19.100000000000001</v>
      </c>
      <c r="O57" s="62">
        <v>12.7</v>
      </c>
      <c r="P57" s="63">
        <f t="shared" si="4"/>
        <v>28.12222222222222</v>
      </c>
      <c r="Q57" s="38">
        <f t="shared" si="0"/>
        <v>0.75</v>
      </c>
      <c r="R57" s="140" t="str">
        <f t="shared" si="5"/>
        <v/>
      </c>
      <c r="S57" s="24">
        <f t="shared" si="6"/>
        <v>0</v>
      </c>
      <c r="T57" s="140">
        <f t="shared" si="7"/>
        <v>31.466666666666669</v>
      </c>
      <c r="U57" s="150">
        <f t="shared" si="8"/>
        <v>1</v>
      </c>
      <c r="V57" s="141" t="str">
        <f t="shared" si="9"/>
        <v>-</v>
      </c>
      <c r="W57" s="142">
        <f t="shared" si="10"/>
        <v>0.75</v>
      </c>
      <c r="X57" s="144">
        <f t="shared" si="27"/>
        <v>17.188888888888886</v>
      </c>
      <c r="Y57" s="144">
        <f t="shared" si="28"/>
        <v>28.003703703703703</v>
      </c>
      <c r="Z57" s="144">
        <f t="shared" si="33"/>
        <v>22.433888888888891</v>
      </c>
      <c r="AA57" s="10"/>
      <c r="AB57" s="357" t="str">
        <f>VLOOKUP($B57,'2007-2020 Metadata'!$A$4:$S$214,MATCH("Urban Area /Monitoring Zone",'2007-2020 Metadata'!$A$4:$S$4,0),FALSE)</f>
        <v xml:space="preserve">Auckland - Southern </v>
      </c>
      <c r="AC57" s="87" t="str">
        <f>VLOOKUP(B57,'2007-2020 Metadata'!$A$6:$A$214,1,FALSE)</f>
        <v>AUC069</v>
      </c>
      <c r="AD57" s="230" t="str">
        <f>VLOOKUP($AC57,'2007-2020 Metadata'!$A$6:$S$214,9,FALSE)</f>
        <v>Manukau</v>
      </c>
      <c r="AE57" s="248">
        <f>IF(ISBLANK(VLOOKUP($AC57,'2007-2020 Metadata'!$A$6:$S$214,19,FALSE)),"",VLOOKUP($AC57,'2007-2020 Metadata'!$A$6:$S$214,19,FALSE))</f>
        <v>3</v>
      </c>
      <c r="AF57" s="88" t="str">
        <f>VLOOKUP($B57,'2007-2020 Metadata'!$A$4:$S$214,MATCH("Site type",'2007-2020 Metadata'!$A$4:$S$4,0),FALSE)</f>
        <v>Local</v>
      </c>
      <c r="AG57" s="143">
        <f t="shared" si="11"/>
        <v>12.7</v>
      </c>
      <c r="AH57" s="143">
        <f t="shared" si="12"/>
        <v>36.9</v>
      </c>
      <c r="AI57" s="144">
        <f t="shared" si="13"/>
        <v>22.433888888888891</v>
      </c>
    </row>
    <row r="58" spans="1:36" ht="12" customHeight="1" x14ac:dyDescent="0.15">
      <c r="B58" s="11" t="s">
        <v>89</v>
      </c>
      <c r="C58" s="58" t="str">
        <f>IF(ISERROR(VLOOKUP($B58,'Monthly Summary 2008'!$B$7:$U$62,14,FALSE)&gt;0),"",VLOOKUP($B58,'Monthly Summary 2008'!$B$7:$U$62,14,FALSE))</f>
        <v/>
      </c>
      <c r="D58" s="12"/>
      <c r="E58" s="62"/>
      <c r="F58" s="62"/>
      <c r="G58" s="62">
        <v>17.399999999999999</v>
      </c>
      <c r="H58" s="62">
        <v>27.3</v>
      </c>
      <c r="I58" s="62">
        <v>23.6</v>
      </c>
      <c r="J58" s="62">
        <v>24.7</v>
      </c>
      <c r="K58" s="62">
        <v>25.9</v>
      </c>
      <c r="L58" s="62">
        <v>19.8</v>
      </c>
      <c r="M58" s="62">
        <v>17</v>
      </c>
      <c r="N58" s="62">
        <v>17.399999999999999</v>
      </c>
      <c r="O58" s="62">
        <v>11.3</v>
      </c>
      <c r="P58" s="63">
        <f t="shared" si="4"/>
        <v>20.488888888888894</v>
      </c>
      <c r="Q58" s="38">
        <f t="shared" si="0"/>
        <v>0.75</v>
      </c>
      <c r="R58" s="140" t="str">
        <f t="shared" si="5"/>
        <v/>
      </c>
      <c r="S58" s="24">
        <f t="shared" si="6"/>
        <v>0</v>
      </c>
      <c r="T58" s="140">
        <f t="shared" si="7"/>
        <v>23.466666666666665</v>
      </c>
      <c r="U58" s="150">
        <f t="shared" si="8"/>
        <v>1</v>
      </c>
      <c r="V58" s="141" t="str">
        <f t="shared" si="9"/>
        <v>-</v>
      </c>
      <c r="W58" s="142">
        <f t="shared" si="10"/>
        <v>0.75</v>
      </c>
      <c r="X58" s="144">
        <f t="shared" si="27"/>
        <v>17.188888888888886</v>
      </c>
      <c r="Y58" s="144">
        <f t="shared" si="28"/>
        <v>28.003703703703703</v>
      </c>
      <c r="Z58" s="144">
        <f t="shared" si="33"/>
        <v>22.433888888888891</v>
      </c>
      <c r="AA58" s="10"/>
      <c r="AB58" s="357" t="str">
        <f>VLOOKUP($B58,'2007-2020 Metadata'!$A$4:$S$214,MATCH("Urban Area /Monitoring Zone",'2007-2020 Metadata'!$A$4:$S$4,0),FALSE)</f>
        <v xml:space="preserve">Auckland - Southern </v>
      </c>
      <c r="AC58" s="87" t="str">
        <f>VLOOKUP(B58,'2007-2020 Metadata'!$A$6:$A$214,1,FALSE)</f>
        <v>AUC070</v>
      </c>
      <c r="AD58" s="230" t="str">
        <f>VLOOKUP($AC58,'2007-2020 Metadata'!$A$6:$S$214,9,FALSE)</f>
        <v>Manukau</v>
      </c>
      <c r="AE58" s="248">
        <f>IF(ISBLANK(VLOOKUP($AC58,'2007-2020 Metadata'!$A$6:$S$214,19,FALSE)),"",VLOOKUP($AC58,'2007-2020 Metadata'!$A$6:$S$214,19,FALSE))</f>
        <v>2.5</v>
      </c>
      <c r="AF58" s="88" t="str">
        <f>VLOOKUP($B58,'2007-2020 Metadata'!$A$4:$S$214,MATCH("Site type",'2007-2020 Metadata'!$A$4:$S$4,0),FALSE)</f>
        <v>Local</v>
      </c>
      <c r="AG58" s="143">
        <f t="shared" si="11"/>
        <v>11.3</v>
      </c>
      <c r="AH58" s="143">
        <f t="shared" si="12"/>
        <v>27.3</v>
      </c>
      <c r="AI58" s="144">
        <f t="shared" si="13"/>
        <v>22.433888888888891</v>
      </c>
    </row>
    <row r="59" spans="1:36" ht="12" customHeight="1" x14ac:dyDescent="0.15">
      <c r="B59" s="11" t="s">
        <v>90</v>
      </c>
      <c r="C59" s="58" t="str">
        <f>IF(ISERROR(VLOOKUP($B59,'Monthly Summary 2008'!$B$7:$U$62,14,FALSE)&gt;0),"",VLOOKUP($B59,'Monthly Summary 2008'!$B$7:$U$62,14,FALSE))</f>
        <v/>
      </c>
      <c r="D59" s="12"/>
      <c r="E59" s="62"/>
      <c r="F59" s="62"/>
      <c r="G59" s="62">
        <v>31.4</v>
      </c>
      <c r="H59" s="62">
        <v>26.8</v>
      </c>
      <c r="I59" s="62">
        <v>40.299999999999997</v>
      </c>
      <c r="J59" s="62">
        <v>36.700000000000003</v>
      </c>
      <c r="K59" s="62">
        <v>23</v>
      </c>
      <c r="L59" s="62">
        <v>29.6</v>
      </c>
      <c r="M59" s="62">
        <v>30</v>
      </c>
      <c r="N59" s="62">
        <v>28.2</v>
      </c>
      <c r="O59" s="62">
        <v>20.5</v>
      </c>
      <c r="P59" s="63">
        <f t="shared" si="4"/>
        <v>29.611111111111111</v>
      </c>
      <c r="Q59" s="38">
        <f t="shared" si="0"/>
        <v>0.75</v>
      </c>
      <c r="R59" s="140" t="str">
        <f t="shared" si="5"/>
        <v/>
      </c>
      <c r="S59" s="24">
        <f t="shared" si="6"/>
        <v>0</v>
      </c>
      <c r="T59" s="140">
        <f t="shared" si="7"/>
        <v>29.766666666666669</v>
      </c>
      <c r="U59" s="150">
        <f t="shared" si="8"/>
        <v>1</v>
      </c>
      <c r="V59" s="141" t="str">
        <f t="shared" si="9"/>
        <v>-</v>
      </c>
      <c r="W59" s="142">
        <f t="shared" si="10"/>
        <v>0.75</v>
      </c>
      <c r="X59" s="144">
        <f t="shared" si="27"/>
        <v>22.483333333333334</v>
      </c>
      <c r="Y59" s="144">
        <f t="shared" si="28"/>
        <v>34.097619047619048</v>
      </c>
      <c r="Z59" s="144">
        <f t="shared" si="33"/>
        <v>30.57721590909091</v>
      </c>
      <c r="AA59" s="10"/>
      <c r="AB59" s="357" t="str">
        <f>VLOOKUP($B59,'2007-2020 Metadata'!$A$4:$S$214,MATCH("Urban Area /Monitoring Zone",'2007-2020 Metadata'!$A$4:$S$4,0),FALSE)</f>
        <v>Auckland - Central</v>
      </c>
      <c r="AC59" s="87" t="str">
        <f>VLOOKUP(B59,'2007-2020 Metadata'!$A$6:$A$214,1,FALSE)</f>
        <v>AUC071</v>
      </c>
      <c r="AD59" s="230" t="str">
        <f>VLOOKUP($AC59,'2007-2020 Metadata'!$A$6:$S$214,9,FALSE)</f>
        <v>Auckland</v>
      </c>
      <c r="AE59" s="248">
        <f>IF(ISBLANK(VLOOKUP($AC59,'2007-2020 Metadata'!$A$6:$S$214,19,FALSE)),"",VLOOKUP($AC59,'2007-2020 Metadata'!$A$6:$S$214,19,FALSE))</f>
        <v>3</v>
      </c>
      <c r="AF59" s="88" t="str">
        <f>VLOOKUP($B59,'2007-2020 Metadata'!$A$4:$S$214,MATCH("Site type",'2007-2020 Metadata'!$A$4:$S$4,0),FALSE)</f>
        <v>Local</v>
      </c>
      <c r="AG59" s="143">
        <f t="shared" si="11"/>
        <v>20.5</v>
      </c>
      <c r="AH59" s="143">
        <f t="shared" si="12"/>
        <v>40.299999999999997</v>
      </c>
      <c r="AI59" s="144">
        <f t="shared" si="13"/>
        <v>30.57721590909091</v>
      </c>
    </row>
    <row r="60" spans="1:36" ht="12" customHeight="1" x14ac:dyDescent="0.15">
      <c r="B60" s="11" t="s">
        <v>91</v>
      </c>
      <c r="C60" s="58" t="str">
        <f>IF(ISERROR(VLOOKUP($B60,'Monthly Summary 2008'!$B$7:$U$62,14,FALSE)&gt;0),"",VLOOKUP($B60,'Monthly Summary 2008'!$B$7:$U$62,14,FALSE))</f>
        <v/>
      </c>
      <c r="D60" s="12"/>
      <c r="E60" s="62"/>
      <c r="F60" s="62"/>
      <c r="G60" s="62">
        <v>26.8</v>
      </c>
      <c r="H60" s="62">
        <v>29.8</v>
      </c>
      <c r="I60" s="62">
        <v>27.6</v>
      </c>
      <c r="J60" s="62">
        <v>30.5</v>
      </c>
      <c r="K60" s="62">
        <v>25.2</v>
      </c>
      <c r="L60" s="62">
        <v>23.4</v>
      </c>
      <c r="M60" s="62">
        <v>23.7</v>
      </c>
      <c r="N60" s="62">
        <v>22.2</v>
      </c>
      <c r="O60" s="62">
        <v>13.4</v>
      </c>
      <c r="P60" s="63">
        <f t="shared" si="4"/>
        <v>24.733333333333334</v>
      </c>
      <c r="Q60" s="38">
        <f t="shared" si="0"/>
        <v>0.75</v>
      </c>
      <c r="R60" s="140" t="str">
        <f t="shared" si="5"/>
        <v/>
      </c>
      <c r="S60" s="24">
        <f t="shared" si="6"/>
        <v>0</v>
      </c>
      <c r="T60" s="140">
        <f t="shared" si="7"/>
        <v>26.366666666666664</v>
      </c>
      <c r="U60" s="150">
        <f t="shared" si="8"/>
        <v>1</v>
      </c>
      <c r="V60" s="141" t="str">
        <f t="shared" si="9"/>
        <v>-</v>
      </c>
      <c r="W60" s="142">
        <f t="shared" si="10"/>
        <v>0.75</v>
      </c>
      <c r="X60" s="144">
        <f t="shared" si="27"/>
        <v>17.188888888888886</v>
      </c>
      <c r="Y60" s="144">
        <f t="shared" si="28"/>
        <v>28.003703703703703</v>
      </c>
      <c r="Z60" s="144">
        <f t="shared" si="33"/>
        <v>22.433888888888891</v>
      </c>
      <c r="AA60" s="10"/>
      <c r="AB60" s="357" t="str">
        <f>VLOOKUP($B60,'2007-2020 Metadata'!$A$4:$S$214,MATCH("Urban Area /Monitoring Zone",'2007-2020 Metadata'!$A$4:$S$4,0),FALSE)</f>
        <v xml:space="preserve">Auckland - Southern </v>
      </c>
      <c r="AC60" s="87" t="str">
        <f>VLOOKUP(B60,'2007-2020 Metadata'!$A$6:$A$214,1,FALSE)</f>
        <v>AUC072</v>
      </c>
      <c r="AD60" s="230" t="str">
        <f>VLOOKUP($AC60,'2007-2020 Metadata'!$A$6:$S$214,9,FALSE)</f>
        <v>Manukau</v>
      </c>
      <c r="AE60" s="248">
        <f>IF(ISBLANK(VLOOKUP($AC60,'2007-2020 Metadata'!$A$6:$S$214,19,FALSE)),"",VLOOKUP($AC60,'2007-2020 Metadata'!$A$6:$S$214,19,FALSE))</f>
        <v>3</v>
      </c>
      <c r="AF60" s="88" t="str">
        <f>VLOOKUP($B60,'2007-2020 Metadata'!$A$4:$S$214,MATCH("Site type",'2007-2020 Metadata'!$A$4:$S$4,0),FALSE)</f>
        <v>Local</v>
      </c>
      <c r="AG60" s="143">
        <f t="shared" si="11"/>
        <v>13.4</v>
      </c>
      <c r="AH60" s="143">
        <f t="shared" si="12"/>
        <v>30.5</v>
      </c>
      <c r="AI60" s="144">
        <f t="shared" si="13"/>
        <v>22.433888888888891</v>
      </c>
    </row>
    <row r="61" spans="1:36" ht="12" customHeight="1" x14ac:dyDescent="0.15">
      <c r="B61" s="11" t="s">
        <v>92</v>
      </c>
      <c r="C61" s="58" t="str">
        <f>IF(ISERROR(VLOOKUP($B61,'Monthly Summary 2008'!$B$7:$U$62,14,FALSE)&gt;0),"",VLOOKUP($B61,'Monthly Summary 2008'!$B$7:$U$62,14,FALSE))</f>
        <v/>
      </c>
      <c r="D61" s="12"/>
      <c r="E61" s="62"/>
      <c r="F61" s="62"/>
      <c r="G61" s="62">
        <v>17.7</v>
      </c>
      <c r="H61" s="62">
        <v>25.3</v>
      </c>
      <c r="I61" s="62">
        <v>26.7</v>
      </c>
      <c r="J61" s="62">
        <v>27.2</v>
      </c>
      <c r="K61" s="62">
        <v>15.3</v>
      </c>
      <c r="L61" s="62">
        <v>14.8</v>
      </c>
      <c r="M61" s="62">
        <v>13.6</v>
      </c>
      <c r="N61" s="62">
        <v>12.7</v>
      </c>
      <c r="O61" s="62">
        <v>8.1999999999999993</v>
      </c>
      <c r="P61" s="63">
        <f t="shared" si="4"/>
        <v>17.944444444444443</v>
      </c>
      <c r="Q61" s="38">
        <f t="shared" si="0"/>
        <v>0.75</v>
      </c>
      <c r="R61" s="140" t="str">
        <f t="shared" si="5"/>
        <v/>
      </c>
      <c r="S61" s="24">
        <f t="shared" si="6"/>
        <v>0</v>
      </c>
      <c r="T61" s="140">
        <f t="shared" si="7"/>
        <v>19.099999999999998</v>
      </c>
      <c r="U61" s="150">
        <f t="shared" si="8"/>
        <v>1</v>
      </c>
      <c r="V61" s="141" t="str">
        <f t="shared" si="9"/>
        <v>-</v>
      </c>
      <c r="W61" s="142">
        <f t="shared" si="10"/>
        <v>0.75</v>
      </c>
      <c r="X61" s="144">
        <f t="shared" si="27"/>
        <v>17.188888888888886</v>
      </c>
      <c r="Y61" s="144">
        <f t="shared" si="28"/>
        <v>28.003703703703703</v>
      </c>
      <c r="Z61" s="144">
        <f t="shared" si="33"/>
        <v>22.433888888888891</v>
      </c>
      <c r="AA61" s="10"/>
      <c r="AB61" s="357" t="str">
        <f>VLOOKUP($B61,'2007-2020 Metadata'!$A$4:$S$214,MATCH("Urban Area /Monitoring Zone",'2007-2020 Metadata'!$A$4:$S$4,0),FALSE)</f>
        <v xml:space="preserve">Auckland - Southern </v>
      </c>
      <c r="AC61" s="87" t="str">
        <f>VLOOKUP(B61,'2007-2020 Metadata'!$A$6:$A$214,1,FALSE)</f>
        <v>AUC073</v>
      </c>
      <c r="AD61" s="230" t="str">
        <f>VLOOKUP($AC61,'2007-2020 Metadata'!$A$6:$S$214,9,FALSE)</f>
        <v>Manukau</v>
      </c>
      <c r="AE61" s="248">
        <f>IF(ISBLANK(VLOOKUP($AC61,'2007-2020 Metadata'!$A$6:$S$214,19,FALSE)),"",VLOOKUP($AC61,'2007-2020 Metadata'!$A$6:$S$214,19,FALSE))</f>
        <v>3</v>
      </c>
      <c r="AF61" s="88" t="str">
        <f>VLOOKUP($B61,'2007-2020 Metadata'!$A$4:$S$214,MATCH("Site type",'2007-2020 Metadata'!$A$4:$S$4,0),FALSE)</f>
        <v>Background</v>
      </c>
      <c r="AG61" s="143">
        <f t="shared" si="11"/>
        <v>8.1999999999999993</v>
      </c>
      <c r="AH61" s="143">
        <f t="shared" si="12"/>
        <v>27.2</v>
      </c>
      <c r="AI61" s="144">
        <f t="shared" si="13"/>
        <v>22.433888888888891</v>
      </c>
    </row>
    <row r="62" spans="1:36" ht="12" customHeight="1" x14ac:dyDescent="0.15">
      <c r="A62" s="178" t="s">
        <v>496</v>
      </c>
      <c r="B62" s="11" t="s">
        <v>93</v>
      </c>
      <c r="C62" s="58" t="str">
        <f>IF(ISERROR(VLOOKUP($B62,'Monthly Summary 2008'!$B$7:$U$62,14,FALSE)&gt;0),"",VLOOKUP($B62,'Monthly Summary 2008'!$B$7:$U$62,14,FALSE))</f>
        <v/>
      </c>
      <c r="D62" s="342"/>
      <c r="E62" s="343"/>
      <c r="F62" s="343"/>
      <c r="G62" s="343"/>
      <c r="H62" s="343"/>
      <c r="I62" s="343"/>
      <c r="J62" s="62">
        <v>48</v>
      </c>
      <c r="K62" s="62">
        <v>38.200000000000003</v>
      </c>
      <c r="L62" s="62">
        <v>35.4</v>
      </c>
      <c r="M62" s="62">
        <v>28.8</v>
      </c>
      <c r="N62" s="62">
        <v>25.9</v>
      </c>
      <c r="O62" s="62">
        <v>13.4</v>
      </c>
      <c r="P62" s="63">
        <f t="shared" si="4"/>
        <v>31.616666666666671</v>
      </c>
      <c r="Q62" s="38">
        <f t="shared" si="0"/>
        <v>0.5</v>
      </c>
      <c r="R62" s="140" t="str">
        <f t="shared" si="5"/>
        <v/>
      </c>
      <c r="S62" s="24">
        <f t="shared" si="6"/>
        <v>0</v>
      </c>
      <c r="T62" s="140">
        <f t="shared" si="7"/>
        <v>40.533333333333331</v>
      </c>
      <c r="U62" s="150">
        <f t="shared" si="8"/>
        <v>1</v>
      </c>
      <c r="V62" s="141" t="str">
        <f t="shared" si="9"/>
        <v>-</v>
      </c>
      <c r="W62" s="142">
        <f t="shared" si="10"/>
        <v>0.5</v>
      </c>
      <c r="X62" s="144">
        <f t="shared" si="27"/>
        <v>22.833333333333332</v>
      </c>
      <c r="Y62" s="144">
        <f t="shared" si="28"/>
        <v>28.34242424242424</v>
      </c>
      <c r="Z62" s="144">
        <f t="shared" si="33"/>
        <v>26.625378787878788</v>
      </c>
      <c r="AA62" s="10"/>
      <c r="AB62" s="357" t="str">
        <f>VLOOKUP($B62,'2007-2020 Metadata'!$A$4:$S$214,MATCH("Urban Area /Monitoring Zone",'2007-2020 Metadata'!$A$4:$S$4,0),FALSE)</f>
        <v>Auckland - Northern</v>
      </c>
      <c r="AC62" s="87" t="str">
        <f>VLOOKUP(B62,'2007-2020 Metadata'!$A$6:$A$214,1,FALSE)</f>
        <v>AUC170</v>
      </c>
      <c r="AD62" s="230" t="str">
        <f>VLOOKUP($AC62,'2007-2020 Metadata'!$A$6:$S$214,9,FALSE)</f>
        <v xml:space="preserve">North Shore </v>
      </c>
      <c r="AE62" s="248">
        <f>IF(ISBLANK(VLOOKUP($AC62,'2007-2020 Metadata'!$A$6:$S$214,19,FALSE)),"",VLOOKUP($AC62,'2007-2020 Metadata'!$A$6:$S$214,19,FALSE))</f>
        <v>3</v>
      </c>
      <c r="AF62" s="88" t="str">
        <f>VLOOKUP($B62,'2007-2020 Metadata'!$A$4:$S$214,MATCH("Site type",'2007-2020 Metadata'!$A$4:$S$4,0),FALSE)</f>
        <v>SH</v>
      </c>
      <c r="AG62" s="143">
        <f t="shared" si="11"/>
        <v>13.4</v>
      </c>
      <c r="AH62" s="143">
        <f t="shared" si="12"/>
        <v>48</v>
      </c>
      <c r="AI62" s="144" t="str">
        <f t="shared" si="13"/>
        <v xml:space="preserve"> </v>
      </c>
    </row>
    <row r="63" spans="1:36" ht="12" customHeight="1" x14ac:dyDescent="0.15">
      <c r="B63" s="11" t="s">
        <v>32</v>
      </c>
      <c r="C63" s="58">
        <f>IF(ISERROR(VLOOKUP($B63,'Monthly Summary 2008'!$B$7:$U$62,14,FALSE)&gt;0),"",VLOOKUP($B63,'Monthly Summary 2008'!$B$7:$U$62,14,FALSE))</f>
        <v>15.8</v>
      </c>
      <c r="D63" s="12">
        <v>21.3</v>
      </c>
      <c r="E63" s="62">
        <v>20.399999999999999</v>
      </c>
      <c r="F63" s="62">
        <v>21.1</v>
      </c>
      <c r="G63" s="62">
        <v>25.2</v>
      </c>
      <c r="H63" s="62">
        <v>34.200000000000003</v>
      </c>
      <c r="I63" s="62">
        <v>28.8</v>
      </c>
      <c r="J63" s="62">
        <v>28.4</v>
      </c>
      <c r="K63" s="62">
        <v>26</v>
      </c>
      <c r="L63" s="62">
        <v>32</v>
      </c>
      <c r="M63" s="62">
        <v>27.7</v>
      </c>
      <c r="N63" s="62">
        <v>23.9</v>
      </c>
      <c r="O63" s="62"/>
      <c r="P63" s="63">
        <f t="shared" si="4"/>
        <v>26.272727272727273</v>
      </c>
      <c r="Q63" s="38">
        <f t="shared" si="0"/>
        <v>0.91666666666666663</v>
      </c>
      <c r="R63" s="140">
        <f t="shared" si="5"/>
        <v>20.933333333333334</v>
      </c>
      <c r="S63" s="24">
        <f t="shared" si="6"/>
        <v>1</v>
      </c>
      <c r="T63" s="140">
        <f t="shared" si="7"/>
        <v>28.8</v>
      </c>
      <c r="U63" s="150">
        <f t="shared" si="8"/>
        <v>1</v>
      </c>
      <c r="V63" s="141">
        <f t="shared" si="9"/>
        <v>26.272727272727273</v>
      </c>
      <c r="W63" s="142">
        <f t="shared" si="10"/>
        <v>0.91666666666666663</v>
      </c>
      <c r="X63" s="144">
        <f t="shared" si="27"/>
        <v>24.208333333333336</v>
      </c>
      <c r="Y63" s="144">
        <f t="shared" si="28"/>
        <v>31.5</v>
      </c>
      <c r="Z63" s="144">
        <f t="shared" si="33"/>
        <v>29.513636363636365</v>
      </c>
      <c r="AA63" s="10"/>
      <c r="AB63" s="357" t="str">
        <f>VLOOKUP($B63,'2007-2020 Metadata'!$A$4:$S$214,MATCH("Urban Area /Monitoring Zone",'2007-2020 Metadata'!$A$4:$S$4,0),FALSE)</f>
        <v>Hamilton</v>
      </c>
      <c r="AC63" s="87" t="str">
        <f>VLOOKUP(B63,'2007-2020 Metadata'!$A$6:$A$214,1,FALSE)</f>
        <v>HAM001</v>
      </c>
      <c r="AD63" s="230" t="str">
        <f>VLOOKUP($AC63,'2007-2020 Metadata'!$A$6:$S$214,9,FALSE)</f>
        <v>Hamilton</v>
      </c>
      <c r="AE63" s="248">
        <f>IF(ISBLANK(VLOOKUP($AC63,'2007-2020 Metadata'!$A$6:$S$214,19,FALSE)),"",VLOOKUP($AC63,'2007-2020 Metadata'!$A$6:$S$214,19,FALSE))</f>
        <v>3.8</v>
      </c>
      <c r="AF63" s="88" t="str">
        <f>VLOOKUP($B63,'2007-2020 Metadata'!$A$4:$S$214,MATCH("Site type",'2007-2020 Metadata'!$A$4:$S$4,0),FALSE)</f>
        <v>SH</v>
      </c>
      <c r="AG63" s="143">
        <f t="shared" si="11"/>
        <v>20.399999999999999</v>
      </c>
      <c r="AH63" s="143">
        <f t="shared" si="12"/>
        <v>34.200000000000003</v>
      </c>
      <c r="AI63" s="144">
        <f t="shared" si="13"/>
        <v>29.513636363636365</v>
      </c>
    </row>
    <row r="64" spans="1:36" ht="12" customHeight="1" x14ac:dyDescent="0.15">
      <c r="B64" s="11" t="s">
        <v>33</v>
      </c>
      <c r="C64" s="58">
        <f>IF(ISERROR(VLOOKUP($B64,'Monthly Summary 2008'!$B$7:$U$62,14,FALSE)&gt;0),"",VLOOKUP($B64,'Monthly Summary 2008'!$B$7:$U$62,14,FALSE))</f>
        <v>12.5</v>
      </c>
      <c r="D64" s="12">
        <v>15.1</v>
      </c>
      <c r="E64" s="62">
        <v>18</v>
      </c>
      <c r="F64" s="62">
        <v>23.9</v>
      </c>
      <c r="G64" s="62">
        <v>27.8</v>
      </c>
      <c r="H64" s="62">
        <v>32.799999999999997</v>
      </c>
      <c r="I64" s="62">
        <v>36.6</v>
      </c>
      <c r="J64" s="62">
        <v>30.3</v>
      </c>
      <c r="K64" s="62">
        <v>20.100000000000001</v>
      </c>
      <c r="L64" s="62">
        <v>28.1</v>
      </c>
      <c r="M64" s="62">
        <v>19.100000000000001</v>
      </c>
      <c r="N64" s="62">
        <v>20.2</v>
      </c>
      <c r="O64" s="62"/>
      <c r="P64" s="63">
        <f t="shared" si="4"/>
        <v>24.727272727272727</v>
      </c>
      <c r="Q64" s="38">
        <f t="shared" si="0"/>
        <v>0.91666666666666663</v>
      </c>
      <c r="R64" s="140">
        <f t="shared" si="5"/>
        <v>19</v>
      </c>
      <c r="S64" s="24">
        <f t="shared" si="6"/>
        <v>1</v>
      </c>
      <c r="T64" s="140">
        <f t="shared" si="7"/>
        <v>26.166666666666668</v>
      </c>
      <c r="U64" s="150">
        <f t="shared" si="8"/>
        <v>1</v>
      </c>
      <c r="V64" s="141">
        <f t="shared" si="9"/>
        <v>24.727272727272727</v>
      </c>
      <c r="W64" s="142">
        <f t="shared" si="10"/>
        <v>0.91666666666666663</v>
      </c>
      <c r="X64" s="144">
        <f t="shared" si="27"/>
        <v>24.208333333333336</v>
      </c>
      <c r="Y64" s="144">
        <f t="shared" si="28"/>
        <v>31.5</v>
      </c>
      <c r="Z64" s="144">
        <f t="shared" si="33"/>
        <v>29.513636363636365</v>
      </c>
      <c r="AA64" s="10"/>
      <c r="AB64" s="357" t="str">
        <f>VLOOKUP($B64,'2007-2020 Metadata'!$A$4:$S$214,MATCH("Urban Area /Monitoring Zone",'2007-2020 Metadata'!$A$4:$S$4,0),FALSE)</f>
        <v>Hamilton</v>
      </c>
      <c r="AC64" s="87" t="str">
        <f>VLOOKUP(B64,'2007-2020 Metadata'!$A$6:$A$214,1,FALSE)</f>
        <v>HAM002</v>
      </c>
      <c r="AD64" s="230" t="str">
        <f>VLOOKUP($AC64,'2007-2020 Metadata'!$A$6:$S$214,9,FALSE)</f>
        <v>Hamilton</v>
      </c>
      <c r="AE64" s="248">
        <f>IF(ISBLANK(VLOOKUP($AC64,'2007-2020 Metadata'!$A$6:$S$214,19,FALSE)),"",VLOOKUP($AC64,'2007-2020 Metadata'!$A$6:$S$214,19,FALSE))</f>
        <v>2.6</v>
      </c>
      <c r="AF64" s="88" t="str">
        <f>VLOOKUP($B64,'2007-2020 Metadata'!$A$4:$S$214,MATCH("Site type",'2007-2020 Metadata'!$A$4:$S$4,0),FALSE)</f>
        <v>Local (ex SH)</v>
      </c>
      <c r="AG64" s="143">
        <f t="shared" si="11"/>
        <v>15.1</v>
      </c>
      <c r="AH64" s="143">
        <f t="shared" si="12"/>
        <v>36.6</v>
      </c>
      <c r="AI64" s="144">
        <f t="shared" si="13"/>
        <v>29.513636363636365</v>
      </c>
    </row>
    <row r="65" spans="1:35" ht="12" customHeight="1" x14ac:dyDescent="0.15">
      <c r="B65" s="11" t="s">
        <v>34</v>
      </c>
      <c r="C65" s="58">
        <f>IF(ISERROR(VLOOKUP($B65,'Monthly Summary 2008'!$B$7:$U$62,14,FALSE)&gt;0),"",VLOOKUP($B65,'Monthly Summary 2008'!$B$7:$U$62,14,FALSE))</f>
        <v>32</v>
      </c>
      <c r="D65" s="12">
        <v>31.6</v>
      </c>
      <c r="E65" s="62">
        <v>33.9</v>
      </c>
      <c r="F65" s="62">
        <v>36.4</v>
      </c>
      <c r="G65" s="62">
        <v>40.9</v>
      </c>
      <c r="H65" s="62">
        <v>42.5</v>
      </c>
      <c r="I65" s="62">
        <v>46.6</v>
      </c>
      <c r="J65" s="62">
        <v>44.7</v>
      </c>
      <c r="K65" s="62">
        <v>39.5</v>
      </c>
      <c r="L65" s="62">
        <v>49.4</v>
      </c>
      <c r="M65" s="62">
        <v>46</v>
      </c>
      <c r="N65" s="62">
        <v>29</v>
      </c>
      <c r="O65" s="62"/>
      <c r="P65" s="63">
        <f t="shared" si="4"/>
        <v>40.045454545454547</v>
      </c>
      <c r="Q65" s="38">
        <f t="shared" si="0"/>
        <v>0.91666666666666663</v>
      </c>
      <c r="R65" s="140">
        <f t="shared" si="5"/>
        <v>33.966666666666669</v>
      </c>
      <c r="S65" s="24">
        <f t="shared" si="6"/>
        <v>1</v>
      </c>
      <c r="T65" s="140">
        <f t="shared" si="7"/>
        <v>44.533333333333331</v>
      </c>
      <c r="U65" s="150">
        <f t="shared" si="8"/>
        <v>1</v>
      </c>
      <c r="V65" s="141">
        <f t="shared" si="9"/>
        <v>40.045454545454547</v>
      </c>
      <c r="W65" s="142">
        <f t="shared" si="10"/>
        <v>0.91666666666666663</v>
      </c>
      <c r="X65" s="144">
        <f t="shared" si="27"/>
        <v>24.208333333333336</v>
      </c>
      <c r="Y65" s="144">
        <f t="shared" si="28"/>
        <v>31.5</v>
      </c>
      <c r="Z65" s="144">
        <f t="shared" si="33"/>
        <v>29.513636363636365</v>
      </c>
      <c r="AA65" s="10"/>
      <c r="AB65" s="357" t="str">
        <f>VLOOKUP($B65,'2007-2020 Metadata'!$A$4:$S$214,MATCH("Urban Area /Monitoring Zone",'2007-2020 Metadata'!$A$4:$S$4,0),FALSE)</f>
        <v>Hamilton</v>
      </c>
      <c r="AC65" s="87" t="str">
        <f>VLOOKUP(B65,'2007-2020 Metadata'!$A$6:$A$214,1,FALSE)</f>
        <v>HAM003</v>
      </c>
      <c r="AD65" s="230" t="str">
        <f>VLOOKUP($AC65,'2007-2020 Metadata'!$A$6:$S$214,9,FALSE)</f>
        <v>Hamilton</v>
      </c>
      <c r="AE65" s="248">
        <f>IF(ISBLANK(VLOOKUP($AC65,'2007-2020 Metadata'!$A$6:$S$214,19,FALSE)),"",VLOOKUP($AC65,'2007-2020 Metadata'!$A$6:$S$214,19,FALSE))</f>
        <v>2.9</v>
      </c>
      <c r="AF65" s="88" t="str">
        <f>VLOOKUP($B65,'2007-2020 Metadata'!$A$4:$S$214,MATCH("Site type",'2007-2020 Metadata'!$A$4:$S$4,0),FALSE)</f>
        <v>SH</v>
      </c>
      <c r="AG65" s="143">
        <f t="shared" si="11"/>
        <v>29</v>
      </c>
      <c r="AH65" s="143">
        <f t="shared" si="12"/>
        <v>49.4</v>
      </c>
      <c r="AI65" s="144">
        <f t="shared" si="13"/>
        <v>29.513636363636365</v>
      </c>
    </row>
    <row r="66" spans="1:35" ht="12" customHeight="1" x14ac:dyDescent="0.15">
      <c r="B66" s="11" t="s">
        <v>35</v>
      </c>
      <c r="C66" s="58">
        <f>IF(ISERROR(VLOOKUP($B66,'Monthly Summary 2008'!$B$7:$U$62,14,FALSE)&gt;0),"",VLOOKUP($B66,'Monthly Summary 2008'!$B$7:$U$62,14,FALSE))</f>
        <v>16.2</v>
      </c>
      <c r="D66" s="12">
        <v>20.9</v>
      </c>
      <c r="E66" s="62">
        <v>19</v>
      </c>
      <c r="F66" s="62">
        <v>28.9</v>
      </c>
      <c r="G66" s="62">
        <v>31.4</v>
      </c>
      <c r="H66" s="62">
        <v>30.4</v>
      </c>
      <c r="I66" s="62">
        <v>37.6</v>
      </c>
      <c r="J66" s="62">
        <v>32.9</v>
      </c>
      <c r="K66" s="62">
        <v>24.2</v>
      </c>
      <c r="L66" s="62">
        <v>22.4</v>
      </c>
      <c r="M66" s="62">
        <v>27.8</v>
      </c>
      <c r="N66" s="62">
        <v>21.6</v>
      </c>
      <c r="O66" s="62"/>
      <c r="P66" s="63">
        <f t="shared" si="4"/>
        <v>27.009090909090911</v>
      </c>
      <c r="Q66" s="38">
        <f t="shared" si="0"/>
        <v>0.91666666666666663</v>
      </c>
      <c r="R66" s="140">
        <f t="shared" si="5"/>
        <v>22.933333333333334</v>
      </c>
      <c r="S66" s="24">
        <f t="shared" si="6"/>
        <v>1</v>
      </c>
      <c r="T66" s="140">
        <f t="shared" si="7"/>
        <v>26.5</v>
      </c>
      <c r="U66" s="150">
        <f t="shared" si="8"/>
        <v>1</v>
      </c>
      <c r="V66" s="141">
        <f t="shared" si="9"/>
        <v>27.009090909090911</v>
      </c>
      <c r="W66" s="142">
        <f t="shared" si="10"/>
        <v>0.91666666666666663</v>
      </c>
      <c r="X66" s="144">
        <f t="shared" si="27"/>
        <v>24.208333333333336</v>
      </c>
      <c r="Y66" s="144">
        <f t="shared" si="28"/>
        <v>31.5</v>
      </c>
      <c r="Z66" s="144">
        <f t="shared" si="33"/>
        <v>29.513636363636365</v>
      </c>
      <c r="AA66" s="10"/>
      <c r="AB66" s="357" t="str">
        <f>VLOOKUP($B66,'2007-2020 Metadata'!$A$4:$S$214,MATCH("Urban Area /Monitoring Zone",'2007-2020 Metadata'!$A$4:$S$4,0),FALSE)</f>
        <v>Cambridge</v>
      </c>
      <c r="AC66" s="87" t="str">
        <f>VLOOKUP(B66,'2007-2020 Metadata'!$A$6:$A$214,1,FALSE)</f>
        <v>HAM004</v>
      </c>
      <c r="AD66" s="230" t="str">
        <f>VLOOKUP($AC66,'2007-2020 Metadata'!$A$6:$S$214,9,FALSE)</f>
        <v>Hamilton</v>
      </c>
      <c r="AE66" s="248">
        <f>IF(ISBLANK(VLOOKUP($AC66,'2007-2020 Metadata'!$A$6:$S$214,19,FALSE)),"",VLOOKUP($AC66,'2007-2020 Metadata'!$A$6:$S$214,19,FALSE))</f>
        <v>3</v>
      </c>
      <c r="AF66" s="88" t="str">
        <f>VLOOKUP($B66,'2007-2020 Metadata'!$A$4:$S$214,MATCH("Site type",'2007-2020 Metadata'!$A$4:$S$4,0),FALSE)</f>
        <v>Local (ex SH)</v>
      </c>
      <c r="AG66" s="143">
        <f t="shared" si="11"/>
        <v>19</v>
      </c>
      <c r="AH66" s="143">
        <f t="shared" si="12"/>
        <v>37.6</v>
      </c>
      <c r="AI66" s="144">
        <f t="shared" si="13"/>
        <v>29.513636363636365</v>
      </c>
    </row>
    <row r="67" spans="1:35" ht="12" customHeight="1" x14ac:dyDescent="0.15">
      <c r="B67" s="11" t="s">
        <v>36</v>
      </c>
      <c r="C67" s="58">
        <f>IF(ISERROR(VLOOKUP($B67,'Monthly Summary 2008'!$B$7:$U$62,14,FALSE)&gt;0),"",VLOOKUP($B67,'Monthly Summary 2008'!$B$7:$U$62,14,FALSE))</f>
        <v>11.2</v>
      </c>
      <c r="D67" s="12">
        <v>13.7</v>
      </c>
      <c r="E67" s="62">
        <v>19.3</v>
      </c>
      <c r="F67" s="62">
        <v>14.7</v>
      </c>
      <c r="G67" s="62">
        <v>25.4</v>
      </c>
      <c r="H67" s="62">
        <v>26.9</v>
      </c>
      <c r="I67" s="62">
        <v>25.4</v>
      </c>
      <c r="J67" s="62">
        <v>20.5</v>
      </c>
      <c r="K67" s="62">
        <v>25.8</v>
      </c>
      <c r="L67" s="62">
        <v>23.3</v>
      </c>
      <c r="M67" s="62">
        <v>18.399999999999999</v>
      </c>
      <c r="N67" s="62">
        <v>15.7</v>
      </c>
      <c r="O67" s="62">
        <v>12.9</v>
      </c>
      <c r="P67" s="63">
        <f t="shared" si="4"/>
        <v>20.166666666666668</v>
      </c>
      <c r="Q67" s="38">
        <f t="shared" si="0"/>
        <v>1</v>
      </c>
      <c r="R67" s="140">
        <f t="shared" si="5"/>
        <v>15.9</v>
      </c>
      <c r="S67" s="24">
        <f t="shared" si="6"/>
        <v>1</v>
      </c>
      <c r="T67" s="140">
        <f t="shared" si="7"/>
        <v>23.2</v>
      </c>
      <c r="U67" s="150">
        <f t="shared" si="8"/>
        <v>1</v>
      </c>
      <c r="V67" s="141">
        <f t="shared" si="9"/>
        <v>20.166666666666668</v>
      </c>
      <c r="W67" s="142">
        <f t="shared" si="10"/>
        <v>1</v>
      </c>
      <c r="X67" s="144">
        <f t="shared" si="27"/>
        <v>15.9</v>
      </c>
      <c r="Y67" s="144">
        <f t="shared" si="28"/>
        <v>23.2</v>
      </c>
      <c r="Z67" s="144">
        <f t="shared" si="33"/>
        <v>20.166666666666668</v>
      </c>
      <c r="AA67" s="10"/>
      <c r="AB67" s="357" t="str">
        <f>VLOOKUP($B67,'2007-2020 Metadata'!$A$4:$S$214,MATCH("Urban Area /Monitoring Zone",'2007-2020 Metadata'!$A$4:$S$4,0),FALSE)</f>
        <v>Taupo</v>
      </c>
      <c r="AC67" s="87" t="str">
        <f>VLOOKUP(B67,'2007-2020 Metadata'!$A$6:$A$214,1,FALSE)</f>
        <v>HAM005</v>
      </c>
      <c r="AD67" s="230" t="str">
        <f>VLOOKUP($AC67,'2007-2020 Metadata'!$A$6:$S$214,9,FALSE)</f>
        <v>Taupo</v>
      </c>
      <c r="AE67" s="248">
        <f>IF(ISBLANK(VLOOKUP($AC67,'2007-2020 Metadata'!$A$6:$S$214,19,FALSE)),"",VLOOKUP($AC67,'2007-2020 Metadata'!$A$6:$S$214,19,FALSE))</f>
        <v>3.5</v>
      </c>
      <c r="AF67" s="88" t="str">
        <f>VLOOKUP($B67,'2007-2020 Metadata'!$A$4:$S$214,MATCH("Site type",'2007-2020 Metadata'!$A$4:$S$4,0),FALSE)</f>
        <v>Local (ex SH)</v>
      </c>
      <c r="AG67" s="143">
        <f t="shared" si="11"/>
        <v>12.9</v>
      </c>
      <c r="AH67" s="143">
        <f t="shared" si="12"/>
        <v>26.9</v>
      </c>
      <c r="AI67" s="144">
        <f t="shared" si="13"/>
        <v>20.166666666666668</v>
      </c>
    </row>
    <row r="68" spans="1:35" ht="12" customHeight="1" x14ac:dyDescent="0.15">
      <c r="B68" s="11" t="s">
        <v>37</v>
      </c>
      <c r="C68" s="58">
        <f>IF(ISERROR(VLOOKUP($B68,'Monthly Summary 2008'!$B$7:$U$62,14,FALSE)&gt;0),"",VLOOKUP($B68,'Monthly Summary 2008'!$B$7:$U$62,14,FALSE))</f>
        <v>11.3</v>
      </c>
      <c r="D68" s="12">
        <v>11.7</v>
      </c>
      <c r="E68" s="62">
        <v>13.5</v>
      </c>
      <c r="F68" s="62">
        <v>16.3</v>
      </c>
      <c r="G68" s="62">
        <v>24.3</v>
      </c>
      <c r="H68" s="62">
        <v>26.2</v>
      </c>
      <c r="I68" s="62">
        <v>24.3</v>
      </c>
      <c r="J68" s="62">
        <v>29.3</v>
      </c>
      <c r="K68" s="62">
        <v>25.5</v>
      </c>
      <c r="L68" s="62">
        <v>24.6</v>
      </c>
      <c r="M68" s="62">
        <v>15.9</v>
      </c>
      <c r="N68" s="62">
        <v>16.600000000000001</v>
      </c>
      <c r="O68" s="62"/>
      <c r="P68" s="63">
        <f t="shared" si="4"/>
        <v>20.745454545454546</v>
      </c>
      <c r="Q68" s="38">
        <f t="shared" si="0"/>
        <v>0.91666666666666663</v>
      </c>
      <c r="R68" s="140">
        <f t="shared" si="5"/>
        <v>13.833333333333334</v>
      </c>
      <c r="S68" s="24">
        <f t="shared" si="6"/>
        <v>1</v>
      </c>
      <c r="T68" s="140">
        <f t="shared" si="7"/>
        <v>26.466666666666669</v>
      </c>
      <c r="U68" s="150">
        <f t="shared" si="8"/>
        <v>1</v>
      </c>
      <c r="V68" s="141">
        <f t="shared" si="9"/>
        <v>20.745454545454546</v>
      </c>
      <c r="W68" s="142">
        <f t="shared" si="10"/>
        <v>0.91666666666666663</v>
      </c>
      <c r="X68" s="144">
        <f t="shared" si="27"/>
        <v>13.833333333333334</v>
      </c>
      <c r="Y68" s="144">
        <f t="shared" si="28"/>
        <v>26.466666666666669</v>
      </c>
      <c r="Z68" s="144">
        <f t="shared" si="33"/>
        <v>20.745454545454546</v>
      </c>
      <c r="AA68" s="10"/>
      <c r="AB68" s="357" t="str">
        <f>VLOOKUP($B68,'2007-2020 Metadata'!$A$4:$S$214,MATCH("Urban Area /Monitoring Zone",'2007-2020 Metadata'!$A$4:$S$4,0),FALSE)</f>
        <v>Rotorua</v>
      </c>
      <c r="AC68" s="87" t="str">
        <f>VLOOKUP(B68,'2007-2020 Metadata'!$A$6:$A$214,1,FALSE)</f>
        <v>HAM006</v>
      </c>
      <c r="AD68" s="230" t="str">
        <f>VLOOKUP($AC68,'2007-2020 Metadata'!$A$6:$S$214,9,FALSE)</f>
        <v>Rotorua</v>
      </c>
      <c r="AE68" s="248">
        <f>IF(ISBLANK(VLOOKUP($AC68,'2007-2020 Metadata'!$A$6:$S$214,19,FALSE)),"",VLOOKUP($AC68,'2007-2020 Metadata'!$A$6:$S$214,19,FALSE))</f>
        <v>3</v>
      </c>
      <c r="AF68" s="88" t="str">
        <f>VLOOKUP($B68,'2007-2020 Metadata'!$A$4:$S$214,MATCH("Site type",'2007-2020 Metadata'!$A$4:$S$4,0),FALSE)</f>
        <v>SH</v>
      </c>
      <c r="AG68" s="143">
        <f t="shared" si="11"/>
        <v>11.7</v>
      </c>
      <c r="AH68" s="143">
        <f t="shared" si="12"/>
        <v>29.3</v>
      </c>
      <c r="AI68" s="144">
        <f t="shared" si="13"/>
        <v>20.745454545454546</v>
      </c>
    </row>
    <row r="69" spans="1:35" ht="12" customHeight="1" x14ac:dyDescent="0.15">
      <c r="B69" s="11" t="s">
        <v>39</v>
      </c>
      <c r="C69" s="58">
        <f>IF(ISERROR(VLOOKUP($B69,'Monthly Summary 2008'!$B$7:$U$62,14,FALSE)&gt;0),"",VLOOKUP($B69,'Monthly Summary 2008'!$B$7:$U$62,14,FALSE))</f>
        <v>17.600000000000001</v>
      </c>
      <c r="D69" s="12">
        <v>18.3</v>
      </c>
      <c r="E69" s="62">
        <v>19.2</v>
      </c>
      <c r="F69" s="62">
        <v>24</v>
      </c>
      <c r="G69" s="62">
        <v>30.6</v>
      </c>
      <c r="H69" s="62">
        <v>39.1</v>
      </c>
      <c r="I69" s="62">
        <v>39.6</v>
      </c>
      <c r="J69" s="62">
        <v>37.200000000000003</v>
      </c>
      <c r="K69" s="62">
        <v>24.1</v>
      </c>
      <c r="L69" s="62">
        <v>33.9</v>
      </c>
      <c r="M69" s="62">
        <v>26.4</v>
      </c>
      <c r="N69" s="62">
        <v>19.100000000000001</v>
      </c>
      <c r="O69" s="62">
        <v>12</v>
      </c>
      <c r="P69" s="63">
        <f t="shared" si="4"/>
        <v>26.958333333333332</v>
      </c>
      <c r="Q69" s="38">
        <f t="shared" si="0"/>
        <v>1</v>
      </c>
      <c r="R69" s="140">
        <f t="shared" si="5"/>
        <v>20.5</v>
      </c>
      <c r="S69" s="24">
        <f t="shared" si="6"/>
        <v>1</v>
      </c>
      <c r="T69" s="140">
        <f t="shared" si="7"/>
        <v>31.733333333333334</v>
      </c>
      <c r="U69" s="150">
        <f t="shared" si="8"/>
        <v>1</v>
      </c>
      <c r="V69" s="141">
        <f t="shared" si="9"/>
        <v>26.958333333333332</v>
      </c>
      <c r="W69" s="142">
        <f t="shared" si="10"/>
        <v>1</v>
      </c>
      <c r="X69" s="144">
        <f t="shared" si="27"/>
        <v>23.955555555555559</v>
      </c>
      <c r="Y69" s="144">
        <f t="shared" si="28"/>
        <v>36.533333333333331</v>
      </c>
      <c r="Z69" s="144">
        <f t="shared" si="33"/>
        <v>30.040404040404042</v>
      </c>
      <c r="AA69" s="10"/>
      <c r="AB69" s="357" t="str">
        <f>VLOOKUP($B69,'2007-2020 Metadata'!$A$4:$S$214,MATCH("Urban Area /Monitoring Zone",'2007-2020 Metadata'!$A$4:$S$4,0),FALSE)</f>
        <v>Tauranga</v>
      </c>
      <c r="AC69" s="87" t="str">
        <f>VLOOKUP(B69,'2007-2020 Metadata'!$A$6:$A$214,1,FALSE)</f>
        <v>HAM007</v>
      </c>
      <c r="AD69" s="230" t="str">
        <f>VLOOKUP($AC69,'2007-2020 Metadata'!$A$6:$S$214,9,FALSE)</f>
        <v>Tauranga</v>
      </c>
      <c r="AE69" s="248">
        <f>IF(ISBLANK(VLOOKUP($AC69,'2007-2020 Metadata'!$A$6:$S$214,19,FALSE)),"",VLOOKUP($AC69,'2007-2020 Metadata'!$A$6:$S$214,19,FALSE))</f>
        <v>2.9</v>
      </c>
      <c r="AF69" s="88" t="str">
        <f>VLOOKUP($B69,'2007-2020 Metadata'!$A$4:$S$214,MATCH("Site type",'2007-2020 Metadata'!$A$4:$S$4,0),FALSE)</f>
        <v>SH</v>
      </c>
      <c r="AG69" s="143">
        <f t="shared" si="11"/>
        <v>12</v>
      </c>
      <c r="AH69" s="143">
        <f t="shared" si="12"/>
        <v>39.6</v>
      </c>
      <c r="AI69" s="144">
        <f t="shared" si="13"/>
        <v>30.040404040404042</v>
      </c>
    </row>
    <row r="70" spans="1:35" ht="12" customHeight="1" x14ac:dyDescent="0.15">
      <c r="B70" s="11" t="s">
        <v>40</v>
      </c>
      <c r="C70" s="58">
        <f>IF(ISERROR(VLOOKUP($B70,'Monthly Summary 2008'!$B$7:$U$62,14,FALSE)&gt;0),"",VLOOKUP($B70,'Monthly Summary 2008'!$B$7:$U$62,14,FALSE))</f>
        <v>15.7</v>
      </c>
      <c r="D70" s="12">
        <v>19</v>
      </c>
      <c r="E70" s="62">
        <v>17.399999999999999</v>
      </c>
      <c r="F70" s="62">
        <v>20.7</v>
      </c>
      <c r="G70" s="62">
        <v>25.9</v>
      </c>
      <c r="H70" s="62">
        <v>36.799999999999997</v>
      </c>
      <c r="I70" s="62">
        <v>36</v>
      </c>
      <c r="J70" s="62">
        <v>39.1</v>
      </c>
      <c r="K70" s="62">
        <v>27</v>
      </c>
      <c r="L70" s="62">
        <v>26.9</v>
      </c>
      <c r="M70" s="62">
        <v>23.8</v>
      </c>
      <c r="N70" s="62">
        <v>18.5</v>
      </c>
      <c r="O70" s="62">
        <v>7.8</v>
      </c>
      <c r="P70" s="63">
        <f t="shared" si="4"/>
        <v>24.908333333333335</v>
      </c>
      <c r="Q70" s="38">
        <f t="shared" si="0"/>
        <v>1</v>
      </c>
      <c r="R70" s="140">
        <f t="shared" si="5"/>
        <v>19.033333333333331</v>
      </c>
      <c r="S70" s="24">
        <f t="shared" si="6"/>
        <v>1</v>
      </c>
      <c r="T70" s="140">
        <f t="shared" si="7"/>
        <v>31</v>
      </c>
      <c r="U70" s="150">
        <f t="shared" si="8"/>
        <v>1</v>
      </c>
      <c r="V70" s="141">
        <f t="shared" si="9"/>
        <v>24.908333333333335</v>
      </c>
      <c r="W70" s="142">
        <f t="shared" si="10"/>
        <v>1</v>
      </c>
      <c r="X70" s="144">
        <f t="shared" si="27"/>
        <v>23.955555555555559</v>
      </c>
      <c r="Y70" s="144">
        <f t="shared" si="28"/>
        <v>36.533333333333331</v>
      </c>
      <c r="Z70" s="144">
        <f t="shared" si="33"/>
        <v>30.040404040404042</v>
      </c>
      <c r="AA70" s="10"/>
      <c r="AB70" s="357" t="str">
        <f>VLOOKUP($B70,'2007-2020 Metadata'!$A$4:$S$214,MATCH("Urban Area /Monitoring Zone",'2007-2020 Metadata'!$A$4:$S$4,0),FALSE)</f>
        <v>Tauranga</v>
      </c>
      <c r="AC70" s="87" t="str">
        <f>VLOOKUP(B70,'2007-2020 Metadata'!$A$6:$A$214,1,FALSE)</f>
        <v>HAM008</v>
      </c>
      <c r="AD70" s="230" t="str">
        <f>VLOOKUP($AC70,'2007-2020 Metadata'!$A$6:$S$214,9,FALSE)</f>
        <v>Tauranga</v>
      </c>
      <c r="AE70" s="248">
        <f>IF(ISBLANK(VLOOKUP($AC70,'2007-2020 Metadata'!$A$6:$S$214,19,FALSE)),"",VLOOKUP($AC70,'2007-2020 Metadata'!$A$6:$S$214,19,FALSE))</f>
        <v>2.9</v>
      </c>
      <c r="AF70" s="88" t="str">
        <f>VLOOKUP($B70,'2007-2020 Metadata'!$A$4:$S$214,MATCH("Site type",'2007-2020 Metadata'!$A$4:$S$4,0),FALSE)</f>
        <v>SH</v>
      </c>
      <c r="AG70" s="143">
        <f t="shared" si="11"/>
        <v>7.8</v>
      </c>
      <c r="AH70" s="143">
        <f t="shared" si="12"/>
        <v>39.1</v>
      </c>
      <c r="AI70" s="144">
        <f t="shared" si="13"/>
        <v>30.040404040404042</v>
      </c>
    </row>
    <row r="71" spans="1:35" ht="12" customHeight="1" x14ac:dyDescent="0.15">
      <c r="B71" s="11" t="s">
        <v>41</v>
      </c>
      <c r="C71" s="58">
        <f>IF(ISERROR(VLOOKUP($B71,'Monthly Summary 2008'!$B$7:$U$62,14,FALSE)&gt;0),"",VLOOKUP($B71,'Monthly Summary 2008'!$B$7:$U$62,14,FALSE))</f>
        <v>21.1</v>
      </c>
      <c r="D71" s="12">
        <v>31.1</v>
      </c>
      <c r="E71" s="62">
        <v>27.2</v>
      </c>
      <c r="F71" s="62">
        <v>38.700000000000003</v>
      </c>
      <c r="G71" s="62">
        <v>40.9</v>
      </c>
      <c r="H71" s="62">
        <v>52.8</v>
      </c>
      <c r="I71" s="62">
        <v>52.8</v>
      </c>
      <c r="J71" s="62">
        <v>50.8</v>
      </c>
      <c r="K71" s="62">
        <v>50.5</v>
      </c>
      <c r="L71" s="62">
        <v>39.299999999999997</v>
      </c>
      <c r="M71" s="62"/>
      <c r="N71" s="62">
        <v>23.9</v>
      </c>
      <c r="O71" s="62">
        <v>12.8</v>
      </c>
      <c r="P71" s="63">
        <f t="shared" si="4"/>
        <v>38.254545454545458</v>
      </c>
      <c r="Q71" s="38">
        <f t="shared" si="0"/>
        <v>0.91666666666666663</v>
      </c>
      <c r="R71" s="140">
        <f t="shared" si="5"/>
        <v>32.333333333333336</v>
      </c>
      <c r="S71" s="24">
        <f t="shared" si="6"/>
        <v>1</v>
      </c>
      <c r="T71" s="140">
        <f t="shared" si="7"/>
        <v>46.866666666666667</v>
      </c>
      <c r="U71" s="150">
        <f t="shared" si="8"/>
        <v>1</v>
      </c>
      <c r="V71" s="141">
        <f t="shared" si="9"/>
        <v>38.254545454545458</v>
      </c>
      <c r="W71" s="142">
        <f t="shared" si="10"/>
        <v>0.91666666666666663</v>
      </c>
      <c r="X71" s="144">
        <f t="shared" ref="X71:X106" si="34">IF(VLOOKUP($B71,$AC$6:$AI$159,3,FALSE)="",$R71,IF(ISERROR(AVERAGEIF($AD$6:$AD$111,VLOOKUP($B71,$AC$6:$AI$159,2,FALSE),$R$6:$R$159)),"",AVERAGEIF($AD$6:$AD$111,VLOOKUP($B71,$AC$6:$AI$159,2,FALSE),$R$6:$R$159)))</f>
        <v>23.955555555555559</v>
      </c>
      <c r="Y71" s="144">
        <f t="shared" ref="Y71:Y106" si="35">IF(VLOOKUP($B71,$AC$6:$AI$159,3,FALSE)="",$T71,IF(ISERROR(AVERAGEIF($AD$6:$AD$111,VLOOKUP($B71,$AC$6:$AI$159,2,FALSE),$T$6:$T$159)),"",AVERAGEIF($AD$6:$AD$111,VLOOKUP($B71,$AC$6:$AI$159,2,FALSE),$T$6:$T$159)))</f>
        <v>36.533333333333331</v>
      </c>
      <c r="Z71" s="144">
        <f t="shared" si="33"/>
        <v>30.040404040404042</v>
      </c>
      <c r="AA71" s="10"/>
      <c r="AB71" s="357" t="str">
        <f>VLOOKUP($B71,'2007-2020 Metadata'!$A$4:$S$214,MATCH("Urban Area /Monitoring Zone",'2007-2020 Metadata'!$A$4:$S$4,0),FALSE)</f>
        <v>Tauranga</v>
      </c>
      <c r="AC71" s="87" t="str">
        <f>VLOOKUP(B71,'2007-2020 Metadata'!$A$6:$A$214,1,FALSE)</f>
        <v>HAM010</v>
      </c>
      <c r="AD71" s="230" t="str">
        <f>VLOOKUP($AC71,'2007-2020 Metadata'!$A$6:$S$214,9,FALSE)</f>
        <v>Tauranga</v>
      </c>
      <c r="AE71" s="248">
        <f>IF(ISBLANK(VLOOKUP($AC71,'2007-2020 Metadata'!$A$6:$S$214,19,FALSE)),"",VLOOKUP($AC71,'2007-2020 Metadata'!$A$6:$S$214,19,FALSE))</f>
        <v>2.7</v>
      </c>
      <c r="AF71" s="88" t="str">
        <f>VLOOKUP($B71,'2007-2020 Metadata'!$A$4:$S$214,MATCH("Site type",'2007-2020 Metadata'!$A$4:$S$4,0),FALSE)</f>
        <v>SH</v>
      </c>
      <c r="AG71" s="143">
        <f t="shared" si="11"/>
        <v>12.8</v>
      </c>
      <c r="AH71" s="143">
        <f t="shared" si="12"/>
        <v>52.8</v>
      </c>
      <c r="AI71" s="144">
        <f t="shared" si="13"/>
        <v>30.040404040404042</v>
      </c>
    </row>
    <row r="72" spans="1:35" ht="12" customHeight="1" x14ac:dyDescent="0.15">
      <c r="B72" s="11" t="s">
        <v>42</v>
      </c>
      <c r="C72" s="58">
        <f>IF(ISERROR(VLOOKUP($B72,'Monthly Summary 2008'!$B$7:$U$62,14,FALSE)&gt;0),"",VLOOKUP($B72,'Monthly Summary 2008'!$B$7:$U$62,14,FALSE))</f>
        <v>9.1999999999999993</v>
      </c>
      <c r="D72" s="12">
        <v>6.9</v>
      </c>
      <c r="E72" s="62">
        <v>12.3</v>
      </c>
      <c r="F72" s="62">
        <v>9.5</v>
      </c>
      <c r="G72" s="62">
        <v>14.6</v>
      </c>
      <c r="H72" s="62">
        <v>16.2</v>
      </c>
      <c r="I72" s="62">
        <v>17.5</v>
      </c>
      <c r="J72" s="62">
        <v>17</v>
      </c>
      <c r="K72" s="62">
        <v>11.1</v>
      </c>
      <c r="L72" s="62">
        <v>13.8</v>
      </c>
      <c r="M72" s="62">
        <v>7.2</v>
      </c>
      <c r="N72" s="62">
        <v>11.6</v>
      </c>
      <c r="O72" s="62">
        <v>10.7</v>
      </c>
      <c r="P72" s="63">
        <f t="shared" si="4"/>
        <v>12.366666666666665</v>
      </c>
      <c r="Q72" s="38">
        <f t="shared" si="0"/>
        <v>1</v>
      </c>
      <c r="R72" s="140">
        <f t="shared" si="5"/>
        <v>9.5666666666666682</v>
      </c>
      <c r="S72" s="24">
        <f t="shared" si="6"/>
        <v>1</v>
      </c>
      <c r="T72" s="140">
        <f t="shared" si="7"/>
        <v>13.966666666666669</v>
      </c>
      <c r="U72" s="150">
        <f t="shared" si="8"/>
        <v>1</v>
      </c>
      <c r="V72" s="141">
        <f t="shared" si="9"/>
        <v>12.366666666666665</v>
      </c>
      <c r="W72" s="142">
        <f t="shared" si="10"/>
        <v>1</v>
      </c>
      <c r="X72" s="144">
        <f t="shared" si="34"/>
        <v>9.5666666666666682</v>
      </c>
      <c r="Y72" s="144">
        <f t="shared" si="35"/>
        <v>13.966666666666669</v>
      </c>
      <c r="Z72" s="144">
        <f t="shared" si="33"/>
        <v>12.366666666666665</v>
      </c>
      <c r="AA72" s="10"/>
      <c r="AB72" s="357" t="str">
        <f>VLOOKUP($B72,'2007-2020 Metadata'!$A$4:$S$214,MATCH("Urban Area /Monitoring Zone",'2007-2020 Metadata'!$A$4:$S$4,0),FALSE)</f>
        <v>Gisborne</v>
      </c>
      <c r="AC72" s="87" t="str">
        <f>VLOOKUP(B72,'2007-2020 Metadata'!$A$6:$A$214,1,FALSE)</f>
        <v>NAP001</v>
      </c>
      <c r="AD72" s="230" t="str">
        <f>VLOOKUP($AC72,'2007-2020 Metadata'!$A$6:$S$214,9,FALSE)</f>
        <v>Gisborne</v>
      </c>
      <c r="AE72" s="248">
        <f>IF(ISBLANK(VLOOKUP($AC72,'2007-2020 Metadata'!$A$6:$S$214,19,FALSE)),"",VLOOKUP($AC72,'2007-2020 Metadata'!$A$6:$S$214,19,FALSE))</f>
        <v>3</v>
      </c>
      <c r="AF72" s="88" t="str">
        <f>VLOOKUP($B72,'2007-2020 Metadata'!$A$4:$S$214,MATCH("Site type",'2007-2020 Metadata'!$A$4:$S$4,0),FALSE)</f>
        <v>SH</v>
      </c>
      <c r="AG72" s="143">
        <f t="shared" si="11"/>
        <v>6.9</v>
      </c>
      <c r="AH72" s="143">
        <f t="shared" si="12"/>
        <v>17.5</v>
      </c>
      <c r="AI72" s="144">
        <f t="shared" si="13"/>
        <v>12.366666666666665</v>
      </c>
    </row>
    <row r="73" spans="1:35" ht="12" customHeight="1" x14ac:dyDescent="0.15">
      <c r="B73" s="11" t="s">
        <v>43</v>
      </c>
      <c r="C73" s="58">
        <f>IF(ISERROR(VLOOKUP($B73,'Monthly Summary 2008'!$B$7:$U$62,14,FALSE)&gt;0),"",VLOOKUP($B73,'Monthly Summary 2008'!$B$7:$U$62,14,FALSE))</f>
        <v>10.6</v>
      </c>
      <c r="D73" s="12">
        <v>10.8</v>
      </c>
      <c r="E73" s="62">
        <v>9.1999999999999993</v>
      </c>
      <c r="F73" s="62">
        <v>16.399999999999999</v>
      </c>
      <c r="G73" s="62">
        <v>19.399999999999999</v>
      </c>
      <c r="H73" s="62">
        <v>21.6</v>
      </c>
      <c r="I73" s="62">
        <v>18.8</v>
      </c>
      <c r="J73" s="62">
        <v>21.3</v>
      </c>
      <c r="K73" s="62">
        <v>21.9</v>
      </c>
      <c r="L73" s="62">
        <v>17.2</v>
      </c>
      <c r="M73" s="62">
        <v>14.7</v>
      </c>
      <c r="N73" s="62">
        <v>12.7</v>
      </c>
      <c r="O73" s="62">
        <v>8.6</v>
      </c>
      <c r="P73" s="63">
        <f t="shared" si="4"/>
        <v>16.049999999999997</v>
      </c>
      <c r="Q73" s="38">
        <f t="shared" ref="Q73:Q106" si="36">COUNT(D73:O73)/COUNT($D$6:$O$6)</f>
        <v>1</v>
      </c>
      <c r="R73" s="140">
        <f t="shared" si="5"/>
        <v>12.133333333333333</v>
      </c>
      <c r="S73" s="24">
        <f t="shared" si="6"/>
        <v>1</v>
      </c>
      <c r="T73" s="140">
        <f t="shared" si="7"/>
        <v>20.133333333333336</v>
      </c>
      <c r="U73" s="150">
        <f t="shared" si="8"/>
        <v>1</v>
      </c>
      <c r="V73" s="141">
        <f t="shared" si="9"/>
        <v>16.049999999999997</v>
      </c>
      <c r="W73" s="142">
        <f t="shared" si="10"/>
        <v>1</v>
      </c>
      <c r="X73" s="144">
        <f t="shared" si="34"/>
        <v>16.266666666666666</v>
      </c>
      <c r="Y73" s="144">
        <f t="shared" si="35"/>
        <v>23.800000000000004</v>
      </c>
      <c r="Z73" s="144">
        <f t="shared" si="33"/>
        <v>19.216666666666669</v>
      </c>
      <c r="AA73" s="10"/>
      <c r="AB73" s="357" t="str">
        <f>VLOOKUP($B73,'2007-2020 Metadata'!$A$4:$S$214,MATCH("Urban Area /Monitoring Zone",'2007-2020 Metadata'!$A$4:$S$4,0),FALSE)</f>
        <v>Napier</v>
      </c>
      <c r="AC73" s="87" t="str">
        <f>VLOOKUP(B73,'2007-2020 Metadata'!$A$6:$A$214,1,FALSE)</f>
        <v>NAP002</v>
      </c>
      <c r="AD73" s="230" t="str">
        <f>VLOOKUP($AC73,'2007-2020 Metadata'!$A$6:$S$214,9,FALSE)</f>
        <v>Napier</v>
      </c>
      <c r="AE73" s="248">
        <f>IF(ISBLANK(VLOOKUP($AC73,'2007-2020 Metadata'!$A$6:$S$214,19,FALSE)),"",VLOOKUP($AC73,'2007-2020 Metadata'!$A$6:$S$214,19,FALSE))</f>
        <v>3</v>
      </c>
      <c r="AF73" s="88" t="str">
        <f>VLOOKUP($B73,'2007-2020 Metadata'!$A$4:$S$214,MATCH("Site type",'2007-2020 Metadata'!$A$4:$S$4,0),FALSE)</f>
        <v>SH</v>
      </c>
      <c r="AG73" s="143">
        <f t="shared" si="11"/>
        <v>8.6</v>
      </c>
      <c r="AH73" s="143">
        <f t="shared" si="12"/>
        <v>21.9</v>
      </c>
      <c r="AI73" s="144">
        <f t="shared" si="13"/>
        <v>19.216666666666669</v>
      </c>
    </row>
    <row r="74" spans="1:35" ht="12" customHeight="1" x14ac:dyDescent="0.15">
      <c r="B74" s="11" t="s">
        <v>44</v>
      </c>
      <c r="C74" s="58">
        <f>IF(ISERROR(VLOOKUP($B74,'Monthly Summary 2008'!$B$7:$U$62,14,FALSE)&gt;0),"",VLOOKUP($B74,'Monthly Summary 2008'!$B$7:$U$62,14,FALSE))</f>
        <v>18.899999999999999</v>
      </c>
      <c r="D74" s="12">
        <v>20.399999999999999</v>
      </c>
      <c r="E74" s="62">
        <v>22.1</v>
      </c>
      <c r="F74" s="62">
        <v>18.7</v>
      </c>
      <c r="G74" s="62">
        <v>24</v>
      </c>
      <c r="H74" s="62">
        <v>20.3</v>
      </c>
      <c r="I74" s="62">
        <v>28.5</v>
      </c>
      <c r="J74" s="62">
        <v>23.3</v>
      </c>
      <c r="K74" s="62">
        <v>34.1</v>
      </c>
      <c r="L74" s="62">
        <v>25</v>
      </c>
      <c r="M74" s="62">
        <v>19.3</v>
      </c>
      <c r="N74" s="62">
        <v>19</v>
      </c>
      <c r="O74" s="62">
        <v>13.9</v>
      </c>
      <c r="P74" s="63">
        <f t="shared" ref="P74:P106" si="37">AVERAGE(D74:O74)</f>
        <v>22.383333333333336</v>
      </c>
      <c r="Q74" s="38">
        <f t="shared" si="36"/>
        <v>1</v>
      </c>
      <c r="R74" s="140">
        <f t="shared" ref="R74:R106" si="38">IF($S74=0%,"",IF($S74&gt;66%,AVERAGE($D74:$F74),"-"))</f>
        <v>20.400000000000002</v>
      </c>
      <c r="S74" s="24">
        <f t="shared" ref="S74:S106" si="39">COUNT(D74:F74)/3</f>
        <v>1</v>
      </c>
      <c r="T74" s="140">
        <f t="shared" ref="T74:T106" si="40">IF($U74=0%,"",IF($U74&gt;66%,AVERAGE($J74:$L74),"-"))</f>
        <v>27.466666666666669</v>
      </c>
      <c r="U74" s="150">
        <f t="shared" ref="U74:U106" si="41">COUNT(J74:L74)/3</f>
        <v>1</v>
      </c>
      <c r="V74" s="141">
        <f t="shared" ref="V74:V106" si="42">IF(AND(($S74&gt;33%),($U74&gt;33%),($W74&gt;=75%)),AVERAGE($D74:$O74),"-")</f>
        <v>22.383333333333336</v>
      </c>
      <c r="W74" s="142">
        <f t="shared" ref="W74:W106" si="43">Q74</f>
        <v>1</v>
      </c>
      <c r="X74" s="144">
        <f t="shared" si="34"/>
        <v>16.266666666666666</v>
      </c>
      <c r="Y74" s="144">
        <f t="shared" si="35"/>
        <v>23.800000000000004</v>
      </c>
      <c r="Z74" s="144">
        <f t="shared" si="33"/>
        <v>19.216666666666669</v>
      </c>
      <c r="AA74" s="10"/>
      <c r="AB74" s="357" t="str">
        <f>VLOOKUP($B74,'2007-2020 Metadata'!$A$4:$S$214,MATCH("Urban Area /Monitoring Zone",'2007-2020 Metadata'!$A$4:$S$4,0),FALSE)</f>
        <v>Napier</v>
      </c>
      <c r="AC74" s="87" t="str">
        <f>VLOOKUP(B74,'2007-2020 Metadata'!$A$6:$A$214,1,FALSE)</f>
        <v>NAP003</v>
      </c>
      <c r="AD74" s="230" t="str">
        <f>VLOOKUP($AC74,'2007-2020 Metadata'!$A$6:$S$214,9,FALSE)</f>
        <v>Napier</v>
      </c>
      <c r="AE74" s="248">
        <f>IF(ISBLANK(VLOOKUP($AC74,'2007-2020 Metadata'!$A$6:$S$214,19,FALSE)),"",VLOOKUP($AC74,'2007-2020 Metadata'!$A$6:$S$214,19,FALSE))</f>
        <v>3</v>
      </c>
      <c r="AF74" s="88" t="str">
        <f>VLOOKUP($B74,'2007-2020 Metadata'!$A$4:$S$214,MATCH("Site type",'2007-2020 Metadata'!$A$4:$S$4,0),FALSE)</f>
        <v>SH</v>
      </c>
      <c r="AG74" s="143">
        <f t="shared" ref="AG74:AG106" si="44">MIN($D74:$O74)</f>
        <v>13.9</v>
      </c>
      <c r="AH74" s="143">
        <f t="shared" ref="AH74:AH106" si="45">MAX($D74:$O74)</f>
        <v>34.1</v>
      </c>
      <c r="AI74" s="144">
        <f t="shared" ref="AI74:AI106" si="46">IF($W74&gt;=75%,$Z74," ")</f>
        <v>19.216666666666669</v>
      </c>
    </row>
    <row r="75" spans="1:35" ht="12" customHeight="1" x14ac:dyDescent="0.15">
      <c r="B75" s="11" t="s">
        <v>45</v>
      </c>
      <c r="C75" s="58">
        <f>IF(ISERROR(VLOOKUP($B75,'Monthly Summary 2008'!$B$7:$U$62,14,FALSE)&gt;0),"",VLOOKUP($B75,'Monthly Summary 2008'!$B$7:$U$62,14,FALSE))</f>
        <v>12.8</v>
      </c>
      <c r="D75" s="12">
        <v>14.1</v>
      </c>
      <c r="E75" s="62">
        <v>18.3</v>
      </c>
      <c r="F75" s="62">
        <v>19.3</v>
      </c>
      <c r="G75" s="62">
        <v>22.4</v>
      </c>
      <c r="H75" s="62">
        <v>15.3</v>
      </c>
      <c r="I75" s="62">
        <v>27</v>
      </c>
      <c r="J75" s="62">
        <v>21.1</v>
      </c>
      <c r="K75" s="62">
        <v>23.3</v>
      </c>
      <c r="L75" s="62">
        <v>20.9</v>
      </c>
      <c r="M75" s="62">
        <v>16.100000000000001</v>
      </c>
      <c r="N75" s="62">
        <v>20.6</v>
      </c>
      <c r="O75" s="62">
        <v>10.4</v>
      </c>
      <c r="P75" s="63">
        <f t="shared" si="37"/>
        <v>19.066666666666666</v>
      </c>
      <c r="Q75" s="38">
        <f t="shared" si="36"/>
        <v>1</v>
      </c>
      <c r="R75" s="140">
        <f t="shared" si="38"/>
        <v>17.233333333333334</v>
      </c>
      <c r="S75" s="24">
        <f t="shared" si="39"/>
        <v>1</v>
      </c>
      <c r="T75" s="140">
        <f t="shared" si="40"/>
        <v>21.766666666666669</v>
      </c>
      <c r="U75" s="150">
        <f t="shared" si="41"/>
        <v>1</v>
      </c>
      <c r="V75" s="141">
        <f t="shared" si="42"/>
        <v>19.066666666666666</v>
      </c>
      <c r="W75" s="142">
        <f t="shared" si="43"/>
        <v>1</v>
      </c>
      <c r="X75" s="144">
        <f t="shared" si="34"/>
        <v>17.233333333333334</v>
      </c>
      <c r="Y75" s="144">
        <f t="shared" si="35"/>
        <v>21.766666666666669</v>
      </c>
      <c r="Z75" s="144">
        <f t="shared" si="33"/>
        <v>19.066666666666666</v>
      </c>
      <c r="AA75" s="10"/>
      <c r="AB75" s="357" t="str">
        <f>VLOOKUP($B75,'2007-2020 Metadata'!$A$4:$S$214,MATCH("Urban Area /Monitoring Zone",'2007-2020 Metadata'!$A$4:$S$4,0),FALSE)</f>
        <v>Hastings</v>
      </c>
      <c r="AC75" s="87" t="str">
        <f>VLOOKUP(B75,'2007-2020 Metadata'!$A$6:$A$214,1,FALSE)</f>
        <v>NAP004</v>
      </c>
      <c r="AD75" s="230" t="str">
        <f>VLOOKUP($AC75,'2007-2020 Metadata'!$A$6:$S$214,9,FALSE)</f>
        <v>Hastings</v>
      </c>
      <c r="AE75" s="248">
        <f>IF(ISBLANK(VLOOKUP($AC75,'2007-2020 Metadata'!$A$6:$S$214,19,FALSE)),"",VLOOKUP($AC75,'2007-2020 Metadata'!$A$6:$S$214,19,FALSE))</f>
        <v>3</v>
      </c>
      <c r="AF75" s="88" t="str">
        <f>VLOOKUP($B75,'2007-2020 Metadata'!$A$4:$S$214,MATCH("Site type",'2007-2020 Metadata'!$A$4:$S$4,0),FALSE)</f>
        <v>SH</v>
      </c>
      <c r="AG75" s="143">
        <f t="shared" si="44"/>
        <v>10.4</v>
      </c>
      <c r="AH75" s="143">
        <f t="shared" si="45"/>
        <v>27</v>
      </c>
      <c r="AI75" s="144">
        <f t="shared" si="46"/>
        <v>19.066666666666666</v>
      </c>
    </row>
    <row r="76" spans="1:35" ht="12" customHeight="1" x14ac:dyDescent="0.15">
      <c r="A76" s="178" t="s">
        <v>496</v>
      </c>
      <c r="B76" s="11" t="s">
        <v>46</v>
      </c>
      <c r="C76" s="58">
        <f>IF(ISERROR(VLOOKUP($B76,'Monthly Summary 2008'!$B$7:$U$62,14,FALSE)&gt;0),"",VLOOKUP($B76,'Monthly Summary 2008'!$B$7:$U$62,14,FALSE))</f>
        <v>14.5</v>
      </c>
      <c r="D76" s="12">
        <v>11.3</v>
      </c>
      <c r="E76" s="62">
        <v>18</v>
      </c>
      <c r="F76" s="62">
        <v>19.399999999999999</v>
      </c>
      <c r="G76" s="62">
        <v>14.9</v>
      </c>
      <c r="H76" s="62">
        <v>27.1</v>
      </c>
      <c r="I76" s="62">
        <v>18.7</v>
      </c>
      <c r="J76" s="62">
        <v>29.8</v>
      </c>
      <c r="K76" s="62">
        <v>27.2</v>
      </c>
      <c r="L76" s="62">
        <v>27.1</v>
      </c>
      <c r="M76" s="62">
        <v>15.5</v>
      </c>
      <c r="N76" s="62">
        <v>21.4</v>
      </c>
      <c r="O76" s="62"/>
      <c r="P76" s="63">
        <f t="shared" si="37"/>
        <v>20.945454545454545</v>
      </c>
      <c r="Q76" s="38">
        <f t="shared" si="36"/>
        <v>0.91666666666666663</v>
      </c>
      <c r="R76" s="140">
        <f t="shared" si="38"/>
        <v>16.233333333333334</v>
      </c>
      <c r="S76" s="24">
        <f t="shared" si="39"/>
        <v>1</v>
      </c>
      <c r="T76" s="140">
        <f t="shared" si="40"/>
        <v>28.033333333333331</v>
      </c>
      <c r="U76" s="150">
        <f t="shared" si="41"/>
        <v>1</v>
      </c>
      <c r="V76" s="141">
        <f t="shared" si="42"/>
        <v>20.945454545454545</v>
      </c>
      <c r="W76" s="142">
        <f t="shared" si="43"/>
        <v>0.91666666666666663</v>
      </c>
      <c r="X76" s="144">
        <f t="shared" si="34"/>
        <v>16.233333333333334</v>
      </c>
      <c r="Y76" s="144">
        <f t="shared" si="35"/>
        <v>28.033333333333331</v>
      </c>
      <c r="Z76" s="144">
        <f t="shared" si="33"/>
        <v>20.945454545454545</v>
      </c>
      <c r="AA76" s="10"/>
      <c r="AB76" s="357" t="str">
        <f>VLOOKUP($B76,'2007-2020 Metadata'!$A$4:$S$214,MATCH("Urban Area /Monitoring Zone",'2007-2020 Metadata'!$A$4:$S$4,0),FALSE)</f>
        <v>New Plymouth</v>
      </c>
      <c r="AC76" s="87" t="str">
        <f>VLOOKUP(B76,'2007-2020 Metadata'!$A$6:$A$214,1,FALSE)</f>
        <v>WAN001</v>
      </c>
      <c r="AD76" s="230" t="str">
        <f>VLOOKUP($AC76,'2007-2020 Metadata'!$A$6:$S$214,9,FALSE)</f>
        <v>New Plymouth</v>
      </c>
      <c r="AE76" s="248">
        <f>IF(ISBLANK(VLOOKUP($AC76,'2007-2020 Metadata'!$A$6:$S$214,19,FALSE)),"",VLOOKUP($AC76,'2007-2020 Metadata'!$A$6:$S$214,19,FALSE))</f>
        <v>3</v>
      </c>
      <c r="AF76" s="88" t="str">
        <f>VLOOKUP($B76,'2007-2020 Metadata'!$A$4:$S$214,MATCH("Site type",'2007-2020 Metadata'!$A$4:$S$4,0),FALSE)</f>
        <v>SH</v>
      </c>
      <c r="AG76" s="143">
        <f t="shared" si="44"/>
        <v>11.3</v>
      </c>
      <c r="AH76" s="143">
        <f t="shared" si="45"/>
        <v>29.8</v>
      </c>
      <c r="AI76" s="144">
        <f t="shared" si="46"/>
        <v>20.945454545454545</v>
      </c>
    </row>
    <row r="77" spans="1:35" ht="12" customHeight="1" x14ac:dyDescent="0.15">
      <c r="A77" s="178" t="s">
        <v>496</v>
      </c>
      <c r="B77" s="11" t="s">
        <v>47</v>
      </c>
      <c r="C77" s="58">
        <f>IF(ISERROR(VLOOKUP($B77,'Monthly Summary 2008'!$B$7:$U$62,14,FALSE)&gt;0),"",VLOOKUP($B77,'Monthly Summary 2008'!$B$7:$U$62,14,FALSE))</f>
        <v>8.9</v>
      </c>
      <c r="D77" s="12">
        <v>7.9</v>
      </c>
      <c r="E77" s="62">
        <v>11.5</v>
      </c>
      <c r="F77" s="62">
        <v>15.6</v>
      </c>
      <c r="G77" s="62">
        <v>10.7</v>
      </c>
      <c r="H77" s="62">
        <v>16.5</v>
      </c>
      <c r="I77" s="62">
        <v>9</v>
      </c>
      <c r="J77" s="62">
        <v>17</v>
      </c>
      <c r="K77" s="62">
        <v>20.6</v>
      </c>
      <c r="L77" s="62">
        <v>19.5</v>
      </c>
      <c r="M77" s="62"/>
      <c r="N77" s="343"/>
      <c r="O77" s="343"/>
      <c r="P77" s="63">
        <f t="shared" si="37"/>
        <v>14.255555555555556</v>
      </c>
      <c r="Q77" s="38">
        <f t="shared" si="36"/>
        <v>0.75</v>
      </c>
      <c r="R77" s="140">
        <f t="shared" si="38"/>
        <v>11.666666666666666</v>
      </c>
      <c r="S77" s="24">
        <f t="shared" si="39"/>
        <v>1</v>
      </c>
      <c r="T77" s="140">
        <f t="shared" si="40"/>
        <v>19.033333333333335</v>
      </c>
      <c r="U77" s="150">
        <f t="shared" si="41"/>
        <v>1</v>
      </c>
      <c r="V77" s="141">
        <f t="shared" si="42"/>
        <v>14.255555555555556</v>
      </c>
      <c r="W77" s="142">
        <f t="shared" si="43"/>
        <v>0.75</v>
      </c>
      <c r="X77" s="144">
        <f t="shared" si="34"/>
        <v>11.666666666666666</v>
      </c>
      <c r="Y77" s="144">
        <f t="shared" si="35"/>
        <v>19.033333333333335</v>
      </c>
      <c r="Z77" s="144">
        <f t="shared" si="33"/>
        <v>14.255555555555556</v>
      </c>
      <c r="AA77" s="10"/>
      <c r="AB77" s="357" t="str">
        <f>VLOOKUP($B77,'2007-2020 Metadata'!$A$4:$S$214,MATCH("Urban Area /Monitoring Zone",'2007-2020 Metadata'!$A$4:$S$4,0),FALSE)</f>
        <v>Whanganui</v>
      </c>
      <c r="AC77" s="87" t="str">
        <f>VLOOKUP(B77,'2007-2020 Metadata'!$A$6:$A$214,1,FALSE)</f>
        <v>WAN002</v>
      </c>
      <c r="AD77" s="230" t="str">
        <f>VLOOKUP($AC77,'2007-2020 Metadata'!$A$6:$S$214,9,FALSE)</f>
        <v>Whanganui</v>
      </c>
      <c r="AE77" s="248">
        <f>IF(ISBLANK(VLOOKUP($AC77,'2007-2020 Metadata'!$A$6:$S$214,19,FALSE)),"",VLOOKUP($AC77,'2007-2020 Metadata'!$A$6:$S$214,19,FALSE))</f>
        <v>3</v>
      </c>
      <c r="AF77" s="88" t="str">
        <f>VLOOKUP($B77,'2007-2020 Metadata'!$A$4:$S$214,MATCH("Site type",'2007-2020 Metadata'!$A$4:$S$4,0),FALSE)</f>
        <v>SH</v>
      </c>
      <c r="AG77" s="143">
        <f t="shared" si="44"/>
        <v>7.9</v>
      </c>
      <c r="AH77" s="143">
        <f t="shared" si="45"/>
        <v>20.6</v>
      </c>
      <c r="AI77" s="144">
        <f t="shared" si="46"/>
        <v>14.255555555555556</v>
      </c>
    </row>
    <row r="78" spans="1:35" ht="12" customHeight="1" x14ac:dyDescent="0.15">
      <c r="B78" s="11" t="s">
        <v>48</v>
      </c>
      <c r="C78" s="58">
        <f>IF(ISERROR(VLOOKUP($B78,'Monthly Summary 2008'!$B$7:$U$62,14,FALSE)&gt;0),"",VLOOKUP($B78,'Monthly Summary 2008'!$B$7:$U$62,14,FALSE))</f>
        <v>16.100000000000001</v>
      </c>
      <c r="D78" s="12">
        <v>13.3</v>
      </c>
      <c r="E78" s="62">
        <v>10.5</v>
      </c>
      <c r="F78" s="62">
        <v>11.6</v>
      </c>
      <c r="G78" s="62">
        <v>18.8</v>
      </c>
      <c r="H78" s="62">
        <v>18.899999999999999</v>
      </c>
      <c r="I78" s="62">
        <v>22.9</v>
      </c>
      <c r="J78" s="62">
        <v>19.100000000000001</v>
      </c>
      <c r="K78" s="62">
        <v>16.399999999999999</v>
      </c>
      <c r="L78" s="62">
        <v>16.899999999999999</v>
      </c>
      <c r="M78" s="62">
        <v>10.3</v>
      </c>
      <c r="N78" s="62">
        <v>9.5</v>
      </c>
      <c r="O78" s="62">
        <v>12.4</v>
      </c>
      <c r="P78" s="63">
        <f t="shared" si="37"/>
        <v>15.050000000000002</v>
      </c>
      <c r="Q78" s="38">
        <f t="shared" si="36"/>
        <v>1</v>
      </c>
      <c r="R78" s="140">
        <f t="shared" si="38"/>
        <v>11.799999999999999</v>
      </c>
      <c r="S78" s="24">
        <f t="shared" si="39"/>
        <v>1</v>
      </c>
      <c r="T78" s="140">
        <f t="shared" si="40"/>
        <v>17.466666666666665</v>
      </c>
      <c r="U78" s="150">
        <f t="shared" si="41"/>
        <v>1</v>
      </c>
      <c r="V78" s="141">
        <f t="shared" si="42"/>
        <v>15.050000000000002</v>
      </c>
      <c r="W78" s="142">
        <f t="shared" si="43"/>
        <v>1</v>
      </c>
      <c r="X78" s="144">
        <f t="shared" si="34"/>
        <v>11.799999999999999</v>
      </c>
      <c r="Y78" s="144">
        <f t="shared" si="35"/>
        <v>17.466666666666665</v>
      </c>
      <c r="Z78" s="144">
        <f t="shared" si="33"/>
        <v>15.050000000000002</v>
      </c>
      <c r="AA78" s="10"/>
      <c r="AB78" s="357" t="str">
        <f>VLOOKUP($B78,'2007-2020 Metadata'!$A$4:$S$214,MATCH("Urban Area /Monitoring Zone",'2007-2020 Metadata'!$A$4:$S$4,0),FALSE)</f>
        <v>Palmerston North</v>
      </c>
      <c r="AC78" s="87" t="str">
        <f>VLOOKUP(B78,'2007-2020 Metadata'!$A$6:$A$214,1,FALSE)</f>
        <v>WAN004</v>
      </c>
      <c r="AD78" s="230" t="str">
        <f>VLOOKUP($AC78,'2007-2020 Metadata'!$A$6:$S$214,9,FALSE)</f>
        <v>Palmerston North</v>
      </c>
      <c r="AE78" s="248">
        <f>IF(ISBLANK(VLOOKUP($AC78,'2007-2020 Metadata'!$A$6:$S$214,19,FALSE)),"",VLOOKUP($AC78,'2007-2020 Metadata'!$A$6:$S$214,19,FALSE))</f>
        <v>3</v>
      </c>
      <c r="AF78" s="88" t="str">
        <f>VLOOKUP($B78,'2007-2020 Metadata'!$A$4:$S$214,MATCH("Site type",'2007-2020 Metadata'!$A$4:$S$4,0),FALSE)</f>
        <v>SH</v>
      </c>
      <c r="AG78" s="143">
        <f t="shared" si="44"/>
        <v>9.5</v>
      </c>
      <c r="AH78" s="143">
        <f t="shared" si="45"/>
        <v>22.9</v>
      </c>
      <c r="AI78" s="144">
        <f t="shared" si="46"/>
        <v>15.050000000000002</v>
      </c>
    </row>
    <row r="79" spans="1:35" ht="12" customHeight="1" x14ac:dyDescent="0.15">
      <c r="B79" s="11" t="s">
        <v>114</v>
      </c>
      <c r="C79" s="58" t="str">
        <f>IF(ISERROR(VLOOKUP($B79,'Monthly Summary 2008'!$B$7:$U$62,14,FALSE)&gt;0),"",VLOOKUP($B79,'Monthly Summary 2008'!$B$7:$U$62,14,FALSE))</f>
        <v/>
      </c>
      <c r="D79" s="342"/>
      <c r="E79" s="343"/>
      <c r="F79" s="343"/>
      <c r="G79" s="343"/>
      <c r="H79" s="343"/>
      <c r="I79" s="343"/>
      <c r="J79" s="343"/>
      <c r="K79" s="343"/>
      <c r="L79" s="343"/>
      <c r="M79" s="343"/>
      <c r="N79" s="62">
        <v>20.9</v>
      </c>
      <c r="O79" s="62">
        <v>10.5</v>
      </c>
      <c r="P79" s="63">
        <f t="shared" si="37"/>
        <v>15.7</v>
      </c>
      <c r="Q79" s="38">
        <f t="shared" si="36"/>
        <v>0.16666666666666666</v>
      </c>
      <c r="R79" s="140" t="str">
        <f t="shared" si="38"/>
        <v/>
      </c>
      <c r="S79" s="24">
        <f t="shared" si="39"/>
        <v>0</v>
      </c>
      <c r="T79" s="140" t="str">
        <f t="shared" si="40"/>
        <v/>
      </c>
      <c r="U79" s="150">
        <f t="shared" si="41"/>
        <v>0</v>
      </c>
      <c r="V79" s="141" t="str">
        <f t="shared" si="42"/>
        <v>-</v>
      </c>
      <c r="W79" s="142">
        <f t="shared" si="43"/>
        <v>0.16666666666666666</v>
      </c>
      <c r="X79" s="144">
        <f t="shared" si="34"/>
        <v>11.666666666666666</v>
      </c>
      <c r="Y79" s="144">
        <f t="shared" si="35"/>
        <v>19.033333333333335</v>
      </c>
      <c r="Z79" s="144">
        <f t="shared" si="33"/>
        <v>14.255555555555556</v>
      </c>
      <c r="AA79" s="10"/>
      <c r="AB79" s="357" t="str">
        <f>VLOOKUP($B79,'2007-2020 Metadata'!$A$4:$S$214,MATCH("Urban Area /Monitoring Zone",'2007-2020 Metadata'!$A$4:$S$4,0),FALSE)</f>
        <v>Whanganui</v>
      </c>
      <c r="AC79" s="87" t="str">
        <f>VLOOKUP(B79,'2007-2020 Metadata'!$A$6:$A$214,1,FALSE)</f>
        <v>WAN010</v>
      </c>
      <c r="AD79" s="230" t="str">
        <f>VLOOKUP($AC79,'2007-2020 Metadata'!$A$6:$S$214,9,FALSE)</f>
        <v>Whanganui</v>
      </c>
      <c r="AE79" s="248">
        <f>IF(ISBLANK(VLOOKUP($AC79,'2007-2020 Metadata'!$A$6:$S$214,19,FALSE)),"",VLOOKUP($AC79,'2007-2020 Metadata'!$A$6:$S$214,19,FALSE))</f>
        <v>3</v>
      </c>
      <c r="AF79" s="88" t="str">
        <f>VLOOKUP($B79,'2007-2020 Metadata'!$A$4:$S$214,MATCH("Site type",'2007-2020 Metadata'!$A$4:$S$4,0),FALSE)</f>
        <v>SH</v>
      </c>
      <c r="AG79" s="143">
        <f t="shared" si="44"/>
        <v>10.5</v>
      </c>
      <c r="AH79" s="143">
        <f t="shared" si="45"/>
        <v>20.9</v>
      </c>
      <c r="AI79" s="144" t="str">
        <f t="shared" si="46"/>
        <v xml:space="preserve"> </v>
      </c>
    </row>
    <row r="80" spans="1:35" ht="12" customHeight="1" x14ac:dyDescent="0.15">
      <c r="A80" s="178" t="s">
        <v>496</v>
      </c>
      <c r="B80" s="11" t="s">
        <v>49</v>
      </c>
      <c r="C80" s="58">
        <f>IF(ISERROR(VLOOKUP($B80,'Monthly Summary 2008'!$B$7:$U$62,14,FALSE)&gt;0),"",VLOOKUP($B80,'Monthly Summary 2008'!$B$7:$U$62,14,FALSE))</f>
        <v>11.7</v>
      </c>
      <c r="D80" s="12">
        <v>14.5</v>
      </c>
      <c r="E80" s="62">
        <v>19.399999999999999</v>
      </c>
      <c r="F80" s="62">
        <v>22.3</v>
      </c>
      <c r="G80" s="62">
        <v>27.1</v>
      </c>
      <c r="H80" s="62">
        <v>26.8</v>
      </c>
      <c r="I80" s="62">
        <v>33.4</v>
      </c>
      <c r="J80" s="12"/>
      <c r="K80" s="12"/>
      <c r="L80" s="62">
        <v>29.3</v>
      </c>
      <c r="M80" s="62">
        <v>25.8</v>
      </c>
      <c r="N80" s="62">
        <v>21.5</v>
      </c>
      <c r="O80" s="62">
        <v>14.8</v>
      </c>
      <c r="P80" s="63">
        <f t="shared" si="37"/>
        <v>23.490000000000002</v>
      </c>
      <c r="Q80" s="38">
        <f t="shared" si="36"/>
        <v>0.83333333333333337</v>
      </c>
      <c r="R80" s="140">
        <f t="shared" si="38"/>
        <v>18.733333333333334</v>
      </c>
      <c r="S80" s="24">
        <f t="shared" si="39"/>
        <v>1</v>
      </c>
      <c r="T80" s="140" t="str">
        <f t="shared" si="40"/>
        <v>-</v>
      </c>
      <c r="U80" s="150">
        <f t="shared" si="41"/>
        <v>0.33333333333333331</v>
      </c>
      <c r="V80" s="141">
        <f t="shared" si="42"/>
        <v>23.490000000000002</v>
      </c>
      <c r="W80" s="142">
        <f t="shared" si="43"/>
        <v>0.83333333333333337</v>
      </c>
      <c r="X80" s="144">
        <f t="shared" si="34"/>
        <v>14.52</v>
      </c>
      <c r="Y80" s="144">
        <f t="shared" si="35"/>
        <v>26.95</v>
      </c>
      <c r="Z80" s="144">
        <f t="shared" si="33"/>
        <v>21.69466666666667</v>
      </c>
      <c r="AA80" s="10"/>
      <c r="AB80" s="357" t="str">
        <f>VLOOKUP($B80,'2007-2020 Metadata'!$A$4:$S$214,MATCH("Urban Area /Monitoring Zone",'2007-2020 Metadata'!$A$4:$S$4,0),FALSE)</f>
        <v>Lower Hutt</v>
      </c>
      <c r="AC80" s="87" t="str">
        <f>VLOOKUP(B80,'2007-2020 Metadata'!$A$6:$A$214,1,FALSE)</f>
        <v>WEL002</v>
      </c>
      <c r="AD80" s="230" t="str">
        <f>VLOOKUP($AC80,'2007-2020 Metadata'!$A$6:$S$214,9,FALSE)</f>
        <v>Lower Hutt</v>
      </c>
      <c r="AE80" s="248">
        <f>IF(ISBLANK(VLOOKUP($AC80,'2007-2020 Metadata'!$A$6:$S$214,19,FALSE)),"",VLOOKUP($AC80,'2007-2020 Metadata'!$A$6:$S$214,19,FALSE))</f>
        <v>3.2</v>
      </c>
      <c r="AF80" s="88" t="str">
        <f>VLOOKUP($B80,'2007-2020 Metadata'!$A$4:$S$214,MATCH("Site type",'2007-2020 Metadata'!$A$4:$S$4,0),FALSE)</f>
        <v>SH</v>
      </c>
      <c r="AG80" s="143">
        <f t="shared" si="44"/>
        <v>14.5</v>
      </c>
      <c r="AH80" s="143">
        <f t="shared" si="45"/>
        <v>33.4</v>
      </c>
      <c r="AI80" s="144">
        <f t="shared" si="46"/>
        <v>21.69466666666667</v>
      </c>
    </row>
    <row r="81" spans="1:35" ht="12" customHeight="1" x14ac:dyDescent="0.15">
      <c r="B81" s="11" t="s">
        <v>50</v>
      </c>
      <c r="C81" s="58">
        <f>IF(ISERROR(VLOOKUP($B81,'Monthly Summary 2008'!$B$7:$U$62,14,FALSE)&gt;0),"",VLOOKUP($B81,'Monthly Summary 2008'!$B$7:$U$62,14,FALSE))</f>
        <v>5.9</v>
      </c>
      <c r="D81" s="12">
        <v>8.8000000000000007</v>
      </c>
      <c r="E81" s="62">
        <v>10.199999999999999</v>
      </c>
      <c r="F81" s="62">
        <v>10.3</v>
      </c>
      <c r="G81" s="62">
        <v>19.100000000000001</v>
      </c>
      <c r="H81" s="62">
        <v>16.600000000000001</v>
      </c>
      <c r="I81" s="62">
        <v>26.9</v>
      </c>
      <c r="J81" s="62">
        <v>22.7</v>
      </c>
      <c r="K81" s="62">
        <v>21.1</v>
      </c>
      <c r="L81" s="62">
        <v>17.399999999999999</v>
      </c>
      <c r="M81" s="62">
        <v>6</v>
      </c>
      <c r="N81" s="62">
        <v>7.9</v>
      </c>
      <c r="O81" s="62">
        <v>5.4</v>
      </c>
      <c r="P81" s="63">
        <f t="shared" si="37"/>
        <v>14.366666666666669</v>
      </c>
      <c r="Q81" s="38">
        <f t="shared" si="36"/>
        <v>1</v>
      </c>
      <c r="R81" s="140">
        <f t="shared" si="38"/>
        <v>9.7666666666666675</v>
      </c>
      <c r="S81" s="24">
        <f t="shared" si="39"/>
        <v>1</v>
      </c>
      <c r="T81" s="140">
        <f t="shared" si="40"/>
        <v>20.399999999999999</v>
      </c>
      <c r="U81" s="150">
        <f t="shared" si="41"/>
        <v>1</v>
      </c>
      <c r="V81" s="141">
        <f t="shared" si="42"/>
        <v>14.366666666666669</v>
      </c>
      <c r="W81" s="142">
        <f t="shared" si="43"/>
        <v>1</v>
      </c>
      <c r="X81" s="144">
        <f t="shared" si="34"/>
        <v>14.52</v>
      </c>
      <c r="Y81" s="144">
        <f t="shared" si="35"/>
        <v>26.95</v>
      </c>
      <c r="Z81" s="144">
        <f t="shared" si="33"/>
        <v>21.69466666666667</v>
      </c>
      <c r="AA81" s="10"/>
      <c r="AB81" s="357" t="str">
        <f>VLOOKUP($B81,'2007-2020 Metadata'!$A$4:$S$214,MATCH("Urban Area /Monitoring Zone",'2007-2020 Metadata'!$A$4:$S$4,0),FALSE)</f>
        <v>Lower Hutt</v>
      </c>
      <c r="AC81" s="87" t="str">
        <f>VLOOKUP(B81,'2007-2020 Metadata'!$A$6:$A$214,1,FALSE)</f>
        <v>WEL003</v>
      </c>
      <c r="AD81" s="230" t="str">
        <f>VLOOKUP($AC81,'2007-2020 Metadata'!$A$6:$S$214,9,FALSE)</f>
        <v>Lower Hutt</v>
      </c>
      <c r="AE81" s="248">
        <f>IF(ISBLANK(VLOOKUP($AC81,'2007-2020 Metadata'!$A$6:$S$214,19,FALSE)),"",VLOOKUP($AC81,'2007-2020 Metadata'!$A$6:$S$214,19,FALSE))</f>
        <v>3.3</v>
      </c>
      <c r="AF81" s="88" t="str">
        <f>VLOOKUP($B81,'2007-2020 Metadata'!$A$4:$S$214,MATCH("Site type",'2007-2020 Metadata'!$A$4:$S$4,0),FALSE)</f>
        <v>SH</v>
      </c>
      <c r="AG81" s="143">
        <f t="shared" si="44"/>
        <v>5.4</v>
      </c>
      <c r="AH81" s="143">
        <f t="shared" si="45"/>
        <v>26.9</v>
      </c>
      <c r="AI81" s="144">
        <f t="shared" si="46"/>
        <v>21.69466666666667</v>
      </c>
    </row>
    <row r="82" spans="1:35" ht="12" customHeight="1" x14ac:dyDescent="0.15">
      <c r="B82" s="11" t="s">
        <v>52</v>
      </c>
      <c r="C82" s="58">
        <f>IF(ISERROR(VLOOKUP($B82,'Monthly Summary 2008'!$B$7:$U$62,14,FALSE)&gt;0),"",VLOOKUP($B82,'Monthly Summary 2008'!$B$7:$U$62,14,FALSE))</f>
        <v>12.7</v>
      </c>
      <c r="D82" s="12">
        <v>13.2</v>
      </c>
      <c r="E82" s="62">
        <v>15.1</v>
      </c>
      <c r="F82" s="62">
        <v>16</v>
      </c>
      <c r="G82" s="62">
        <v>23.4</v>
      </c>
      <c r="H82" s="62">
        <v>20.100000000000001</v>
      </c>
      <c r="I82" s="62">
        <v>25.7</v>
      </c>
      <c r="J82" s="62">
        <v>31</v>
      </c>
      <c r="K82" s="62">
        <v>29.8</v>
      </c>
      <c r="L82" s="62">
        <v>21</v>
      </c>
      <c r="M82" s="62">
        <v>18.3</v>
      </c>
      <c r="N82" s="62">
        <v>16.899999999999999</v>
      </c>
      <c r="O82" s="62">
        <v>11.8</v>
      </c>
      <c r="P82" s="63">
        <f t="shared" si="37"/>
        <v>20.19166666666667</v>
      </c>
      <c r="Q82" s="38">
        <f t="shared" si="36"/>
        <v>1</v>
      </c>
      <c r="R82" s="140">
        <f t="shared" si="38"/>
        <v>14.766666666666666</v>
      </c>
      <c r="S82" s="24">
        <f t="shared" si="39"/>
        <v>1</v>
      </c>
      <c r="T82" s="140">
        <f t="shared" si="40"/>
        <v>27.266666666666666</v>
      </c>
      <c r="U82" s="150">
        <f t="shared" si="41"/>
        <v>1</v>
      </c>
      <c r="V82" s="141">
        <f t="shared" si="42"/>
        <v>20.19166666666667</v>
      </c>
      <c r="W82" s="142">
        <f t="shared" si="43"/>
        <v>1</v>
      </c>
      <c r="X82" s="144">
        <f t="shared" si="34"/>
        <v>14.766666666666666</v>
      </c>
      <c r="Y82" s="144">
        <f t="shared" si="35"/>
        <v>27.266666666666666</v>
      </c>
      <c r="Z82" s="144">
        <f t="shared" ref="Z82:Z106" si="47">IF(VLOOKUP($B82,$AC$6:$AI$159,3,FALSE)="",$V82,IF(ISERROR(AVERAGEIF($AD$6:$AD$111,VLOOKUP($B82,$AC$6:$AI$159,2,FALSE),$V$6:$V$159)),"",AVERAGEIF($AD$6:$AD$111,VLOOKUP($B82,$AC$6:$AI$159,2,FALSE),$V$6:$V$159)))</f>
        <v>20.19166666666667</v>
      </c>
      <c r="AA82" s="10"/>
      <c r="AB82" s="357" t="str">
        <f>VLOOKUP($B82,'2007-2020 Metadata'!$A$4:$S$214,MATCH("Urban Area /Monitoring Zone",'2007-2020 Metadata'!$A$4:$S$4,0),FALSE)</f>
        <v>Porirua</v>
      </c>
      <c r="AC82" s="87" t="str">
        <f>VLOOKUP(B82,'2007-2020 Metadata'!$A$6:$A$214,1,FALSE)</f>
        <v>WEL005</v>
      </c>
      <c r="AD82" s="230" t="str">
        <f>VLOOKUP($AC82,'2007-2020 Metadata'!$A$6:$S$214,9,FALSE)</f>
        <v>Porirua</v>
      </c>
      <c r="AE82" s="248">
        <f>IF(ISBLANK(VLOOKUP($AC82,'2007-2020 Metadata'!$A$6:$S$214,19,FALSE)),"",VLOOKUP($AC82,'2007-2020 Metadata'!$A$6:$S$214,19,FALSE))</f>
        <v>3.2</v>
      </c>
      <c r="AF82" s="88" t="str">
        <f>VLOOKUP($B82,'2007-2020 Metadata'!$A$4:$S$214,MATCH("Site type",'2007-2020 Metadata'!$A$4:$S$4,0),FALSE)</f>
        <v>SH</v>
      </c>
      <c r="AG82" s="143">
        <f t="shared" si="44"/>
        <v>11.8</v>
      </c>
      <c r="AH82" s="143">
        <f t="shared" si="45"/>
        <v>31</v>
      </c>
      <c r="AI82" s="144">
        <f t="shared" si="46"/>
        <v>20.19166666666667</v>
      </c>
    </row>
    <row r="83" spans="1:35" ht="12" customHeight="1" x14ac:dyDescent="0.15">
      <c r="B83" s="11" t="s">
        <v>53</v>
      </c>
      <c r="C83" s="58">
        <f>IF(ISERROR(VLOOKUP($B83,'Monthly Summary 2008'!$B$7:$U$62,14,FALSE)&gt;0),"",VLOOKUP($B83,'Monthly Summary 2008'!$B$7:$U$62,14,FALSE))</f>
        <v>10.7</v>
      </c>
      <c r="D83" s="12">
        <v>10.8</v>
      </c>
      <c r="E83" s="62">
        <v>14.8</v>
      </c>
      <c r="F83" s="62">
        <v>16.399999999999999</v>
      </c>
      <c r="G83" s="62">
        <v>25.1</v>
      </c>
      <c r="H83" s="62">
        <v>21.3</v>
      </c>
      <c r="I83" s="62">
        <v>27.7</v>
      </c>
      <c r="J83" s="62">
        <v>28.5</v>
      </c>
      <c r="K83" s="62">
        <v>25.8</v>
      </c>
      <c r="L83" s="62">
        <v>18.399999999999999</v>
      </c>
      <c r="M83" s="62">
        <v>16</v>
      </c>
      <c r="N83" s="62">
        <v>15.6</v>
      </c>
      <c r="O83" s="62">
        <v>10.3</v>
      </c>
      <c r="P83" s="63">
        <f t="shared" si="37"/>
        <v>19.225000000000001</v>
      </c>
      <c r="Q83" s="38">
        <f t="shared" si="36"/>
        <v>1</v>
      </c>
      <c r="R83" s="140">
        <f t="shared" si="38"/>
        <v>14</v>
      </c>
      <c r="S83" s="24">
        <f t="shared" si="39"/>
        <v>1</v>
      </c>
      <c r="T83" s="140">
        <f t="shared" si="40"/>
        <v>24.233333333333331</v>
      </c>
      <c r="U83" s="150">
        <f t="shared" si="41"/>
        <v>1</v>
      </c>
      <c r="V83" s="141">
        <f t="shared" si="42"/>
        <v>19.225000000000001</v>
      </c>
      <c r="W83" s="142">
        <f t="shared" si="43"/>
        <v>1</v>
      </c>
      <c r="X83" s="144">
        <f t="shared" si="34"/>
        <v>19.511111111111109</v>
      </c>
      <c r="Y83" s="144">
        <f t="shared" si="35"/>
        <v>31.436111111111114</v>
      </c>
      <c r="Z83" s="144">
        <f t="shared" si="47"/>
        <v>24.580681818181816</v>
      </c>
      <c r="AA83" s="10"/>
      <c r="AB83" s="357" t="str">
        <f>VLOOKUP($B83,'2007-2020 Metadata'!$A$4:$S$214,MATCH("Urban Area /Monitoring Zone",'2007-2020 Metadata'!$A$4:$S$4,0),FALSE)</f>
        <v>Wellington</v>
      </c>
      <c r="AC83" s="87" t="str">
        <f>VLOOKUP(B83,'2007-2020 Metadata'!$A$6:$A$214,1,FALSE)</f>
        <v>WEL007</v>
      </c>
      <c r="AD83" s="230" t="str">
        <f>VLOOKUP($AC83,'2007-2020 Metadata'!$A$6:$S$214,9,FALSE)</f>
        <v>Wellington</v>
      </c>
      <c r="AE83" s="248">
        <f>IF(ISBLANK(VLOOKUP($AC83,'2007-2020 Metadata'!$A$6:$S$214,19,FALSE)),"",VLOOKUP($AC83,'2007-2020 Metadata'!$A$6:$S$214,19,FALSE))</f>
        <v>1</v>
      </c>
      <c r="AF83" s="88" t="str">
        <f>VLOOKUP($B83,'2007-2020 Metadata'!$A$4:$S$214,MATCH("Site type",'2007-2020 Metadata'!$A$4:$S$4,0),FALSE)</f>
        <v>SH</v>
      </c>
      <c r="AG83" s="143">
        <f t="shared" si="44"/>
        <v>10.3</v>
      </c>
      <c r="AH83" s="143">
        <f t="shared" si="45"/>
        <v>28.5</v>
      </c>
      <c r="AI83" s="144">
        <f t="shared" si="46"/>
        <v>24.580681818181816</v>
      </c>
    </row>
    <row r="84" spans="1:35" ht="12" customHeight="1" x14ac:dyDescent="0.15">
      <c r="B84" s="11" t="s">
        <v>54</v>
      </c>
      <c r="C84" s="58">
        <f>IF(ISERROR(VLOOKUP($B84,'Monthly Summary 2008'!$B$7:$U$62,14,FALSE)&gt;0),"",VLOOKUP($B84,'Monthly Summary 2008'!$B$7:$U$62,14,FALSE))</f>
        <v>21.3</v>
      </c>
      <c r="D84" s="12">
        <v>22</v>
      </c>
      <c r="E84" s="62">
        <v>32.5</v>
      </c>
      <c r="F84" s="62">
        <v>36.200000000000003</v>
      </c>
      <c r="G84" s="62">
        <v>35.6</v>
      </c>
      <c r="H84" s="62">
        <v>29</v>
      </c>
      <c r="I84" s="62">
        <v>33.4</v>
      </c>
      <c r="J84" s="62">
        <v>49.8</v>
      </c>
      <c r="K84" s="62">
        <v>54.7</v>
      </c>
      <c r="L84" s="62"/>
      <c r="M84" s="62">
        <v>28</v>
      </c>
      <c r="N84" s="62">
        <v>28.7</v>
      </c>
      <c r="O84" s="62">
        <v>16.5</v>
      </c>
      <c r="P84" s="63">
        <f t="shared" si="37"/>
        <v>33.309090909090905</v>
      </c>
      <c r="Q84" s="38">
        <f t="shared" si="36"/>
        <v>0.91666666666666663</v>
      </c>
      <c r="R84" s="140">
        <f t="shared" si="38"/>
        <v>30.233333333333334</v>
      </c>
      <c r="S84" s="24">
        <f t="shared" si="39"/>
        <v>1</v>
      </c>
      <c r="T84" s="140">
        <f t="shared" si="40"/>
        <v>52.25</v>
      </c>
      <c r="U84" s="150">
        <f t="shared" si="41"/>
        <v>0.66666666666666663</v>
      </c>
      <c r="V84" s="141">
        <f t="shared" si="42"/>
        <v>33.309090909090905</v>
      </c>
      <c r="W84" s="142">
        <f t="shared" si="43"/>
        <v>0.91666666666666663</v>
      </c>
      <c r="X84" s="144">
        <f t="shared" si="34"/>
        <v>19.511111111111109</v>
      </c>
      <c r="Y84" s="144">
        <f t="shared" si="35"/>
        <v>31.436111111111114</v>
      </c>
      <c r="Z84" s="144">
        <f t="shared" si="47"/>
        <v>24.580681818181816</v>
      </c>
      <c r="AA84" s="10"/>
      <c r="AB84" s="357" t="str">
        <f>VLOOKUP($B84,'2007-2020 Metadata'!$A$4:$S$214,MATCH("Urban Area /Monitoring Zone",'2007-2020 Metadata'!$A$4:$S$4,0),FALSE)</f>
        <v>Wellington</v>
      </c>
      <c r="AC84" s="87" t="str">
        <f>VLOOKUP(B84,'2007-2020 Metadata'!$A$6:$A$214,1,FALSE)</f>
        <v>WEL008</v>
      </c>
      <c r="AD84" s="230" t="str">
        <f>VLOOKUP($AC84,'2007-2020 Metadata'!$A$6:$S$214,9,FALSE)</f>
        <v>Wellington</v>
      </c>
      <c r="AE84" s="248">
        <f>IF(ISBLANK(VLOOKUP($AC84,'2007-2020 Metadata'!$A$6:$S$214,19,FALSE)),"",VLOOKUP($AC84,'2007-2020 Metadata'!$A$6:$S$214,19,FALSE))</f>
        <v>3.1</v>
      </c>
      <c r="AF84" s="88" t="str">
        <f>VLOOKUP($B84,'2007-2020 Metadata'!$A$4:$S$214,MATCH("Site type",'2007-2020 Metadata'!$A$4:$S$4,0),FALSE)</f>
        <v>SH</v>
      </c>
      <c r="AG84" s="143">
        <f t="shared" si="44"/>
        <v>16.5</v>
      </c>
      <c r="AH84" s="143">
        <f t="shared" si="45"/>
        <v>54.7</v>
      </c>
      <c r="AI84" s="144">
        <f t="shared" si="46"/>
        <v>24.580681818181816</v>
      </c>
    </row>
    <row r="85" spans="1:35" ht="12" customHeight="1" x14ac:dyDescent="0.15">
      <c r="B85" s="11" t="s">
        <v>55</v>
      </c>
      <c r="C85" s="58">
        <f>IF(ISERROR(VLOOKUP($B85,'Monthly Summary 2008'!$B$7:$U$62,14,FALSE)&gt;0),"",VLOOKUP($B85,'Monthly Summary 2008'!$B$7:$U$62,14,FALSE))</f>
        <v>12.1</v>
      </c>
      <c r="D85" s="12">
        <v>14.9</v>
      </c>
      <c r="E85" s="62">
        <v>11</v>
      </c>
      <c r="F85" s="62">
        <v>20.6</v>
      </c>
      <c r="G85" s="62">
        <v>16.8</v>
      </c>
      <c r="H85" s="62">
        <v>23.2</v>
      </c>
      <c r="I85" s="62">
        <v>21.1</v>
      </c>
      <c r="J85" s="62">
        <v>28.3</v>
      </c>
      <c r="K85" s="62">
        <v>34.200000000000003</v>
      </c>
      <c r="L85" s="62">
        <v>25.9</v>
      </c>
      <c r="M85" s="62">
        <v>20.6</v>
      </c>
      <c r="N85" s="62">
        <v>21.6</v>
      </c>
      <c r="O85" s="62">
        <v>11.4</v>
      </c>
      <c r="P85" s="63">
        <f t="shared" si="37"/>
        <v>20.8</v>
      </c>
      <c r="Q85" s="38">
        <f t="shared" si="36"/>
        <v>1</v>
      </c>
      <c r="R85" s="140">
        <f t="shared" si="38"/>
        <v>15.5</v>
      </c>
      <c r="S85" s="24">
        <f t="shared" si="39"/>
        <v>1</v>
      </c>
      <c r="T85" s="140">
        <f t="shared" si="40"/>
        <v>29.466666666666669</v>
      </c>
      <c r="U85" s="150">
        <f t="shared" si="41"/>
        <v>1</v>
      </c>
      <c r="V85" s="141">
        <f t="shared" si="42"/>
        <v>20.8</v>
      </c>
      <c r="W85" s="142">
        <f t="shared" si="43"/>
        <v>1</v>
      </c>
      <c r="X85" s="144">
        <f t="shared" si="34"/>
        <v>15.316666666666666</v>
      </c>
      <c r="Y85" s="144">
        <f t="shared" si="35"/>
        <v>28.333333333333336</v>
      </c>
      <c r="Z85" s="144">
        <f t="shared" si="47"/>
        <v>20.483333333333334</v>
      </c>
      <c r="AA85" s="10"/>
      <c r="AB85" s="357" t="str">
        <f>VLOOKUP($B85,'2007-2020 Metadata'!$A$4:$S$214,MATCH("Urban Area /Monitoring Zone",'2007-2020 Metadata'!$A$4:$S$4,0),FALSE)</f>
        <v>Nelson</v>
      </c>
      <c r="AC85" s="87" t="str">
        <f>VLOOKUP(B85,'2007-2020 Metadata'!$A$6:$A$214,1,FALSE)</f>
        <v>WEL009</v>
      </c>
      <c r="AD85" s="230" t="str">
        <f>VLOOKUP($AC85,'2007-2020 Metadata'!$A$6:$S$214,9,FALSE)</f>
        <v>Nelson</v>
      </c>
      <c r="AE85" s="248">
        <f>IF(ISBLANK(VLOOKUP($AC85,'2007-2020 Metadata'!$A$6:$S$214,19,FALSE)),"",VLOOKUP($AC85,'2007-2020 Metadata'!$A$6:$S$214,19,FALSE))</f>
        <v>3</v>
      </c>
      <c r="AF85" s="88" t="str">
        <f>VLOOKUP($B85,'2007-2020 Metadata'!$A$4:$S$214,MATCH("Site type",'2007-2020 Metadata'!$A$4:$S$4,0),FALSE)</f>
        <v>SH</v>
      </c>
      <c r="AG85" s="143">
        <f t="shared" si="44"/>
        <v>11</v>
      </c>
      <c r="AH85" s="143">
        <f t="shared" si="45"/>
        <v>34.200000000000003</v>
      </c>
      <c r="AI85" s="144">
        <f t="shared" si="46"/>
        <v>20.483333333333334</v>
      </c>
    </row>
    <row r="86" spans="1:35" ht="12" customHeight="1" x14ac:dyDescent="0.15">
      <c r="B86" s="11" t="s">
        <v>56</v>
      </c>
      <c r="C86" s="58">
        <f>IF(ISERROR(VLOOKUP($B86,'Monthly Summary 2008'!$B$7:$U$62,14,FALSE)&gt;0),"",VLOOKUP($B86,'Monthly Summary 2008'!$B$7:$U$62,14,FALSE))</f>
        <v>9.6</v>
      </c>
      <c r="D86" s="12">
        <v>14.8</v>
      </c>
      <c r="E86" s="62">
        <v>16.5</v>
      </c>
      <c r="F86" s="62">
        <v>14.1</v>
      </c>
      <c r="G86" s="62">
        <v>12.8</v>
      </c>
      <c r="H86" s="62">
        <v>28.9</v>
      </c>
      <c r="I86" s="62">
        <v>25.5</v>
      </c>
      <c r="J86" s="62">
        <v>29.7</v>
      </c>
      <c r="K86" s="62">
        <v>27.6</v>
      </c>
      <c r="L86" s="62">
        <v>24.3</v>
      </c>
      <c r="M86" s="62">
        <v>18.899999999999999</v>
      </c>
      <c r="N86" s="62">
        <v>21.6</v>
      </c>
      <c r="O86" s="62">
        <v>7.3</v>
      </c>
      <c r="P86" s="63">
        <f t="shared" si="37"/>
        <v>20.166666666666668</v>
      </c>
      <c r="Q86" s="38">
        <f t="shared" si="36"/>
        <v>1</v>
      </c>
      <c r="R86" s="140">
        <f t="shared" si="38"/>
        <v>15.133333333333333</v>
      </c>
      <c r="S86" s="24">
        <f t="shared" si="39"/>
        <v>1</v>
      </c>
      <c r="T86" s="140">
        <f t="shared" si="40"/>
        <v>27.2</v>
      </c>
      <c r="U86" s="150">
        <f t="shared" si="41"/>
        <v>1</v>
      </c>
      <c r="V86" s="141">
        <f t="shared" si="42"/>
        <v>20.166666666666668</v>
      </c>
      <c r="W86" s="142">
        <f t="shared" si="43"/>
        <v>1</v>
      </c>
      <c r="X86" s="144">
        <f t="shared" si="34"/>
        <v>15.316666666666666</v>
      </c>
      <c r="Y86" s="144">
        <f t="shared" si="35"/>
        <v>28.333333333333336</v>
      </c>
      <c r="Z86" s="144">
        <f t="shared" si="47"/>
        <v>20.483333333333334</v>
      </c>
      <c r="AA86" s="10"/>
      <c r="AB86" s="357" t="str">
        <f>VLOOKUP($B86,'2007-2020 Metadata'!$A$4:$S$214,MATCH("Urban Area /Monitoring Zone",'2007-2020 Metadata'!$A$4:$S$4,0),FALSE)</f>
        <v>Nelson</v>
      </c>
      <c r="AC86" s="87" t="str">
        <f>VLOOKUP(B86,'2007-2020 Metadata'!$A$6:$A$214,1,FALSE)</f>
        <v>WEL010</v>
      </c>
      <c r="AD86" s="230" t="str">
        <f>VLOOKUP($AC86,'2007-2020 Metadata'!$A$6:$S$214,9,FALSE)</f>
        <v>Nelson</v>
      </c>
      <c r="AE86" s="248">
        <f>IF(ISBLANK(VLOOKUP($AC86,'2007-2020 Metadata'!$A$6:$S$214,19,FALSE)),"",VLOOKUP($AC86,'2007-2020 Metadata'!$A$6:$S$214,19,FALSE))</f>
        <v>2.4</v>
      </c>
      <c r="AF86" s="88" t="str">
        <f>VLOOKUP($B86,'2007-2020 Metadata'!$A$4:$S$214,MATCH("Site type",'2007-2020 Metadata'!$A$4:$S$4,0),FALSE)</f>
        <v>SH</v>
      </c>
      <c r="AG86" s="143">
        <f t="shared" si="44"/>
        <v>7.3</v>
      </c>
      <c r="AH86" s="143">
        <f t="shared" si="45"/>
        <v>29.7</v>
      </c>
      <c r="AI86" s="144">
        <f t="shared" si="46"/>
        <v>20.483333333333334</v>
      </c>
    </row>
    <row r="87" spans="1:35" ht="12" customHeight="1" x14ac:dyDescent="0.15">
      <c r="B87" s="11" t="s">
        <v>57</v>
      </c>
      <c r="C87" s="58">
        <f>IF(ISERROR(VLOOKUP($B87,'Monthly Summary 2008'!$B$7:$U$62,14,FALSE)&gt;0),"",VLOOKUP($B87,'Monthly Summary 2008'!$B$7:$U$62,14,FALSE))</f>
        <v>6</v>
      </c>
      <c r="D87" s="12">
        <v>9.1</v>
      </c>
      <c r="E87" s="62">
        <v>11.4</v>
      </c>
      <c r="F87" s="62">
        <v>11.8</v>
      </c>
      <c r="G87" s="62">
        <v>13.3</v>
      </c>
      <c r="H87" s="62">
        <v>22</v>
      </c>
      <c r="I87" s="62">
        <v>20.399999999999999</v>
      </c>
      <c r="J87" s="62">
        <v>21.4</v>
      </c>
      <c r="K87" s="62">
        <v>16.3</v>
      </c>
      <c r="L87" s="62">
        <v>15.4</v>
      </c>
      <c r="M87" s="62">
        <v>11.2</v>
      </c>
      <c r="N87" s="62">
        <v>11.5</v>
      </c>
      <c r="O87" s="62">
        <v>7.6</v>
      </c>
      <c r="P87" s="63">
        <f t="shared" si="37"/>
        <v>14.283333333333331</v>
      </c>
      <c r="Q87" s="38">
        <f t="shared" si="36"/>
        <v>1</v>
      </c>
      <c r="R87" s="140">
        <f t="shared" si="38"/>
        <v>10.766666666666666</v>
      </c>
      <c r="S87" s="24">
        <f t="shared" si="39"/>
        <v>1</v>
      </c>
      <c r="T87" s="140">
        <f t="shared" si="40"/>
        <v>17.7</v>
      </c>
      <c r="U87" s="150">
        <f t="shared" si="41"/>
        <v>1</v>
      </c>
      <c r="V87" s="141">
        <f t="shared" si="42"/>
        <v>14.283333333333331</v>
      </c>
      <c r="W87" s="142">
        <f t="shared" si="43"/>
        <v>1</v>
      </c>
      <c r="X87" s="144">
        <f t="shared" si="34"/>
        <v>10.766666666666666</v>
      </c>
      <c r="Y87" s="144">
        <f t="shared" si="35"/>
        <v>17.7</v>
      </c>
      <c r="Z87" s="144">
        <f t="shared" si="47"/>
        <v>14.283333333333331</v>
      </c>
      <c r="AA87" s="10"/>
      <c r="AB87" s="357" t="str">
        <f>VLOOKUP($B87,'2007-2020 Metadata'!$A$4:$S$214,MATCH("Urban Area /Monitoring Zone",'2007-2020 Metadata'!$A$4:$S$4,0),FALSE)</f>
        <v>Nelson</v>
      </c>
      <c r="AC87" s="87" t="str">
        <f>VLOOKUP(B87,'2007-2020 Metadata'!$A$6:$A$214,1,FALSE)</f>
        <v>WEL011</v>
      </c>
      <c r="AD87" s="230" t="str">
        <f>VLOOKUP($AC87,'2007-2020 Metadata'!$A$6:$S$214,9,FALSE)</f>
        <v>Tasman</v>
      </c>
      <c r="AE87" s="248">
        <f>IF(ISBLANK(VLOOKUP($AC87,'2007-2020 Metadata'!$A$6:$S$214,19,FALSE)),"",VLOOKUP($AC87,'2007-2020 Metadata'!$A$6:$S$214,19,FALSE))</f>
        <v>2.4</v>
      </c>
      <c r="AF87" s="88" t="str">
        <f>VLOOKUP($B87,'2007-2020 Metadata'!$A$4:$S$214,MATCH("Site type",'2007-2020 Metadata'!$A$4:$S$4,0),FALSE)</f>
        <v>SH</v>
      </c>
      <c r="AG87" s="143">
        <f t="shared" si="44"/>
        <v>7.6</v>
      </c>
      <c r="AH87" s="143">
        <f t="shared" si="45"/>
        <v>22</v>
      </c>
      <c r="AI87" s="144">
        <f t="shared" si="46"/>
        <v>14.283333333333331</v>
      </c>
    </row>
    <row r="88" spans="1:35" ht="12" customHeight="1" x14ac:dyDescent="0.15">
      <c r="B88" s="11" t="s">
        <v>58</v>
      </c>
      <c r="C88" s="58">
        <f>IF(ISERROR(VLOOKUP($B88,'Monthly Summary 2008'!$B$7:$U$62,14,FALSE)&gt;0),"",VLOOKUP($B88,'Monthly Summary 2008'!$B$7:$U$62,14,FALSE))</f>
        <v>8.6999999999999993</v>
      </c>
      <c r="D88" s="12"/>
      <c r="E88" s="62">
        <v>6.8</v>
      </c>
      <c r="F88" s="62">
        <v>13.7</v>
      </c>
      <c r="G88" s="62">
        <v>18.899999999999999</v>
      </c>
      <c r="H88" s="62">
        <v>20.2</v>
      </c>
      <c r="I88" s="62">
        <v>17.899999999999999</v>
      </c>
      <c r="J88" s="62">
        <v>16.600000000000001</v>
      </c>
      <c r="K88" s="62">
        <v>20.3</v>
      </c>
      <c r="L88" s="62">
        <v>12.2</v>
      </c>
      <c r="M88" s="62">
        <v>11.4</v>
      </c>
      <c r="N88" s="62">
        <v>12.9</v>
      </c>
      <c r="O88" s="62">
        <v>8.6</v>
      </c>
      <c r="P88" s="63">
        <f t="shared" si="37"/>
        <v>14.5</v>
      </c>
      <c r="Q88" s="38">
        <f t="shared" si="36"/>
        <v>0.91666666666666663</v>
      </c>
      <c r="R88" s="140">
        <f t="shared" si="38"/>
        <v>10.25</v>
      </c>
      <c r="S88" s="24">
        <f t="shared" si="39"/>
        <v>0.66666666666666663</v>
      </c>
      <c r="T88" s="140">
        <f t="shared" si="40"/>
        <v>16.366666666666671</v>
      </c>
      <c r="U88" s="150">
        <f t="shared" si="41"/>
        <v>1</v>
      </c>
      <c r="V88" s="141">
        <f t="shared" si="42"/>
        <v>14.5</v>
      </c>
      <c r="W88" s="142">
        <f t="shared" si="43"/>
        <v>0.91666666666666663</v>
      </c>
      <c r="X88" s="144">
        <f t="shared" si="34"/>
        <v>10.25</v>
      </c>
      <c r="Y88" s="144">
        <f t="shared" si="35"/>
        <v>16.366666666666671</v>
      </c>
      <c r="Z88" s="144">
        <f t="shared" si="47"/>
        <v>14.5</v>
      </c>
      <c r="AA88" s="10"/>
      <c r="AB88" s="357" t="str">
        <f>VLOOKUP($B88,'2007-2020 Metadata'!$A$4:$S$214,MATCH("Urban Area /Monitoring Zone",'2007-2020 Metadata'!$A$4:$S$4,0),FALSE)</f>
        <v>Blenheim</v>
      </c>
      <c r="AC88" s="87" t="str">
        <f>VLOOKUP(B88,'2007-2020 Metadata'!$A$6:$A$214,1,FALSE)</f>
        <v>WEL012</v>
      </c>
      <c r="AD88" s="230" t="str">
        <f>VLOOKUP($AC88,'2007-2020 Metadata'!$A$6:$S$214,9,FALSE)</f>
        <v>Blenheim</v>
      </c>
      <c r="AE88" s="248">
        <f>IF(ISBLANK(VLOOKUP($AC88,'2007-2020 Metadata'!$A$6:$S$214,19,FALSE)),"",VLOOKUP($AC88,'2007-2020 Metadata'!$A$6:$S$214,19,FALSE))</f>
        <v>4.2</v>
      </c>
      <c r="AF88" s="88" t="str">
        <f>VLOOKUP($B88,'2007-2020 Metadata'!$A$4:$S$214,MATCH("Site type",'2007-2020 Metadata'!$A$4:$S$4,0),FALSE)</f>
        <v>SH</v>
      </c>
      <c r="AG88" s="143">
        <f t="shared" si="44"/>
        <v>6.8</v>
      </c>
      <c r="AH88" s="143">
        <f t="shared" si="45"/>
        <v>20.3</v>
      </c>
      <c r="AI88" s="144">
        <f t="shared" si="46"/>
        <v>14.5</v>
      </c>
    </row>
    <row r="89" spans="1:35" ht="12" customHeight="1" x14ac:dyDescent="0.15">
      <c r="B89" s="11" t="s">
        <v>115</v>
      </c>
      <c r="C89" s="58" t="str">
        <f>IF(ISERROR(VLOOKUP($B89,'Monthly Summary 2008'!$B$7:$U$62,14,FALSE)&gt;0),"",VLOOKUP($B89,'Monthly Summary 2008'!$B$7:$U$62,14,FALSE))</f>
        <v/>
      </c>
      <c r="D89" s="12">
        <v>12.8</v>
      </c>
      <c r="E89" s="62">
        <v>13.6</v>
      </c>
      <c r="F89" s="62">
        <v>16</v>
      </c>
      <c r="G89" s="62">
        <v>23</v>
      </c>
      <c r="H89" s="62">
        <v>19.399999999999999</v>
      </c>
      <c r="I89" s="62">
        <v>25.3</v>
      </c>
      <c r="J89" s="62">
        <v>24.5</v>
      </c>
      <c r="K89" s="62">
        <v>28.6</v>
      </c>
      <c r="L89" s="62">
        <v>20.9</v>
      </c>
      <c r="M89" s="62">
        <v>21.2</v>
      </c>
      <c r="N89" s="62">
        <v>15</v>
      </c>
      <c r="O89" s="62">
        <v>9.6</v>
      </c>
      <c r="P89" s="63">
        <f t="shared" si="37"/>
        <v>19.158333333333335</v>
      </c>
      <c r="Q89" s="38">
        <f t="shared" si="36"/>
        <v>1</v>
      </c>
      <c r="R89" s="140">
        <f t="shared" si="38"/>
        <v>14.133333333333333</v>
      </c>
      <c r="S89" s="24">
        <f t="shared" si="39"/>
        <v>1</v>
      </c>
      <c r="T89" s="140">
        <f t="shared" si="40"/>
        <v>24.666666666666668</v>
      </c>
      <c r="U89" s="150">
        <f t="shared" si="41"/>
        <v>1</v>
      </c>
      <c r="V89" s="141">
        <f t="shared" si="42"/>
        <v>19.158333333333335</v>
      </c>
      <c r="W89" s="142">
        <f t="shared" si="43"/>
        <v>1</v>
      </c>
      <c r="X89" s="144">
        <f t="shared" si="34"/>
        <v>19.511111111111109</v>
      </c>
      <c r="Y89" s="144">
        <f t="shared" si="35"/>
        <v>31.436111111111114</v>
      </c>
      <c r="Z89" s="144">
        <f t="shared" si="47"/>
        <v>24.580681818181816</v>
      </c>
      <c r="AA89" s="10"/>
      <c r="AB89" s="357" t="str">
        <f>VLOOKUP($B89,'2007-2020 Metadata'!$A$4:$S$214,MATCH("Urban Area /Monitoring Zone",'2007-2020 Metadata'!$A$4:$S$4,0),FALSE)</f>
        <v>Wellington</v>
      </c>
      <c r="AC89" s="87" t="str">
        <f>VLOOKUP(B89,'2007-2020 Metadata'!$A$6:$A$214,1,FALSE)</f>
        <v>WEL027</v>
      </c>
      <c r="AD89" s="230" t="str">
        <f>VLOOKUP($AC89,'2007-2020 Metadata'!$A$6:$S$214,9,FALSE)</f>
        <v>Wellington</v>
      </c>
      <c r="AE89" s="248">
        <f>IF(ISBLANK(VLOOKUP($AC89,'2007-2020 Metadata'!$A$6:$S$214,19,FALSE)),"",VLOOKUP($AC89,'2007-2020 Metadata'!$A$6:$S$214,19,FALSE))</f>
        <v>4</v>
      </c>
      <c r="AF89" s="88" t="str">
        <f>VLOOKUP($B89,'2007-2020 Metadata'!$A$4:$S$214,MATCH("Site type",'2007-2020 Metadata'!$A$4:$S$4,0),FALSE)</f>
        <v>SH</v>
      </c>
      <c r="AG89" s="143">
        <f t="shared" si="44"/>
        <v>9.6</v>
      </c>
      <c r="AH89" s="143">
        <f t="shared" si="45"/>
        <v>28.6</v>
      </c>
      <c r="AI89" s="144">
        <f t="shared" si="46"/>
        <v>24.580681818181816</v>
      </c>
    </row>
    <row r="90" spans="1:35" ht="12" customHeight="1" x14ac:dyDescent="0.15">
      <c r="B90" s="11" t="s">
        <v>116</v>
      </c>
      <c r="C90" s="58" t="str">
        <f>IF(ISERROR(VLOOKUP($B90,'Monthly Summary 2008'!$B$7:$U$62,14,FALSE)&gt;0),"",VLOOKUP($B90,'Monthly Summary 2008'!$B$7:$U$62,14,FALSE))</f>
        <v/>
      </c>
      <c r="D90" s="12">
        <v>12.6</v>
      </c>
      <c r="E90" s="62">
        <v>9.8000000000000007</v>
      </c>
      <c r="F90" s="62">
        <v>18.100000000000001</v>
      </c>
      <c r="G90" s="62">
        <v>35.200000000000003</v>
      </c>
      <c r="H90" s="62">
        <v>31.4</v>
      </c>
      <c r="I90" s="62">
        <v>35.200000000000003</v>
      </c>
      <c r="J90" s="62">
        <v>34.9</v>
      </c>
      <c r="K90" s="62">
        <v>25.2</v>
      </c>
      <c r="L90" s="62">
        <v>30</v>
      </c>
      <c r="M90" s="62">
        <v>19.2</v>
      </c>
      <c r="N90" s="62">
        <v>18.5</v>
      </c>
      <c r="O90" s="62">
        <v>8.9</v>
      </c>
      <c r="P90" s="63">
        <f t="shared" si="37"/>
        <v>23.25</v>
      </c>
      <c r="Q90" s="38">
        <f t="shared" si="36"/>
        <v>1</v>
      </c>
      <c r="R90" s="260">
        <f t="shared" si="38"/>
        <v>13.5</v>
      </c>
      <c r="S90" s="264">
        <f t="shared" si="39"/>
        <v>1</v>
      </c>
      <c r="T90" s="260">
        <f t="shared" si="40"/>
        <v>30.033333333333331</v>
      </c>
      <c r="U90" s="261">
        <f t="shared" si="41"/>
        <v>1</v>
      </c>
      <c r="V90" s="262">
        <f t="shared" si="42"/>
        <v>23.25</v>
      </c>
      <c r="W90" s="261">
        <f t="shared" si="43"/>
        <v>1</v>
      </c>
      <c r="X90" s="177">
        <f t="shared" si="34"/>
        <v>14.52</v>
      </c>
      <c r="Y90" s="177">
        <f t="shared" si="35"/>
        <v>26.95</v>
      </c>
      <c r="Z90" s="177">
        <f t="shared" si="47"/>
        <v>21.69466666666667</v>
      </c>
      <c r="AA90" s="10"/>
      <c r="AB90" s="357" t="str">
        <f>VLOOKUP($B90,'2007-2020 Metadata'!$A$4:$S$214,MATCH("Urban Area /Monitoring Zone",'2007-2020 Metadata'!$A$4:$S$4,0),FALSE)</f>
        <v>Lower Hutt</v>
      </c>
      <c r="AC90" s="259" t="str">
        <f>VLOOKUP(B90,'2007-2020 Metadata'!$A$6:$A$214,1,FALSE)</f>
        <v>WEL028</v>
      </c>
      <c r="AD90" s="256" t="str">
        <f>VLOOKUP($AC90,'2007-2020 Metadata'!$A$6:$S$214,9,FALSE)</f>
        <v>Lower Hutt</v>
      </c>
      <c r="AE90" s="263">
        <f>IF(ISBLANK(VLOOKUP($AC90,'2007-2020 Metadata'!$A$6:$S$214,19,FALSE)),"",VLOOKUP($AC90,'2007-2020 Metadata'!$A$6:$S$214,19,FALSE))</f>
        <v>4.4000000000000004</v>
      </c>
      <c r="AF90" s="257" t="str">
        <f>VLOOKUP($B90,'2007-2020 Metadata'!$A$4:$S$214,MATCH("Site type",'2007-2020 Metadata'!$A$4:$S$4,0),FALSE)</f>
        <v>SH</v>
      </c>
      <c r="AG90" s="258">
        <f>MIN(AVERAGE(D$90:D$92),AVERAGE(E$90:E$92),AVERAGE(F$90:F$92),AVERAGE(G$90:G$92),AVERAGE(H$90:H$92),AVERAGE(I$90:I$92),AVERAGE(J$90:J$92),AVERAGE(K$90:K$92),AVERAGE(L$90:L$92),AVERAGE(M$90:M$92),AVERAGE(N$90:N$92),AVERAGE(O$90:O$92))</f>
        <v>10.4</v>
      </c>
      <c r="AH90" s="258">
        <f>MAX(AVERAGE(E$90:E$92),AVERAGE(F$90:F$92),AVERAGE(G$90:G$92),AVERAGE(H$90:H$92),AVERAGE(I$90:I$92),AVERAGE(J$90:J$92),AVERAGE(K$90:K$92),AVERAGE(L$90:L$92),AVERAGE(M$90:M$92),AVERAGE(N$90:N$92),AVERAGE(O$90:O$92),AVERAGE(P$90:P$92))</f>
        <v>36.800000000000004</v>
      </c>
      <c r="AI90" s="177">
        <f t="shared" si="46"/>
        <v>21.69466666666667</v>
      </c>
    </row>
    <row r="91" spans="1:35" ht="12" customHeight="1" x14ac:dyDescent="0.15">
      <c r="A91" s="178" t="s">
        <v>496</v>
      </c>
      <c r="B91" s="11" t="s">
        <v>117</v>
      </c>
      <c r="C91" s="58" t="str">
        <f>IF(ISERROR(VLOOKUP($B91,'Monthly Summary 2008'!$B$7:$U$62,14,FALSE)&gt;0),"",VLOOKUP($B91,'Monthly Summary 2008'!$B$7:$U$62,14,FALSE))</f>
        <v/>
      </c>
      <c r="D91" s="12">
        <v>14</v>
      </c>
      <c r="E91" s="62">
        <v>11.5</v>
      </c>
      <c r="F91" s="62">
        <v>17.600000000000001</v>
      </c>
      <c r="G91" s="62">
        <v>27.5</v>
      </c>
      <c r="H91" s="62">
        <v>30.3</v>
      </c>
      <c r="I91" s="62">
        <v>37.200000000000003</v>
      </c>
      <c r="J91" s="62">
        <v>27.1</v>
      </c>
      <c r="K91" s="62">
        <v>30</v>
      </c>
      <c r="L91" s="62">
        <v>25.9</v>
      </c>
      <c r="M91" s="62"/>
      <c r="N91" s="62">
        <v>17.399999999999999</v>
      </c>
      <c r="O91" s="62"/>
      <c r="P91" s="63">
        <f t="shared" si="37"/>
        <v>23.85</v>
      </c>
      <c r="Q91" s="38">
        <f t="shared" si="36"/>
        <v>0.83333333333333337</v>
      </c>
      <c r="R91" s="260">
        <f t="shared" si="38"/>
        <v>14.366666666666667</v>
      </c>
      <c r="S91" s="264">
        <f t="shared" si="39"/>
        <v>1</v>
      </c>
      <c r="T91" s="260">
        <f t="shared" si="40"/>
        <v>27.666666666666668</v>
      </c>
      <c r="U91" s="261">
        <f t="shared" si="41"/>
        <v>1</v>
      </c>
      <c r="V91" s="262">
        <f t="shared" si="42"/>
        <v>23.85</v>
      </c>
      <c r="W91" s="261">
        <f t="shared" si="43"/>
        <v>0.83333333333333337</v>
      </c>
      <c r="X91" s="177">
        <f t="shared" si="34"/>
        <v>14.52</v>
      </c>
      <c r="Y91" s="177">
        <f t="shared" si="35"/>
        <v>26.95</v>
      </c>
      <c r="Z91" s="177">
        <f t="shared" si="47"/>
        <v>21.69466666666667</v>
      </c>
      <c r="AA91" s="10"/>
      <c r="AB91" s="357" t="str">
        <f>VLOOKUP($B91,'2007-2020 Metadata'!$A$4:$S$214,MATCH("Urban Area /Monitoring Zone",'2007-2020 Metadata'!$A$4:$S$4,0),FALSE)</f>
        <v>Lower Hutt</v>
      </c>
      <c r="AC91" s="259" t="str">
        <f>VLOOKUP(B91,'2007-2020 Metadata'!$A$6:$A$214,1,FALSE)</f>
        <v>WEL029</v>
      </c>
      <c r="AD91" s="256" t="str">
        <f>VLOOKUP($AC91,'2007-2020 Metadata'!$A$6:$S$214,9,FALSE)</f>
        <v>Lower Hutt</v>
      </c>
      <c r="AE91" s="263">
        <f>IF(ISBLANK(VLOOKUP($AC91,'2007-2020 Metadata'!$A$6:$S$214,19,FALSE)),"",VLOOKUP($AC91,'2007-2020 Metadata'!$A$6:$S$214,19,FALSE))</f>
        <v>4.4000000000000004</v>
      </c>
      <c r="AF91" s="257" t="str">
        <f>VLOOKUP($B91,'2007-2020 Metadata'!$A$4:$S$214,MATCH("Site type",'2007-2020 Metadata'!$A$4:$S$4,0),FALSE)</f>
        <v>SH</v>
      </c>
      <c r="AG91" s="258">
        <f>MIN(AVERAGE(D$90:D$92),AVERAGE(E$90:E$92),AVERAGE(F$90:F$92),AVERAGE(G$90:G$92),AVERAGE(H$90:H$92),AVERAGE(I$90:I$92),AVERAGE(J$90:J$92),AVERAGE(K$90:K$92),AVERAGE(L$90:L$92),AVERAGE(M$90:M$92),AVERAGE(N$90:N$92),AVERAGE(O$90:O$92))</f>
        <v>10.4</v>
      </c>
      <c r="AH91" s="258">
        <f>MAX(AVERAGE(E$90:E$92),AVERAGE(F$90:F$92),AVERAGE(G$90:G$92),AVERAGE(H$90:H$92),AVERAGE(I$90:I$92),AVERAGE(J$90:J$92),AVERAGE(K$90:K$92),AVERAGE(L$90:L$92),AVERAGE(M$90:M$92),AVERAGE(N$90:N$92),AVERAGE(O$90:O$92),AVERAGE(P$90:P$92))</f>
        <v>36.800000000000004</v>
      </c>
      <c r="AI91" s="177">
        <f t="shared" si="46"/>
        <v>21.69466666666667</v>
      </c>
    </row>
    <row r="92" spans="1:35" ht="12" customHeight="1" x14ac:dyDescent="0.15">
      <c r="B92" s="11" t="s">
        <v>118</v>
      </c>
      <c r="C92" s="58" t="str">
        <f>IF(ISERROR(VLOOKUP($B92,'Monthly Summary 2008'!$B$7:$U$62,14,FALSE)&gt;0),"",VLOOKUP($B92,'Monthly Summary 2008'!$B$7:$U$62,14,FALSE))</f>
        <v/>
      </c>
      <c r="D92" s="12">
        <v>14.2</v>
      </c>
      <c r="E92" s="62">
        <v>15.9</v>
      </c>
      <c r="F92" s="62">
        <v>18.600000000000001</v>
      </c>
      <c r="G92" s="62">
        <v>29</v>
      </c>
      <c r="H92" s="62">
        <v>31.7</v>
      </c>
      <c r="I92" s="62">
        <v>38</v>
      </c>
      <c r="J92" s="62">
        <v>34.4</v>
      </c>
      <c r="K92" s="62">
        <v>28.5</v>
      </c>
      <c r="L92" s="62">
        <v>26.2</v>
      </c>
      <c r="M92" s="62">
        <v>16.600000000000001</v>
      </c>
      <c r="N92" s="62">
        <v>17.2</v>
      </c>
      <c r="O92" s="62">
        <v>11.9</v>
      </c>
      <c r="P92" s="63">
        <f t="shared" si="37"/>
        <v>23.516666666666666</v>
      </c>
      <c r="Q92" s="38">
        <f t="shared" si="36"/>
        <v>1</v>
      </c>
      <c r="R92" s="260">
        <f t="shared" si="38"/>
        <v>16.233333333333334</v>
      </c>
      <c r="S92" s="264">
        <f t="shared" si="39"/>
        <v>1</v>
      </c>
      <c r="T92" s="260">
        <f t="shared" si="40"/>
        <v>29.7</v>
      </c>
      <c r="U92" s="261">
        <f t="shared" si="41"/>
        <v>1</v>
      </c>
      <c r="V92" s="262">
        <f t="shared" si="42"/>
        <v>23.516666666666666</v>
      </c>
      <c r="W92" s="261">
        <f t="shared" si="43"/>
        <v>1</v>
      </c>
      <c r="X92" s="177">
        <f t="shared" si="34"/>
        <v>14.52</v>
      </c>
      <c r="Y92" s="177">
        <f t="shared" si="35"/>
        <v>26.95</v>
      </c>
      <c r="Z92" s="177">
        <f t="shared" si="47"/>
        <v>21.69466666666667</v>
      </c>
      <c r="AA92" s="10"/>
      <c r="AB92" s="357" t="str">
        <f>VLOOKUP($B92,'2007-2020 Metadata'!$A$4:$S$214,MATCH("Urban Area /Monitoring Zone",'2007-2020 Metadata'!$A$4:$S$4,0),FALSE)</f>
        <v>Lower Hutt</v>
      </c>
      <c r="AC92" s="259" t="str">
        <f>VLOOKUP(B92,'2007-2020 Metadata'!$A$6:$A$214,1,FALSE)</f>
        <v>WEL030</v>
      </c>
      <c r="AD92" s="256" t="str">
        <f>VLOOKUP($AC92,'2007-2020 Metadata'!$A$6:$S$214,9,FALSE)</f>
        <v>Lower Hutt</v>
      </c>
      <c r="AE92" s="263">
        <f>IF(ISBLANK(VLOOKUP($AC92,'2007-2020 Metadata'!$A$6:$S$214,19,FALSE)),"",VLOOKUP($AC92,'2007-2020 Metadata'!$A$6:$S$214,19,FALSE))</f>
        <v>4.4000000000000004</v>
      </c>
      <c r="AF92" s="257" t="str">
        <f>VLOOKUP($B92,'2007-2020 Metadata'!$A$4:$S$214,MATCH("Site type",'2007-2020 Metadata'!$A$4:$S$4,0),FALSE)</f>
        <v>SH</v>
      </c>
      <c r="AG92" s="258">
        <f>MIN(AVERAGE(D$90:D$92),AVERAGE(E$90:E$92),AVERAGE(F$90:F$92),AVERAGE(G$90:G$92),AVERAGE(H$90:H$92),AVERAGE(I$90:I$92),AVERAGE(J$90:J$92),AVERAGE(K$90:K$92),AVERAGE(L$90:L$92),AVERAGE(M$90:M$92),AVERAGE(N$90:N$92),AVERAGE(O$90:O$92))</f>
        <v>10.4</v>
      </c>
      <c r="AH92" s="258">
        <f>MAX(AVERAGE(E$90:E$92),AVERAGE(F$90:F$92),AVERAGE(G$90:G$92),AVERAGE(H$90:H$92),AVERAGE(I$90:I$92),AVERAGE(J$90:J$92),AVERAGE(K$90:K$92),AVERAGE(L$90:L$92),AVERAGE(M$90:M$92),AVERAGE(N$90:N$92),AVERAGE(O$90:O$92),AVERAGE(P$90:P$92))</f>
        <v>36.800000000000004</v>
      </c>
      <c r="AI92" s="177">
        <f t="shared" si="46"/>
        <v>21.69466666666667</v>
      </c>
    </row>
    <row r="93" spans="1:35" ht="12" customHeight="1" x14ac:dyDescent="0.15">
      <c r="B93" s="11" t="s">
        <v>119</v>
      </c>
      <c r="C93" s="58" t="str">
        <f>IF(ISERROR(VLOOKUP($B93,'Monthly Summary 2008'!$B$7:$U$62,14,FALSE)&gt;0),"",VLOOKUP($B93,'Monthly Summary 2008'!$B$7:$U$62,14,FALSE))</f>
        <v/>
      </c>
      <c r="D93" s="12">
        <v>12.2</v>
      </c>
      <c r="E93" s="62">
        <v>20.7</v>
      </c>
      <c r="F93" s="62">
        <v>24.8</v>
      </c>
      <c r="G93" s="62">
        <v>29.6</v>
      </c>
      <c r="H93" s="62">
        <v>35.799999999999997</v>
      </c>
      <c r="I93" s="62">
        <v>38.9</v>
      </c>
      <c r="J93" s="62">
        <v>31.5</v>
      </c>
      <c r="K93" s="62">
        <v>24.9</v>
      </c>
      <c r="L93" s="62">
        <v>23.8</v>
      </c>
      <c r="M93" s="62">
        <v>17.3</v>
      </c>
      <c r="N93" s="62">
        <v>20.3</v>
      </c>
      <c r="O93" s="62">
        <v>10.7</v>
      </c>
      <c r="P93" s="63">
        <f t="shared" si="37"/>
        <v>24.208333333333332</v>
      </c>
      <c r="Q93" s="38">
        <f t="shared" si="36"/>
        <v>1</v>
      </c>
      <c r="R93" s="260">
        <f t="shared" si="38"/>
        <v>19.233333333333334</v>
      </c>
      <c r="S93" s="264">
        <f t="shared" si="39"/>
        <v>1</v>
      </c>
      <c r="T93" s="260">
        <f t="shared" si="40"/>
        <v>26.733333333333334</v>
      </c>
      <c r="U93" s="261">
        <f t="shared" si="41"/>
        <v>1</v>
      </c>
      <c r="V93" s="262">
        <f t="shared" si="42"/>
        <v>24.208333333333332</v>
      </c>
      <c r="W93" s="261">
        <f t="shared" si="43"/>
        <v>1</v>
      </c>
      <c r="X93" s="177">
        <f t="shared" si="34"/>
        <v>19.511111111111109</v>
      </c>
      <c r="Y93" s="177">
        <f t="shared" si="35"/>
        <v>31.436111111111114</v>
      </c>
      <c r="Z93" s="177">
        <f t="shared" si="47"/>
        <v>24.580681818181816</v>
      </c>
      <c r="AA93" s="10"/>
      <c r="AB93" s="357" t="str">
        <f>VLOOKUP($B93,'2007-2020 Metadata'!$A$4:$S$214,MATCH("Urban Area /Monitoring Zone",'2007-2020 Metadata'!$A$4:$S$4,0),FALSE)</f>
        <v>Wellington</v>
      </c>
      <c r="AC93" s="259" t="str">
        <f>VLOOKUP(B93,'2007-2020 Metadata'!$A$6:$A$214,1,FALSE)</f>
        <v>WEL031</v>
      </c>
      <c r="AD93" s="256" t="str">
        <f>VLOOKUP($AC93,'2007-2020 Metadata'!$A$6:$S$214,9,FALSE)</f>
        <v>Wellington</v>
      </c>
      <c r="AE93" s="263">
        <f>IF(ISBLANK(VLOOKUP($AC93,'2007-2020 Metadata'!$A$6:$S$214,19,FALSE)),"",VLOOKUP($AC93,'2007-2020 Metadata'!$A$6:$S$214,19,FALSE))</f>
        <v>5.3</v>
      </c>
      <c r="AF93" s="257" t="str">
        <f>VLOOKUP($B93,'2007-2020 Metadata'!$A$4:$S$214,MATCH("Site type",'2007-2020 Metadata'!$A$4:$S$4,0),FALSE)</f>
        <v>SH</v>
      </c>
      <c r="AG93" s="258">
        <f>MIN(AVERAGE(D$93:D$95),AVERAGE(E$93:E$95),AVERAGE(F$93:F$95),AVERAGE(G$93:G$95),AVERAGE(H$93:H$95),AVERAGE(I$93:I$95),AVERAGE(J$93:J$95),AVERAGE(K$93:K$95),AVERAGE(L$93:L$95),AVERAGE(M$93:M$95),AVERAGE(N$93:N$95),AVERAGE(O$93:O$95))</f>
        <v>10.733333333333334</v>
      </c>
      <c r="AH93" s="258">
        <f>MAX(AVERAGE(E$93:E$95),AVERAGE(F$93:F$95),AVERAGE(G$93:G$95),AVERAGE(H$93:H$95),AVERAGE(I$93:I$95),AVERAGE(J$93:J$95),AVERAGE(K$93:K$95),AVERAGE(L$93:L$95),AVERAGE(M$93:M$95),AVERAGE(N$93:N$95),AVERAGE(O$93:O$95),AVERAGE(P$93:P$95))</f>
        <v>39.766666666666666</v>
      </c>
      <c r="AI93" s="177">
        <f t="shared" si="46"/>
        <v>24.580681818181816</v>
      </c>
    </row>
    <row r="94" spans="1:35" ht="12" customHeight="1" x14ac:dyDescent="0.15">
      <c r="B94" s="11" t="s">
        <v>120</v>
      </c>
      <c r="C94" s="58" t="str">
        <f>IF(ISERROR(VLOOKUP($B94,'Monthly Summary 2008'!$B$7:$U$62,14,FALSE)&gt;0),"",VLOOKUP($B94,'Monthly Summary 2008'!$B$7:$U$62,14,FALSE))</f>
        <v/>
      </c>
      <c r="D94" s="12">
        <v>18.600000000000001</v>
      </c>
      <c r="E94" s="62">
        <v>17</v>
      </c>
      <c r="F94" s="62">
        <v>24.8</v>
      </c>
      <c r="G94" s="62">
        <v>28.3</v>
      </c>
      <c r="H94" s="62">
        <v>34.1</v>
      </c>
      <c r="I94" s="62">
        <v>41.9</v>
      </c>
      <c r="J94" s="62">
        <v>33.4</v>
      </c>
      <c r="K94" s="62">
        <v>28.9</v>
      </c>
      <c r="L94" s="62">
        <v>23.1</v>
      </c>
      <c r="M94" s="62">
        <v>23.4</v>
      </c>
      <c r="N94" s="62">
        <v>22.4</v>
      </c>
      <c r="O94" s="62">
        <v>8.3000000000000007</v>
      </c>
      <c r="P94" s="63">
        <f t="shared" si="37"/>
        <v>25.349999999999998</v>
      </c>
      <c r="Q94" s="38">
        <f t="shared" si="36"/>
        <v>1</v>
      </c>
      <c r="R94" s="260">
        <f t="shared" si="38"/>
        <v>20.133333333333336</v>
      </c>
      <c r="S94" s="264">
        <f t="shared" si="39"/>
        <v>1</v>
      </c>
      <c r="T94" s="260">
        <f t="shared" si="40"/>
        <v>28.466666666666669</v>
      </c>
      <c r="U94" s="261">
        <f t="shared" si="41"/>
        <v>1</v>
      </c>
      <c r="V94" s="262">
        <f t="shared" si="42"/>
        <v>25.349999999999998</v>
      </c>
      <c r="W94" s="261">
        <f t="shared" si="43"/>
        <v>1</v>
      </c>
      <c r="X94" s="177">
        <f t="shared" si="34"/>
        <v>19.511111111111109</v>
      </c>
      <c r="Y94" s="177">
        <f t="shared" si="35"/>
        <v>31.436111111111114</v>
      </c>
      <c r="Z94" s="177">
        <f t="shared" si="47"/>
        <v>24.580681818181816</v>
      </c>
      <c r="AA94" s="10"/>
      <c r="AB94" s="357" t="str">
        <f>VLOOKUP($B94,'2007-2020 Metadata'!$A$4:$S$214,MATCH("Urban Area /Monitoring Zone",'2007-2020 Metadata'!$A$4:$S$4,0),FALSE)</f>
        <v>Wellington</v>
      </c>
      <c r="AC94" s="259" t="str">
        <f>VLOOKUP(B94,'2007-2020 Metadata'!$A$6:$A$214,1,FALSE)</f>
        <v>WEL032</v>
      </c>
      <c r="AD94" s="256" t="str">
        <f>VLOOKUP($AC94,'2007-2020 Metadata'!$A$6:$S$214,9,FALSE)</f>
        <v>Wellington</v>
      </c>
      <c r="AE94" s="263">
        <f>IF(ISBLANK(VLOOKUP($AC94,'2007-2020 Metadata'!$A$6:$S$214,19,FALSE)),"",VLOOKUP($AC94,'2007-2020 Metadata'!$A$6:$S$214,19,FALSE))</f>
        <v>5.3</v>
      </c>
      <c r="AF94" s="257" t="str">
        <f>VLOOKUP($B94,'2007-2020 Metadata'!$A$4:$S$214,MATCH("Site type",'2007-2020 Metadata'!$A$4:$S$4,0),FALSE)</f>
        <v>SH</v>
      </c>
      <c r="AG94" s="258">
        <f>MIN(AVERAGE(D$93:D$95),AVERAGE(E$93:E$95),AVERAGE(F$93:F$95),AVERAGE(G$93:G$95),AVERAGE(H$93:H$95),AVERAGE(I$93:I$95),AVERAGE(J$93:J$95),AVERAGE(K$93:K$95),AVERAGE(L$93:L$95),AVERAGE(M$93:M$95),AVERAGE(N$93:N$95),AVERAGE(O$93:O$95))</f>
        <v>10.733333333333334</v>
      </c>
      <c r="AH94" s="258">
        <f>MAX(AVERAGE(E$93:E$95),AVERAGE(F$93:F$95),AVERAGE(G$93:G$95),AVERAGE(H$93:H$95),AVERAGE(I$93:I$95),AVERAGE(J$93:J$95),AVERAGE(K$93:K$95),AVERAGE(L$93:L$95),AVERAGE(M$93:M$95),AVERAGE(N$93:N$95),AVERAGE(O$93:O$95),AVERAGE(P$93:P$95))</f>
        <v>39.766666666666666</v>
      </c>
      <c r="AI94" s="177">
        <f t="shared" si="46"/>
        <v>24.580681818181816</v>
      </c>
    </row>
    <row r="95" spans="1:35" ht="12" customHeight="1" x14ac:dyDescent="0.15">
      <c r="B95" s="11" t="s">
        <v>121</v>
      </c>
      <c r="C95" s="58" t="str">
        <f>IF(ISERROR(VLOOKUP($B95,'Monthly Summary 2008'!$B$7:$U$62,14,FALSE)&gt;0),"",VLOOKUP($B95,'Monthly Summary 2008'!$B$7:$U$62,14,FALSE))</f>
        <v/>
      </c>
      <c r="D95" s="12">
        <v>17.3</v>
      </c>
      <c r="E95" s="62">
        <v>20.2</v>
      </c>
      <c r="F95" s="62">
        <v>20.5</v>
      </c>
      <c r="G95" s="62">
        <v>32.6</v>
      </c>
      <c r="H95" s="62">
        <v>31.4</v>
      </c>
      <c r="I95" s="62">
        <v>38.5</v>
      </c>
      <c r="J95" s="62">
        <v>34.4</v>
      </c>
      <c r="K95" s="62">
        <v>33.4</v>
      </c>
      <c r="L95" s="62">
        <v>29</v>
      </c>
      <c r="M95" s="62">
        <v>24.1</v>
      </c>
      <c r="N95" s="62">
        <v>20.2</v>
      </c>
      <c r="O95" s="62">
        <v>13.2</v>
      </c>
      <c r="P95" s="63">
        <f t="shared" si="37"/>
        <v>26.233333333333334</v>
      </c>
      <c r="Q95" s="38">
        <f t="shared" si="36"/>
        <v>1</v>
      </c>
      <c r="R95" s="260">
        <f t="shared" si="38"/>
        <v>19.333333333333332</v>
      </c>
      <c r="S95" s="264">
        <f t="shared" si="39"/>
        <v>1</v>
      </c>
      <c r="T95" s="260">
        <f t="shared" si="40"/>
        <v>32.266666666666666</v>
      </c>
      <c r="U95" s="261">
        <f t="shared" si="41"/>
        <v>1</v>
      </c>
      <c r="V95" s="262">
        <f t="shared" si="42"/>
        <v>26.233333333333334</v>
      </c>
      <c r="W95" s="261">
        <f t="shared" si="43"/>
        <v>1</v>
      </c>
      <c r="X95" s="177">
        <f t="shared" si="34"/>
        <v>19.511111111111109</v>
      </c>
      <c r="Y95" s="177">
        <f t="shared" si="35"/>
        <v>31.436111111111114</v>
      </c>
      <c r="Z95" s="177">
        <f t="shared" si="47"/>
        <v>24.580681818181816</v>
      </c>
      <c r="AA95" s="10"/>
      <c r="AB95" s="357" t="str">
        <f>VLOOKUP($B95,'2007-2020 Metadata'!$A$4:$S$214,MATCH("Urban Area /Monitoring Zone",'2007-2020 Metadata'!$A$4:$S$4,0),FALSE)</f>
        <v>Wellington</v>
      </c>
      <c r="AC95" s="259" t="str">
        <f>VLOOKUP(B95,'2007-2020 Metadata'!$A$6:$A$214,1,FALSE)</f>
        <v>WEL033</v>
      </c>
      <c r="AD95" s="256" t="str">
        <f>VLOOKUP($AC95,'2007-2020 Metadata'!$A$6:$S$214,9,FALSE)</f>
        <v>Wellington</v>
      </c>
      <c r="AE95" s="263">
        <f>IF(ISBLANK(VLOOKUP($AC95,'2007-2020 Metadata'!$A$6:$S$214,19,FALSE)),"",VLOOKUP($AC95,'2007-2020 Metadata'!$A$6:$S$214,19,FALSE))</f>
        <v>5.3</v>
      </c>
      <c r="AF95" s="257" t="str">
        <f>VLOOKUP($B95,'2007-2020 Metadata'!$A$4:$S$214,MATCH("Site type",'2007-2020 Metadata'!$A$4:$S$4,0),FALSE)</f>
        <v>SH</v>
      </c>
      <c r="AG95" s="258">
        <f>MIN(AVERAGE(D$93:D$95),AVERAGE(E$93:E$95),AVERAGE(F$93:F$95),AVERAGE(G$93:G$95),AVERAGE(H$93:H$95),AVERAGE(I$93:I$95),AVERAGE(J$93:J$95),AVERAGE(K$93:K$95),AVERAGE(L$93:L$95),AVERAGE(M$93:M$95),AVERAGE(N$93:N$95),AVERAGE(O$93:O$95))</f>
        <v>10.733333333333334</v>
      </c>
      <c r="AH95" s="258">
        <f>MAX(AVERAGE(E$93:E$95),AVERAGE(F$93:F$95),AVERAGE(G$93:G$95),AVERAGE(H$93:H$95),AVERAGE(I$93:I$95),AVERAGE(J$93:J$95),AVERAGE(K$93:K$95),AVERAGE(L$93:L$95),AVERAGE(M$93:M$95),AVERAGE(N$93:N$95),AVERAGE(O$93:O$95),AVERAGE(P$93:P$95))</f>
        <v>39.766666666666666</v>
      </c>
      <c r="AI95" s="177">
        <f t="shared" si="46"/>
        <v>24.580681818181816</v>
      </c>
    </row>
    <row r="96" spans="1:35" ht="12" customHeight="1" x14ac:dyDescent="0.15">
      <c r="B96" s="11" t="s">
        <v>141</v>
      </c>
      <c r="C96" s="58" t="str">
        <f>IF(ISERROR(VLOOKUP($B96,'Monthly Summary 2008'!$B$7:$U$62,14,FALSE)&gt;0),"",VLOOKUP($B96,'Monthly Summary 2008'!$B$7:$U$62,14,FALSE))</f>
        <v/>
      </c>
      <c r="D96" s="12">
        <v>15.1</v>
      </c>
      <c r="E96" s="62">
        <v>14.3</v>
      </c>
      <c r="F96" s="62">
        <v>15.4</v>
      </c>
      <c r="G96" s="62">
        <v>18.3</v>
      </c>
      <c r="H96" s="62">
        <v>19.8</v>
      </c>
      <c r="I96" s="62">
        <v>22.3</v>
      </c>
      <c r="J96" s="62">
        <v>22</v>
      </c>
      <c r="K96" s="62">
        <v>22.7</v>
      </c>
      <c r="L96" s="62">
        <v>21.6</v>
      </c>
      <c r="M96" s="62">
        <v>15.8</v>
      </c>
      <c r="N96" s="62">
        <v>18.899999999999999</v>
      </c>
      <c r="O96" s="62">
        <v>15</v>
      </c>
      <c r="P96" s="63">
        <f t="shared" si="37"/>
        <v>18.433333333333334</v>
      </c>
      <c r="Q96" s="38">
        <f t="shared" si="36"/>
        <v>1</v>
      </c>
      <c r="R96" s="140">
        <f t="shared" si="38"/>
        <v>14.933333333333332</v>
      </c>
      <c r="S96" s="24">
        <f t="shared" si="39"/>
        <v>1</v>
      </c>
      <c r="T96" s="140">
        <f t="shared" si="40"/>
        <v>22.100000000000005</v>
      </c>
      <c r="U96" s="150">
        <f t="shared" si="41"/>
        <v>1</v>
      </c>
      <c r="V96" s="141">
        <f t="shared" si="42"/>
        <v>18.433333333333334</v>
      </c>
      <c r="W96" s="142">
        <f t="shared" si="43"/>
        <v>1</v>
      </c>
      <c r="X96" s="144">
        <f t="shared" si="34"/>
        <v>14.933333333333332</v>
      </c>
      <c r="Y96" s="144">
        <f t="shared" si="35"/>
        <v>22.100000000000005</v>
      </c>
      <c r="Z96" s="144">
        <f t="shared" si="47"/>
        <v>18.433333333333334</v>
      </c>
      <c r="AA96" s="10"/>
      <c r="AB96" s="357" t="str">
        <f>VLOOKUP($B96,'2007-2020 Metadata'!$A$4:$S$214,MATCH("Urban Area /Monitoring Zone",'2007-2020 Metadata'!$A$4:$S$4,0),FALSE)</f>
        <v xml:space="preserve">Kapiti </v>
      </c>
      <c r="AC96" s="87" t="str">
        <f>VLOOKUP(B96,'2007-2020 Metadata'!$A$6:$A$214,1,FALSE)</f>
        <v>WEL063</v>
      </c>
      <c r="AD96" s="230" t="str">
        <f>VLOOKUP($AC96,'2007-2020 Metadata'!$A$6:$S$214,9,FALSE)</f>
        <v>Kapiti Coast</v>
      </c>
      <c r="AE96" s="248">
        <f>IF(ISBLANK(VLOOKUP($AC96,'2007-2020 Metadata'!$A$6:$S$214,19,FALSE)),"",VLOOKUP($AC96,'2007-2020 Metadata'!$A$6:$S$214,19,FALSE))</f>
        <v>3.5</v>
      </c>
      <c r="AF96" s="88" t="str">
        <f>VLOOKUP($B96,'2007-2020 Metadata'!$A$4:$S$214,MATCH("Site type",'2007-2020 Metadata'!$A$4:$S$4,0),FALSE)</f>
        <v>Local (ex SH)</v>
      </c>
      <c r="AG96" s="143">
        <f t="shared" si="44"/>
        <v>14.3</v>
      </c>
      <c r="AH96" s="143">
        <f t="shared" si="45"/>
        <v>22.7</v>
      </c>
      <c r="AI96" s="144">
        <f t="shared" si="46"/>
        <v>18.433333333333334</v>
      </c>
    </row>
    <row r="97" spans="1:35" ht="12" customHeight="1" x14ac:dyDescent="0.15">
      <c r="A97" s="178" t="s">
        <v>496</v>
      </c>
      <c r="B97" s="11" t="s">
        <v>21</v>
      </c>
      <c r="C97" s="58">
        <f>IF(ISERROR(VLOOKUP($B97,'Monthly Summary 2008'!$B$7:$U$62,14,FALSE)&gt;0),"",VLOOKUP($B97,'Monthly Summary 2008'!$B$7:$U$62,14,FALSE))</f>
        <v>7.5</v>
      </c>
      <c r="D97" s="12">
        <v>9.9</v>
      </c>
      <c r="E97" s="62">
        <v>9.9</v>
      </c>
      <c r="F97" s="62"/>
      <c r="G97" s="62">
        <v>13.6</v>
      </c>
      <c r="H97" s="62">
        <v>17.399999999999999</v>
      </c>
      <c r="I97" s="62">
        <v>14</v>
      </c>
      <c r="J97" s="62">
        <v>28.9</v>
      </c>
      <c r="K97" s="62">
        <v>16.100000000000001</v>
      </c>
      <c r="L97" s="62">
        <v>15.9</v>
      </c>
      <c r="M97" s="62">
        <v>11.6</v>
      </c>
      <c r="N97" s="62">
        <v>11.8</v>
      </c>
      <c r="O97" s="62">
        <v>9.1999999999999993</v>
      </c>
      <c r="P97" s="63">
        <f t="shared" si="37"/>
        <v>14.390909090909089</v>
      </c>
      <c r="Q97" s="38">
        <f t="shared" si="36"/>
        <v>0.91666666666666663</v>
      </c>
      <c r="R97" s="140">
        <f t="shared" si="38"/>
        <v>9.9</v>
      </c>
      <c r="S97" s="24">
        <f t="shared" si="39"/>
        <v>0.66666666666666663</v>
      </c>
      <c r="T97" s="140">
        <f t="shared" si="40"/>
        <v>20.3</v>
      </c>
      <c r="U97" s="150">
        <f t="shared" si="41"/>
        <v>1</v>
      </c>
      <c r="V97" s="141">
        <f t="shared" si="42"/>
        <v>14.390909090909089</v>
      </c>
      <c r="W97" s="142">
        <f t="shared" si="43"/>
        <v>0.91666666666666663</v>
      </c>
      <c r="X97" s="144">
        <f t="shared" si="34"/>
        <v>9.9</v>
      </c>
      <c r="Y97" s="144">
        <f t="shared" si="35"/>
        <v>20.3</v>
      </c>
      <c r="Z97" s="144">
        <f t="shared" si="47"/>
        <v>14.390909090909089</v>
      </c>
      <c r="AA97" s="10"/>
      <c r="AB97" s="357" t="str">
        <f>VLOOKUP($B97,'2007-2020 Metadata'!$A$4:$S$214,MATCH("Urban Area /Monitoring Zone",'2007-2020 Metadata'!$A$4:$S$4,0),FALSE)</f>
        <v>Greymouth</v>
      </c>
      <c r="AC97" s="87" t="str">
        <f>VLOOKUP(B97,'2007-2020 Metadata'!$A$6:$A$214,1,FALSE)</f>
        <v>CHR001</v>
      </c>
      <c r="AD97" s="230" t="str">
        <f>VLOOKUP($AC97,'2007-2020 Metadata'!$A$6:$S$214,9,FALSE)</f>
        <v>Greymouth</v>
      </c>
      <c r="AE97" s="248">
        <f>IF(ISBLANK(VLOOKUP($AC97,'2007-2020 Metadata'!$A$6:$S$214,19,FALSE)),"",VLOOKUP($AC97,'2007-2020 Metadata'!$A$6:$S$214,19,FALSE))</f>
        <v>2.2999999999999998</v>
      </c>
      <c r="AF97" s="88" t="str">
        <f>VLOOKUP($B97,'2007-2020 Metadata'!$A$4:$S$214,MATCH("Site type",'2007-2020 Metadata'!$A$4:$S$4,0),FALSE)</f>
        <v>SH</v>
      </c>
      <c r="AG97" s="143">
        <f t="shared" si="44"/>
        <v>9.1999999999999993</v>
      </c>
      <c r="AH97" s="143">
        <f t="shared" si="45"/>
        <v>28.9</v>
      </c>
      <c r="AI97" s="144">
        <f t="shared" si="46"/>
        <v>14.390909090909089</v>
      </c>
    </row>
    <row r="98" spans="1:35" ht="12" customHeight="1" x14ac:dyDescent="0.15">
      <c r="A98" s="178" t="s">
        <v>496</v>
      </c>
      <c r="B98" s="11" t="s">
        <v>22</v>
      </c>
      <c r="C98" s="58">
        <f>IF(ISERROR(VLOOKUP($B98,'Monthly Summary 2008'!$B$7:$U$62,14,FALSE)&gt;0),"",VLOOKUP($B98,'Monthly Summary 2008'!$B$7:$U$62,14,FALSE))</f>
        <v>13.9</v>
      </c>
      <c r="D98" s="12">
        <v>18.899999999999999</v>
      </c>
      <c r="E98" s="62">
        <v>18.8</v>
      </c>
      <c r="F98" s="62">
        <v>19.7</v>
      </c>
      <c r="G98" s="62">
        <v>20.5</v>
      </c>
      <c r="H98" s="62">
        <v>32.4</v>
      </c>
      <c r="I98" s="62">
        <v>40.1</v>
      </c>
      <c r="J98" s="62">
        <v>27</v>
      </c>
      <c r="K98" s="62">
        <v>31.5</v>
      </c>
      <c r="L98" s="62"/>
      <c r="M98" s="62">
        <v>7</v>
      </c>
      <c r="N98" s="62">
        <v>23.3</v>
      </c>
      <c r="O98" s="62">
        <v>13.8</v>
      </c>
      <c r="P98" s="63">
        <f t="shared" si="37"/>
        <v>23.000000000000004</v>
      </c>
      <c r="Q98" s="38">
        <f t="shared" si="36"/>
        <v>0.91666666666666663</v>
      </c>
      <c r="R98" s="140">
        <f t="shared" si="38"/>
        <v>19.133333333333336</v>
      </c>
      <c r="S98" s="24">
        <f t="shared" si="39"/>
        <v>1</v>
      </c>
      <c r="T98" s="140">
        <f t="shared" si="40"/>
        <v>29.25</v>
      </c>
      <c r="U98" s="150">
        <f t="shared" si="41"/>
        <v>0.66666666666666663</v>
      </c>
      <c r="V98" s="141">
        <f t="shared" si="42"/>
        <v>23.000000000000004</v>
      </c>
      <c r="W98" s="142">
        <f t="shared" si="43"/>
        <v>0.91666666666666663</v>
      </c>
      <c r="X98" s="144">
        <f t="shared" si="34"/>
        <v>15.704166666666669</v>
      </c>
      <c r="Y98" s="144">
        <f t="shared" si="35"/>
        <v>24.820833333333333</v>
      </c>
      <c r="Z98" s="144">
        <f t="shared" si="47"/>
        <v>20.412310606060608</v>
      </c>
      <c r="AA98" s="10"/>
      <c r="AB98" s="357" t="str">
        <f>VLOOKUP($B98,'2007-2020 Metadata'!$A$4:$S$214,MATCH("Urban Area /Monitoring Zone",'2007-2020 Metadata'!$A$4:$S$4,0),FALSE)</f>
        <v>Christchurch</v>
      </c>
      <c r="AC98" s="87" t="str">
        <f>VLOOKUP(B98,'2007-2020 Metadata'!$A$6:$A$214,1,FALSE)</f>
        <v>CHR002</v>
      </c>
      <c r="AD98" s="230" t="str">
        <f>VLOOKUP($AC98,'2007-2020 Metadata'!$A$6:$S$214,9,FALSE)</f>
        <v>Christchurch</v>
      </c>
      <c r="AE98" s="248">
        <f>IF(ISBLANK(VLOOKUP($AC98,'2007-2020 Metadata'!$A$6:$S$214,19,FALSE)),"",VLOOKUP($AC98,'2007-2020 Metadata'!$A$6:$S$214,19,FALSE))</f>
        <v>3.2</v>
      </c>
      <c r="AF98" s="88" t="str">
        <f>VLOOKUP($B98,'2007-2020 Metadata'!$A$4:$S$214,MATCH("Site type",'2007-2020 Metadata'!$A$4:$S$4,0),FALSE)</f>
        <v>SH</v>
      </c>
      <c r="AG98" s="143">
        <f t="shared" si="44"/>
        <v>7</v>
      </c>
      <c r="AH98" s="143">
        <f t="shared" si="45"/>
        <v>40.1</v>
      </c>
      <c r="AI98" s="144">
        <f t="shared" si="46"/>
        <v>20.412310606060608</v>
      </c>
    </row>
    <row r="99" spans="1:35" ht="12" customHeight="1" x14ac:dyDescent="0.15">
      <c r="B99" s="11" t="s">
        <v>23</v>
      </c>
      <c r="C99" s="58">
        <f>IF(ISERROR(VLOOKUP($B99,'Monthly Summary 2008'!$B$7:$U$62,14,FALSE)&gt;0),"",VLOOKUP($B99,'Monthly Summary 2008'!$B$7:$U$62,14,FALSE))</f>
        <v>9.9</v>
      </c>
      <c r="D99" s="12">
        <v>15.5</v>
      </c>
      <c r="E99" s="62">
        <v>14.1</v>
      </c>
      <c r="F99" s="62">
        <v>17.899999999999999</v>
      </c>
      <c r="G99" s="62">
        <v>28.7</v>
      </c>
      <c r="H99" s="62">
        <v>25.4</v>
      </c>
      <c r="I99" s="62">
        <v>63.5</v>
      </c>
      <c r="J99" s="62">
        <v>31.4</v>
      </c>
      <c r="K99" s="62">
        <v>27.1</v>
      </c>
      <c r="L99" s="62">
        <v>26.3</v>
      </c>
      <c r="M99" s="62">
        <v>19.5</v>
      </c>
      <c r="N99" s="62">
        <v>16</v>
      </c>
      <c r="O99" s="62">
        <v>11.7</v>
      </c>
      <c r="P99" s="63">
        <f t="shared" si="37"/>
        <v>24.758333333333329</v>
      </c>
      <c r="Q99" s="38">
        <f t="shared" si="36"/>
        <v>1</v>
      </c>
      <c r="R99" s="140">
        <f t="shared" si="38"/>
        <v>15.833333333333334</v>
      </c>
      <c r="S99" s="24">
        <f t="shared" si="39"/>
        <v>1</v>
      </c>
      <c r="T99" s="140">
        <f t="shared" si="40"/>
        <v>28.266666666666666</v>
      </c>
      <c r="U99" s="150">
        <f t="shared" si="41"/>
        <v>1</v>
      </c>
      <c r="V99" s="141">
        <f t="shared" si="42"/>
        <v>24.758333333333329</v>
      </c>
      <c r="W99" s="142">
        <f t="shared" si="43"/>
        <v>1</v>
      </c>
      <c r="X99" s="144">
        <f t="shared" si="34"/>
        <v>15.704166666666669</v>
      </c>
      <c r="Y99" s="144">
        <f t="shared" si="35"/>
        <v>24.820833333333333</v>
      </c>
      <c r="Z99" s="144">
        <f t="shared" si="47"/>
        <v>20.412310606060608</v>
      </c>
      <c r="AA99" s="10"/>
      <c r="AB99" s="357" t="str">
        <f>VLOOKUP($B99,'2007-2020 Metadata'!$A$4:$S$214,MATCH("Urban Area /Monitoring Zone",'2007-2020 Metadata'!$A$4:$S$4,0),FALSE)</f>
        <v>Christchurch</v>
      </c>
      <c r="AC99" s="87" t="str">
        <f>VLOOKUP(B99,'2007-2020 Metadata'!$A$6:$A$214,1,FALSE)</f>
        <v>CHR003</v>
      </c>
      <c r="AD99" s="230" t="str">
        <f>VLOOKUP($AC99,'2007-2020 Metadata'!$A$6:$S$214,9,FALSE)</f>
        <v>Christchurch</v>
      </c>
      <c r="AE99" s="248">
        <f>IF(ISBLANK(VLOOKUP($AC99,'2007-2020 Metadata'!$A$6:$S$214,19,FALSE)),"",VLOOKUP($AC99,'2007-2020 Metadata'!$A$6:$S$214,19,FALSE))</f>
        <v>3.3</v>
      </c>
      <c r="AF99" s="88" t="str">
        <f>VLOOKUP($B99,'2007-2020 Metadata'!$A$4:$S$214,MATCH("Site type",'2007-2020 Metadata'!$A$4:$S$4,0),FALSE)</f>
        <v>SH</v>
      </c>
      <c r="AG99" s="143">
        <f t="shared" si="44"/>
        <v>11.7</v>
      </c>
      <c r="AH99" s="143">
        <f t="shared" si="45"/>
        <v>63.5</v>
      </c>
      <c r="AI99" s="144">
        <f t="shared" si="46"/>
        <v>20.412310606060608</v>
      </c>
    </row>
    <row r="100" spans="1:35" ht="12" customHeight="1" x14ac:dyDescent="0.15">
      <c r="B100" s="11" t="s">
        <v>24</v>
      </c>
      <c r="C100" s="58">
        <f>IF(ISERROR(VLOOKUP($B100,'Monthly Summary 2008'!$B$7:$U$62,14,FALSE)&gt;0),"",VLOOKUP($B100,'Monthly Summary 2008'!$B$7:$U$62,14,FALSE))</f>
        <v>5.9</v>
      </c>
      <c r="D100" s="12">
        <v>11.8</v>
      </c>
      <c r="E100" s="62"/>
      <c r="F100" s="62">
        <v>10.1</v>
      </c>
      <c r="G100" s="62">
        <v>12.9</v>
      </c>
      <c r="H100" s="62">
        <v>12.5</v>
      </c>
      <c r="I100" s="62">
        <v>8.5</v>
      </c>
      <c r="J100" s="62">
        <v>21.1</v>
      </c>
      <c r="K100" s="62">
        <v>10.7</v>
      </c>
      <c r="L100" s="62">
        <v>11.4</v>
      </c>
      <c r="M100" s="62">
        <v>13.2</v>
      </c>
      <c r="N100" s="62">
        <v>6.6</v>
      </c>
      <c r="O100" s="62">
        <v>5.2</v>
      </c>
      <c r="P100" s="63">
        <f t="shared" si="37"/>
        <v>11.272727272727273</v>
      </c>
      <c r="Q100" s="38">
        <f t="shared" si="36"/>
        <v>0.91666666666666663</v>
      </c>
      <c r="R100" s="140">
        <f t="shared" si="38"/>
        <v>10.95</v>
      </c>
      <c r="S100" s="24">
        <f t="shared" si="39"/>
        <v>0.66666666666666663</v>
      </c>
      <c r="T100" s="140">
        <f t="shared" si="40"/>
        <v>14.4</v>
      </c>
      <c r="U100" s="150">
        <f t="shared" si="41"/>
        <v>1</v>
      </c>
      <c r="V100" s="141">
        <f t="shared" si="42"/>
        <v>11.272727272727273</v>
      </c>
      <c r="W100" s="142">
        <f t="shared" si="43"/>
        <v>0.91666666666666663</v>
      </c>
      <c r="X100" s="144">
        <f t="shared" si="34"/>
        <v>15.704166666666669</v>
      </c>
      <c r="Y100" s="144">
        <f t="shared" si="35"/>
        <v>24.820833333333333</v>
      </c>
      <c r="Z100" s="144">
        <f t="shared" si="47"/>
        <v>20.412310606060608</v>
      </c>
      <c r="AA100" s="10"/>
      <c r="AB100" s="357" t="str">
        <f>VLOOKUP($B100,'2007-2020 Metadata'!$A$4:$S$214,MATCH("Urban Area /Monitoring Zone",'2007-2020 Metadata'!$A$4:$S$4,0),FALSE)</f>
        <v>Christchurch</v>
      </c>
      <c r="AC100" s="87" t="str">
        <f>VLOOKUP(B100,'2007-2020 Metadata'!$A$6:$A$214,1,FALSE)</f>
        <v>CHR004</v>
      </c>
      <c r="AD100" s="230" t="str">
        <f>VLOOKUP($AC100,'2007-2020 Metadata'!$A$6:$S$214,9,FALSE)</f>
        <v>Christchurch</v>
      </c>
      <c r="AE100" s="248">
        <f>IF(ISBLANK(VLOOKUP($AC100,'2007-2020 Metadata'!$A$6:$S$214,19,FALSE)),"",VLOOKUP($AC100,'2007-2020 Metadata'!$A$6:$S$214,19,FALSE))</f>
        <v>3.1</v>
      </c>
      <c r="AF100" s="88" t="str">
        <f>VLOOKUP($B100,'2007-2020 Metadata'!$A$4:$S$214,MATCH("Site type",'2007-2020 Metadata'!$A$4:$S$4,0),FALSE)</f>
        <v>Background</v>
      </c>
      <c r="AG100" s="143">
        <f t="shared" si="44"/>
        <v>5.2</v>
      </c>
      <c r="AH100" s="143">
        <f t="shared" si="45"/>
        <v>21.1</v>
      </c>
      <c r="AI100" s="144">
        <f t="shared" si="46"/>
        <v>20.412310606060608</v>
      </c>
    </row>
    <row r="101" spans="1:35" ht="12" customHeight="1" x14ac:dyDescent="0.15">
      <c r="A101" s="178" t="s">
        <v>496</v>
      </c>
      <c r="B101" s="11" t="s">
        <v>25</v>
      </c>
      <c r="C101" s="58">
        <f>IF(ISERROR(VLOOKUP($B101,'Monthly Summary 2008'!$B$7:$U$62,14,FALSE)&gt;0),"",VLOOKUP($B101,'Monthly Summary 2008'!$B$7:$U$62,14,FALSE))</f>
        <v>13.8</v>
      </c>
      <c r="D101" s="12">
        <v>19.899999999999999</v>
      </c>
      <c r="E101" s="62">
        <v>15.8</v>
      </c>
      <c r="F101" s="62">
        <v>15</v>
      </c>
      <c r="G101" s="62">
        <v>19.5</v>
      </c>
      <c r="H101" s="62">
        <v>27.9</v>
      </c>
      <c r="I101" s="62">
        <v>34.9</v>
      </c>
      <c r="J101" s="62">
        <v>30.7</v>
      </c>
      <c r="K101" s="62">
        <v>29.2</v>
      </c>
      <c r="L101" s="62">
        <v>22.2</v>
      </c>
      <c r="M101" s="62">
        <v>16.8</v>
      </c>
      <c r="N101" s="62">
        <v>16.899999999999999</v>
      </c>
      <c r="O101" s="62"/>
      <c r="P101" s="63">
        <f t="shared" si="37"/>
        <v>22.618181818181817</v>
      </c>
      <c r="Q101" s="38">
        <f t="shared" si="36"/>
        <v>0.91666666666666663</v>
      </c>
      <c r="R101" s="140">
        <f t="shared" si="38"/>
        <v>16.900000000000002</v>
      </c>
      <c r="S101" s="24">
        <f t="shared" si="39"/>
        <v>1</v>
      </c>
      <c r="T101" s="140">
        <f t="shared" si="40"/>
        <v>27.366666666666664</v>
      </c>
      <c r="U101" s="150">
        <f t="shared" si="41"/>
        <v>1</v>
      </c>
      <c r="V101" s="141">
        <f t="shared" si="42"/>
        <v>22.618181818181817</v>
      </c>
      <c r="W101" s="142">
        <f t="shared" si="43"/>
        <v>0.91666666666666663</v>
      </c>
      <c r="X101" s="144">
        <f t="shared" si="34"/>
        <v>15.704166666666669</v>
      </c>
      <c r="Y101" s="144">
        <f t="shared" si="35"/>
        <v>24.820833333333333</v>
      </c>
      <c r="Z101" s="144">
        <f t="shared" si="47"/>
        <v>20.412310606060608</v>
      </c>
      <c r="AA101" s="10"/>
      <c r="AB101" s="357" t="str">
        <f>VLOOKUP($B101,'2007-2020 Metadata'!$A$4:$S$214,MATCH("Urban Area /Monitoring Zone",'2007-2020 Metadata'!$A$4:$S$4,0),FALSE)</f>
        <v>Christchurch</v>
      </c>
      <c r="AC101" s="87" t="str">
        <f>VLOOKUP(B101,'2007-2020 Metadata'!$A$6:$A$214,1,FALSE)</f>
        <v>CHR006</v>
      </c>
      <c r="AD101" s="230" t="str">
        <f>VLOOKUP($AC101,'2007-2020 Metadata'!$A$6:$S$214,9,FALSE)</f>
        <v>Christchurch</v>
      </c>
      <c r="AE101" s="248">
        <f>IF(ISBLANK(VLOOKUP($AC101,'2007-2020 Metadata'!$A$6:$S$214,19,FALSE)),"",VLOOKUP($AC101,'2007-2020 Metadata'!$A$6:$S$214,19,FALSE))</f>
        <v>3.4</v>
      </c>
      <c r="AF101" s="88" t="str">
        <f>VLOOKUP($B101,'2007-2020 Metadata'!$A$4:$S$214,MATCH("Site type",'2007-2020 Metadata'!$A$4:$S$4,0),FALSE)</f>
        <v>SH</v>
      </c>
      <c r="AG101" s="143">
        <f t="shared" si="44"/>
        <v>15</v>
      </c>
      <c r="AH101" s="143">
        <f t="shared" si="45"/>
        <v>34.9</v>
      </c>
      <c r="AI101" s="144">
        <f t="shared" si="46"/>
        <v>20.412310606060608</v>
      </c>
    </row>
    <row r="102" spans="1:35" ht="12" customHeight="1" x14ac:dyDescent="0.15">
      <c r="A102" s="178" t="s">
        <v>496</v>
      </c>
      <c r="B102" s="11" t="s">
        <v>26</v>
      </c>
      <c r="C102" s="58">
        <f>IF(ISERROR(VLOOKUP($B102,'Monthly Summary 2008'!$B$7:$U$62,14,FALSE)&gt;0),"",VLOOKUP($B102,'Monthly Summary 2008'!$B$7:$U$62,14,FALSE))</f>
        <v>13.8</v>
      </c>
      <c r="D102" s="12">
        <v>22.1</v>
      </c>
      <c r="E102" s="62">
        <v>16</v>
      </c>
      <c r="F102" s="62">
        <v>24.1</v>
      </c>
      <c r="G102" s="62">
        <v>26.9</v>
      </c>
      <c r="H102" s="62">
        <v>32.700000000000003</v>
      </c>
      <c r="I102" s="62">
        <v>35.799999999999997</v>
      </c>
      <c r="J102" s="62">
        <v>29.4</v>
      </c>
      <c r="K102" s="62">
        <v>35.299999999999997</v>
      </c>
      <c r="L102" s="62">
        <v>27.2</v>
      </c>
      <c r="M102" s="62">
        <v>19.8</v>
      </c>
      <c r="N102" s="62">
        <v>12.5</v>
      </c>
      <c r="O102" s="67"/>
      <c r="P102" s="63">
        <f t="shared" si="37"/>
        <v>25.618181818181821</v>
      </c>
      <c r="Q102" s="38">
        <f t="shared" si="36"/>
        <v>0.91666666666666663</v>
      </c>
      <c r="R102" s="140">
        <f t="shared" si="38"/>
        <v>20.733333333333334</v>
      </c>
      <c r="S102" s="24">
        <f t="shared" si="39"/>
        <v>1</v>
      </c>
      <c r="T102" s="140">
        <f t="shared" si="40"/>
        <v>30.633333333333329</v>
      </c>
      <c r="U102" s="150">
        <f t="shared" si="41"/>
        <v>1</v>
      </c>
      <c r="V102" s="141">
        <f t="shared" si="42"/>
        <v>25.618181818181821</v>
      </c>
      <c r="W102" s="142">
        <f t="shared" si="43"/>
        <v>0.91666666666666663</v>
      </c>
      <c r="X102" s="144">
        <f t="shared" si="34"/>
        <v>14.18888888888889</v>
      </c>
      <c r="Y102" s="144">
        <f t="shared" si="35"/>
        <v>19.677777777777777</v>
      </c>
      <c r="Z102" s="144">
        <f t="shared" si="47"/>
        <v>16.208838383838383</v>
      </c>
      <c r="AA102" s="10"/>
      <c r="AB102" s="357" t="str">
        <f>VLOOKUP($B102,'2007-2020 Metadata'!$A$4:$S$214,MATCH("Urban Area /Monitoring Zone",'2007-2020 Metadata'!$A$4:$S$4,0),FALSE)</f>
        <v>Dunedin</v>
      </c>
      <c r="AC102" s="87" t="str">
        <f>VLOOKUP(B102,'2007-2020 Metadata'!$A$6:$A$214,1,FALSE)</f>
        <v>DUN001</v>
      </c>
      <c r="AD102" s="230" t="str">
        <f>VLOOKUP($AC102,'2007-2020 Metadata'!$A$6:$S$214,9,FALSE)</f>
        <v>Dunedin</v>
      </c>
      <c r="AE102" s="248">
        <f>IF(ISBLANK(VLOOKUP($AC102,'2007-2020 Metadata'!$A$6:$S$214,19,FALSE)),"",VLOOKUP($AC102,'2007-2020 Metadata'!$A$6:$S$214,19,FALSE))</f>
        <v>3</v>
      </c>
      <c r="AF102" s="88" t="str">
        <f>VLOOKUP($B102,'2007-2020 Metadata'!$A$4:$S$214,MATCH("Site type",'2007-2020 Metadata'!$A$4:$S$4,0),FALSE)</f>
        <v>SH</v>
      </c>
      <c r="AG102" s="143">
        <f t="shared" si="44"/>
        <v>12.5</v>
      </c>
      <c r="AH102" s="143">
        <f t="shared" si="45"/>
        <v>35.799999999999997</v>
      </c>
      <c r="AI102" s="144">
        <f t="shared" si="46"/>
        <v>16.208838383838383</v>
      </c>
    </row>
    <row r="103" spans="1:35" ht="12" customHeight="1" x14ac:dyDescent="0.15">
      <c r="B103" s="11" t="s">
        <v>27</v>
      </c>
      <c r="C103" s="58">
        <f>IF(ISERROR(VLOOKUP($B103,'Monthly Summary 2008'!$B$7:$U$62,14,FALSE)&gt;0),"",VLOOKUP($B103,'Monthly Summary 2008'!$B$7:$U$62,14,FALSE))</f>
        <v>6.1</v>
      </c>
      <c r="D103" s="12">
        <v>12.3</v>
      </c>
      <c r="E103" s="62">
        <v>10.199999999999999</v>
      </c>
      <c r="F103" s="62">
        <v>11.6</v>
      </c>
      <c r="G103" s="62">
        <v>3.8</v>
      </c>
      <c r="H103" s="62">
        <v>10.9</v>
      </c>
      <c r="I103" s="62">
        <v>17.8</v>
      </c>
      <c r="J103" s="62">
        <v>16.3</v>
      </c>
      <c r="K103" s="62">
        <v>21.8</v>
      </c>
      <c r="L103" s="62">
        <v>16.100000000000001</v>
      </c>
      <c r="M103" s="62">
        <v>13.7</v>
      </c>
      <c r="N103" s="62">
        <v>9.3000000000000007</v>
      </c>
      <c r="O103" s="62">
        <v>8.1999999999999993</v>
      </c>
      <c r="P103" s="63">
        <f t="shared" si="37"/>
        <v>12.666666666666664</v>
      </c>
      <c r="Q103" s="38">
        <f t="shared" si="36"/>
        <v>1</v>
      </c>
      <c r="R103" s="140">
        <f t="shared" si="38"/>
        <v>11.366666666666667</v>
      </c>
      <c r="S103" s="24">
        <f t="shared" si="39"/>
        <v>1</v>
      </c>
      <c r="T103" s="140">
        <f t="shared" si="40"/>
        <v>18.066666666666666</v>
      </c>
      <c r="U103" s="150">
        <f t="shared" si="41"/>
        <v>1</v>
      </c>
      <c r="V103" s="141">
        <f t="shared" si="42"/>
        <v>12.666666666666664</v>
      </c>
      <c r="W103" s="142">
        <f t="shared" si="43"/>
        <v>1</v>
      </c>
      <c r="X103" s="144">
        <f t="shared" si="34"/>
        <v>14.18888888888889</v>
      </c>
      <c r="Y103" s="144">
        <f t="shared" si="35"/>
        <v>19.677777777777777</v>
      </c>
      <c r="Z103" s="144">
        <f t="shared" si="47"/>
        <v>16.208838383838383</v>
      </c>
      <c r="AA103" s="10"/>
      <c r="AB103" s="357" t="str">
        <f>VLOOKUP($B103,'2007-2020 Metadata'!$A$4:$S$214,MATCH("Urban Area /Monitoring Zone",'2007-2020 Metadata'!$A$4:$S$4,0),FALSE)</f>
        <v>Dunedin</v>
      </c>
      <c r="AC103" s="87" t="str">
        <f>VLOOKUP(B103,'2007-2020 Metadata'!$A$6:$A$214,1,FALSE)</f>
        <v>DUN002</v>
      </c>
      <c r="AD103" s="230" t="str">
        <f>VLOOKUP($AC103,'2007-2020 Metadata'!$A$6:$S$214,9,FALSE)</f>
        <v>Dunedin</v>
      </c>
      <c r="AE103" s="248">
        <f>IF(ISBLANK(VLOOKUP($AC103,'2007-2020 Metadata'!$A$6:$S$214,19,FALSE)),"",VLOOKUP($AC103,'2007-2020 Metadata'!$A$6:$S$214,19,FALSE))</f>
        <v>3</v>
      </c>
      <c r="AF103" s="88" t="str">
        <f>VLOOKUP($B103,'2007-2020 Metadata'!$A$4:$S$214,MATCH("Site type",'2007-2020 Metadata'!$A$4:$S$4,0),FALSE)</f>
        <v>SH</v>
      </c>
      <c r="AG103" s="143">
        <f t="shared" si="44"/>
        <v>3.8</v>
      </c>
      <c r="AH103" s="143">
        <f t="shared" si="45"/>
        <v>21.8</v>
      </c>
      <c r="AI103" s="144">
        <f t="shared" si="46"/>
        <v>16.208838383838383</v>
      </c>
    </row>
    <row r="104" spans="1:35" ht="12" customHeight="1" x14ac:dyDescent="0.15">
      <c r="B104" s="11" t="s">
        <v>28</v>
      </c>
      <c r="C104" s="58">
        <f>IF(ISERROR(VLOOKUP($B104,'Monthly Summary 2008'!$B$7:$U$62,14,FALSE)&gt;0),"",VLOOKUP($B104,'Monthly Summary 2008'!$B$7:$U$62,14,FALSE))</f>
        <v>4</v>
      </c>
      <c r="D104" s="12">
        <v>11.9</v>
      </c>
      <c r="E104" s="62">
        <v>10</v>
      </c>
      <c r="F104" s="62">
        <v>9.5</v>
      </c>
      <c r="G104" s="62">
        <v>11.4</v>
      </c>
      <c r="H104" s="62">
        <v>8.6999999999999993</v>
      </c>
      <c r="I104" s="62">
        <v>11.6</v>
      </c>
      <c r="J104" s="62">
        <v>10</v>
      </c>
      <c r="K104" s="62">
        <v>14.1</v>
      </c>
      <c r="L104" s="62">
        <v>6.9</v>
      </c>
      <c r="M104" s="62">
        <v>8.8000000000000007</v>
      </c>
      <c r="N104" s="62">
        <v>6.1</v>
      </c>
      <c r="O104" s="62">
        <v>15.1</v>
      </c>
      <c r="P104" s="63">
        <f t="shared" si="37"/>
        <v>10.341666666666665</v>
      </c>
      <c r="Q104" s="38">
        <f t="shared" si="36"/>
        <v>1</v>
      </c>
      <c r="R104" s="140">
        <f t="shared" si="38"/>
        <v>10.466666666666667</v>
      </c>
      <c r="S104" s="24">
        <f t="shared" si="39"/>
        <v>1</v>
      </c>
      <c r="T104" s="140">
        <f t="shared" si="40"/>
        <v>10.333333333333334</v>
      </c>
      <c r="U104" s="150">
        <f t="shared" si="41"/>
        <v>1</v>
      </c>
      <c r="V104" s="141">
        <f t="shared" si="42"/>
        <v>10.341666666666665</v>
      </c>
      <c r="W104" s="142">
        <f t="shared" si="43"/>
        <v>1</v>
      </c>
      <c r="X104" s="144">
        <f t="shared" si="34"/>
        <v>14.18888888888889</v>
      </c>
      <c r="Y104" s="144">
        <f t="shared" si="35"/>
        <v>19.677777777777777</v>
      </c>
      <c r="Z104" s="144">
        <f t="shared" si="47"/>
        <v>16.208838383838383</v>
      </c>
      <c r="AA104" s="10"/>
      <c r="AB104" s="357" t="str">
        <f>VLOOKUP($B104,'2007-2020 Metadata'!$A$4:$S$214,MATCH("Urban Area /Monitoring Zone",'2007-2020 Metadata'!$A$4:$S$4,0),FALSE)</f>
        <v>Dunedin</v>
      </c>
      <c r="AC104" s="87" t="str">
        <f>VLOOKUP(B104,'2007-2020 Metadata'!$A$6:$A$214,1,FALSE)</f>
        <v>DUN003</v>
      </c>
      <c r="AD104" s="230" t="str">
        <f>VLOOKUP($AC104,'2007-2020 Metadata'!$A$6:$S$214,9,FALSE)</f>
        <v>Dunedin</v>
      </c>
      <c r="AE104" s="248">
        <f>IF(ISBLANK(VLOOKUP($AC104,'2007-2020 Metadata'!$A$6:$S$214,19,FALSE)),"",VLOOKUP($AC104,'2007-2020 Metadata'!$A$6:$S$214,19,FALSE))</f>
        <v>3</v>
      </c>
      <c r="AF104" s="88" t="str">
        <f>VLOOKUP($B104,'2007-2020 Metadata'!$A$4:$S$214,MATCH("Site type",'2007-2020 Metadata'!$A$4:$S$4,0),FALSE)</f>
        <v>Local</v>
      </c>
      <c r="AG104" s="143">
        <f t="shared" si="44"/>
        <v>6.1</v>
      </c>
      <c r="AH104" s="143">
        <f t="shared" si="45"/>
        <v>15.1</v>
      </c>
      <c r="AI104" s="144">
        <f t="shared" si="46"/>
        <v>16.208838383838383</v>
      </c>
    </row>
    <row r="105" spans="1:35" ht="12" customHeight="1" x14ac:dyDescent="0.15">
      <c r="A105" s="178" t="s">
        <v>496</v>
      </c>
      <c r="B105" s="11" t="s">
        <v>29</v>
      </c>
      <c r="C105" s="58">
        <f>IF(ISERROR(VLOOKUP($B105,'Monthly Summary 2008'!$B$7:$U$62,14,FALSE)&gt;0),"",VLOOKUP($B105,'Monthly Summary 2008'!$B$7:$U$62,14,FALSE))</f>
        <v>0</v>
      </c>
      <c r="D105" s="12">
        <v>16.399999999999999</v>
      </c>
      <c r="E105" s="62">
        <v>18.3</v>
      </c>
      <c r="F105" s="62">
        <v>19.7</v>
      </c>
      <c r="G105" s="62">
        <v>23.6</v>
      </c>
      <c r="H105" s="62">
        <v>30</v>
      </c>
      <c r="I105" s="67"/>
      <c r="J105" s="67"/>
      <c r="K105" s="62">
        <v>30.9</v>
      </c>
      <c r="L105" s="62">
        <v>25.2</v>
      </c>
      <c r="M105" s="62">
        <v>12.6</v>
      </c>
      <c r="N105" s="62">
        <v>9.6</v>
      </c>
      <c r="O105" s="62">
        <v>11.2</v>
      </c>
      <c r="P105" s="63">
        <f t="shared" si="37"/>
        <v>19.749999999999996</v>
      </c>
      <c r="Q105" s="38">
        <f t="shared" si="36"/>
        <v>0.83333333333333337</v>
      </c>
      <c r="R105" s="140">
        <f t="shared" si="38"/>
        <v>18.133333333333336</v>
      </c>
      <c r="S105" s="24">
        <f t="shared" si="39"/>
        <v>1</v>
      </c>
      <c r="T105" s="140">
        <f t="shared" si="40"/>
        <v>28.049999999999997</v>
      </c>
      <c r="U105" s="150">
        <f t="shared" si="41"/>
        <v>0.66666666666666663</v>
      </c>
      <c r="V105" s="141">
        <f t="shared" si="42"/>
        <v>19.749999999999996</v>
      </c>
      <c r="W105" s="142">
        <f t="shared" si="43"/>
        <v>0.83333333333333337</v>
      </c>
      <c r="X105" s="144">
        <f t="shared" si="34"/>
        <v>18.133333333333336</v>
      </c>
      <c r="Y105" s="144">
        <f t="shared" si="35"/>
        <v>28.049999999999997</v>
      </c>
      <c r="Z105" s="144">
        <f t="shared" si="47"/>
        <v>19.749999999999996</v>
      </c>
      <c r="AA105" s="10"/>
      <c r="AB105" s="357" t="str">
        <f>VLOOKUP($B105,'2007-2020 Metadata'!$A$4:$S$214,MATCH("Urban Area /Monitoring Zone",'2007-2020 Metadata'!$A$4:$S$4,0),FALSE)</f>
        <v>Queenstown</v>
      </c>
      <c r="AC105" s="87" t="str">
        <f>VLOOKUP(B105,'2007-2020 Metadata'!$A$6:$A$214,1,FALSE)</f>
        <v>DUN004</v>
      </c>
      <c r="AD105" s="230" t="str">
        <f>VLOOKUP($AC105,'2007-2020 Metadata'!$A$6:$S$214,9,FALSE)</f>
        <v>Queenstown</v>
      </c>
      <c r="AE105" s="248">
        <f>IF(ISBLANK(VLOOKUP($AC105,'2007-2020 Metadata'!$A$6:$S$214,19,FALSE)),"",VLOOKUP($AC105,'2007-2020 Metadata'!$A$6:$S$214,19,FALSE))</f>
        <v>3</v>
      </c>
      <c r="AF105" s="88" t="str">
        <f>VLOOKUP($B105,'2007-2020 Metadata'!$A$4:$S$214,MATCH("Site type",'2007-2020 Metadata'!$A$4:$S$4,0),FALSE)</f>
        <v>SH</v>
      </c>
      <c r="AG105" s="143">
        <f t="shared" si="44"/>
        <v>9.6</v>
      </c>
      <c r="AH105" s="143">
        <f t="shared" si="45"/>
        <v>30.9</v>
      </c>
      <c r="AI105" s="144">
        <f t="shared" si="46"/>
        <v>19.749999999999996</v>
      </c>
    </row>
    <row r="106" spans="1:35" ht="12" customHeight="1" x14ac:dyDescent="0.15">
      <c r="A106" s="178" t="s">
        <v>496</v>
      </c>
      <c r="B106" s="11" t="s">
        <v>30</v>
      </c>
      <c r="C106" s="58">
        <f>IF(ISERROR(VLOOKUP($B106,'Monthly Summary 2008'!$B$7:$U$62,14,FALSE)&gt;0),"",VLOOKUP($B106,'Monthly Summary 2008'!$B$7:$U$62,14,FALSE))</f>
        <v>21</v>
      </c>
      <c r="D106" s="12">
        <v>23.5</v>
      </c>
      <c r="E106" s="67">
        <v>22.1</v>
      </c>
      <c r="F106" s="67"/>
      <c r="G106" s="67">
        <v>23</v>
      </c>
      <c r="H106" s="67">
        <v>17.399999999999999</v>
      </c>
      <c r="I106" s="67">
        <v>41.6</v>
      </c>
      <c r="J106" s="67">
        <v>38.799999999999997</v>
      </c>
      <c r="K106" s="67">
        <v>26.4</v>
      </c>
      <c r="L106" s="67"/>
      <c r="M106" s="67">
        <v>28.9</v>
      </c>
      <c r="N106" s="67"/>
      <c r="O106" s="62"/>
      <c r="P106" s="63">
        <f t="shared" si="37"/>
        <v>27.712499999999999</v>
      </c>
      <c r="Q106" s="38">
        <f t="shared" si="36"/>
        <v>0.66666666666666663</v>
      </c>
      <c r="R106" s="140">
        <f t="shared" si="38"/>
        <v>22.8</v>
      </c>
      <c r="S106" s="24">
        <f t="shared" si="39"/>
        <v>0.66666666666666663</v>
      </c>
      <c r="T106" s="140">
        <f t="shared" si="40"/>
        <v>32.599999999999994</v>
      </c>
      <c r="U106" s="150">
        <f t="shared" si="41"/>
        <v>0.66666666666666663</v>
      </c>
      <c r="V106" s="141" t="str">
        <f t="shared" si="42"/>
        <v>-</v>
      </c>
      <c r="W106" s="142">
        <f t="shared" si="43"/>
        <v>0.66666666666666663</v>
      </c>
      <c r="X106" s="144">
        <f t="shared" si="34"/>
        <v>22.8</v>
      </c>
      <c r="Y106" s="144">
        <f t="shared" si="35"/>
        <v>32.599999999999994</v>
      </c>
      <c r="Z106" s="144" t="str">
        <f t="shared" si="47"/>
        <v/>
      </c>
      <c r="AA106" s="10"/>
      <c r="AB106" s="357" t="str">
        <f>VLOOKUP($B106,'2007-2020 Metadata'!$A$4:$S$214,MATCH("Urban Area /Monitoring Zone",'2007-2020 Metadata'!$A$4:$S$4,0),FALSE)</f>
        <v>Invercargill</v>
      </c>
      <c r="AC106" s="87" t="str">
        <f>VLOOKUP(B106,'2007-2020 Metadata'!$A$6:$A$214,1,FALSE)</f>
        <v>DUN005</v>
      </c>
      <c r="AD106" s="230" t="str">
        <f>VLOOKUP($AC106,'2007-2020 Metadata'!$A$6:$S$214,9,FALSE)</f>
        <v>Invercargill</v>
      </c>
      <c r="AE106" s="248">
        <f>IF(ISBLANK(VLOOKUP($AC106,'2007-2020 Metadata'!$A$6:$S$214,19,FALSE)),"",VLOOKUP($AC106,'2007-2020 Metadata'!$A$6:$S$214,19,FALSE))</f>
        <v>3</v>
      </c>
      <c r="AF106" s="88" t="str">
        <f>VLOOKUP($B106,'2007-2020 Metadata'!$A$4:$S$214,MATCH("Site type",'2007-2020 Metadata'!$A$4:$S$4,0),FALSE)</f>
        <v>SH</v>
      </c>
      <c r="AG106" s="143">
        <f t="shared" si="44"/>
        <v>17.399999999999999</v>
      </c>
      <c r="AH106" s="143">
        <f t="shared" si="45"/>
        <v>41.6</v>
      </c>
      <c r="AI106" s="144" t="str">
        <f t="shared" si="46"/>
        <v xml:space="preserve"> </v>
      </c>
    </row>
    <row r="107" spans="1:35" ht="12" customHeight="1" thickBot="1" x14ac:dyDescent="0.2">
      <c r="B107" s="14"/>
      <c r="C107" s="27"/>
      <c r="D107" s="15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16"/>
      <c r="Q107" s="17"/>
      <c r="R107" s="68"/>
      <c r="S107" s="155"/>
      <c r="T107" s="156"/>
      <c r="U107" s="17"/>
      <c r="V107" s="102"/>
      <c r="W107" s="146"/>
      <c r="X107" s="146"/>
      <c r="Y107" s="146"/>
      <c r="Z107" s="146"/>
      <c r="AA107" s="10"/>
      <c r="AB107" s="163"/>
      <c r="AC107" s="102"/>
      <c r="AD107" s="90"/>
      <c r="AE107" s="90"/>
      <c r="AF107" s="146"/>
      <c r="AG107" s="102"/>
      <c r="AH107" s="102"/>
      <c r="AI107" s="146"/>
    </row>
    <row r="108" spans="1:35" ht="12" thickTop="1" x14ac:dyDescent="0.2">
      <c r="B108" s="3" t="s">
        <v>462</v>
      </c>
      <c r="C108" s="3"/>
      <c r="D108" s="2">
        <v>40</v>
      </c>
      <c r="E108" s="2">
        <v>40</v>
      </c>
      <c r="F108" s="2">
        <v>40</v>
      </c>
      <c r="G108" s="2">
        <v>40</v>
      </c>
      <c r="H108" s="2">
        <v>40</v>
      </c>
      <c r="I108" s="2">
        <v>40</v>
      </c>
      <c r="J108" s="2">
        <v>40</v>
      </c>
      <c r="K108" s="2">
        <v>40</v>
      </c>
      <c r="L108" s="2">
        <v>40</v>
      </c>
      <c r="M108" s="2">
        <v>40</v>
      </c>
      <c r="N108" s="2">
        <v>40</v>
      </c>
      <c r="O108" s="2">
        <v>40</v>
      </c>
      <c r="P108" s="18"/>
      <c r="Q108" s="18"/>
      <c r="Z108" s="10"/>
      <c r="AA108" s="10"/>
      <c r="AB108" s="10"/>
      <c r="AC108" s="10"/>
      <c r="AF108" s="10"/>
      <c r="AG108" s="10"/>
      <c r="AH108" s="10"/>
      <c r="AI108" s="10"/>
    </row>
    <row r="109" spans="1:35" x14ac:dyDescent="0.2">
      <c r="B109" s="10"/>
      <c r="D109" s="46" t="s">
        <v>455</v>
      </c>
      <c r="E109" s="31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18"/>
      <c r="Q109" s="18"/>
      <c r="Z109" s="10"/>
      <c r="AA109" s="10"/>
      <c r="AB109" s="10"/>
      <c r="AC109" s="10"/>
      <c r="AF109" s="10"/>
      <c r="AG109" s="10"/>
      <c r="AH109" s="10"/>
      <c r="AI109" s="10"/>
    </row>
    <row r="110" spans="1:35" x14ac:dyDescent="0.2">
      <c r="B110" s="10"/>
      <c r="D110" s="321"/>
      <c r="E110" s="301" t="s">
        <v>456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18"/>
      <c r="Q110" s="18"/>
      <c r="Z110" s="10"/>
      <c r="AA110" s="10"/>
      <c r="AB110" s="10"/>
      <c r="AC110" s="10"/>
      <c r="AF110" s="10"/>
      <c r="AG110" s="10"/>
      <c r="AH110" s="10"/>
      <c r="AI110" s="10"/>
    </row>
    <row r="111" spans="1:35" x14ac:dyDescent="0.2">
      <c r="B111" s="10"/>
      <c r="D111" s="371"/>
      <c r="E111" s="301" t="s">
        <v>1085</v>
      </c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18"/>
      <c r="Q111" s="18"/>
      <c r="Z111" s="10"/>
      <c r="AA111" s="10"/>
      <c r="AB111" s="10"/>
      <c r="AC111" s="10"/>
      <c r="AF111" s="10"/>
      <c r="AG111" s="10"/>
      <c r="AH111" s="10"/>
      <c r="AI111" s="10"/>
    </row>
    <row r="112" spans="1:35" x14ac:dyDescent="0.2">
      <c r="B112" s="10"/>
      <c r="D112" s="47"/>
      <c r="E112" s="31" t="s">
        <v>469</v>
      </c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18"/>
      <c r="Q112" s="18"/>
      <c r="Z112" s="10"/>
      <c r="AA112" s="10"/>
      <c r="AB112" s="10"/>
      <c r="AC112" s="10"/>
      <c r="AF112" s="10"/>
      <c r="AG112" s="10"/>
      <c r="AH112" s="10"/>
      <c r="AI112" s="10"/>
    </row>
    <row r="113" spans="2:35" x14ac:dyDescent="0.2">
      <c r="B113" s="10"/>
      <c r="D113" s="48"/>
      <c r="E113" s="31" t="s">
        <v>457</v>
      </c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18"/>
      <c r="Q113" s="18"/>
      <c r="Z113" s="10"/>
      <c r="AA113" s="10"/>
      <c r="AB113" s="10"/>
      <c r="AC113" s="10"/>
      <c r="AF113" s="10"/>
      <c r="AG113" s="10"/>
      <c r="AH113" s="10"/>
      <c r="AI113" s="10"/>
    </row>
    <row r="114" spans="2:35" x14ac:dyDescent="0.2">
      <c r="B114" s="28"/>
      <c r="D114" s="49"/>
      <c r="E114" s="31" t="s">
        <v>458</v>
      </c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8"/>
      <c r="Q114" s="18"/>
      <c r="Z114" s="10"/>
      <c r="AA114" s="10"/>
      <c r="AB114" s="10"/>
      <c r="AC114" s="10"/>
      <c r="AF114" s="10"/>
      <c r="AG114" s="10"/>
      <c r="AH114" s="10"/>
      <c r="AI114" s="10"/>
    </row>
    <row r="115" spans="2:35" x14ac:dyDescent="0.2">
      <c r="B115" s="3"/>
      <c r="D115" s="176"/>
      <c r="E115" s="112" t="s">
        <v>510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18"/>
      <c r="Q115" s="18"/>
      <c r="Z115" s="10"/>
      <c r="AA115" s="10"/>
      <c r="AB115" s="10"/>
      <c r="AC115" s="10"/>
      <c r="AF115" s="10"/>
      <c r="AG115" s="10"/>
      <c r="AH115" s="10"/>
      <c r="AI115" s="10"/>
    </row>
    <row r="116" spans="2:35" x14ac:dyDescent="0.2">
      <c r="B116" s="3"/>
      <c r="C116" s="3"/>
      <c r="D116" s="372"/>
      <c r="E116" s="10" t="s">
        <v>1086</v>
      </c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18"/>
      <c r="Q116" s="18"/>
      <c r="Z116" s="10"/>
      <c r="AA116" s="10"/>
      <c r="AB116" s="10"/>
      <c r="AC116" s="10"/>
      <c r="AF116" s="10"/>
      <c r="AG116" s="10"/>
      <c r="AH116" s="10"/>
      <c r="AI116" s="10"/>
    </row>
    <row r="117" spans="2:35" x14ac:dyDescent="0.2">
      <c r="B117" s="3"/>
      <c r="C117" s="3"/>
      <c r="D117" s="19" t="s">
        <v>511</v>
      </c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18"/>
      <c r="Q117" s="18"/>
      <c r="Z117" s="10"/>
      <c r="AA117" s="10"/>
      <c r="AB117" s="10"/>
      <c r="AC117" s="10"/>
      <c r="AF117" s="10"/>
      <c r="AG117" s="10"/>
      <c r="AH117" s="10"/>
      <c r="AI117" s="10"/>
    </row>
    <row r="118" spans="2:35" x14ac:dyDescent="0.2">
      <c r="B118" s="3"/>
      <c r="C118" s="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18"/>
      <c r="Q118" s="18"/>
      <c r="Z118" s="10"/>
      <c r="AA118" s="10"/>
      <c r="AB118" s="10"/>
      <c r="AC118" s="10"/>
      <c r="AF118" s="10"/>
      <c r="AG118" s="10"/>
      <c r="AH118" s="10"/>
      <c r="AI118" s="10"/>
    </row>
    <row r="119" spans="2:35" x14ac:dyDescent="0.2">
      <c r="B119" s="3"/>
      <c r="C119" s="3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18"/>
      <c r="Q119" s="18"/>
      <c r="Z119" s="10"/>
      <c r="AA119" s="10"/>
      <c r="AB119" s="10"/>
      <c r="AC119" s="10"/>
      <c r="AF119" s="10"/>
      <c r="AG119" s="10"/>
      <c r="AH119" s="10"/>
      <c r="AI119" s="10"/>
    </row>
    <row r="120" spans="2:35" x14ac:dyDescent="0.2">
      <c r="B120" s="3"/>
      <c r="C120" s="3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18"/>
      <c r="Q120" s="18"/>
      <c r="Z120" s="10"/>
      <c r="AA120" s="10"/>
      <c r="AB120" s="10"/>
      <c r="AC120" s="10"/>
      <c r="AF120" s="10"/>
      <c r="AG120" s="10"/>
      <c r="AH120" s="10"/>
      <c r="AI120" s="10"/>
    </row>
    <row r="121" spans="2:35" x14ac:dyDescent="0.2">
      <c r="B121" s="3"/>
      <c r="C121" s="3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18"/>
      <c r="Q121" s="18"/>
      <c r="Z121" s="10"/>
      <c r="AA121" s="10"/>
      <c r="AB121" s="10"/>
      <c r="AC121" s="10"/>
      <c r="AF121" s="10"/>
      <c r="AG121" s="10"/>
      <c r="AH121" s="10"/>
      <c r="AI121" s="10"/>
    </row>
    <row r="122" spans="2:35" x14ac:dyDescent="0.2">
      <c r="B122" s="3"/>
      <c r="C122" s="3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18"/>
      <c r="Q122" s="18"/>
      <c r="Z122" s="10"/>
      <c r="AA122" s="10"/>
      <c r="AB122" s="10"/>
      <c r="AC122" s="10"/>
      <c r="AF122" s="10"/>
      <c r="AG122" s="10"/>
      <c r="AH122" s="10"/>
      <c r="AI122" s="10"/>
    </row>
    <row r="123" spans="2:35" x14ac:dyDescent="0.2">
      <c r="B123" s="3"/>
      <c r="C123" s="3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18"/>
      <c r="Q123" s="18"/>
      <c r="Z123" s="10"/>
      <c r="AA123" s="10"/>
      <c r="AB123" s="10"/>
      <c r="AC123" s="10"/>
      <c r="AF123" s="10"/>
      <c r="AG123" s="10"/>
      <c r="AH123" s="10"/>
      <c r="AI123" s="10"/>
    </row>
    <row r="124" spans="2:35" x14ac:dyDescent="0.2">
      <c r="B124" s="3"/>
      <c r="C124" s="3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18"/>
      <c r="Q124" s="18"/>
      <c r="Z124" s="10"/>
      <c r="AA124" s="10"/>
      <c r="AB124" s="10"/>
      <c r="AC124" s="10"/>
      <c r="AF124" s="10"/>
      <c r="AG124" s="10"/>
      <c r="AH124" s="10"/>
      <c r="AI124" s="10"/>
    </row>
    <row r="125" spans="2:35" x14ac:dyDescent="0.2">
      <c r="B125" s="3"/>
      <c r="C125" s="3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18"/>
      <c r="Q125" s="18"/>
      <c r="Z125" s="10"/>
      <c r="AA125" s="10"/>
      <c r="AB125" s="10"/>
      <c r="AC125" s="10"/>
      <c r="AF125" s="10"/>
      <c r="AG125" s="10"/>
      <c r="AH125" s="10"/>
      <c r="AI125" s="10"/>
    </row>
    <row r="126" spans="2:35" x14ac:dyDescent="0.2">
      <c r="B126" s="3"/>
      <c r="C126" s="3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18"/>
      <c r="Q126" s="18"/>
      <c r="Z126" s="10"/>
      <c r="AA126" s="10"/>
      <c r="AB126" s="10"/>
      <c r="AC126" s="10"/>
      <c r="AF126" s="10"/>
      <c r="AG126" s="10"/>
      <c r="AH126" s="10"/>
      <c r="AI126" s="10"/>
    </row>
    <row r="127" spans="2:35" x14ac:dyDescent="0.2">
      <c r="B127" s="3"/>
      <c r="C127" s="3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18"/>
      <c r="Q127" s="18"/>
      <c r="Z127" s="10"/>
      <c r="AA127" s="10"/>
      <c r="AB127" s="10"/>
      <c r="AC127" s="10"/>
      <c r="AF127" s="10"/>
      <c r="AG127" s="10"/>
      <c r="AH127" s="10"/>
      <c r="AI127" s="10"/>
    </row>
    <row r="128" spans="2:35" x14ac:dyDescent="0.2">
      <c r="B128" s="3"/>
      <c r="C128" s="3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18"/>
      <c r="Q128" s="18"/>
      <c r="Z128" s="10"/>
      <c r="AA128" s="10"/>
      <c r="AB128" s="10"/>
      <c r="AC128" s="10"/>
      <c r="AF128" s="10"/>
      <c r="AG128" s="10"/>
      <c r="AH128" s="10"/>
      <c r="AI128" s="10"/>
    </row>
    <row r="129" spans="2:35" x14ac:dyDescent="0.2">
      <c r="B129" s="3"/>
      <c r="C129" s="3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18"/>
      <c r="Q129" s="18"/>
      <c r="Z129" s="10"/>
      <c r="AA129" s="10"/>
      <c r="AB129" s="10"/>
      <c r="AC129" s="10"/>
      <c r="AF129" s="10"/>
      <c r="AG129" s="10"/>
      <c r="AH129" s="10"/>
      <c r="AI129" s="10"/>
    </row>
    <row r="130" spans="2:35" x14ac:dyDescent="0.2">
      <c r="B130" s="3"/>
      <c r="C130" s="3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18"/>
      <c r="Q130" s="18"/>
      <c r="Z130" s="10"/>
      <c r="AA130" s="10"/>
      <c r="AB130" s="10"/>
      <c r="AC130" s="10"/>
      <c r="AF130" s="10"/>
      <c r="AG130" s="10"/>
      <c r="AH130" s="10"/>
      <c r="AI130" s="10"/>
    </row>
    <row r="131" spans="2:35" x14ac:dyDescent="0.2">
      <c r="B131" s="3"/>
      <c r="C131" s="3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18"/>
      <c r="Q131" s="18"/>
      <c r="Z131" s="10"/>
      <c r="AA131" s="10"/>
      <c r="AB131" s="10"/>
      <c r="AC131" s="10"/>
      <c r="AF131" s="10"/>
      <c r="AG131" s="10"/>
      <c r="AH131" s="10"/>
      <c r="AI131" s="10"/>
    </row>
    <row r="132" spans="2:35" x14ac:dyDescent="0.2">
      <c r="B132" s="3"/>
      <c r="C132" s="3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18"/>
      <c r="Q132" s="18"/>
      <c r="Z132" s="10"/>
      <c r="AA132" s="10"/>
      <c r="AB132" s="10"/>
      <c r="AC132" s="10"/>
      <c r="AF132" s="10"/>
      <c r="AG132" s="10"/>
      <c r="AH132" s="10"/>
      <c r="AI132" s="10"/>
    </row>
    <row r="133" spans="2:35" x14ac:dyDescent="0.2">
      <c r="B133" s="3"/>
      <c r="C133" s="3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18"/>
      <c r="Q133" s="18"/>
      <c r="Z133" s="10"/>
      <c r="AA133" s="10"/>
      <c r="AB133" s="10"/>
      <c r="AC133" s="10"/>
      <c r="AF133" s="10"/>
      <c r="AG133" s="10"/>
      <c r="AH133" s="10"/>
      <c r="AI133" s="10"/>
    </row>
    <row r="134" spans="2:35" x14ac:dyDescent="0.2">
      <c r="B134" s="3"/>
      <c r="C134" s="3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18"/>
      <c r="Q134" s="18"/>
      <c r="Z134" s="10"/>
      <c r="AA134" s="10"/>
      <c r="AB134" s="10"/>
      <c r="AC134" s="10"/>
      <c r="AF134" s="10"/>
      <c r="AG134" s="10"/>
      <c r="AH134" s="10"/>
      <c r="AI134" s="10"/>
    </row>
    <row r="135" spans="2:35" x14ac:dyDescent="0.2">
      <c r="B135" s="3"/>
      <c r="C135" s="3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18"/>
      <c r="Q135" s="18"/>
      <c r="Z135" s="10"/>
      <c r="AA135" s="10"/>
      <c r="AB135" s="10"/>
      <c r="AC135" s="10"/>
      <c r="AF135" s="10"/>
      <c r="AG135" s="10"/>
      <c r="AH135" s="10"/>
      <c r="AI135" s="10"/>
    </row>
    <row r="136" spans="2:35" x14ac:dyDescent="0.2">
      <c r="B136" s="3"/>
      <c r="C136" s="3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18"/>
      <c r="Q136" s="18"/>
      <c r="Z136" s="10"/>
      <c r="AA136" s="10"/>
      <c r="AB136" s="10"/>
      <c r="AC136" s="10"/>
      <c r="AF136" s="10"/>
      <c r="AG136" s="10"/>
      <c r="AH136" s="10"/>
      <c r="AI136" s="10"/>
    </row>
    <row r="137" spans="2:35" x14ac:dyDescent="0.2">
      <c r="B137" s="3"/>
      <c r="C137" s="3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18"/>
      <c r="Q137" s="18"/>
      <c r="Z137" s="10"/>
      <c r="AA137" s="10"/>
      <c r="AB137" s="10"/>
      <c r="AC137" s="10"/>
      <c r="AF137" s="10"/>
      <c r="AG137" s="10"/>
      <c r="AH137" s="10"/>
      <c r="AI137" s="10"/>
    </row>
    <row r="138" spans="2:35" x14ac:dyDescent="0.2">
      <c r="B138" s="3"/>
      <c r="C138" s="3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18"/>
      <c r="Q138" s="18"/>
      <c r="Z138" s="10"/>
      <c r="AA138" s="10"/>
      <c r="AB138" s="10"/>
      <c r="AC138" s="10"/>
      <c r="AF138" s="10"/>
      <c r="AG138" s="10"/>
      <c r="AH138" s="10"/>
      <c r="AI138" s="10"/>
    </row>
    <row r="139" spans="2:35" x14ac:dyDescent="0.2">
      <c r="B139" s="3"/>
      <c r="C139" s="3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18"/>
      <c r="Q139" s="18"/>
      <c r="Z139" s="10"/>
      <c r="AA139" s="10"/>
      <c r="AB139" s="10"/>
      <c r="AC139" s="10"/>
      <c r="AF139" s="10"/>
      <c r="AG139" s="10"/>
      <c r="AH139" s="10"/>
      <c r="AI139" s="10"/>
    </row>
    <row r="140" spans="2:35" x14ac:dyDescent="0.2">
      <c r="B140" s="3"/>
      <c r="C140" s="3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18"/>
      <c r="Q140" s="18"/>
      <c r="Z140" s="10"/>
      <c r="AA140" s="10"/>
      <c r="AB140" s="10"/>
      <c r="AC140" s="10"/>
      <c r="AF140" s="10"/>
      <c r="AG140" s="10"/>
      <c r="AH140" s="10"/>
      <c r="AI140" s="10"/>
    </row>
    <row r="141" spans="2:35" x14ac:dyDescent="0.2">
      <c r="B141" s="3"/>
      <c r="C141" s="3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18"/>
      <c r="Q141" s="18"/>
      <c r="Z141" s="10"/>
      <c r="AA141" s="10"/>
      <c r="AB141" s="10"/>
      <c r="AC141" s="10"/>
      <c r="AF141" s="10"/>
      <c r="AG141" s="10"/>
      <c r="AH141" s="10"/>
      <c r="AI141" s="10"/>
    </row>
    <row r="142" spans="2:35" x14ac:dyDescent="0.2">
      <c r="B142" s="3"/>
      <c r="C142" s="3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18"/>
      <c r="Q142" s="18"/>
      <c r="Z142" s="10"/>
      <c r="AA142" s="10"/>
      <c r="AB142" s="10"/>
      <c r="AC142" s="10"/>
      <c r="AF142" s="10"/>
      <c r="AG142" s="10"/>
      <c r="AH142" s="10"/>
      <c r="AI142" s="10"/>
    </row>
    <row r="143" spans="2:35" x14ac:dyDescent="0.2">
      <c r="B143" s="3"/>
      <c r="C143" s="3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18"/>
      <c r="Q143" s="18"/>
      <c r="Z143" s="10"/>
      <c r="AA143" s="10"/>
      <c r="AB143" s="10"/>
      <c r="AC143" s="10"/>
      <c r="AF143" s="10"/>
      <c r="AG143" s="10"/>
      <c r="AH143" s="10"/>
      <c r="AI143" s="10"/>
    </row>
    <row r="144" spans="2:35" x14ac:dyDescent="0.2">
      <c r="B144" s="3"/>
      <c r="C144" s="3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18"/>
      <c r="Q144" s="18"/>
      <c r="Z144" s="10"/>
      <c r="AA144" s="10"/>
      <c r="AB144" s="10"/>
      <c r="AC144" s="10"/>
      <c r="AF144" s="10"/>
      <c r="AG144" s="10"/>
      <c r="AH144" s="10"/>
      <c r="AI144" s="10"/>
    </row>
    <row r="145" spans="2:35" x14ac:dyDescent="0.2">
      <c r="B145" s="3"/>
      <c r="C145" s="3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18"/>
      <c r="Q145" s="18"/>
      <c r="Z145" s="10"/>
      <c r="AA145" s="10"/>
      <c r="AB145" s="10"/>
      <c r="AC145" s="10"/>
      <c r="AF145" s="10"/>
      <c r="AG145" s="10"/>
      <c r="AH145" s="10"/>
      <c r="AI145" s="10"/>
    </row>
    <row r="146" spans="2:35" x14ac:dyDescent="0.2">
      <c r="B146" s="3"/>
      <c r="C146" s="3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18"/>
      <c r="Q146" s="18"/>
      <c r="Z146" s="10"/>
      <c r="AA146" s="10"/>
      <c r="AB146" s="10"/>
      <c r="AC146" s="10"/>
      <c r="AF146" s="10"/>
      <c r="AG146" s="10"/>
      <c r="AH146" s="10"/>
      <c r="AI146" s="10"/>
    </row>
    <row r="147" spans="2:35" x14ac:dyDescent="0.2">
      <c r="B147" s="3"/>
      <c r="C147" s="3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18"/>
      <c r="Q147" s="18"/>
      <c r="Z147" s="10"/>
      <c r="AA147" s="10"/>
      <c r="AB147" s="10"/>
      <c r="AC147" s="10"/>
      <c r="AF147" s="10"/>
      <c r="AG147" s="10"/>
      <c r="AH147" s="10"/>
      <c r="AI147" s="10"/>
    </row>
    <row r="148" spans="2:35" x14ac:dyDescent="0.2">
      <c r="B148" s="3"/>
      <c r="C148" s="3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18"/>
      <c r="Q148" s="18"/>
      <c r="Z148" s="10"/>
      <c r="AA148" s="10"/>
      <c r="AB148" s="10"/>
      <c r="AC148" s="10"/>
      <c r="AF148" s="10"/>
      <c r="AG148" s="10"/>
      <c r="AH148" s="10"/>
      <c r="AI148" s="10"/>
    </row>
    <row r="149" spans="2:35" x14ac:dyDescent="0.2">
      <c r="B149" s="3"/>
      <c r="C149" s="3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18"/>
      <c r="Q149" s="18"/>
      <c r="Z149" s="10"/>
      <c r="AA149" s="10"/>
      <c r="AB149" s="10"/>
      <c r="AC149" s="10"/>
      <c r="AF149" s="10"/>
      <c r="AG149" s="10"/>
      <c r="AH149" s="10"/>
      <c r="AI149" s="10"/>
    </row>
    <row r="150" spans="2:35" x14ac:dyDescent="0.2">
      <c r="B150" s="3"/>
      <c r="C150" s="3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18"/>
      <c r="Q150" s="18"/>
      <c r="Z150" s="10"/>
      <c r="AA150" s="10"/>
      <c r="AB150" s="10"/>
      <c r="AC150" s="10"/>
      <c r="AF150" s="10"/>
      <c r="AG150" s="10"/>
      <c r="AH150" s="10"/>
      <c r="AI150" s="10"/>
    </row>
    <row r="151" spans="2:35" x14ac:dyDescent="0.2">
      <c r="B151" s="3"/>
      <c r="C151" s="3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18"/>
      <c r="Q151" s="18"/>
      <c r="Z151" s="10"/>
      <c r="AA151" s="10"/>
      <c r="AB151" s="10"/>
      <c r="AC151" s="10"/>
      <c r="AF151" s="10"/>
      <c r="AG151" s="10"/>
      <c r="AH151" s="10"/>
      <c r="AI151" s="10"/>
    </row>
    <row r="152" spans="2:35" x14ac:dyDescent="0.2">
      <c r="B152" s="3"/>
      <c r="C152" s="3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18"/>
      <c r="Q152" s="18"/>
      <c r="Z152" s="10"/>
      <c r="AA152" s="10"/>
      <c r="AB152" s="10"/>
      <c r="AC152" s="10"/>
      <c r="AF152" s="10"/>
      <c r="AG152" s="10"/>
      <c r="AH152" s="10"/>
      <c r="AI152" s="10"/>
    </row>
    <row r="153" spans="2:35" x14ac:dyDescent="0.2">
      <c r="B153" s="3"/>
      <c r="C153" s="3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18"/>
      <c r="Q153" s="18"/>
      <c r="Z153" s="10"/>
      <c r="AA153" s="10"/>
      <c r="AB153" s="10"/>
      <c r="AC153" s="10"/>
      <c r="AF153" s="10"/>
      <c r="AG153" s="10"/>
      <c r="AH153" s="10"/>
      <c r="AI153" s="10"/>
    </row>
    <row r="154" spans="2:35" x14ac:dyDescent="0.2">
      <c r="B154" s="3"/>
      <c r="C154" s="3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18"/>
      <c r="Q154" s="18"/>
      <c r="Z154" s="10"/>
      <c r="AA154" s="10"/>
      <c r="AB154" s="10"/>
      <c r="AC154" s="10"/>
      <c r="AF154" s="10"/>
      <c r="AG154" s="10"/>
      <c r="AH154" s="10"/>
      <c r="AI154" s="10"/>
    </row>
    <row r="155" spans="2:35" x14ac:dyDescent="0.2">
      <c r="B155" s="3"/>
      <c r="C155" s="3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18"/>
      <c r="Q155" s="18"/>
      <c r="Z155" s="10"/>
      <c r="AA155" s="10"/>
      <c r="AB155" s="10"/>
      <c r="AC155" s="10"/>
      <c r="AF155" s="10"/>
      <c r="AG155" s="10"/>
      <c r="AH155" s="10"/>
      <c r="AI155" s="10"/>
    </row>
    <row r="156" spans="2:35" x14ac:dyDescent="0.2">
      <c r="B156" s="3"/>
      <c r="C156" s="3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18"/>
      <c r="Q156" s="18"/>
      <c r="Z156" s="10"/>
      <c r="AA156" s="10"/>
      <c r="AB156" s="10"/>
      <c r="AC156" s="10"/>
      <c r="AF156" s="10"/>
      <c r="AG156" s="10"/>
      <c r="AH156" s="10"/>
      <c r="AI156" s="10"/>
    </row>
    <row r="157" spans="2:35" x14ac:dyDescent="0.2">
      <c r="B157" s="3"/>
      <c r="C157" s="3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18"/>
      <c r="Q157" s="18"/>
      <c r="Z157" s="10"/>
      <c r="AA157" s="10"/>
      <c r="AB157" s="10"/>
      <c r="AC157" s="10"/>
      <c r="AF157" s="10"/>
      <c r="AG157" s="10"/>
      <c r="AH157" s="10"/>
      <c r="AI157" s="10"/>
    </row>
    <row r="158" spans="2:35" x14ac:dyDescent="0.2">
      <c r="B158" s="3"/>
      <c r="C158" s="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18"/>
      <c r="Q158" s="18"/>
      <c r="V158" s="45"/>
      <c r="W158" s="45"/>
      <c r="X158" s="45"/>
      <c r="Y158" s="45"/>
      <c r="Z158" s="45"/>
      <c r="AA158" s="45"/>
      <c r="AC158" s="86"/>
      <c r="AF158" s="86"/>
      <c r="AH158" s="10"/>
      <c r="AI158" s="10"/>
    </row>
    <row r="159" spans="2:35" x14ac:dyDescent="0.2">
      <c r="B159" s="3"/>
      <c r="C159" s="3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18"/>
      <c r="Q159" s="18"/>
      <c r="V159" s="45"/>
      <c r="W159" s="45"/>
      <c r="X159" s="45"/>
      <c r="Y159" s="45"/>
      <c r="AA159" s="45"/>
      <c r="AC159" s="45"/>
      <c r="AG159" s="86"/>
      <c r="AH159" s="86"/>
    </row>
    <row r="160" spans="2:35" x14ac:dyDescent="0.2">
      <c r="B160" s="3"/>
      <c r="C160" s="3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18"/>
      <c r="Q160" s="18"/>
      <c r="V160" s="45"/>
      <c r="W160" s="45"/>
      <c r="X160" s="45"/>
      <c r="Y160" s="45"/>
      <c r="AA160" s="45"/>
      <c r="AC160" s="45"/>
      <c r="AG160" s="86"/>
      <c r="AH160" s="86"/>
    </row>
    <row r="161" spans="2:34" x14ac:dyDescent="0.2">
      <c r="B161" s="3"/>
      <c r="C161" s="3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8"/>
      <c r="Q161" s="18"/>
      <c r="V161" s="45"/>
      <c r="W161" s="45"/>
      <c r="X161" s="45"/>
      <c r="Y161" s="45"/>
      <c r="AA161" s="45"/>
      <c r="AC161" s="45"/>
      <c r="AG161" s="86"/>
      <c r="AH161" s="86"/>
    </row>
    <row r="162" spans="2:34" x14ac:dyDescent="0.2">
      <c r="B162" s="3"/>
      <c r="C162" s="3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8"/>
      <c r="Q162" s="18"/>
      <c r="V162" s="45"/>
      <c r="W162" s="45"/>
      <c r="X162" s="45"/>
      <c r="Y162" s="45"/>
      <c r="AA162" s="45"/>
      <c r="AC162" s="45"/>
      <c r="AG162" s="86"/>
      <c r="AH162" s="86"/>
    </row>
    <row r="163" spans="2:34" x14ac:dyDescent="0.2">
      <c r="B163" s="3"/>
      <c r="C163" s="3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8"/>
      <c r="Q163" s="18"/>
      <c r="V163" s="45"/>
      <c r="W163" s="45"/>
      <c r="X163" s="45"/>
      <c r="Y163" s="45"/>
      <c r="AA163" s="45"/>
      <c r="AC163" s="45"/>
      <c r="AG163" s="86"/>
      <c r="AH163" s="86"/>
    </row>
    <row r="164" spans="2:34" x14ac:dyDescent="0.2">
      <c r="B164" s="3"/>
      <c r="C164" s="3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8"/>
      <c r="Q164" s="18"/>
      <c r="V164" s="45"/>
      <c r="W164" s="45"/>
      <c r="X164" s="45"/>
      <c r="Y164" s="45"/>
      <c r="AA164" s="45"/>
      <c r="AC164" s="45"/>
      <c r="AG164" s="86"/>
      <c r="AH164" s="86"/>
    </row>
    <row r="165" spans="2:34" x14ac:dyDescent="0.2">
      <c r="B165" s="3"/>
      <c r="C165" s="3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8"/>
      <c r="Q165" s="18"/>
      <c r="V165" s="45"/>
      <c r="W165" s="45"/>
      <c r="X165" s="45"/>
      <c r="Y165" s="45"/>
      <c r="AA165" s="45"/>
      <c r="AC165" s="45"/>
      <c r="AG165" s="86"/>
      <c r="AH165" s="86"/>
    </row>
    <row r="166" spans="2:34" x14ac:dyDescent="0.2">
      <c r="B166" s="3"/>
      <c r="C166" s="3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18"/>
      <c r="Q166" s="18"/>
      <c r="V166" s="45"/>
      <c r="W166" s="45"/>
      <c r="X166" s="45"/>
      <c r="Y166" s="45"/>
      <c r="AA166" s="45"/>
      <c r="AC166" s="45"/>
      <c r="AG166" s="86"/>
      <c r="AH166" s="86"/>
    </row>
    <row r="167" spans="2:34" x14ac:dyDescent="0.2">
      <c r="B167" s="3"/>
      <c r="C167" s="3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18"/>
      <c r="Q167" s="18"/>
      <c r="V167" s="45"/>
      <c r="W167" s="45"/>
      <c r="X167" s="45"/>
      <c r="Y167" s="45"/>
      <c r="AA167" s="45"/>
      <c r="AC167" s="45"/>
      <c r="AG167" s="86"/>
      <c r="AH167" s="86"/>
    </row>
    <row r="168" spans="2:34" x14ac:dyDescent="0.2">
      <c r="B168" s="3"/>
      <c r="C168" s="3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18"/>
      <c r="Q168" s="18"/>
      <c r="V168" s="45"/>
      <c r="W168" s="45"/>
      <c r="X168" s="45"/>
      <c r="Y168" s="45"/>
      <c r="AA168" s="45"/>
      <c r="AC168" s="45"/>
      <c r="AG168" s="86"/>
      <c r="AH168" s="86"/>
    </row>
    <row r="169" spans="2:34" x14ac:dyDescent="0.2">
      <c r="B169" s="3"/>
      <c r="C169" s="3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18"/>
      <c r="Q169" s="18"/>
      <c r="V169" s="45"/>
      <c r="W169" s="45"/>
      <c r="X169" s="45"/>
      <c r="Y169" s="45"/>
      <c r="AA169" s="45"/>
      <c r="AC169" s="45"/>
      <c r="AG169" s="86"/>
      <c r="AH169" s="86"/>
    </row>
    <row r="170" spans="2:34" x14ac:dyDescent="0.2">
      <c r="B170" s="3"/>
      <c r="C170" s="3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18"/>
      <c r="Q170" s="18"/>
      <c r="V170" s="45"/>
      <c r="W170" s="45"/>
      <c r="X170" s="45"/>
      <c r="Y170" s="45"/>
      <c r="AA170" s="45"/>
      <c r="AC170" s="45"/>
      <c r="AG170" s="86"/>
      <c r="AH170" s="86"/>
    </row>
    <row r="171" spans="2:34" x14ac:dyDescent="0.2">
      <c r="B171" s="3"/>
      <c r="C171" s="3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18"/>
      <c r="Q171" s="18"/>
      <c r="V171" s="45"/>
      <c r="W171" s="45"/>
      <c r="X171" s="45"/>
      <c r="Y171" s="45"/>
      <c r="AA171" s="45"/>
      <c r="AC171" s="45"/>
      <c r="AG171" s="86"/>
      <c r="AH171" s="86"/>
    </row>
    <row r="172" spans="2:34" x14ac:dyDescent="0.2">
      <c r="B172" s="3"/>
      <c r="C172" s="3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18"/>
      <c r="Q172" s="18"/>
      <c r="V172" s="45"/>
      <c r="W172" s="45"/>
      <c r="X172" s="45"/>
      <c r="Y172" s="45"/>
      <c r="AA172" s="45"/>
      <c r="AC172" s="45"/>
      <c r="AG172" s="86"/>
      <c r="AH172" s="86"/>
    </row>
    <row r="173" spans="2:34" x14ac:dyDescent="0.2">
      <c r="B173" s="3"/>
      <c r="C173" s="3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18"/>
      <c r="Q173" s="18"/>
      <c r="V173" s="45"/>
      <c r="W173" s="45"/>
      <c r="X173" s="45"/>
      <c r="Y173" s="45"/>
      <c r="AA173" s="45"/>
      <c r="AC173" s="45"/>
      <c r="AG173" s="86"/>
      <c r="AH173" s="86"/>
    </row>
    <row r="174" spans="2:34" x14ac:dyDescent="0.2">
      <c r="B174" s="3"/>
      <c r="C174" s="3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18"/>
      <c r="Q174" s="18"/>
      <c r="V174" s="45"/>
      <c r="W174" s="45"/>
      <c r="X174" s="45"/>
      <c r="Y174" s="45"/>
      <c r="AA174" s="45"/>
      <c r="AC174" s="45"/>
      <c r="AG174" s="86"/>
      <c r="AH174" s="86"/>
    </row>
    <row r="175" spans="2:34" x14ac:dyDescent="0.2">
      <c r="B175" s="3"/>
      <c r="C175" s="3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18"/>
      <c r="Q175" s="18"/>
      <c r="V175" s="45"/>
      <c r="W175" s="45"/>
      <c r="X175" s="45"/>
      <c r="Y175" s="45"/>
      <c r="AA175" s="45"/>
      <c r="AC175" s="45"/>
      <c r="AG175" s="86"/>
      <c r="AH175" s="86"/>
    </row>
    <row r="176" spans="2:34" x14ac:dyDescent="0.2">
      <c r="B176" s="3"/>
      <c r="C176" s="3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18"/>
      <c r="Q176" s="18"/>
      <c r="V176" s="45"/>
      <c r="W176" s="45"/>
      <c r="X176" s="45"/>
      <c r="Y176" s="45"/>
      <c r="AA176" s="45"/>
      <c r="AC176" s="45"/>
      <c r="AG176" s="86"/>
      <c r="AH176" s="86"/>
    </row>
    <row r="177" spans="2:34" x14ac:dyDescent="0.2">
      <c r="B177" s="3"/>
      <c r="C177" s="3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18"/>
      <c r="Q177" s="18"/>
      <c r="V177" s="45"/>
      <c r="W177" s="45"/>
      <c r="X177" s="45"/>
      <c r="Y177" s="45"/>
      <c r="AA177" s="45"/>
      <c r="AC177" s="45"/>
      <c r="AG177" s="86"/>
      <c r="AH177" s="86"/>
    </row>
    <row r="178" spans="2:34" x14ac:dyDescent="0.2">
      <c r="B178" s="3"/>
      <c r="C178" s="3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18"/>
      <c r="Q178" s="18"/>
      <c r="V178" s="45"/>
      <c r="W178" s="45"/>
      <c r="X178" s="45"/>
      <c r="Y178" s="45"/>
      <c r="AA178" s="45"/>
      <c r="AC178" s="45"/>
      <c r="AG178" s="86"/>
      <c r="AH178" s="86"/>
    </row>
    <row r="179" spans="2:34" x14ac:dyDescent="0.2">
      <c r="B179" s="3"/>
      <c r="C179" s="3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18"/>
      <c r="Q179" s="18"/>
      <c r="V179" s="45"/>
      <c r="W179" s="45"/>
      <c r="X179" s="45"/>
      <c r="Y179" s="45"/>
      <c r="AA179" s="45"/>
      <c r="AC179" s="45"/>
      <c r="AG179" s="86"/>
      <c r="AH179" s="86"/>
    </row>
    <row r="180" spans="2:34" x14ac:dyDescent="0.2">
      <c r="B180" s="3"/>
      <c r="C180" s="3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8"/>
      <c r="Q180" s="18"/>
      <c r="AA180" s="45"/>
      <c r="AC180" s="45"/>
      <c r="AG180" s="86"/>
      <c r="AH180" s="86"/>
    </row>
    <row r="181" spans="2:34" x14ac:dyDescent="0.2">
      <c r="B181" s="3"/>
      <c r="C181" s="3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8"/>
      <c r="Q181" s="18"/>
      <c r="AA181" s="45"/>
      <c r="AC181" s="45"/>
      <c r="AG181" s="86"/>
      <c r="AH181" s="86"/>
    </row>
    <row r="182" spans="2:34" x14ac:dyDescent="0.2">
      <c r="B182" s="3"/>
      <c r="C182" s="3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18"/>
      <c r="Q182" s="18"/>
      <c r="AA182" s="45"/>
      <c r="AC182" s="45"/>
      <c r="AG182" s="86"/>
      <c r="AH182" s="86"/>
    </row>
    <row r="183" spans="2:34" x14ac:dyDescent="0.2">
      <c r="B183" s="3"/>
      <c r="C183" s="3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18"/>
      <c r="Q183" s="18"/>
      <c r="AA183" s="45"/>
      <c r="AC183" s="45"/>
    </row>
    <row r="184" spans="2:34" x14ac:dyDescent="0.2">
      <c r="B184" s="3"/>
      <c r="C184" s="3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18"/>
      <c r="Q184" s="18"/>
      <c r="AA184" s="45"/>
      <c r="AC184" s="45"/>
    </row>
    <row r="185" spans="2:34" x14ac:dyDescent="0.2">
      <c r="B185" s="3"/>
      <c r="C185" s="3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18"/>
      <c r="Q185" s="18"/>
      <c r="AA185" s="45"/>
      <c r="AC185" s="45"/>
    </row>
    <row r="186" spans="2:34" x14ac:dyDescent="0.2">
      <c r="B186" s="3"/>
      <c r="C186" s="3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18"/>
      <c r="Q186" s="18"/>
    </row>
    <row r="187" spans="2:34" x14ac:dyDescent="0.2">
      <c r="B187" s="3"/>
      <c r="C187" s="3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18"/>
      <c r="Q187" s="18"/>
    </row>
    <row r="188" spans="2:34" x14ac:dyDescent="0.2">
      <c r="B188" s="3"/>
      <c r="C188" s="3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18"/>
      <c r="Q188" s="18"/>
    </row>
    <row r="189" spans="2:34" x14ac:dyDescent="0.2">
      <c r="B189" s="3"/>
      <c r="C189" s="3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18"/>
      <c r="Q189" s="18"/>
    </row>
    <row r="190" spans="2:34" x14ac:dyDescent="0.2">
      <c r="B190" s="3"/>
      <c r="C190" s="3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18"/>
      <c r="Q190" s="18"/>
    </row>
    <row r="191" spans="2:34" x14ac:dyDescent="0.2">
      <c r="B191" s="3"/>
      <c r="C191" s="3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18"/>
      <c r="Q191" s="18"/>
    </row>
    <row r="192" spans="2:34" x14ac:dyDescent="0.2">
      <c r="B192" s="3"/>
      <c r="C192" s="3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18"/>
      <c r="Q192" s="18"/>
    </row>
    <row r="193" spans="2:17" x14ac:dyDescent="0.2">
      <c r="B193" s="3"/>
      <c r="C193" s="3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18"/>
      <c r="Q193" s="18"/>
    </row>
    <row r="194" spans="2:17" x14ac:dyDescent="0.2">
      <c r="B194" s="3"/>
      <c r="C194" s="3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18"/>
      <c r="Q194" s="18"/>
    </row>
    <row r="195" spans="2:17" x14ac:dyDescent="0.2">
      <c r="B195" s="3"/>
      <c r="C195" s="3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18"/>
      <c r="Q195" s="18"/>
    </row>
    <row r="196" spans="2:17" x14ac:dyDescent="0.2">
      <c r="B196" s="3"/>
      <c r="C196" s="3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18"/>
      <c r="Q196" s="18"/>
    </row>
    <row r="197" spans="2:17" x14ac:dyDescent="0.2">
      <c r="B197" s="3"/>
      <c r="C197" s="3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18"/>
      <c r="Q197" s="18"/>
    </row>
    <row r="198" spans="2:17" x14ac:dyDescent="0.2">
      <c r="B198" s="3"/>
      <c r="C198" s="3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18"/>
      <c r="Q198" s="18"/>
    </row>
    <row r="199" spans="2:17" x14ac:dyDescent="0.2">
      <c r="B199" s="3"/>
      <c r="C199" s="3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18"/>
      <c r="Q199" s="18"/>
    </row>
    <row r="200" spans="2:17" x14ac:dyDescent="0.2">
      <c r="B200" s="3"/>
      <c r="C200" s="3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18"/>
      <c r="Q200" s="18"/>
    </row>
    <row r="201" spans="2:17" x14ac:dyDescent="0.2">
      <c r="B201" s="3"/>
      <c r="C201" s="3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18"/>
      <c r="Q201" s="18"/>
    </row>
    <row r="202" spans="2:17" x14ac:dyDescent="0.2">
      <c r="B202" s="3"/>
      <c r="C202" s="3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18"/>
      <c r="Q202" s="18"/>
    </row>
    <row r="203" spans="2:17" x14ac:dyDescent="0.2">
      <c r="B203" s="3"/>
      <c r="C203" s="3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18"/>
      <c r="Q203" s="18"/>
    </row>
    <row r="204" spans="2:17" x14ac:dyDescent="0.2">
      <c r="B204" s="3"/>
      <c r="C204" s="3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18"/>
      <c r="Q204" s="18"/>
    </row>
    <row r="205" spans="2:17" x14ac:dyDescent="0.2">
      <c r="B205" s="3"/>
      <c r="C205" s="3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18"/>
      <c r="Q205" s="18"/>
    </row>
    <row r="206" spans="2:17" x14ac:dyDescent="0.2">
      <c r="B206" s="3"/>
      <c r="C206" s="3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18"/>
      <c r="Q206" s="18"/>
    </row>
    <row r="207" spans="2:17" x14ac:dyDescent="0.2">
      <c r="B207" s="3"/>
      <c r="C207" s="3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18"/>
      <c r="Q207" s="18"/>
    </row>
    <row r="208" spans="2:17" x14ac:dyDescent="0.2">
      <c r="B208" s="3"/>
      <c r="C208" s="3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18"/>
      <c r="Q208" s="18"/>
    </row>
    <row r="209" spans="2:17" x14ac:dyDescent="0.2">
      <c r="B209" s="3"/>
      <c r="C209" s="3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18"/>
      <c r="Q209" s="18"/>
    </row>
    <row r="210" spans="2:17" x14ac:dyDescent="0.2">
      <c r="B210" s="3"/>
      <c r="C210" s="3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18"/>
      <c r="Q210" s="18"/>
    </row>
    <row r="211" spans="2:17" x14ac:dyDescent="0.2">
      <c r="B211" s="3"/>
      <c r="C211" s="3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18"/>
      <c r="Q211" s="18"/>
    </row>
    <row r="212" spans="2:17" x14ac:dyDescent="0.2">
      <c r="B212" s="3"/>
      <c r="C212" s="3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18"/>
      <c r="Q212" s="18"/>
    </row>
    <row r="213" spans="2:17" x14ac:dyDescent="0.2">
      <c r="B213" s="3"/>
      <c r="C213" s="3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18"/>
      <c r="Q213" s="18"/>
    </row>
    <row r="214" spans="2:17" x14ac:dyDescent="0.2">
      <c r="B214" s="3"/>
      <c r="C214" s="3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18"/>
      <c r="Q214" s="18"/>
    </row>
    <row r="215" spans="2:17" x14ac:dyDescent="0.2">
      <c r="B215" s="3"/>
      <c r="C215" s="3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18"/>
      <c r="Q215" s="18"/>
    </row>
    <row r="216" spans="2:17" x14ac:dyDescent="0.2">
      <c r="B216" s="3"/>
      <c r="C216" s="3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18"/>
      <c r="Q216" s="18"/>
    </row>
    <row r="217" spans="2:17" x14ac:dyDescent="0.2">
      <c r="B217" s="3"/>
      <c r="C217" s="3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18"/>
      <c r="Q217" s="18"/>
    </row>
    <row r="218" spans="2:17" x14ac:dyDescent="0.2">
      <c r="B218" s="3"/>
      <c r="C218" s="3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18"/>
      <c r="Q218" s="18"/>
    </row>
    <row r="219" spans="2:17" x14ac:dyDescent="0.2">
      <c r="B219" s="3"/>
      <c r="C219" s="3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18"/>
      <c r="Q219" s="18"/>
    </row>
    <row r="220" spans="2:17" x14ac:dyDescent="0.2">
      <c r="B220" s="3"/>
      <c r="C220" s="3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18"/>
      <c r="Q220" s="18"/>
    </row>
    <row r="221" spans="2:17" x14ac:dyDescent="0.2">
      <c r="B221" s="3"/>
      <c r="C221" s="3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18"/>
      <c r="Q221" s="18"/>
    </row>
    <row r="222" spans="2:17" x14ac:dyDescent="0.2">
      <c r="B222" s="3"/>
      <c r="C222" s="3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18"/>
      <c r="Q222" s="18"/>
    </row>
    <row r="223" spans="2:17" x14ac:dyDescent="0.2">
      <c r="B223" s="3"/>
      <c r="C223" s="3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18"/>
      <c r="Q223" s="18"/>
    </row>
    <row r="224" spans="2:17" x14ac:dyDescent="0.2">
      <c r="B224" s="3"/>
      <c r="C224" s="3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18"/>
      <c r="Q224" s="18"/>
    </row>
    <row r="225" spans="2:17" x14ac:dyDescent="0.2">
      <c r="B225" s="3"/>
      <c r="C225" s="3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18"/>
      <c r="Q225" s="18"/>
    </row>
    <row r="226" spans="2:17" x14ac:dyDescent="0.2">
      <c r="B226" s="3"/>
      <c r="C226" s="3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18"/>
      <c r="Q226" s="18"/>
    </row>
    <row r="227" spans="2:17" x14ac:dyDescent="0.2">
      <c r="B227" s="3"/>
      <c r="C227" s="3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18"/>
      <c r="Q227" s="18"/>
    </row>
    <row r="228" spans="2:17" x14ac:dyDescent="0.2">
      <c r="B228" s="3"/>
      <c r="C228" s="3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18"/>
      <c r="Q228" s="18"/>
    </row>
    <row r="229" spans="2:17" x14ac:dyDescent="0.2">
      <c r="B229" s="3"/>
      <c r="C229" s="3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18"/>
      <c r="Q229" s="18"/>
    </row>
    <row r="230" spans="2:17" x14ac:dyDescent="0.2">
      <c r="B230" s="3"/>
      <c r="C230" s="3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18"/>
      <c r="Q230" s="18"/>
    </row>
    <row r="231" spans="2:17" x14ac:dyDescent="0.2">
      <c r="B231" s="3"/>
      <c r="C231" s="3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18"/>
      <c r="Q231" s="18"/>
    </row>
    <row r="232" spans="2:17" x14ac:dyDescent="0.2">
      <c r="B232" s="3"/>
      <c r="C232" s="3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18"/>
      <c r="Q232" s="18"/>
    </row>
    <row r="233" spans="2:17" x14ac:dyDescent="0.2">
      <c r="B233" s="3"/>
      <c r="C233" s="3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18"/>
      <c r="Q233" s="18"/>
    </row>
    <row r="234" spans="2:17" x14ac:dyDescent="0.2">
      <c r="B234" s="3"/>
      <c r="C234" s="3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18"/>
      <c r="Q234" s="18"/>
    </row>
    <row r="235" spans="2:17" x14ac:dyDescent="0.2">
      <c r="B235" s="3"/>
      <c r="C235" s="3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18"/>
      <c r="Q235" s="18"/>
    </row>
    <row r="236" spans="2:17" x14ac:dyDescent="0.2">
      <c r="B236" s="3"/>
      <c r="C236" s="3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18"/>
      <c r="Q236" s="18"/>
    </row>
    <row r="237" spans="2:17" x14ac:dyDescent="0.2">
      <c r="B237" s="3"/>
      <c r="C237" s="3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18"/>
      <c r="Q237" s="18"/>
    </row>
    <row r="238" spans="2:17" x14ac:dyDescent="0.2">
      <c r="B238" s="3"/>
      <c r="C238" s="3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18"/>
      <c r="Q238" s="18"/>
    </row>
    <row r="239" spans="2:17" x14ac:dyDescent="0.2">
      <c r="B239" s="3"/>
      <c r="C239" s="3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18"/>
      <c r="Q239" s="18"/>
    </row>
    <row r="240" spans="2:17" x14ac:dyDescent="0.2">
      <c r="B240" s="3"/>
      <c r="C240" s="3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18"/>
      <c r="Q240" s="18"/>
    </row>
    <row r="241" spans="2:17" x14ac:dyDescent="0.2">
      <c r="B241" s="3"/>
      <c r="C241" s="3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18"/>
      <c r="Q241" s="18"/>
    </row>
    <row r="242" spans="2:17" x14ac:dyDescent="0.2">
      <c r="B242" s="3"/>
      <c r="C242" s="3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18"/>
      <c r="Q242" s="18"/>
    </row>
    <row r="243" spans="2:17" x14ac:dyDescent="0.2">
      <c r="B243" s="3"/>
      <c r="C243" s="3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18"/>
      <c r="Q243" s="18"/>
    </row>
    <row r="244" spans="2:17" x14ac:dyDescent="0.2">
      <c r="B244" s="3"/>
      <c r="C244" s="3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18"/>
      <c r="Q244" s="18"/>
    </row>
    <row r="245" spans="2:17" x14ac:dyDescent="0.2">
      <c r="B245" s="3"/>
      <c r="C245" s="3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18"/>
      <c r="Q245" s="18"/>
    </row>
    <row r="246" spans="2:17" x14ac:dyDescent="0.2">
      <c r="B246" s="3"/>
      <c r="C246" s="3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18"/>
      <c r="Q246" s="18"/>
    </row>
    <row r="247" spans="2:17" x14ac:dyDescent="0.2">
      <c r="B247" s="3"/>
      <c r="C247" s="3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18"/>
      <c r="Q247" s="18"/>
    </row>
    <row r="248" spans="2:17" x14ac:dyDescent="0.2">
      <c r="B248" s="3"/>
      <c r="C248" s="3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18"/>
      <c r="Q248" s="18"/>
    </row>
    <row r="249" spans="2:17" x14ac:dyDescent="0.2">
      <c r="B249" s="3"/>
      <c r="C249" s="3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2:17" x14ac:dyDescent="0.2">
      <c r="B250" s="3"/>
      <c r="C250" s="3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</row>
    <row r="251" spans="2:17" x14ac:dyDescent="0.2">
      <c r="B251" s="3"/>
      <c r="C251" s="3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</row>
    <row r="252" spans="2:17" x14ac:dyDescent="0.2">
      <c r="B252" s="3"/>
      <c r="C252" s="3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</row>
    <row r="253" spans="2:17" x14ac:dyDescent="0.2">
      <c r="B253" s="3"/>
      <c r="C253" s="3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2:17" x14ac:dyDescent="0.2">
      <c r="B254" s="3"/>
      <c r="C254" s="3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2:17" x14ac:dyDescent="0.2">
      <c r="B255" s="3"/>
      <c r="C255" s="3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</row>
    <row r="256" spans="2:17" x14ac:dyDescent="0.2">
      <c r="B256" s="3"/>
      <c r="C256" s="3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</row>
    <row r="257" spans="2:31" x14ac:dyDescent="0.2">
      <c r="B257" s="3"/>
      <c r="C257" s="3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</row>
    <row r="258" spans="2:31" x14ac:dyDescent="0.2">
      <c r="B258" s="3"/>
      <c r="C258" s="3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2:31" x14ac:dyDescent="0.2">
      <c r="B259" s="3"/>
      <c r="C259" s="3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AD259" s="247"/>
      <c r="AE259" s="247"/>
    </row>
    <row r="260" spans="2:31" x14ac:dyDescent="0.2">
      <c r="B260" s="3"/>
      <c r="C260" s="3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AD260" s="247"/>
      <c r="AE260" s="247"/>
    </row>
    <row r="261" spans="2:31" x14ac:dyDescent="0.2">
      <c r="B261" s="3"/>
      <c r="C261" s="3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AD261" s="247"/>
      <c r="AE261" s="247"/>
    </row>
    <row r="262" spans="2:31" x14ac:dyDescent="0.2">
      <c r="B262" s="3"/>
      <c r="C262" s="3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AD262" s="247"/>
      <c r="AE262" s="247"/>
    </row>
    <row r="263" spans="2:31" x14ac:dyDescent="0.2">
      <c r="B263" s="3"/>
      <c r="C263" s="3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AD263" s="247"/>
      <c r="AE263" s="247"/>
    </row>
    <row r="264" spans="2:31" x14ac:dyDescent="0.2">
      <c r="B264" s="3"/>
      <c r="C264" s="3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AD264" s="247"/>
      <c r="AE264" s="247"/>
    </row>
    <row r="265" spans="2:31" x14ac:dyDescent="0.2">
      <c r="B265" s="3"/>
      <c r="C265" s="3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AD265" s="247"/>
      <c r="AE265" s="247"/>
    </row>
    <row r="266" spans="2:31" x14ac:dyDescent="0.2">
      <c r="B266" s="3"/>
      <c r="C266" s="3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AD266" s="247"/>
      <c r="AE266" s="247"/>
    </row>
    <row r="267" spans="2:31" x14ac:dyDescent="0.2">
      <c r="B267" s="3"/>
      <c r="C267" s="3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AD267" s="247"/>
      <c r="AE267" s="247"/>
    </row>
    <row r="268" spans="2:31" x14ac:dyDescent="0.2">
      <c r="B268" s="3"/>
      <c r="C268" s="3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AD268" s="247"/>
      <c r="AE268" s="247"/>
    </row>
    <row r="269" spans="2:31" x14ac:dyDescent="0.2">
      <c r="B269" s="3"/>
      <c r="C269" s="3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AD269" s="247"/>
      <c r="AE269" s="247"/>
    </row>
    <row r="270" spans="2:31" x14ac:dyDescent="0.2">
      <c r="B270" s="3"/>
      <c r="C270" s="3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AD270" s="247"/>
      <c r="AE270" s="247"/>
    </row>
    <row r="271" spans="2:31" x14ac:dyDescent="0.2">
      <c r="B271" s="3"/>
      <c r="C271" s="3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AD271" s="247"/>
      <c r="AE271" s="247"/>
    </row>
    <row r="272" spans="2:31" x14ac:dyDescent="0.2">
      <c r="B272" s="3"/>
      <c r="C272" s="3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AD272" s="247"/>
      <c r="AE272" s="247"/>
    </row>
    <row r="273" spans="2:31" x14ac:dyDescent="0.2">
      <c r="B273" s="3"/>
      <c r="C273" s="3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AD273" s="247"/>
      <c r="AE273" s="247"/>
    </row>
    <row r="274" spans="2:31" x14ac:dyDescent="0.2">
      <c r="B274" s="3"/>
      <c r="C274" s="3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AD274" s="247"/>
      <c r="AE274" s="247"/>
    </row>
    <row r="275" spans="2:31" x14ac:dyDescent="0.2">
      <c r="B275" s="3"/>
      <c r="C275" s="3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AD275" s="247"/>
      <c r="AE275" s="247"/>
    </row>
    <row r="276" spans="2:31" x14ac:dyDescent="0.2">
      <c r="B276" s="3"/>
      <c r="C276" s="3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AD276" s="247"/>
      <c r="AE276" s="247"/>
    </row>
    <row r="277" spans="2:31" x14ac:dyDescent="0.2">
      <c r="B277" s="3"/>
      <c r="C277" s="3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AD277" s="247"/>
      <c r="AE277" s="247"/>
    </row>
    <row r="278" spans="2:31" x14ac:dyDescent="0.2">
      <c r="B278" s="3"/>
      <c r="C278" s="3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AD278" s="247"/>
      <c r="AE278" s="247"/>
    </row>
    <row r="279" spans="2:31" x14ac:dyDescent="0.2">
      <c r="B279" s="3"/>
      <c r="C279" s="3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AD279" s="247"/>
      <c r="AE279" s="247"/>
    </row>
    <row r="280" spans="2:31" x14ac:dyDescent="0.2">
      <c r="B280" s="3"/>
      <c r="C280" s="3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AD280" s="247"/>
      <c r="AE280" s="247"/>
    </row>
    <row r="281" spans="2:31" x14ac:dyDescent="0.2">
      <c r="B281" s="3"/>
      <c r="C281" s="3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AD281" s="247"/>
      <c r="AE281" s="247"/>
    </row>
    <row r="282" spans="2:31" x14ac:dyDescent="0.2">
      <c r="B282" s="3"/>
      <c r="C282" s="3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AD282" s="247"/>
      <c r="AE282" s="247"/>
    </row>
    <row r="283" spans="2:31" x14ac:dyDescent="0.2">
      <c r="B283" s="3"/>
      <c r="C283" s="3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AD283" s="247"/>
      <c r="AE283" s="247"/>
    </row>
    <row r="284" spans="2:31" x14ac:dyDescent="0.2">
      <c r="B284" s="3"/>
      <c r="C284" s="3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AD284" s="247"/>
      <c r="AE284" s="247"/>
    </row>
    <row r="285" spans="2:31" x14ac:dyDescent="0.2">
      <c r="B285" s="3"/>
      <c r="C285" s="3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AD285" s="247"/>
      <c r="AE285" s="247"/>
    </row>
    <row r="286" spans="2:31" x14ac:dyDescent="0.2">
      <c r="B286" s="3"/>
      <c r="C286" s="3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AD286" s="247"/>
      <c r="AE286" s="247"/>
    </row>
    <row r="287" spans="2:31" x14ac:dyDescent="0.2">
      <c r="B287" s="3"/>
      <c r="C287" s="3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AD287" s="247"/>
      <c r="AE287" s="247"/>
    </row>
    <row r="288" spans="2:31" x14ac:dyDescent="0.2">
      <c r="B288" s="3"/>
      <c r="C288" s="3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AD288" s="247"/>
      <c r="AE288" s="247"/>
    </row>
    <row r="289" spans="2:31" x14ac:dyDescent="0.2">
      <c r="B289" s="3"/>
      <c r="C289" s="3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AD289" s="247"/>
      <c r="AE289" s="247"/>
    </row>
    <row r="290" spans="2:31" x14ac:dyDescent="0.2">
      <c r="B290" s="3"/>
      <c r="C290" s="3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AD290" s="247"/>
      <c r="AE290" s="247"/>
    </row>
    <row r="291" spans="2:31" x14ac:dyDescent="0.2">
      <c r="B291" s="3"/>
      <c r="C291" s="3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AD291" s="247"/>
      <c r="AE291" s="247"/>
    </row>
    <row r="292" spans="2:31" x14ac:dyDescent="0.2">
      <c r="B292" s="3"/>
      <c r="C292" s="3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AD292" s="247"/>
      <c r="AE292" s="247"/>
    </row>
    <row r="293" spans="2:31" x14ac:dyDescent="0.2">
      <c r="B293" s="3"/>
      <c r="C293" s="3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AD293" s="247"/>
      <c r="AE293" s="247"/>
    </row>
    <row r="294" spans="2:31" x14ac:dyDescent="0.2">
      <c r="B294" s="3"/>
      <c r="C294" s="3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AD294" s="247"/>
      <c r="AE294" s="247"/>
    </row>
    <row r="295" spans="2:31" x14ac:dyDescent="0.2">
      <c r="B295" s="3"/>
      <c r="C295" s="3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AD295" s="247"/>
      <c r="AE295" s="247"/>
    </row>
    <row r="296" spans="2:31" x14ac:dyDescent="0.2">
      <c r="B296" s="3"/>
      <c r="C296" s="3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AD296" s="247"/>
      <c r="AE296" s="247"/>
    </row>
    <row r="297" spans="2:31" x14ac:dyDescent="0.2">
      <c r="B297" s="3"/>
      <c r="C297" s="3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AD297" s="247"/>
      <c r="AE297" s="247"/>
    </row>
    <row r="298" spans="2:31" x14ac:dyDescent="0.2">
      <c r="B298" s="3"/>
      <c r="C298" s="3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Z298" s="50"/>
      <c r="AD298" s="247"/>
      <c r="AE298" s="247"/>
    </row>
    <row r="299" spans="2:31" x14ac:dyDescent="0.2">
      <c r="B299" s="3"/>
      <c r="C299" s="3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Z299" s="50"/>
      <c r="AD299" s="247"/>
      <c r="AE299" s="247"/>
    </row>
    <row r="300" spans="2:31" x14ac:dyDescent="0.2">
      <c r="B300" s="3"/>
      <c r="C300" s="3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Z300" s="50"/>
      <c r="AD300" s="247"/>
      <c r="AE300" s="247"/>
    </row>
    <row r="301" spans="2:31" x14ac:dyDescent="0.2">
      <c r="B301" s="3"/>
      <c r="C301" s="3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Z301" s="50"/>
      <c r="AD301" s="247"/>
      <c r="AE301" s="247"/>
    </row>
    <row r="302" spans="2:31" x14ac:dyDescent="0.2">
      <c r="B302" s="3"/>
      <c r="C302" s="3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Z302" s="50"/>
      <c r="AD302" s="247"/>
      <c r="AE302" s="247"/>
    </row>
    <row r="303" spans="2:31" x14ac:dyDescent="0.2">
      <c r="B303" s="3"/>
      <c r="C303" s="3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Z303" s="50"/>
      <c r="AD303" s="247"/>
      <c r="AE303" s="247"/>
    </row>
    <row r="304" spans="2:31" x14ac:dyDescent="0.2">
      <c r="B304" s="3"/>
      <c r="C304" s="3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Z304" s="50"/>
      <c r="AD304" s="247"/>
      <c r="AE304" s="247"/>
    </row>
    <row r="305" spans="2:35" x14ac:dyDescent="0.2">
      <c r="B305" s="3"/>
      <c r="C305" s="3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Z305" s="50"/>
      <c r="AA305" s="50"/>
      <c r="AB305" s="50"/>
      <c r="AC305" s="50"/>
      <c r="AD305" s="247"/>
      <c r="AE305" s="247"/>
      <c r="AF305" s="50"/>
      <c r="AG305" s="50"/>
      <c r="AH305" s="50"/>
      <c r="AI305" s="50"/>
    </row>
    <row r="306" spans="2:35" x14ac:dyDescent="0.2">
      <c r="B306" s="3"/>
      <c r="C306" s="3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Z306" s="50"/>
      <c r="AA306" s="50"/>
      <c r="AB306" s="50"/>
      <c r="AC306" s="50"/>
      <c r="AD306" s="247"/>
      <c r="AE306" s="247"/>
      <c r="AF306" s="50"/>
      <c r="AG306" s="50"/>
      <c r="AH306" s="50"/>
      <c r="AI306" s="50"/>
    </row>
    <row r="307" spans="2:35" x14ac:dyDescent="0.2">
      <c r="B307" s="3"/>
      <c r="C307" s="3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Z307" s="50"/>
      <c r="AA307" s="50"/>
      <c r="AB307" s="50"/>
      <c r="AC307" s="50"/>
      <c r="AD307" s="247"/>
      <c r="AE307" s="247"/>
      <c r="AF307" s="50"/>
      <c r="AG307" s="50"/>
      <c r="AH307" s="50"/>
      <c r="AI307" s="50"/>
    </row>
    <row r="308" spans="2:35" x14ac:dyDescent="0.2">
      <c r="B308" s="3"/>
      <c r="C308" s="3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Z308" s="50"/>
      <c r="AA308" s="50"/>
      <c r="AB308" s="50"/>
      <c r="AC308" s="50"/>
      <c r="AD308" s="247"/>
      <c r="AE308" s="247"/>
      <c r="AF308" s="50"/>
      <c r="AG308" s="50"/>
      <c r="AH308" s="50"/>
      <c r="AI308" s="50"/>
    </row>
    <row r="309" spans="2:35" x14ac:dyDescent="0.2">
      <c r="B309" s="3"/>
      <c r="C309" s="3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Z309" s="50"/>
      <c r="AA309" s="50"/>
      <c r="AB309" s="50"/>
      <c r="AC309" s="50"/>
      <c r="AD309" s="247"/>
      <c r="AE309" s="247"/>
      <c r="AF309" s="50"/>
      <c r="AG309" s="50"/>
      <c r="AH309" s="50"/>
      <c r="AI309" s="50"/>
    </row>
    <row r="310" spans="2:35" x14ac:dyDescent="0.2">
      <c r="B310" s="3"/>
      <c r="C310" s="3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Z310" s="50"/>
      <c r="AA310" s="50"/>
      <c r="AB310" s="50"/>
      <c r="AC310" s="50"/>
      <c r="AD310" s="247"/>
      <c r="AE310" s="247"/>
      <c r="AF310" s="50"/>
      <c r="AG310" s="50"/>
      <c r="AH310" s="50"/>
      <c r="AI310" s="50"/>
    </row>
    <row r="311" spans="2:35" x14ac:dyDescent="0.2">
      <c r="B311" s="3"/>
      <c r="C311" s="3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Z311" s="50"/>
      <c r="AA311" s="50"/>
      <c r="AB311" s="50"/>
      <c r="AC311" s="50"/>
      <c r="AD311" s="247"/>
      <c r="AE311" s="247"/>
      <c r="AF311" s="50"/>
      <c r="AG311" s="50"/>
      <c r="AH311" s="50"/>
      <c r="AI311" s="50"/>
    </row>
    <row r="312" spans="2:35" x14ac:dyDescent="0.2">
      <c r="B312" s="3"/>
      <c r="C312" s="3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Z312" s="50"/>
      <c r="AA312" s="50"/>
      <c r="AB312" s="50"/>
      <c r="AC312" s="50"/>
      <c r="AD312" s="247"/>
      <c r="AE312" s="247"/>
      <c r="AF312" s="50"/>
      <c r="AG312" s="50"/>
      <c r="AH312" s="50"/>
      <c r="AI312" s="50"/>
    </row>
    <row r="313" spans="2:35" x14ac:dyDescent="0.2">
      <c r="B313" s="3"/>
      <c r="C313" s="3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Z313" s="50"/>
      <c r="AA313" s="50"/>
      <c r="AB313" s="50"/>
      <c r="AC313" s="50"/>
      <c r="AD313" s="247"/>
      <c r="AE313" s="247"/>
      <c r="AF313" s="50"/>
      <c r="AG313" s="50"/>
      <c r="AH313" s="50"/>
      <c r="AI313" s="50"/>
    </row>
    <row r="314" spans="2:35" x14ac:dyDescent="0.2">
      <c r="B314" s="3"/>
      <c r="C314" s="3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Z314" s="50"/>
      <c r="AA314" s="50"/>
      <c r="AB314" s="50"/>
      <c r="AC314" s="50"/>
      <c r="AD314" s="247"/>
      <c r="AE314" s="247"/>
      <c r="AF314" s="50"/>
      <c r="AG314" s="50"/>
      <c r="AH314" s="50"/>
      <c r="AI314" s="50"/>
    </row>
    <row r="315" spans="2:35" x14ac:dyDescent="0.2">
      <c r="B315" s="3"/>
      <c r="C315" s="3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Z315" s="50"/>
      <c r="AA315" s="50"/>
      <c r="AB315" s="50"/>
      <c r="AC315" s="50"/>
      <c r="AD315" s="247"/>
      <c r="AE315" s="247"/>
      <c r="AF315" s="50"/>
      <c r="AG315" s="50"/>
      <c r="AH315" s="50"/>
      <c r="AI315" s="50"/>
    </row>
    <row r="316" spans="2:35" x14ac:dyDescent="0.2">
      <c r="B316" s="3"/>
      <c r="C316" s="3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Z316" s="50"/>
      <c r="AA316" s="50"/>
      <c r="AB316" s="50"/>
      <c r="AC316" s="50"/>
      <c r="AD316" s="247"/>
      <c r="AE316" s="247"/>
      <c r="AF316" s="50"/>
      <c r="AG316" s="50"/>
      <c r="AH316" s="50"/>
      <c r="AI316" s="50"/>
    </row>
    <row r="317" spans="2:35" x14ac:dyDescent="0.2">
      <c r="B317" s="3"/>
      <c r="C317" s="3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Z317" s="50"/>
      <c r="AA317" s="50"/>
      <c r="AB317" s="50"/>
      <c r="AC317" s="50"/>
      <c r="AD317" s="247"/>
      <c r="AE317" s="247"/>
      <c r="AF317" s="50"/>
      <c r="AG317" s="50"/>
      <c r="AH317" s="50"/>
      <c r="AI317" s="50"/>
    </row>
    <row r="318" spans="2:35" x14ac:dyDescent="0.2">
      <c r="B318" s="3"/>
      <c r="C318" s="3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Z318" s="50"/>
      <c r="AA318" s="50"/>
      <c r="AB318" s="50"/>
      <c r="AC318" s="50"/>
      <c r="AD318" s="247"/>
      <c r="AE318" s="247"/>
      <c r="AF318" s="50"/>
      <c r="AG318" s="50"/>
      <c r="AH318" s="50"/>
      <c r="AI318" s="50"/>
    </row>
    <row r="319" spans="2:35" x14ac:dyDescent="0.2">
      <c r="B319" s="3"/>
      <c r="C319" s="3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Z319" s="50"/>
      <c r="AA319" s="50"/>
      <c r="AB319" s="50"/>
      <c r="AC319" s="50"/>
      <c r="AD319" s="247"/>
      <c r="AE319" s="247"/>
      <c r="AF319" s="50"/>
      <c r="AG319" s="50"/>
      <c r="AH319" s="50"/>
      <c r="AI319" s="50"/>
    </row>
    <row r="320" spans="2:35" x14ac:dyDescent="0.2">
      <c r="B320" s="3"/>
      <c r="C320" s="3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Z320" s="50"/>
      <c r="AA320" s="50"/>
      <c r="AB320" s="50"/>
      <c r="AC320" s="50"/>
      <c r="AD320" s="247"/>
      <c r="AE320" s="247"/>
      <c r="AF320" s="50"/>
      <c r="AG320" s="50"/>
      <c r="AH320" s="50"/>
      <c r="AI320" s="50"/>
    </row>
    <row r="321" spans="2:35" x14ac:dyDescent="0.2">
      <c r="B321" s="3"/>
      <c r="C321" s="3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Z321" s="50"/>
      <c r="AA321" s="50"/>
      <c r="AB321" s="50"/>
      <c r="AC321" s="50"/>
      <c r="AD321" s="247"/>
      <c r="AE321" s="247"/>
      <c r="AF321" s="50"/>
      <c r="AG321" s="50"/>
      <c r="AH321" s="50"/>
      <c r="AI321" s="50"/>
    </row>
    <row r="322" spans="2:35" x14ac:dyDescent="0.2">
      <c r="B322" s="3"/>
      <c r="C322" s="3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Z322" s="50"/>
      <c r="AA322" s="50"/>
      <c r="AB322" s="50"/>
      <c r="AC322" s="50"/>
      <c r="AD322" s="247"/>
      <c r="AE322" s="247"/>
      <c r="AF322" s="50"/>
      <c r="AG322" s="50"/>
      <c r="AH322" s="50"/>
      <c r="AI322" s="50"/>
    </row>
    <row r="323" spans="2:35" x14ac:dyDescent="0.2">
      <c r="B323" s="3"/>
      <c r="C323" s="3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Z323" s="50"/>
      <c r="AA323" s="50"/>
      <c r="AB323" s="50"/>
      <c r="AC323" s="50"/>
      <c r="AD323" s="247"/>
      <c r="AE323" s="247"/>
      <c r="AF323" s="50"/>
      <c r="AG323" s="50"/>
      <c r="AH323" s="50"/>
      <c r="AI323" s="50"/>
    </row>
    <row r="324" spans="2:35" x14ac:dyDescent="0.2">
      <c r="B324" s="3"/>
      <c r="C324" s="3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Z324" s="50"/>
      <c r="AA324" s="50"/>
      <c r="AB324" s="50"/>
      <c r="AC324" s="50"/>
      <c r="AD324" s="247"/>
      <c r="AE324" s="247"/>
      <c r="AF324" s="50"/>
      <c r="AG324" s="50"/>
      <c r="AH324" s="50"/>
      <c r="AI324" s="50"/>
    </row>
    <row r="325" spans="2:35" x14ac:dyDescent="0.2">
      <c r="B325" s="3"/>
      <c r="C325" s="3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Z325" s="50"/>
      <c r="AA325" s="50"/>
      <c r="AB325" s="50"/>
      <c r="AC325" s="50"/>
      <c r="AD325" s="247"/>
      <c r="AE325" s="247"/>
      <c r="AF325" s="50"/>
      <c r="AG325" s="50"/>
      <c r="AH325" s="50"/>
      <c r="AI325" s="50"/>
    </row>
    <row r="326" spans="2:35" x14ac:dyDescent="0.2">
      <c r="B326" s="3"/>
      <c r="C326" s="3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Z326" s="50"/>
      <c r="AA326" s="50"/>
      <c r="AB326" s="50"/>
      <c r="AC326" s="50"/>
      <c r="AD326" s="247"/>
      <c r="AE326" s="247"/>
      <c r="AF326" s="50"/>
      <c r="AG326" s="50"/>
      <c r="AH326" s="50"/>
      <c r="AI326" s="50"/>
    </row>
    <row r="327" spans="2:35" x14ac:dyDescent="0.2">
      <c r="B327" s="3"/>
      <c r="C327" s="3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V327" s="20"/>
      <c r="W327" s="20"/>
      <c r="X327" s="20"/>
      <c r="Y327" s="20"/>
      <c r="Z327" s="50"/>
      <c r="AA327" s="50"/>
      <c r="AB327" s="50"/>
      <c r="AC327" s="50"/>
      <c r="AD327" s="247"/>
      <c r="AE327" s="247"/>
      <c r="AF327" s="50"/>
      <c r="AG327" s="50"/>
      <c r="AH327" s="50"/>
      <c r="AI327" s="50"/>
    </row>
    <row r="328" spans="2:35" x14ac:dyDescent="0.2">
      <c r="B328" s="3"/>
      <c r="C328" s="3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V328" s="20"/>
      <c r="W328" s="20"/>
      <c r="X328" s="20"/>
      <c r="Y328" s="20"/>
      <c r="Z328" s="50"/>
      <c r="AA328" s="50"/>
      <c r="AB328" s="50"/>
      <c r="AC328" s="50"/>
      <c r="AD328" s="247"/>
      <c r="AE328" s="247"/>
      <c r="AF328" s="50"/>
      <c r="AG328" s="50"/>
      <c r="AH328" s="50"/>
      <c r="AI328" s="50"/>
    </row>
    <row r="329" spans="2:35" x14ac:dyDescent="0.2">
      <c r="B329" s="3"/>
      <c r="C329" s="3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V329" s="20"/>
      <c r="W329" s="20"/>
      <c r="X329" s="20"/>
      <c r="Y329" s="20"/>
      <c r="Z329" s="50"/>
      <c r="AA329" s="50"/>
      <c r="AB329" s="50"/>
      <c r="AC329" s="50"/>
      <c r="AD329" s="247"/>
      <c r="AE329" s="247"/>
      <c r="AF329" s="50"/>
      <c r="AG329" s="50"/>
      <c r="AH329" s="50"/>
      <c r="AI329" s="50"/>
    </row>
    <row r="330" spans="2:35" x14ac:dyDescent="0.2">
      <c r="B330" s="3"/>
      <c r="C330" s="3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V330" s="20"/>
      <c r="W330" s="20"/>
      <c r="X330" s="20"/>
      <c r="Y330" s="20"/>
      <c r="Z330" s="50"/>
      <c r="AA330" s="50"/>
      <c r="AB330" s="50"/>
      <c r="AC330" s="50"/>
      <c r="AD330" s="247"/>
      <c r="AE330" s="247"/>
      <c r="AF330" s="50"/>
      <c r="AG330" s="50"/>
      <c r="AH330" s="50"/>
      <c r="AI330" s="50"/>
    </row>
    <row r="331" spans="2:35" x14ac:dyDescent="0.2">
      <c r="B331" s="3"/>
      <c r="C331" s="3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V331" s="20"/>
      <c r="W331" s="20"/>
      <c r="X331" s="20"/>
      <c r="Y331" s="20"/>
      <c r="Z331" s="50"/>
      <c r="AA331" s="50"/>
      <c r="AB331" s="50"/>
      <c r="AC331" s="50"/>
      <c r="AD331" s="247"/>
      <c r="AE331" s="247"/>
      <c r="AF331" s="50"/>
      <c r="AG331" s="50"/>
      <c r="AH331" s="50"/>
      <c r="AI331" s="50"/>
    </row>
    <row r="332" spans="2:35" x14ac:dyDescent="0.2">
      <c r="B332" s="3"/>
      <c r="C332" s="3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V332" s="20"/>
      <c r="W332" s="20"/>
      <c r="X332" s="20"/>
      <c r="Y332" s="20"/>
      <c r="Z332" s="50"/>
      <c r="AA332" s="50"/>
      <c r="AB332" s="50"/>
      <c r="AC332" s="50"/>
      <c r="AD332" s="247"/>
      <c r="AE332" s="247"/>
      <c r="AF332" s="50"/>
      <c r="AG332" s="50"/>
      <c r="AH332" s="50"/>
      <c r="AI332" s="50"/>
    </row>
    <row r="333" spans="2:35" x14ac:dyDescent="0.2">
      <c r="B333" s="3"/>
      <c r="C333" s="3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V333" s="20"/>
      <c r="W333" s="20"/>
      <c r="X333" s="20"/>
      <c r="Y333" s="20"/>
      <c r="Z333" s="50"/>
      <c r="AA333" s="50"/>
      <c r="AB333" s="50"/>
      <c r="AC333" s="50"/>
      <c r="AD333" s="247"/>
      <c r="AE333" s="247"/>
      <c r="AF333" s="50"/>
      <c r="AG333" s="50"/>
      <c r="AH333" s="50"/>
      <c r="AI333" s="50"/>
    </row>
    <row r="334" spans="2:35" x14ac:dyDescent="0.2">
      <c r="B334" s="3"/>
      <c r="C334" s="3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V334" s="20"/>
      <c r="W334" s="20"/>
      <c r="X334" s="20"/>
      <c r="Y334" s="20"/>
      <c r="Z334" s="50"/>
      <c r="AA334" s="50"/>
      <c r="AB334" s="50"/>
      <c r="AC334" s="50"/>
      <c r="AD334" s="247"/>
      <c r="AE334" s="247"/>
      <c r="AF334" s="50"/>
      <c r="AG334" s="50"/>
      <c r="AH334" s="50"/>
      <c r="AI334" s="50"/>
    </row>
    <row r="335" spans="2:35" x14ac:dyDescent="0.2">
      <c r="B335" s="3"/>
      <c r="C335" s="3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V335" s="20"/>
      <c r="W335" s="20"/>
      <c r="X335" s="20"/>
      <c r="Y335" s="20"/>
      <c r="Z335" s="50"/>
      <c r="AA335" s="50"/>
      <c r="AB335" s="50"/>
      <c r="AC335" s="50"/>
      <c r="AD335" s="247"/>
      <c r="AE335" s="247"/>
      <c r="AF335" s="50"/>
      <c r="AG335" s="50"/>
      <c r="AH335" s="50"/>
      <c r="AI335" s="50"/>
    </row>
    <row r="336" spans="2:35" x14ac:dyDescent="0.2">
      <c r="B336" s="3"/>
      <c r="C336" s="3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V336" s="20"/>
      <c r="W336" s="20"/>
      <c r="X336" s="20"/>
      <c r="Y336" s="20"/>
      <c r="Z336" s="50"/>
      <c r="AA336" s="50"/>
      <c r="AB336" s="50"/>
      <c r="AC336" s="50"/>
      <c r="AD336" s="247"/>
      <c r="AE336" s="247"/>
      <c r="AF336" s="50"/>
      <c r="AG336" s="50"/>
      <c r="AH336" s="50"/>
      <c r="AI336" s="50"/>
    </row>
    <row r="337" spans="2:35" x14ac:dyDescent="0.2">
      <c r="B337" s="3"/>
      <c r="C337" s="3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V337" s="20"/>
      <c r="W337" s="20"/>
      <c r="X337" s="20"/>
      <c r="Y337" s="20"/>
      <c r="Z337" s="50"/>
      <c r="AA337" s="50"/>
      <c r="AB337" s="50"/>
      <c r="AC337" s="50"/>
      <c r="AD337" s="247"/>
      <c r="AE337" s="247"/>
      <c r="AF337" s="50"/>
      <c r="AG337" s="50"/>
      <c r="AH337" s="50"/>
      <c r="AI337" s="50"/>
    </row>
    <row r="338" spans="2:35" x14ac:dyDescent="0.2">
      <c r="B338" s="3"/>
      <c r="C338" s="3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V338" s="20"/>
      <c r="W338" s="20"/>
      <c r="X338" s="20"/>
      <c r="Y338" s="20"/>
      <c r="Z338" s="50"/>
      <c r="AA338" s="50"/>
      <c r="AB338" s="50"/>
      <c r="AC338" s="50"/>
      <c r="AD338" s="247"/>
      <c r="AE338" s="247"/>
      <c r="AF338" s="50"/>
      <c r="AG338" s="50"/>
      <c r="AH338" s="50"/>
      <c r="AI338" s="50"/>
    </row>
    <row r="339" spans="2:35" x14ac:dyDescent="0.2">
      <c r="B339" s="3"/>
      <c r="C339" s="3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V339" s="20"/>
      <c r="W339" s="20"/>
      <c r="X339" s="20"/>
      <c r="Y339" s="20"/>
      <c r="Z339" s="50"/>
      <c r="AA339" s="50"/>
      <c r="AB339" s="50"/>
      <c r="AC339" s="50"/>
      <c r="AD339" s="247"/>
      <c r="AE339" s="247"/>
      <c r="AF339" s="50"/>
      <c r="AG339" s="50"/>
      <c r="AH339" s="50"/>
      <c r="AI339" s="50"/>
    </row>
    <row r="340" spans="2:35" x14ac:dyDescent="0.2">
      <c r="B340" s="3"/>
      <c r="C340" s="3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V340" s="20"/>
      <c r="W340" s="20"/>
      <c r="X340" s="20"/>
      <c r="Y340" s="20"/>
      <c r="Z340" s="50"/>
      <c r="AA340" s="50"/>
      <c r="AB340" s="50"/>
      <c r="AC340" s="50"/>
      <c r="AD340" s="247"/>
      <c r="AE340" s="247"/>
      <c r="AF340" s="50"/>
      <c r="AG340" s="50"/>
      <c r="AH340" s="50"/>
      <c r="AI340" s="50"/>
    </row>
    <row r="341" spans="2:35" x14ac:dyDescent="0.2">
      <c r="B341" s="3"/>
      <c r="C341" s="3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V341" s="20"/>
      <c r="W341" s="20"/>
      <c r="X341" s="20"/>
      <c r="Y341" s="20"/>
      <c r="Z341" s="50"/>
      <c r="AA341" s="50"/>
      <c r="AB341" s="50"/>
      <c r="AC341" s="50"/>
      <c r="AD341" s="247"/>
      <c r="AE341" s="247"/>
      <c r="AF341" s="50"/>
      <c r="AG341" s="50"/>
      <c r="AH341" s="50"/>
      <c r="AI341" s="50"/>
    </row>
    <row r="342" spans="2:35" x14ac:dyDescent="0.2">
      <c r="B342" s="3"/>
      <c r="C342" s="3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V342" s="20"/>
      <c r="W342" s="20"/>
      <c r="X342" s="20"/>
      <c r="Y342" s="20"/>
      <c r="Z342" s="50"/>
      <c r="AA342" s="50"/>
      <c r="AB342" s="50"/>
      <c r="AC342" s="50"/>
      <c r="AD342" s="247"/>
      <c r="AE342" s="247"/>
      <c r="AF342" s="50"/>
      <c r="AG342" s="50"/>
      <c r="AH342" s="50"/>
      <c r="AI342" s="50"/>
    </row>
    <row r="343" spans="2:35" x14ac:dyDescent="0.2">
      <c r="B343" s="3"/>
      <c r="C343" s="3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V343" s="20"/>
      <c r="W343" s="20"/>
      <c r="X343" s="20"/>
      <c r="Y343" s="20"/>
      <c r="Z343" s="50"/>
      <c r="AA343" s="50"/>
      <c r="AB343" s="50"/>
      <c r="AC343" s="50"/>
      <c r="AD343" s="247"/>
      <c r="AE343" s="247"/>
      <c r="AF343" s="50"/>
      <c r="AG343" s="50"/>
      <c r="AH343" s="50"/>
      <c r="AI343" s="50"/>
    </row>
    <row r="344" spans="2:35" x14ac:dyDescent="0.2">
      <c r="B344" s="3"/>
      <c r="C344" s="3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V344" s="20"/>
      <c r="W344" s="20"/>
      <c r="X344" s="20"/>
      <c r="Y344" s="20"/>
      <c r="Z344" s="50"/>
      <c r="AA344" s="50"/>
      <c r="AB344" s="50"/>
      <c r="AC344" s="50"/>
      <c r="AD344" s="247"/>
      <c r="AE344" s="247"/>
      <c r="AF344" s="50"/>
      <c r="AG344" s="50"/>
      <c r="AH344" s="50"/>
      <c r="AI344" s="50"/>
    </row>
    <row r="345" spans="2:35" x14ac:dyDescent="0.2">
      <c r="B345" s="3"/>
      <c r="C345" s="3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V345" s="20"/>
      <c r="W345" s="20"/>
      <c r="X345" s="20"/>
      <c r="Y345" s="20"/>
      <c r="Z345" s="50"/>
      <c r="AA345" s="50"/>
      <c r="AB345" s="50"/>
      <c r="AC345" s="50"/>
      <c r="AD345" s="247"/>
      <c r="AE345" s="247"/>
      <c r="AF345" s="50"/>
      <c r="AG345" s="50"/>
      <c r="AH345" s="50"/>
      <c r="AI345" s="50"/>
    </row>
    <row r="346" spans="2:35" x14ac:dyDescent="0.2">
      <c r="B346" s="3"/>
      <c r="C346" s="3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V346" s="20"/>
      <c r="W346" s="20"/>
      <c r="X346" s="20"/>
      <c r="Y346" s="20"/>
      <c r="Z346" s="50"/>
      <c r="AA346" s="50"/>
      <c r="AB346" s="50"/>
      <c r="AC346" s="50"/>
      <c r="AD346" s="247"/>
      <c r="AE346" s="247"/>
      <c r="AF346" s="50"/>
      <c r="AG346" s="50"/>
      <c r="AH346" s="50"/>
      <c r="AI346" s="50"/>
    </row>
    <row r="347" spans="2:35" x14ac:dyDescent="0.2">
      <c r="B347" s="3"/>
      <c r="C347" s="3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V347" s="20"/>
      <c r="W347" s="20"/>
      <c r="X347" s="20"/>
      <c r="Y347" s="20"/>
      <c r="Z347" s="50"/>
      <c r="AA347" s="50"/>
      <c r="AB347" s="50"/>
      <c r="AC347" s="50"/>
      <c r="AD347" s="247"/>
      <c r="AE347" s="247"/>
      <c r="AF347" s="50"/>
      <c r="AG347" s="50"/>
      <c r="AH347" s="50"/>
      <c r="AI347" s="50"/>
    </row>
    <row r="348" spans="2:35" x14ac:dyDescent="0.2">
      <c r="B348" s="3"/>
      <c r="C348" s="3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V348" s="20"/>
      <c r="W348" s="20"/>
      <c r="X348" s="20"/>
      <c r="Y348" s="20"/>
      <c r="Z348" s="50"/>
      <c r="AA348" s="50"/>
      <c r="AB348" s="50"/>
      <c r="AC348" s="50"/>
      <c r="AD348" s="247"/>
      <c r="AE348" s="247"/>
      <c r="AF348" s="50"/>
      <c r="AG348" s="50"/>
      <c r="AH348" s="50"/>
      <c r="AI348" s="50"/>
    </row>
    <row r="349" spans="2:35" x14ac:dyDescent="0.2">
      <c r="B349" s="3"/>
      <c r="C349" s="3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V349" s="20"/>
      <c r="W349" s="20"/>
      <c r="X349" s="20"/>
      <c r="Y349" s="20"/>
      <c r="Z349" s="50"/>
      <c r="AA349" s="50"/>
      <c r="AB349" s="50"/>
      <c r="AC349" s="50"/>
      <c r="AD349" s="247"/>
      <c r="AE349" s="247"/>
      <c r="AF349" s="50"/>
      <c r="AG349" s="50"/>
      <c r="AH349" s="50"/>
      <c r="AI349" s="50"/>
    </row>
    <row r="350" spans="2:35" x14ac:dyDescent="0.2">
      <c r="B350" s="3"/>
      <c r="C350" s="3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V350" s="20"/>
      <c r="W350" s="20"/>
      <c r="X350" s="20"/>
      <c r="Y350" s="20"/>
      <c r="Z350" s="50"/>
      <c r="AA350" s="50"/>
      <c r="AB350" s="50"/>
      <c r="AC350" s="50"/>
      <c r="AD350" s="247"/>
      <c r="AE350" s="247"/>
      <c r="AF350" s="50"/>
      <c r="AG350" s="50"/>
      <c r="AH350" s="50"/>
      <c r="AI350" s="50"/>
    </row>
    <row r="351" spans="2:35" x14ac:dyDescent="0.2">
      <c r="B351" s="3"/>
      <c r="C351" s="3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V351" s="20"/>
      <c r="W351" s="20"/>
      <c r="X351" s="20"/>
      <c r="Y351" s="20"/>
      <c r="Z351" s="50"/>
      <c r="AA351" s="50"/>
      <c r="AB351" s="50"/>
      <c r="AC351" s="50"/>
      <c r="AD351" s="247"/>
      <c r="AE351" s="247"/>
      <c r="AF351" s="50"/>
      <c r="AG351" s="50"/>
      <c r="AH351" s="50"/>
      <c r="AI351" s="50"/>
    </row>
    <row r="352" spans="2:35" x14ac:dyDescent="0.2">
      <c r="B352" s="3"/>
      <c r="C352" s="3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V352" s="20"/>
      <c r="W352" s="20"/>
      <c r="X352" s="20"/>
      <c r="Y352" s="20"/>
      <c r="Z352" s="50"/>
      <c r="AA352" s="50"/>
      <c r="AB352" s="50"/>
      <c r="AC352" s="50"/>
      <c r="AD352" s="247"/>
      <c r="AE352" s="247"/>
      <c r="AF352" s="50"/>
      <c r="AG352" s="50"/>
      <c r="AH352" s="50"/>
      <c r="AI352" s="50"/>
    </row>
    <row r="353" spans="2:35" x14ac:dyDescent="0.2">
      <c r="B353" s="3"/>
      <c r="C353" s="3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V353" s="20"/>
      <c r="W353" s="20"/>
      <c r="X353" s="20"/>
      <c r="Y353" s="20"/>
      <c r="Z353" s="50"/>
      <c r="AA353" s="50"/>
      <c r="AB353" s="50"/>
      <c r="AC353" s="50"/>
      <c r="AD353" s="247"/>
      <c r="AE353" s="247"/>
      <c r="AF353" s="50"/>
      <c r="AG353" s="50"/>
      <c r="AH353" s="50"/>
      <c r="AI353" s="50"/>
    </row>
    <row r="354" spans="2:35" x14ac:dyDescent="0.2">
      <c r="B354" s="3"/>
      <c r="C354" s="3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V354" s="20"/>
      <c r="W354" s="20"/>
      <c r="X354" s="20"/>
      <c r="Y354" s="20"/>
      <c r="Z354" s="50"/>
      <c r="AA354" s="50"/>
      <c r="AB354" s="50"/>
      <c r="AC354" s="50"/>
      <c r="AD354" s="247"/>
      <c r="AE354" s="247"/>
      <c r="AF354" s="50"/>
      <c r="AG354" s="50"/>
      <c r="AH354" s="50"/>
      <c r="AI354" s="50"/>
    </row>
    <row r="355" spans="2:35" x14ac:dyDescent="0.2">
      <c r="B355" s="3"/>
      <c r="C355" s="3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V355" s="20"/>
      <c r="W355" s="20"/>
      <c r="X355" s="20"/>
      <c r="Y355" s="20"/>
      <c r="Z355" s="50"/>
      <c r="AA355" s="50"/>
      <c r="AB355" s="50"/>
      <c r="AC355" s="50"/>
      <c r="AD355" s="247"/>
      <c r="AE355" s="247"/>
      <c r="AF355" s="50"/>
      <c r="AG355" s="50"/>
      <c r="AH355" s="50"/>
      <c r="AI355" s="50"/>
    </row>
    <row r="356" spans="2:35" x14ac:dyDescent="0.2">
      <c r="B356" s="3"/>
      <c r="C356" s="3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V356" s="20"/>
      <c r="W356" s="20"/>
      <c r="X356" s="20"/>
      <c r="Y356" s="20"/>
      <c r="Z356" s="50"/>
      <c r="AA356" s="50"/>
      <c r="AB356" s="50"/>
      <c r="AC356" s="50"/>
      <c r="AD356" s="247"/>
      <c r="AE356" s="247"/>
      <c r="AF356" s="50"/>
      <c r="AG356" s="50"/>
      <c r="AH356" s="50"/>
      <c r="AI356" s="50"/>
    </row>
    <row r="357" spans="2:35" x14ac:dyDescent="0.2">
      <c r="B357" s="3"/>
      <c r="C357" s="3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V357" s="20"/>
      <c r="W357" s="20"/>
      <c r="X357" s="20"/>
      <c r="Y357" s="20"/>
      <c r="Z357" s="50"/>
      <c r="AA357" s="50"/>
      <c r="AB357" s="50"/>
      <c r="AC357" s="50"/>
      <c r="AD357" s="247"/>
      <c r="AE357" s="247"/>
      <c r="AF357" s="50"/>
      <c r="AG357" s="50"/>
      <c r="AH357" s="50"/>
      <c r="AI357" s="50"/>
    </row>
    <row r="358" spans="2:35" x14ac:dyDescent="0.2">
      <c r="B358" s="3"/>
      <c r="C358" s="3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V358" s="20"/>
      <c r="W358" s="20"/>
      <c r="X358" s="20"/>
      <c r="Y358" s="20"/>
      <c r="Z358" s="50"/>
      <c r="AA358" s="50"/>
      <c r="AB358" s="50"/>
      <c r="AC358" s="50"/>
      <c r="AD358" s="247"/>
      <c r="AE358" s="247"/>
      <c r="AF358" s="50"/>
      <c r="AG358" s="50"/>
      <c r="AH358" s="50"/>
      <c r="AI358" s="50"/>
    </row>
    <row r="359" spans="2:35" x14ac:dyDescent="0.2">
      <c r="B359" s="3"/>
      <c r="C359" s="3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V359" s="20"/>
      <c r="W359" s="20"/>
      <c r="X359" s="20"/>
      <c r="Y359" s="20"/>
      <c r="Z359" s="50"/>
      <c r="AA359" s="50"/>
      <c r="AB359" s="50"/>
      <c r="AC359" s="50"/>
      <c r="AD359" s="247"/>
      <c r="AE359" s="247"/>
      <c r="AF359" s="50"/>
      <c r="AG359" s="50"/>
      <c r="AH359" s="50"/>
      <c r="AI359" s="50"/>
    </row>
    <row r="360" spans="2:35" x14ac:dyDescent="0.2">
      <c r="B360" s="3"/>
      <c r="C360" s="3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V360" s="20"/>
      <c r="W360" s="20"/>
      <c r="X360" s="20"/>
      <c r="Y360" s="20"/>
      <c r="Z360" s="50"/>
      <c r="AA360" s="50"/>
      <c r="AB360" s="50"/>
      <c r="AC360" s="50"/>
      <c r="AD360" s="247"/>
      <c r="AE360" s="247"/>
      <c r="AF360" s="50"/>
      <c r="AG360" s="50"/>
      <c r="AH360" s="50"/>
      <c r="AI360" s="50"/>
    </row>
    <row r="361" spans="2:35" x14ac:dyDescent="0.2">
      <c r="B361" s="3"/>
      <c r="C361" s="3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V361" s="20"/>
      <c r="W361" s="20"/>
      <c r="X361" s="20"/>
      <c r="Y361" s="20"/>
      <c r="Z361" s="50"/>
      <c r="AA361" s="50"/>
      <c r="AB361" s="50"/>
      <c r="AC361" s="50"/>
      <c r="AD361" s="247"/>
      <c r="AE361" s="247"/>
      <c r="AF361" s="50"/>
      <c r="AG361" s="50"/>
      <c r="AH361" s="50"/>
      <c r="AI361" s="50"/>
    </row>
    <row r="362" spans="2:35" x14ac:dyDescent="0.2">
      <c r="B362" s="3"/>
      <c r="C362" s="3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V362" s="20"/>
      <c r="W362" s="20"/>
      <c r="X362" s="20"/>
      <c r="Y362" s="20"/>
      <c r="Z362" s="50"/>
      <c r="AA362" s="50"/>
      <c r="AB362" s="50"/>
      <c r="AC362" s="50"/>
      <c r="AD362" s="247"/>
      <c r="AE362" s="247"/>
      <c r="AF362" s="50"/>
      <c r="AG362" s="50"/>
      <c r="AH362" s="50"/>
      <c r="AI362" s="50"/>
    </row>
    <row r="363" spans="2:35" x14ac:dyDescent="0.2">
      <c r="B363" s="3"/>
      <c r="C363" s="3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V363" s="20"/>
      <c r="W363" s="20"/>
      <c r="X363" s="20"/>
      <c r="Y363" s="20"/>
      <c r="Z363" s="50"/>
      <c r="AA363" s="50"/>
      <c r="AB363" s="50"/>
      <c r="AC363" s="50"/>
      <c r="AD363" s="247"/>
      <c r="AE363" s="247"/>
      <c r="AF363" s="50"/>
      <c r="AG363" s="50"/>
      <c r="AH363" s="50"/>
      <c r="AI363" s="50"/>
    </row>
    <row r="364" spans="2:35" x14ac:dyDescent="0.2">
      <c r="B364" s="3"/>
      <c r="C364" s="3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V364" s="20"/>
      <c r="W364" s="20"/>
      <c r="X364" s="20"/>
      <c r="Y364" s="20"/>
      <c r="Z364" s="50"/>
      <c r="AA364" s="50"/>
      <c r="AB364" s="50"/>
      <c r="AC364" s="50"/>
      <c r="AD364" s="247"/>
      <c r="AE364" s="247"/>
      <c r="AF364" s="50"/>
      <c r="AG364" s="50"/>
      <c r="AH364" s="50"/>
      <c r="AI364" s="50"/>
    </row>
    <row r="365" spans="2:35" x14ac:dyDescent="0.2">
      <c r="B365" s="3"/>
      <c r="C365" s="3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V365" s="20"/>
      <c r="W365" s="20"/>
      <c r="X365" s="20"/>
      <c r="Y365" s="20"/>
      <c r="Z365" s="50"/>
      <c r="AA365" s="50"/>
      <c r="AB365" s="50"/>
      <c r="AC365" s="50"/>
      <c r="AD365" s="247"/>
      <c r="AE365" s="247"/>
      <c r="AF365" s="50"/>
      <c r="AG365" s="50"/>
      <c r="AH365" s="50"/>
      <c r="AI365" s="50"/>
    </row>
    <row r="366" spans="2:35" x14ac:dyDescent="0.2">
      <c r="B366" s="3"/>
      <c r="C366" s="3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V366" s="20"/>
      <c r="W366" s="20"/>
      <c r="X366" s="20"/>
      <c r="Y366" s="20"/>
      <c r="Z366" s="50"/>
      <c r="AA366" s="50"/>
      <c r="AB366" s="50"/>
      <c r="AC366" s="50"/>
      <c r="AD366" s="247"/>
      <c r="AE366" s="247"/>
      <c r="AF366" s="50"/>
      <c r="AG366" s="50"/>
      <c r="AH366" s="50"/>
      <c r="AI366" s="50"/>
    </row>
    <row r="367" spans="2:35" x14ac:dyDescent="0.2">
      <c r="B367" s="3"/>
      <c r="C367" s="3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V367" s="20"/>
      <c r="W367" s="20"/>
      <c r="X367" s="20"/>
      <c r="Y367" s="20"/>
      <c r="Z367" s="50"/>
      <c r="AA367" s="50"/>
      <c r="AB367" s="50"/>
      <c r="AC367" s="50"/>
      <c r="AD367" s="247"/>
      <c r="AE367" s="247"/>
      <c r="AF367" s="50"/>
      <c r="AG367" s="50"/>
      <c r="AH367" s="50"/>
      <c r="AI367" s="50"/>
    </row>
    <row r="368" spans="2:35" x14ac:dyDescent="0.2">
      <c r="V368" s="20"/>
      <c r="W368" s="20"/>
      <c r="X368" s="20"/>
      <c r="Y368" s="20"/>
      <c r="Z368" s="50"/>
      <c r="AA368" s="50"/>
      <c r="AB368" s="50"/>
      <c r="AC368" s="50"/>
      <c r="AD368" s="247"/>
      <c r="AE368" s="247"/>
      <c r="AF368" s="50"/>
      <c r="AG368" s="50"/>
      <c r="AH368" s="50"/>
      <c r="AI368" s="50"/>
    </row>
    <row r="369" spans="22:35" x14ac:dyDescent="0.2">
      <c r="V369" s="20"/>
      <c r="W369" s="20"/>
      <c r="X369" s="20"/>
      <c r="Y369" s="20"/>
      <c r="Z369" s="50"/>
      <c r="AA369" s="50"/>
      <c r="AB369" s="50"/>
      <c r="AC369" s="50"/>
      <c r="AF369" s="50"/>
      <c r="AG369" s="50"/>
      <c r="AH369" s="50"/>
      <c r="AI369" s="50"/>
    </row>
    <row r="370" spans="22:35" x14ac:dyDescent="0.2">
      <c r="V370" s="20"/>
      <c r="W370" s="20"/>
      <c r="X370" s="20"/>
      <c r="Y370" s="20"/>
      <c r="Z370" s="50"/>
      <c r="AA370" s="50"/>
      <c r="AB370" s="50"/>
      <c r="AC370" s="50"/>
      <c r="AF370" s="50"/>
      <c r="AG370" s="50"/>
      <c r="AH370" s="50"/>
      <c r="AI370" s="50"/>
    </row>
    <row r="371" spans="22:35" x14ac:dyDescent="0.2">
      <c r="V371" s="20"/>
      <c r="W371" s="20"/>
      <c r="X371" s="20"/>
      <c r="Y371" s="20"/>
      <c r="Z371" s="50"/>
      <c r="AA371" s="50"/>
      <c r="AB371" s="50"/>
      <c r="AC371" s="50"/>
      <c r="AF371" s="50"/>
      <c r="AG371" s="50"/>
      <c r="AH371" s="50"/>
      <c r="AI371" s="50"/>
    </row>
    <row r="372" spans="22:35" x14ac:dyDescent="0.2">
      <c r="V372" s="20"/>
      <c r="W372" s="20"/>
      <c r="X372" s="20"/>
      <c r="Y372" s="20"/>
      <c r="Z372" s="50"/>
      <c r="AA372" s="50"/>
      <c r="AB372" s="50"/>
      <c r="AC372" s="50"/>
      <c r="AF372" s="50"/>
      <c r="AG372" s="50"/>
      <c r="AH372" s="50"/>
      <c r="AI372" s="50"/>
    </row>
    <row r="373" spans="22:35" x14ac:dyDescent="0.2">
      <c r="V373" s="20"/>
      <c r="W373" s="20"/>
      <c r="X373" s="20"/>
      <c r="Y373" s="20"/>
      <c r="Z373" s="50"/>
      <c r="AA373" s="50"/>
      <c r="AB373" s="50"/>
      <c r="AC373" s="50"/>
      <c r="AF373" s="50"/>
      <c r="AG373" s="50"/>
      <c r="AH373" s="50"/>
      <c r="AI373" s="50"/>
    </row>
    <row r="374" spans="22:35" x14ac:dyDescent="0.2">
      <c r="V374" s="20"/>
      <c r="W374" s="20"/>
      <c r="X374" s="20"/>
      <c r="Y374" s="20"/>
      <c r="Z374" s="50"/>
      <c r="AA374" s="50"/>
      <c r="AB374" s="50"/>
      <c r="AC374" s="50"/>
      <c r="AF374" s="50"/>
      <c r="AG374" s="50"/>
      <c r="AH374" s="50"/>
      <c r="AI374" s="50"/>
    </row>
    <row r="375" spans="22:35" x14ac:dyDescent="0.2">
      <c r="V375" s="20"/>
      <c r="W375" s="20"/>
      <c r="X375" s="20"/>
      <c r="Y375" s="20"/>
      <c r="Z375" s="50"/>
      <c r="AA375" s="50"/>
      <c r="AB375" s="50"/>
      <c r="AC375" s="50"/>
      <c r="AF375" s="50"/>
      <c r="AG375" s="50"/>
      <c r="AH375" s="50"/>
      <c r="AI375" s="50"/>
    </row>
    <row r="376" spans="22:35" x14ac:dyDescent="0.2">
      <c r="V376" s="20"/>
      <c r="W376" s="20"/>
      <c r="X376" s="20"/>
      <c r="Y376" s="20"/>
      <c r="Z376" s="50"/>
      <c r="AA376" s="50"/>
      <c r="AB376" s="50"/>
      <c r="AC376" s="50"/>
      <c r="AF376" s="50"/>
      <c r="AG376" s="50"/>
      <c r="AH376" s="50"/>
      <c r="AI376" s="50"/>
    </row>
    <row r="377" spans="22:35" x14ac:dyDescent="0.2">
      <c r="V377" s="20"/>
      <c r="W377" s="20"/>
      <c r="X377" s="20"/>
      <c r="Y377" s="20"/>
      <c r="Z377" s="50"/>
      <c r="AA377" s="50"/>
      <c r="AB377" s="50"/>
      <c r="AC377" s="50"/>
      <c r="AF377" s="50"/>
      <c r="AG377" s="50"/>
      <c r="AH377" s="50"/>
      <c r="AI377" s="50"/>
    </row>
    <row r="378" spans="22:35" x14ac:dyDescent="0.2">
      <c r="V378" s="20"/>
      <c r="W378" s="20"/>
      <c r="X378" s="20"/>
      <c r="Y378" s="20"/>
      <c r="Z378" s="50"/>
      <c r="AA378" s="50"/>
      <c r="AB378" s="50"/>
      <c r="AC378" s="50"/>
      <c r="AF378" s="50"/>
      <c r="AG378" s="50"/>
      <c r="AH378" s="50"/>
      <c r="AI378" s="50"/>
    </row>
    <row r="379" spans="22:35" x14ac:dyDescent="0.2">
      <c r="V379" s="20"/>
      <c r="W379" s="20"/>
      <c r="X379" s="20"/>
      <c r="Y379" s="20"/>
      <c r="Z379" s="50"/>
      <c r="AA379" s="50"/>
      <c r="AB379" s="50"/>
      <c r="AC379" s="50"/>
      <c r="AF379" s="50"/>
      <c r="AG379" s="50"/>
      <c r="AH379" s="50"/>
      <c r="AI379" s="50"/>
    </row>
    <row r="380" spans="22:35" x14ac:dyDescent="0.2">
      <c r="V380" s="20"/>
      <c r="W380" s="20"/>
      <c r="X380" s="20"/>
      <c r="Y380" s="20"/>
      <c r="Z380" s="50"/>
      <c r="AA380" s="50"/>
      <c r="AB380" s="50"/>
      <c r="AC380" s="50"/>
      <c r="AF380" s="50"/>
      <c r="AG380" s="50"/>
      <c r="AH380" s="50"/>
      <c r="AI380" s="50"/>
    </row>
    <row r="381" spans="22:35" x14ac:dyDescent="0.2">
      <c r="V381" s="20"/>
      <c r="W381" s="20"/>
      <c r="X381" s="20"/>
      <c r="Y381" s="20"/>
      <c r="Z381" s="50"/>
      <c r="AA381" s="50"/>
      <c r="AB381" s="50"/>
      <c r="AC381" s="50"/>
      <c r="AF381" s="50"/>
      <c r="AG381" s="50"/>
      <c r="AH381" s="50"/>
      <c r="AI381" s="50"/>
    </row>
    <row r="382" spans="22:35" x14ac:dyDescent="0.2">
      <c r="V382" s="20"/>
      <c r="W382" s="20"/>
      <c r="X382" s="20"/>
      <c r="Y382" s="20"/>
      <c r="Z382" s="50"/>
      <c r="AA382" s="50"/>
      <c r="AB382" s="50"/>
      <c r="AC382" s="50"/>
      <c r="AF382" s="50"/>
      <c r="AG382" s="50"/>
      <c r="AH382" s="50"/>
      <c r="AI382" s="50"/>
    </row>
    <row r="383" spans="22:35" x14ac:dyDescent="0.2">
      <c r="V383" s="20"/>
      <c r="W383" s="20"/>
      <c r="X383" s="20"/>
      <c r="Y383" s="20"/>
      <c r="Z383" s="50"/>
      <c r="AA383" s="50"/>
      <c r="AB383" s="50"/>
      <c r="AC383" s="50"/>
      <c r="AF383" s="50"/>
      <c r="AG383" s="50"/>
      <c r="AH383" s="50"/>
      <c r="AI383" s="50"/>
    </row>
    <row r="384" spans="22:35" x14ac:dyDescent="0.2">
      <c r="V384" s="20"/>
      <c r="W384" s="20"/>
      <c r="X384" s="20"/>
      <c r="Y384" s="20"/>
      <c r="Z384" s="50"/>
      <c r="AA384" s="50"/>
      <c r="AB384" s="50"/>
      <c r="AC384" s="50"/>
      <c r="AF384" s="50"/>
      <c r="AG384" s="50"/>
      <c r="AH384" s="50"/>
      <c r="AI384" s="50"/>
    </row>
    <row r="385" spans="22:35" x14ac:dyDescent="0.2">
      <c r="V385" s="20"/>
      <c r="W385" s="20"/>
      <c r="X385" s="20"/>
      <c r="Y385" s="20"/>
      <c r="Z385" s="50"/>
      <c r="AA385" s="50"/>
      <c r="AB385" s="50"/>
      <c r="AC385" s="50"/>
      <c r="AF385" s="50"/>
      <c r="AG385" s="50"/>
      <c r="AH385" s="50"/>
      <c r="AI385" s="50"/>
    </row>
    <row r="386" spans="22:35" x14ac:dyDescent="0.2">
      <c r="V386" s="20"/>
      <c r="W386" s="20"/>
      <c r="X386" s="20"/>
      <c r="Y386" s="20"/>
      <c r="Z386" s="50"/>
      <c r="AA386" s="50"/>
      <c r="AB386" s="50"/>
      <c r="AC386" s="50"/>
      <c r="AF386" s="50"/>
      <c r="AG386" s="50"/>
      <c r="AH386" s="50"/>
      <c r="AI386" s="50"/>
    </row>
    <row r="387" spans="22:35" x14ac:dyDescent="0.2">
      <c r="V387" s="20"/>
      <c r="W387" s="20"/>
      <c r="X387" s="20"/>
      <c r="Y387" s="20"/>
      <c r="Z387" s="50"/>
      <c r="AA387" s="50"/>
      <c r="AB387" s="50"/>
      <c r="AC387" s="50"/>
      <c r="AF387" s="50"/>
      <c r="AG387" s="50"/>
      <c r="AH387" s="50"/>
      <c r="AI387" s="50"/>
    </row>
    <row r="388" spans="22:35" x14ac:dyDescent="0.2">
      <c r="V388" s="20"/>
      <c r="W388" s="20"/>
      <c r="X388" s="20"/>
      <c r="Y388" s="20"/>
      <c r="Z388" s="50"/>
      <c r="AA388" s="50"/>
      <c r="AB388" s="50"/>
      <c r="AC388" s="50"/>
      <c r="AF388" s="50"/>
      <c r="AG388" s="50"/>
      <c r="AH388" s="50"/>
      <c r="AI388" s="50"/>
    </row>
    <row r="389" spans="22:35" x14ac:dyDescent="0.2">
      <c r="V389" s="20"/>
      <c r="W389" s="20"/>
      <c r="X389" s="20"/>
      <c r="Y389" s="20"/>
      <c r="Z389" s="50"/>
      <c r="AA389" s="50"/>
      <c r="AB389" s="50"/>
      <c r="AC389" s="50"/>
      <c r="AF389" s="50"/>
      <c r="AG389" s="50"/>
      <c r="AH389" s="50"/>
      <c r="AI389" s="50"/>
    </row>
    <row r="390" spans="22:35" x14ac:dyDescent="0.2">
      <c r="V390" s="20"/>
      <c r="W390" s="20"/>
      <c r="X390" s="20"/>
      <c r="Y390" s="20"/>
      <c r="Z390" s="50"/>
      <c r="AA390" s="50"/>
      <c r="AB390" s="50"/>
      <c r="AC390" s="50"/>
      <c r="AF390" s="50"/>
      <c r="AG390" s="50"/>
      <c r="AH390" s="50"/>
      <c r="AI390" s="50"/>
    </row>
    <row r="391" spans="22:35" x14ac:dyDescent="0.2">
      <c r="V391" s="20"/>
      <c r="W391" s="20"/>
      <c r="X391" s="20"/>
      <c r="Y391" s="20"/>
      <c r="Z391" s="50"/>
      <c r="AA391" s="50"/>
      <c r="AB391" s="50"/>
      <c r="AC391" s="50"/>
      <c r="AF391" s="50"/>
      <c r="AG391" s="50"/>
      <c r="AH391" s="50"/>
      <c r="AI391" s="50"/>
    </row>
    <row r="392" spans="22:35" x14ac:dyDescent="0.2">
      <c r="V392" s="20"/>
      <c r="W392" s="20"/>
      <c r="X392" s="20"/>
      <c r="Y392" s="20"/>
      <c r="Z392" s="50"/>
      <c r="AA392" s="50"/>
      <c r="AB392" s="50"/>
      <c r="AC392" s="50"/>
      <c r="AF392" s="50"/>
      <c r="AG392" s="50"/>
      <c r="AH392" s="50"/>
      <c r="AI392" s="50"/>
    </row>
    <row r="393" spans="22:35" x14ac:dyDescent="0.2">
      <c r="V393" s="20"/>
      <c r="W393" s="20"/>
      <c r="X393" s="20"/>
      <c r="Y393" s="20"/>
      <c r="Z393" s="50"/>
      <c r="AA393" s="50"/>
      <c r="AB393" s="50"/>
      <c r="AC393" s="50"/>
      <c r="AF393" s="50"/>
      <c r="AG393" s="50"/>
      <c r="AH393" s="50"/>
      <c r="AI393" s="50"/>
    </row>
    <row r="394" spans="22:35" x14ac:dyDescent="0.2">
      <c r="V394" s="20"/>
      <c r="W394" s="20"/>
      <c r="X394" s="20"/>
      <c r="Y394" s="20"/>
      <c r="Z394" s="50"/>
      <c r="AA394" s="50"/>
      <c r="AB394" s="50"/>
      <c r="AC394" s="50"/>
      <c r="AF394" s="50"/>
      <c r="AG394" s="50"/>
      <c r="AH394" s="50"/>
      <c r="AI394" s="50"/>
    </row>
    <row r="395" spans="22:35" x14ac:dyDescent="0.2">
      <c r="V395" s="20"/>
      <c r="W395" s="20"/>
      <c r="X395" s="20"/>
      <c r="Y395" s="20"/>
      <c r="Z395" s="50"/>
      <c r="AA395" s="50"/>
      <c r="AB395" s="50"/>
      <c r="AC395" s="50"/>
      <c r="AF395" s="50"/>
      <c r="AG395" s="50"/>
      <c r="AH395" s="50"/>
      <c r="AI395" s="50"/>
    </row>
    <row r="396" spans="22:35" x14ac:dyDescent="0.2">
      <c r="V396" s="20"/>
      <c r="W396" s="20"/>
      <c r="X396" s="20"/>
      <c r="Y396" s="20"/>
      <c r="Z396" s="50"/>
      <c r="AA396" s="50"/>
      <c r="AB396" s="50"/>
      <c r="AC396" s="50"/>
      <c r="AF396" s="50"/>
      <c r="AG396" s="50"/>
      <c r="AH396" s="50"/>
      <c r="AI396" s="50"/>
    </row>
    <row r="397" spans="22:35" x14ac:dyDescent="0.2">
      <c r="V397" s="20"/>
      <c r="W397" s="20"/>
      <c r="X397" s="20"/>
      <c r="Y397" s="20"/>
      <c r="Z397" s="50"/>
      <c r="AA397" s="50"/>
      <c r="AB397" s="50"/>
      <c r="AC397" s="50"/>
      <c r="AF397" s="50"/>
      <c r="AG397" s="50"/>
      <c r="AH397" s="50"/>
      <c r="AI397" s="50"/>
    </row>
    <row r="398" spans="22:35" x14ac:dyDescent="0.2">
      <c r="V398" s="20"/>
      <c r="W398" s="20"/>
      <c r="X398" s="20"/>
      <c r="Y398" s="20"/>
      <c r="Z398" s="50"/>
      <c r="AA398" s="50"/>
      <c r="AB398" s="50"/>
      <c r="AC398" s="50"/>
      <c r="AF398" s="50"/>
      <c r="AG398" s="50"/>
      <c r="AH398" s="50"/>
      <c r="AI398" s="50"/>
    </row>
    <row r="399" spans="22:35" x14ac:dyDescent="0.2">
      <c r="V399" s="20"/>
      <c r="W399" s="20"/>
      <c r="X399" s="20"/>
      <c r="Y399" s="20"/>
      <c r="Z399" s="50"/>
      <c r="AA399" s="50"/>
      <c r="AB399" s="50"/>
      <c r="AC399" s="50"/>
      <c r="AF399" s="50"/>
      <c r="AG399" s="50"/>
      <c r="AH399" s="50"/>
      <c r="AI399" s="50"/>
    </row>
    <row r="400" spans="22:35" x14ac:dyDescent="0.2">
      <c r="V400" s="20"/>
      <c r="W400" s="20"/>
      <c r="X400" s="20"/>
      <c r="Y400" s="20"/>
      <c r="Z400" s="50"/>
      <c r="AA400" s="50"/>
      <c r="AB400" s="50"/>
      <c r="AC400" s="50"/>
      <c r="AF400" s="50"/>
      <c r="AG400" s="50"/>
      <c r="AH400" s="50"/>
      <c r="AI400" s="50"/>
    </row>
    <row r="401" spans="22:35" x14ac:dyDescent="0.2">
      <c r="V401" s="20"/>
      <c r="W401" s="20"/>
      <c r="X401" s="20"/>
      <c r="Y401" s="20"/>
      <c r="Z401" s="50"/>
      <c r="AA401" s="50"/>
      <c r="AB401" s="50"/>
      <c r="AC401" s="50"/>
      <c r="AF401" s="50"/>
      <c r="AG401" s="50"/>
      <c r="AH401" s="50"/>
      <c r="AI401" s="50"/>
    </row>
    <row r="402" spans="22:35" x14ac:dyDescent="0.2">
      <c r="V402" s="20"/>
      <c r="W402" s="20"/>
      <c r="X402" s="20"/>
      <c r="Y402" s="20"/>
      <c r="Z402" s="50"/>
      <c r="AA402" s="50"/>
      <c r="AB402" s="50"/>
      <c r="AC402" s="50"/>
      <c r="AF402" s="50"/>
      <c r="AG402" s="50"/>
      <c r="AH402" s="50"/>
      <c r="AI402" s="50"/>
    </row>
    <row r="403" spans="22:35" x14ac:dyDescent="0.2">
      <c r="V403" s="20"/>
      <c r="W403" s="20"/>
      <c r="X403" s="20"/>
      <c r="Y403" s="20"/>
      <c r="Z403" s="50"/>
      <c r="AA403" s="50"/>
      <c r="AB403" s="50"/>
      <c r="AC403" s="50"/>
      <c r="AF403" s="50"/>
      <c r="AG403" s="50"/>
      <c r="AH403" s="50"/>
      <c r="AI403" s="50"/>
    </row>
    <row r="404" spans="22:35" x14ac:dyDescent="0.2">
      <c r="V404" s="20"/>
      <c r="W404" s="20"/>
      <c r="X404" s="20"/>
      <c r="Y404" s="20"/>
      <c r="Z404" s="50"/>
      <c r="AA404" s="50"/>
      <c r="AB404" s="50"/>
      <c r="AC404" s="50"/>
      <c r="AF404" s="50"/>
      <c r="AG404" s="50"/>
      <c r="AH404" s="50"/>
      <c r="AI404" s="50"/>
    </row>
    <row r="405" spans="22:35" x14ac:dyDescent="0.2">
      <c r="V405" s="20"/>
      <c r="W405" s="20"/>
      <c r="X405" s="20"/>
      <c r="Y405" s="20"/>
      <c r="Z405" s="50"/>
      <c r="AA405" s="50"/>
      <c r="AB405" s="50"/>
      <c r="AC405" s="50"/>
      <c r="AF405" s="50"/>
      <c r="AG405" s="50"/>
      <c r="AH405" s="50"/>
      <c r="AI405" s="50"/>
    </row>
    <row r="406" spans="22:35" x14ac:dyDescent="0.2">
      <c r="V406" s="20"/>
      <c r="W406" s="20"/>
      <c r="X406" s="20"/>
      <c r="Y406" s="20"/>
      <c r="Z406" s="50"/>
      <c r="AA406" s="50"/>
      <c r="AB406" s="50"/>
      <c r="AC406" s="50"/>
      <c r="AF406" s="50"/>
      <c r="AG406" s="50"/>
      <c r="AH406" s="50"/>
      <c r="AI406" s="50"/>
    </row>
    <row r="407" spans="22:35" x14ac:dyDescent="0.2">
      <c r="V407" s="20"/>
      <c r="W407" s="20"/>
      <c r="X407" s="20"/>
      <c r="Y407" s="20"/>
      <c r="Z407" s="50"/>
      <c r="AA407" s="50"/>
      <c r="AB407" s="50"/>
      <c r="AC407" s="50"/>
      <c r="AF407" s="50"/>
      <c r="AG407" s="50"/>
      <c r="AH407" s="50"/>
      <c r="AI407" s="50"/>
    </row>
    <row r="408" spans="22:35" x14ac:dyDescent="0.2">
      <c r="V408" s="20"/>
      <c r="W408" s="20"/>
      <c r="X408" s="20"/>
      <c r="Y408" s="20"/>
      <c r="AA408" s="50"/>
      <c r="AB408" s="50"/>
      <c r="AC408" s="50"/>
      <c r="AF408" s="50"/>
      <c r="AG408" s="50"/>
      <c r="AH408" s="50"/>
      <c r="AI408" s="50"/>
    </row>
    <row r="409" spans="22:35" x14ac:dyDescent="0.2">
      <c r="V409" s="20"/>
      <c r="W409" s="20"/>
      <c r="X409" s="20"/>
      <c r="Y409" s="20"/>
      <c r="AA409" s="50"/>
      <c r="AB409" s="50"/>
      <c r="AC409" s="50"/>
      <c r="AF409" s="50"/>
      <c r="AG409" s="50"/>
      <c r="AH409" s="50"/>
      <c r="AI409" s="50"/>
    </row>
    <row r="410" spans="22:35" x14ac:dyDescent="0.2">
      <c r="V410" s="20"/>
      <c r="W410" s="20"/>
      <c r="X410" s="20"/>
      <c r="Y410" s="20"/>
      <c r="AA410" s="50"/>
      <c r="AB410" s="50"/>
      <c r="AC410" s="50"/>
      <c r="AF410" s="50"/>
      <c r="AG410" s="50"/>
      <c r="AH410" s="50"/>
      <c r="AI410" s="50"/>
    </row>
    <row r="411" spans="22:35" x14ac:dyDescent="0.2">
      <c r="V411" s="20"/>
      <c r="W411" s="20"/>
      <c r="X411" s="20"/>
      <c r="Y411" s="20"/>
      <c r="AA411" s="50"/>
      <c r="AB411" s="50"/>
      <c r="AC411" s="50"/>
      <c r="AF411" s="50"/>
      <c r="AG411" s="50"/>
      <c r="AH411" s="50"/>
      <c r="AI411" s="50"/>
    </row>
    <row r="412" spans="22:35" x14ac:dyDescent="0.2">
      <c r="V412" s="20"/>
      <c r="W412" s="20"/>
      <c r="X412" s="20"/>
      <c r="Y412" s="20"/>
      <c r="AA412" s="50"/>
      <c r="AB412" s="50"/>
      <c r="AC412" s="50"/>
      <c r="AF412" s="50"/>
      <c r="AG412" s="50"/>
      <c r="AH412" s="50"/>
      <c r="AI412" s="50"/>
    </row>
    <row r="413" spans="22:35" x14ac:dyDescent="0.2">
      <c r="V413" s="20"/>
      <c r="W413" s="20"/>
      <c r="X413" s="20"/>
      <c r="Y413" s="20"/>
      <c r="AA413" s="50"/>
      <c r="AB413" s="50"/>
      <c r="AC413" s="50"/>
      <c r="AF413" s="50"/>
      <c r="AG413" s="50"/>
      <c r="AH413" s="50"/>
      <c r="AI413" s="50"/>
    </row>
    <row r="414" spans="22:35" x14ac:dyDescent="0.2">
      <c r="V414" s="20"/>
      <c r="W414" s="20"/>
      <c r="X414" s="20"/>
      <c r="Y414" s="20"/>
      <c r="AA414" s="50"/>
      <c r="AB414" s="50"/>
      <c r="AC414" s="50"/>
      <c r="AF414" s="50"/>
      <c r="AG414" s="50"/>
      <c r="AH414" s="50"/>
      <c r="AI414" s="50"/>
    </row>
    <row r="415" spans="22:35" x14ac:dyDescent="0.2">
      <c r="V415" s="20"/>
      <c r="W415" s="20"/>
      <c r="X415" s="20"/>
      <c r="Y415" s="20"/>
    </row>
    <row r="416" spans="22:35" x14ac:dyDescent="0.2">
      <c r="V416" s="20"/>
      <c r="W416" s="20"/>
      <c r="X416" s="20"/>
      <c r="Y416" s="20"/>
    </row>
    <row r="417" spans="22:25" x14ac:dyDescent="0.2">
      <c r="V417" s="20"/>
      <c r="W417" s="20"/>
      <c r="X417" s="20"/>
      <c r="Y417" s="20"/>
    </row>
    <row r="418" spans="22:25" x14ac:dyDescent="0.2">
      <c r="V418" s="20"/>
      <c r="W418" s="20"/>
      <c r="X418" s="20"/>
      <c r="Y418" s="20"/>
    </row>
    <row r="419" spans="22:25" x14ac:dyDescent="0.2">
      <c r="V419" s="20"/>
      <c r="W419" s="20"/>
      <c r="X419" s="20"/>
      <c r="Y419" s="20"/>
    </row>
    <row r="420" spans="22:25" x14ac:dyDescent="0.2">
      <c r="V420" s="20"/>
      <c r="W420" s="20"/>
      <c r="X420" s="20"/>
      <c r="Y420" s="20"/>
    </row>
    <row r="421" spans="22:25" x14ac:dyDescent="0.2">
      <c r="V421" s="20"/>
      <c r="W421" s="20"/>
      <c r="X421" s="20"/>
      <c r="Y421" s="20"/>
    </row>
    <row r="422" spans="22:25" x14ac:dyDescent="0.2">
      <c r="V422" s="20"/>
      <c r="W422" s="20"/>
      <c r="X422" s="20"/>
      <c r="Y422" s="20"/>
    </row>
    <row r="423" spans="22:25" x14ac:dyDescent="0.2">
      <c r="V423" s="20"/>
      <c r="W423" s="20"/>
      <c r="X423" s="20"/>
      <c r="Y423" s="20"/>
    </row>
    <row r="424" spans="22:25" x14ac:dyDescent="0.2">
      <c r="V424" s="20"/>
      <c r="W424" s="20"/>
      <c r="X424" s="20"/>
      <c r="Y424" s="20"/>
    </row>
    <row r="425" spans="22:25" x14ac:dyDescent="0.2">
      <c r="V425" s="20"/>
      <c r="W425" s="20"/>
      <c r="X425" s="20"/>
      <c r="Y425" s="20"/>
    </row>
    <row r="426" spans="22:25" x14ac:dyDescent="0.2">
      <c r="V426" s="20"/>
      <c r="W426" s="20"/>
      <c r="X426" s="20"/>
      <c r="Y426" s="20"/>
    </row>
    <row r="427" spans="22:25" x14ac:dyDescent="0.2">
      <c r="V427" s="20"/>
      <c r="W427" s="20"/>
      <c r="X427" s="20"/>
      <c r="Y427" s="20"/>
    </row>
    <row r="428" spans="22:25" x14ac:dyDescent="0.2">
      <c r="V428" s="20"/>
      <c r="W428" s="20"/>
      <c r="X428" s="20"/>
      <c r="Y428" s="20"/>
    </row>
    <row r="429" spans="22:25" x14ac:dyDescent="0.2">
      <c r="V429" s="20"/>
      <c r="W429" s="20"/>
      <c r="X429" s="20"/>
      <c r="Y429" s="20"/>
    </row>
    <row r="430" spans="22:25" x14ac:dyDescent="0.2">
      <c r="V430" s="20"/>
      <c r="W430" s="20"/>
      <c r="X430" s="20"/>
      <c r="Y430" s="20"/>
    </row>
    <row r="431" spans="22:25" x14ac:dyDescent="0.2">
      <c r="V431" s="20"/>
      <c r="W431" s="20"/>
      <c r="X431" s="20"/>
      <c r="Y431" s="20"/>
    </row>
    <row r="432" spans="22:25" x14ac:dyDescent="0.2">
      <c r="V432" s="20"/>
      <c r="W432" s="20"/>
      <c r="X432" s="20"/>
      <c r="Y432" s="20"/>
    </row>
    <row r="433" spans="22:25" x14ac:dyDescent="0.2">
      <c r="V433" s="20"/>
      <c r="W433" s="20"/>
      <c r="X433" s="20"/>
      <c r="Y433" s="20"/>
    </row>
    <row r="434" spans="22:25" x14ac:dyDescent="0.2">
      <c r="V434" s="20"/>
      <c r="W434" s="20"/>
      <c r="X434" s="20"/>
      <c r="Y434" s="20"/>
    </row>
    <row r="435" spans="22:25" x14ac:dyDescent="0.2">
      <c r="V435" s="20"/>
      <c r="W435" s="20"/>
      <c r="X435" s="20"/>
      <c r="Y435" s="20"/>
    </row>
    <row r="436" spans="22:25" x14ac:dyDescent="0.2">
      <c r="V436" s="20"/>
      <c r="W436" s="20"/>
      <c r="X436" s="20"/>
      <c r="Y436" s="20"/>
    </row>
  </sheetData>
  <sheetProtection formatCells="0" formatColumns="0" formatRows="0" insertColumns="0" insertRows="0" insertHyperlinks="0" deleteColumns="0" deleteRows="0" sort="0" autoFilter="0" pivotTables="0"/>
  <mergeCells count="10">
    <mergeCell ref="Z5:Z6"/>
    <mergeCell ref="W5:W6"/>
    <mergeCell ref="U5:U6"/>
    <mergeCell ref="B1:Q1"/>
    <mergeCell ref="B2:Q2"/>
    <mergeCell ref="B3:Q3"/>
    <mergeCell ref="Q5:Q6"/>
    <mergeCell ref="S5:S6"/>
    <mergeCell ref="D5:P5"/>
    <mergeCell ref="X4:Z4"/>
  </mergeCells>
  <phoneticPr fontId="0" type="noConversion"/>
  <conditionalFormatting sqref="D7:P9 D63:P76 J62:P62 D10:I10 P10 D11:P20 D23:P27 D21:K21 P21 L22:P22 D30:P61 O29:P29 D28:N28 P28:P29 N79:P79 D78:P78 D77:M77 P77 D80:P106">
    <cfRule type="cellIs" dxfId="14" priority="6" stopIfTrue="1" operator="greaterThan">
      <formula>30</formula>
    </cfRule>
    <cfRule type="cellIs" dxfId="13" priority="7" stopIfTrue="1" operator="between">
      <formula>0.1</formula>
      <formula>10</formula>
    </cfRule>
    <cfRule type="cellIs" dxfId="12" priority="8" stopIfTrue="1" operator="lessThan">
      <formula>0.1</formula>
    </cfRule>
  </conditionalFormatting>
  <conditionalFormatting sqref="U7:U106 W7:W106 S7:S106 Q7:Q106">
    <cfRule type="cellIs" dxfId="11" priority="4" stopIfTrue="1" operator="lessThan">
      <formula>0.5</formula>
    </cfRule>
    <cfRule type="cellIs" dxfId="10" priority="5" stopIfTrue="1" operator="lessThan">
      <formula>0.75</formula>
    </cfRule>
  </conditionalFormatting>
  <printOptions horizontalCentered="1"/>
  <pageMargins left="0.74803149606299213" right="0.74803149606299213" top="0.65" bottom="0.51" header="0.28000000000000003" footer="0.39"/>
  <pageSetup paperSize="9" scale="53" fitToHeight="2" orientation="landscape" horizontalDpi="4294967293" r:id="rId1"/>
  <headerFooter alignWithMargins="0"/>
  <rowBreaks count="1" manualBreakCount="1">
    <brk id="62" max="7" man="1"/>
  </rowBreaks>
  <ignoredErrors>
    <ignoredError sqref="S30:U81 S7:U21 S23:U28 S82:U106" formulaRange="1"/>
  </ignoredError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pageSetUpPr fitToPage="1"/>
  </sheetPr>
  <dimension ref="A1:AI372"/>
  <sheetViews>
    <sheetView workbookViewId="0">
      <pane xSplit="2" ySplit="6" topLeftCell="D7" activePane="bottomRight" state="frozen"/>
      <selection activeCell="W155" sqref="W155"/>
      <selection pane="topRight" activeCell="W155" sqref="W155"/>
      <selection pane="bottomLeft" activeCell="W155" sqref="W155"/>
      <selection pane="bottomRight" activeCell="AD7" sqref="AD7"/>
    </sheetView>
  </sheetViews>
  <sheetFormatPr defaultColWidth="9.140625" defaultRowHeight="11.25" x14ac:dyDescent="0.2"/>
  <cols>
    <col min="1" max="1" width="9.140625" style="10"/>
    <col min="2" max="2" width="18.140625" style="21" customWidth="1"/>
    <col min="3" max="3" width="18.140625" style="21" hidden="1" customWidth="1"/>
    <col min="4" max="15" width="18.140625" style="10" customWidth="1"/>
    <col min="16" max="17" width="18.140625" style="20" customWidth="1"/>
    <col min="18" max="18" width="11.7109375" style="21" customWidth="1"/>
    <col min="19" max="19" width="11.7109375" style="10" customWidth="1"/>
    <col min="20" max="20" width="11.7109375" style="21" customWidth="1"/>
    <col min="21" max="25" width="11.7109375" style="10" customWidth="1"/>
    <col min="26" max="26" width="11.7109375" style="39" customWidth="1"/>
    <col min="27" max="27" width="10.7109375" style="39" customWidth="1"/>
    <col min="28" max="28" width="21" style="39" bestFit="1" customWidth="1"/>
    <col min="29" max="29" width="10.7109375" style="39" customWidth="1"/>
    <col min="30" max="30" width="16.7109375" style="230" bestFit="1" customWidth="1"/>
    <col min="31" max="31" width="9.140625" style="230"/>
    <col min="32" max="32" width="12.42578125" style="39" bestFit="1" customWidth="1"/>
    <col min="33" max="35" width="9.140625" style="39"/>
    <col min="36" max="16384" width="9.140625" style="55"/>
  </cols>
  <sheetData>
    <row r="1" spans="2:35" ht="18" customHeight="1" thickTop="1" x14ac:dyDescent="0.2">
      <c r="B1" s="496" t="s">
        <v>448</v>
      </c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497"/>
      <c r="O1" s="497"/>
      <c r="P1" s="497"/>
      <c r="Q1" s="498"/>
      <c r="V1" s="2"/>
      <c r="W1" s="2"/>
      <c r="X1" s="2"/>
      <c r="Y1" s="2"/>
      <c r="Z1" s="31"/>
      <c r="AA1" s="31"/>
      <c r="AB1" s="93"/>
      <c r="AC1" s="93"/>
      <c r="AD1" s="206"/>
      <c r="AE1" s="206"/>
      <c r="AF1" s="93"/>
      <c r="AG1" s="93"/>
      <c r="AH1" s="93"/>
      <c r="AI1" s="31"/>
    </row>
    <row r="2" spans="2:35" ht="18" customHeight="1" x14ac:dyDescent="0.2">
      <c r="B2" s="499" t="s">
        <v>449</v>
      </c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  <c r="N2" s="500"/>
      <c r="O2" s="500"/>
      <c r="P2" s="500"/>
      <c r="Q2" s="501"/>
      <c r="V2" s="2"/>
      <c r="W2" s="2"/>
      <c r="X2" s="2"/>
      <c r="Y2" s="2"/>
      <c r="Z2" s="31"/>
      <c r="AA2" s="31"/>
      <c r="AB2" s="93"/>
      <c r="AC2" s="93"/>
      <c r="AD2" s="206"/>
      <c r="AE2" s="206"/>
      <c r="AF2" s="93"/>
      <c r="AG2" s="93"/>
      <c r="AH2" s="93"/>
      <c r="AI2" s="31"/>
    </row>
    <row r="3" spans="2:35" ht="18" customHeight="1" thickBot="1" x14ac:dyDescent="0.25">
      <c r="B3" s="502" t="s">
        <v>465</v>
      </c>
      <c r="C3" s="503"/>
      <c r="D3" s="503"/>
      <c r="E3" s="503"/>
      <c r="F3" s="503"/>
      <c r="G3" s="503"/>
      <c r="H3" s="503"/>
      <c r="I3" s="503"/>
      <c r="J3" s="503"/>
      <c r="K3" s="503"/>
      <c r="L3" s="503"/>
      <c r="M3" s="503"/>
      <c r="N3" s="503"/>
      <c r="O3" s="503"/>
      <c r="P3" s="503"/>
      <c r="Q3" s="504"/>
      <c r="V3" s="2"/>
      <c r="W3" s="2"/>
      <c r="X3" s="2"/>
      <c r="Y3" s="2"/>
      <c r="Z3" s="31"/>
      <c r="AA3" s="31"/>
      <c r="AB3" s="94"/>
      <c r="AC3" s="94"/>
      <c r="AD3" s="206"/>
      <c r="AE3" s="206"/>
      <c r="AF3" s="94"/>
      <c r="AG3" s="94"/>
      <c r="AH3" s="94"/>
      <c r="AI3" s="31"/>
    </row>
    <row r="4" spans="2:35" ht="14.25" thickTop="1" thickBot="1" x14ac:dyDescent="0.25">
      <c r="R4" s="21" t="s">
        <v>497</v>
      </c>
      <c r="S4" s="21"/>
      <c r="T4" s="21" t="s">
        <v>498</v>
      </c>
      <c r="V4" s="1"/>
      <c r="W4" s="1"/>
      <c r="X4" s="449" t="s">
        <v>508</v>
      </c>
      <c r="Y4" s="449"/>
      <c r="Z4" s="449"/>
      <c r="AA4" s="31"/>
      <c r="AB4" s="31"/>
      <c r="AC4" s="31"/>
      <c r="AD4" s="206"/>
      <c r="AE4" s="206"/>
      <c r="AF4" s="31"/>
      <c r="AG4" s="31"/>
      <c r="AH4" s="31"/>
      <c r="AI4" s="31"/>
    </row>
    <row r="5" spans="2:35" ht="14.25" customHeight="1" thickTop="1" thickBot="1" x14ac:dyDescent="0.25">
      <c r="B5" s="106"/>
      <c r="C5" s="106"/>
      <c r="D5" s="507" t="s">
        <v>451</v>
      </c>
      <c r="E5" s="508"/>
      <c r="F5" s="508"/>
      <c r="G5" s="508"/>
      <c r="H5" s="508"/>
      <c r="I5" s="508"/>
      <c r="J5" s="508"/>
      <c r="K5" s="508"/>
      <c r="L5" s="508"/>
      <c r="M5" s="508"/>
      <c r="N5" s="508"/>
      <c r="O5" s="508"/>
      <c r="P5" s="509"/>
      <c r="Q5" s="505" t="s">
        <v>452</v>
      </c>
      <c r="R5" s="139" t="s">
        <v>461</v>
      </c>
      <c r="S5" s="450" t="s">
        <v>452</v>
      </c>
      <c r="T5" s="139" t="s">
        <v>460</v>
      </c>
      <c r="U5" s="450" t="s">
        <v>452</v>
      </c>
      <c r="V5" s="139" t="s">
        <v>494</v>
      </c>
      <c r="W5" s="450" t="s">
        <v>452</v>
      </c>
      <c r="X5" s="139" t="s">
        <v>461</v>
      </c>
      <c r="Y5" s="139" t="s">
        <v>460</v>
      </c>
      <c r="Z5" s="450" t="s">
        <v>509</v>
      </c>
      <c r="AA5" s="107"/>
      <c r="AB5" s="95"/>
      <c r="AC5" s="96"/>
      <c r="AD5" s="96"/>
      <c r="AE5" s="96"/>
      <c r="AF5" s="96"/>
      <c r="AG5" s="96"/>
      <c r="AH5" s="96"/>
      <c r="AI5" s="97"/>
    </row>
    <row r="6" spans="2:35" ht="14.25" customHeight="1" thickTop="1" thickBot="1" x14ac:dyDescent="0.25">
      <c r="B6" s="69" t="s">
        <v>453</v>
      </c>
      <c r="C6" s="70">
        <v>39417</v>
      </c>
      <c r="D6" s="70">
        <v>39448</v>
      </c>
      <c r="E6" s="70">
        <v>39479</v>
      </c>
      <c r="F6" s="70">
        <v>39508</v>
      </c>
      <c r="G6" s="70">
        <v>39539</v>
      </c>
      <c r="H6" s="70">
        <v>39569</v>
      </c>
      <c r="I6" s="70">
        <v>39600</v>
      </c>
      <c r="J6" s="70">
        <v>39630</v>
      </c>
      <c r="K6" s="70">
        <v>39661</v>
      </c>
      <c r="L6" s="70">
        <v>39692</v>
      </c>
      <c r="M6" s="70">
        <v>39722</v>
      </c>
      <c r="N6" s="70">
        <v>39753</v>
      </c>
      <c r="O6" s="70">
        <v>39783</v>
      </c>
      <c r="P6" s="5" t="s">
        <v>459</v>
      </c>
      <c r="Q6" s="506"/>
      <c r="R6" s="149" t="s">
        <v>454</v>
      </c>
      <c r="S6" s="495"/>
      <c r="T6" s="149" t="s">
        <v>454</v>
      </c>
      <c r="U6" s="495"/>
      <c r="V6" s="149" t="s">
        <v>454</v>
      </c>
      <c r="W6" s="495"/>
      <c r="X6" s="149" t="s">
        <v>454</v>
      </c>
      <c r="Y6" s="149" t="s">
        <v>454</v>
      </c>
      <c r="Z6" s="495"/>
      <c r="AA6" s="31"/>
      <c r="AB6" s="98" t="s">
        <v>166</v>
      </c>
      <c r="AC6" s="34" t="s">
        <v>476</v>
      </c>
      <c r="AD6" s="34" t="s">
        <v>1087</v>
      </c>
      <c r="AE6" s="34" t="s">
        <v>1088</v>
      </c>
      <c r="AF6" s="34" t="s">
        <v>472</v>
      </c>
      <c r="AG6" s="34" t="s">
        <v>474</v>
      </c>
      <c r="AH6" s="34" t="s">
        <v>473</v>
      </c>
      <c r="AI6" s="99" t="s">
        <v>475</v>
      </c>
    </row>
    <row r="7" spans="2:35" ht="12" customHeight="1" thickTop="1" x14ac:dyDescent="0.2">
      <c r="B7" s="71" t="s">
        <v>2</v>
      </c>
      <c r="C7" s="58">
        <f>IF(VLOOKUP($B7,'Monthly Summary 2007'!$B$7:$U$62,14,FALSE)&gt;0,VLOOKUP($B7,'Monthly Summary 2007'!$B$7:$U$62,14,FALSE),"")</f>
        <v>12.235602094240837</v>
      </c>
      <c r="D7" s="72">
        <v>14.060209424083768</v>
      </c>
      <c r="E7" s="73">
        <v>14.1</v>
      </c>
      <c r="F7" s="73">
        <v>20.7</v>
      </c>
      <c r="G7" s="73">
        <v>27</v>
      </c>
      <c r="H7" s="73">
        <v>23.2</v>
      </c>
      <c r="I7" s="73">
        <v>47.3</v>
      </c>
      <c r="J7" s="73">
        <v>29.7</v>
      </c>
      <c r="K7" s="73">
        <v>26</v>
      </c>
      <c r="L7" s="73">
        <v>24.8</v>
      </c>
      <c r="M7" s="73">
        <v>21.5</v>
      </c>
      <c r="N7" s="73">
        <v>16.8</v>
      </c>
      <c r="O7" s="73">
        <v>16.2</v>
      </c>
      <c r="P7" s="74">
        <f t="shared" ref="P7:P62" si="0">AVERAGE(D7:O7)</f>
        <v>23.446684118673645</v>
      </c>
      <c r="Q7" s="164">
        <f t="shared" ref="Q7:Q62" si="1">COUNT(D7:O7)/COUNT($D$6:$O$6)</f>
        <v>1</v>
      </c>
      <c r="R7" s="140">
        <f>IF($S7=0%,"",IF($S7&gt;66%,AVERAGE($D7:$F7),"-"))</f>
        <v>16.286736474694589</v>
      </c>
      <c r="S7" s="150">
        <f>COUNT(D7:F7)/3</f>
        <v>1</v>
      </c>
      <c r="T7" s="140">
        <f>IF($U7=0%,"",IF($U7&gt;66%,AVERAGE($J7:$L7),"-"))</f>
        <v>26.833333333333332</v>
      </c>
      <c r="U7" s="9">
        <f>COUNT(J7:L7)/3</f>
        <v>1</v>
      </c>
      <c r="V7" s="141">
        <f>IF(AND(($S7&gt;33%),($U7&gt;33%),($W7&gt;=75%)),AVERAGE($D7:$O7),"-")</f>
        <v>23.446684118673645</v>
      </c>
      <c r="W7" s="142">
        <f>Q7</f>
        <v>1</v>
      </c>
      <c r="X7" s="144">
        <f t="shared" ref="X7:X39" si="2">IF(VLOOKUP($B7,$AC$6:$AI$159,3,FALSE)="",$R7,IF(ISERROR(AVERAGEIF($AD$6:$AD$67,VLOOKUP($B7,$AC$6:$AI$159,2,FALSE),$R$6:$R$159)),"",AVERAGEIF($AD$6:$AD$67,VLOOKUP($B7,$AC$6:$AI$159,2,FALSE),$R$6:$R$159)))</f>
        <v>16.286736474694589</v>
      </c>
      <c r="Y7" s="144">
        <f t="shared" ref="Y7:Y39" si="3">IF(VLOOKUP($B7,$AC$6:$AI$159,3,FALSE)="",$T7,IF(ISERROR(AVERAGEIF($AD$6:$AD$67,VLOOKUP($B7,$AC$6:$AI$159,2,FALSE),$T$6:$T$159)),"",AVERAGEIF($AD$6:$AD$67,VLOOKUP($B7,$AC$6:$AI$159,2,FALSE),$T$6:$T$159)))</f>
        <v>26.833333333333332</v>
      </c>
      <c r="Z7" s="144">
        <f t="shared" ref="Z7:Z39" si="4">IF(VLOOKUP($B7,$AC$6:$AI$159,3,FALSE)="",$V7,IF(ISERROR(AVERAGEIF($AD$6:$AD$67,VLOOKUP($B7,$AC$6:$AI$159,2,FALSE),$V$6:$V$159)),"",AVERAGEIF($AD$6:$AD$67,VLOOKUP($B7,$AC$6:$AI$159,2,FALSE),$V$6:$V$159)))</f>
        <v>23.446684118673645</v>
      </c>
      <c r="AA7" s="10"/>
      <c r="AB7" s="100" t="str">
        <f>VLOOKUP($B7,'2007-2020 Metadata'!$A$4:$S$214,MATCH("Urban Area /Monitoring Zone",'2007-2020 Metadata'!$A$4:$S$4,0),FALSE)</f>
        <v>Whangarei</v>
      </c>
      <c r="AC7" s="87" t="str">
        <f>VLOOKUP(B7,'2007-2020 Metadata'!$A$6:$A$214,1,FALSE)</f>
        <v>AUC001</v>
      </c>
      <c r="AD7" s="230" t="str">
        <f>VLOOKUP($AC7,'2007-2020 Metadata'!$A$6:$S$214,9,FALSE)</f>
        <v>Whangarei</v>
      </c>
      <c r="AE7" s="248">
        <f>IF(ISBLANK(VLOOKUP($AC7,'2007-2020 Metadata'!$A$6:$S$214,19,FALSE)),"",VLOOKUP($AC7,'2007-2020 Metadata'!$A$6:$S$214,19,FALSE))</f>
        <v>3.2</v>
      </c>
      <c r="AF7" s="88" t="str">
        <f>VLOOKUP($B7,'2007-2020 Metadata'!$A$4:$S$214,MATCH("Site type",'2007-2020 Metadata'!$A$4:$S$4,0),FALSE)</f>
        <v>SH</v>
      </c>
      <c r="AG7" s="143">
        <f>MIN($D7:$O7)</f>
        <v>14.060209424083768</v>
      </c>
      <c r="AH7" s="143">
        <f>MAX($D7:$O7)</f>
        <v>47.3</v>
      </c>
      <c r="AI7" s="144">
        <f>IF($W7&gt;=75%,$Z7," ")</f>
        <v>23.446684118673645</v>
      </c>
    </row>
    <row r="8" spans="2:35" ht="12" customHeight="1" x14ac:dyDescent="0.2">
      <c r="B8" s="71" t="s">
        <v>3</v>
      </c>
      <c r="C8" s="58">
        <f>IF(VLOOKUP($B8,'Monthly Summary 2007'!$B$7:$U$62,14,FALSE)&gt;0,VLOOKUP($B8,'Monthly Summary 2007'!$B$7:$U$62,14,FALSE),"")</f>
        <v>10.19633507853403</v>
      </c>
      <c r="D8" s="72">
        <v>10.410994764397905</v>
      </c>
      <c r="E8" s="73">
        <v>8.4</v>
      </c>
      <c r="F8" s="73"/>
      <c r="G8" s="73">
        <v>31.6</v>
      </c>
      <c r="H8" s="73">
        <v>30.6</v>
      </c>
      <c r="I8" s="73">
        <v>14.6</v>
      </c>
      <c r="J8" s="73">
        <v>14.5</v>
      </c>
      <c r="K8" s="73">
        <v>11.5</v>
      </c>
      <c r="L8" s="73">
        <v>10.1</v>
      </c>
      <c r="M8" s="73">
        <v>17.3</v>
      </c>
      <c r="N8" s="73">
        <v>9.5</v>
      </c>
      <c r="O8" s="73">
        <v>10.4</v>
      </c>
      <c r="P8" s="74">
        <f t="shared" si="0"/>
        <v>15.355544978581628</v>
      </c>
      <c r="Q8" s="38">
        <f t="shared" si="1"/>
        <v>0.91666666666666663</v>
      </c>
      <c r="R8" s="140">
        <f t="shared" ref="R8:R62" si="5">IF($S8=0%,"",IF($S8&gt;66%,AVERAGE($D8:$F8),"-"))</f>
        <v>9.405497382198952</v>
      </c>
      <c r="S8" s="150">
        <f t="shared" ref="S8:S62" si="6">COUNT(D8:F8)/3</f>
        <v>0.66666666666666663</v>
      </c>
      <c r="T8" s="140">
        <f t="shared" ref="T8:T62" si="7">IF($U8=0%,"",IF($U8&gt;66%,AVERAGE($J8:$L8),"-"))</f>
        <v>12.033333333333333</v>
      </c>
      <c r="U8" s="9">
        <f t="shared" ref="U8:U62" si="8">COUNT(J8:L8)/3</f>
        <v>1</v>
      </c>
      <c r="V8" s="141">
        <f t="shared" ref="V8:V62" si="9">IF(AND(($S8&gt;33%),($U8&gt;33%),($W8&gt;=75%)),AVERAGE($D8:$O8),"-")</f>
        <v>15.355544978581628</v>
      </c>
      <c r="W8" s="142">
        <f t="shared" ref="W8:W62" si="10">Q8</f>
        <v>0.91666666666666663</v>
      </c>
      <c r="X8" s="144">
        <f t="shared" si="2"/>
        <v>9.405497382198952</v>
      </c>
      <c r="Y8" s="144">
        <f t="shared" si="3"/>
        <v>12.033333333333333</v>
      </c>
      <c r="Z8" s="144">
        <f t="shared" si="4"/>
        <v>15.355544978581628</v>
      </c>
      <c r="AA8" s="10"/>
      <c r="AB8" s="357" t="str">
        <f>VLOOKUP($B8,'2007-2020 Metadata'!$A$4:$S$214,MATCH("Urban Area /Monitoring Zone",'2007-2020 Metadata'!$A$4:$S$4,0),FALSE)</f>
        <v>Auckland - Northern</v>
      </c>
      <c r="AC8" s="87" t="str">
        <f>VLOOKUP(B8,'2007-2020 Metadata'!$A$6:$A$214,1,FALSE)</f>
        <v>AUC004</v>
      </c>
      <c r="AD8" s="230" t="str">
        <f>VLOOKUP($AC8,'2007-2020 Metadata'!$A$6:$S$214,9,FALSE)</f>
        <v>Rodney</v>
      </c>
      <c r="AE8" s="248">
        <f>IF(ISBLANK(VLOOKUP($AC8,'2007-2020 Metadata'!$A$6:$S$214,19,FALSE)),"",VLOOKUP($AC8,'2007-2020 Metadata'!$A$6:$S$214,19,FALSE))</f>
        <v>2.5</v>
      </c>
      <c r="AF8" s="88" t="str">
        <f>VLOOKUP($B8,'2007-2020 Metadata'!$A$4:$S$214,MATCH("Site type",'2007-2020 Metadata'!$A$4:$S$4,0),FALSE)</f>
        <v>SH</v>
      </c>
      <c r="AG8" s="143">
        <f t="shared" ref="AG8:AG62" si="11">MIN($D8:$O8)</f>
        <v>8.4</v>
      </c>
      <c r="AH8" s="143">
        <f t="shared" ref="AH8:AH62" si="12">MAX($D8:$O8)</f>
        <v>31.6</v>
      </c>
      <c r="AI8" s="144">
        <f t="shared" ref="AI8:AI62" si="13">IF($W8&gt;=75%,$Z8," ")</f>
        <v>15.355544978581628</v>
      </c>
    </row>
    <row r="9" spans="2:35" ht="12" customHeight="1" x14ac:dyDescent="0.2">
      <c r="B9" s="71" t="s">
        <v>4</v>
      </c>
      <c r="C9" s="58">
        <f>IF(VLOOKUP($B9,'Monthly Summary 2007'!$B$7:$U$62,14,FALSE)&gt;0,VLOOKUP($B9,'Monthly Summary 2007'!$B$7:$U$62,14,FALSE),"")</f>
        <v>14.489528795811518</v>
      </c>
      <c r="D9" s="72">
        <v>16.528795811518325</v>
      </c>
      <c r="E9" s="73">
        <v>21.3</v>
      </c>
      <c r="F9" s="73">
        <v>22.6</v>
      </c>
      <c r="G9" s="73">
        <v>30.9</v>
      </c>
      <c r="H9" s="73">
        <v>45.1</v>
      </c>
      <c r="I9" s="73">
        <v>32</v>
      </c>
      <c r="J9" s="73">
        <v>25.2</v>
      </c>
      <c r="K9" s="73">
        <v>28.2</v>
      </c>
      <c r="L9" s="73">
        <v>23.8</v>
      </c>
      <c r="M9" s="73">
        <v>26.7</v>
      </c>
      <c r="N9" s="73">
        <v>17.3</v>
      </c>
      <c r="O9" s="73">
        <v>19.7</v>
      </c>
      <c r="P9" s="74">
        <f t="shared" si="0"/>
        <v>25.777399650959861</v>
      </c>
      <c r="Q9" s="38">
        <f t="shared" si="1"/>
        <v>1</v>
      </c>
      <c r="R9" s="140">
        <f t="shared" si="5"/>
        <v>20.142931937172776</v>
      </c>
      <c r="S9" s="150">
        <f t="shared" si="6"/>
        <v>1</v>
      </c>
      <c r="T9" s="140">
        <f t="shared" si="7"/>
        <v>25.733333333333334</v>
      </c>
      <c r="U9" s="9">
        <f t="shared" si="8"/>
        <v>1</v>
      </c>
      <c r="V9" s="141">
        <f t="shared" si="9"/>
        <v>25.777399650959861</v>
      </c>
      <c r="W9" s="142">
        <f t="shared" si="10"/>
        <v>1</v>
      </c>
      <c r="X9" s="144">
        <f t="shared" si="2"/>
        <v>21.115939499709132</v>
      </c>
      <c r="Y9" s="144">
        <f t="shared" si="3"/>
        <v>26.011111111111109</v>
      </c>
      <c r="Z9" s="144">
        <f t="shared" si="4"/>
        <v>26.212318208260616</v>
      </c>
      <c r="AA9" s="10"/>
      <c r="AB9" s="357" t="str">
        <f>VLOOKUP($B9,'2007-2020 Metadata'!$A$4:$S$214,MATCH("Urban Area /Monitoring Zone",'2007-2020 Metadata'!$A$4:$S$4,0),FALSE)</f>
        <v>Auckland - Northern</v>
      </c>
      <c r="AC9" s="87" t="str">
        <f>VLOOKUP(B9,'2007-2020 Metadata'!$A$6:$A$214,1,FALSE)</f>
        <v>AUC005</v>
      </c>
      <c r="AD9" s="230" t="str">
        <f>VLOOKUP($AC9,'2007-2020 Metadata'!$A$6:$S$214,9,FALSE)</f>
        <v xml:space="preserve">North Shore </v>
      </c>
      <c r="AE9" s="248">
        <f>IF(ISBLANK(VLOOKUP($AC9,'2007-2020 Metadata'!$A$6:$S$214,19,FALSE)),"",VLOOKUP($AC9,'2007-2020 Metadata'!$A$6:$S$214,19,FALSE))</f>
        <v>2.1</v>
      </c>
      <c r="AF9" s="88" t="str">
        <f>VLOOKUP($B9,'2007-2020 Metadata'!$A$4:$S$214,MATCH("Site type",'2007-2020 Metadata'!$A$4:$S$4,0),FALSE)</f>
        <v>Local</v>
      </c>
      <c r="AG9" s="143">
        <f t="shared" si="11"/>
        <v>16.528795811518325</v>
      </c>
      <c r="AH9" s="143">
        <f t="shared" si="12"/>
        <v>45.1</v>
      </c>
      <c r="AI9" s="144">
        <f t="shared" si="13"/>
        <v>26.212318208260616</v>
      </c>
    </row>
    <row r="10" spans="2:35" ht="12" customHeight="1" x14ac:dyDescent="0.2">
      <c r="B10" s="71" t="s">
        <v>5</v>
      </c>
      <c r="C10" s="58">
        <f>IF(VLOOKUP($B10,'Monthly Summary 2007'!$B$7:$U$62,14,FALSE)&gt;0,VLOOKUP($B10,'Monthly Summary 2007'!$B$7:$U$62,14,FALSE),"")</f>
        <v>13.630890052356019</v>
      </c>
      <c r="D10" s="72">
        <v>20.178010471204185</v>
      </c>
      <c r="E10" s="73">
        <v>22.6</v>
      </c>
      <c r="F10" s="73">
        <v>21.9</v>
      </c>
      <c r="G10" s="73">
        <v>33.700000000000003</v>
      </c>
      <c r="H10" s="73">
        <v>30</v>
      </c>
      <c r="I10" s="73">
        <v>43.8</v>
      </c>
      <c r="J10" s="73">
        <v>41.9</v>
      </c>
      <c r="K10" s="73">
        <v>35.799999999999997</v>
      </c>
      <c r="L10" s="73">
        <v>17.100000000000001</v>
      </c>
      <c r="M10" s="73">
        <v>27.6</v>
      </c>
      <c r="N10" s="73">
        <v>23.8</v>
      </c>
      <c r="O10" s="73">
        <v>16.399999999999999</v>
      </c>
      <c r="P10" s="74">
        <f t="shared" si="0"/>
        <v>27.898167539267018</v>
      </c>
      <c r="Q10" s="38">
        <f t="shared" si="1"/>
        <v>1</v>
      </c>
      <c r="R10" s="140">
        <f t="shared" si="5"/>
        <v>21.559336823734725</v>
      </c>
      <c r="S10" s="150">
        <f t="shared" si="6"/>
        <v>1</v>
      </c>
      <c r="T10" s="140">
        <f t="shared" si="7"/>
        <v>31.599999999999994</v>
      </c>
      <c r="U10" s="9">
        <f t="shared" si="8"/>
        <v>1</v>
      </c>
      <c r="V10" s="141">
        <f t="shared" si="9"/>
        <v>27.898167539267018</v>
      </c>
      <c r="W10" s="142">
        <f t="shared" si="10"/>
        <v>1</v>
      </c>
      <c r="X10" s="144">
        <f t="shared" si="2"/>
        <v>21.115939499709132</v>
      </c>
      <c r="Y10" s="144">
        <f t="shared" si="3"/>
        <v>26.011111111111109</v>
      </c>
      <c r="Z10" s="144">
        <f t="shared" si="4"/>
        <v>26.212318208260616</v>
      </c>
      <c r="AA10" s="10"/>
      <c r="AB10" s="357" t="str">
        <f>VLOOKUP($B10,'2007-2020 Metadata'!$A$4:$S$214,MATCH("Urban Area /Monitoring Zone",'2007-2020 Metadata'!$A$4:$S$4,0),FALSE)</f>
        <v>Auckland - Northern</v>
      </c>
      <c r="AC10" s="87" t="str">
        <f>VLOOKUP(B10,'2007-2020 Metadata'!$A$6:$A$214,1,FALSE)</f>
        <v>AUC006</v>
      </c>
      <c r="AD10" s="230" t="str">
        <f>VLOOKUP($AC10,'2007-2020 Metadata'!$A$6:$S$214,9,FALSE)</f>
        <v xml:space="preserve">North Shore </v>
      </c>
      <c r="AE10" s="248">
        <f>IF(ISBLANK(VLOOKUP($AC10,'2007-2020 Metadata'!$A$6:$S$214,19,FALSE)),"",VLOOKUP($AC10,'2007-2020 Metadata'!$A$6:$S$214,19,FALSE))</f>
        <v>3</v>
      </c>
      <c r="AF10" s="88" t="str">
        <f>VLOOKUP($B10,'2007-2020 Metadata'!$A$4:$S$214,MATCH("Site type",'2007-2020 Metadata'!$A$4:$S$4,0),FALSE)</f>
        <v>SH</v>
      </c>
      <c r="AG10" s="143">
        <f t="shared" si="11"/>
        <v>16.399999999999999</v>
      </c>
      <c r="AH10" s="143">
        <f t="shared" si="12"/>
        <v>43.8</v>
      </c>
      <c r="AI10" s="144">
        <f t="shared" si="13"/>
        <v>26.212318208260616</v>
      </c>
    </row>
    <row r="11" spans="2:35" ht="12" customHeight="1" x14ac:dyDescent="0.2">
      <c r="B11" s="71" t="s">
        <v>6</v>
      </c>
      <c r="C11" s="58">
        <f>IF(VLOOKUP($B11,'Monthly Summary 2007'!$B$7:$U$62,14,FALSE)&gt;0,VLOOKUP($B11,'Monthly Summary 2007'!$B$7:$U$62,14,FALSE),"")</f>
        <v>20.821989528795811</v>
      </c>
      <c r="D11" s="72">
        <v>21.036649214659686</v>
      </c>
      <c r="E11" s="73">
        <v>19.3</v>
      </c>
      <c r="F11" s="73">
        <v>24.6</v>
      </c>
      <c r="G11" s="73">
        <v>33.5</v>
      </c>
      <c r="H11" s="73">
        <v>37.299999999999997</v>
      </c>
      <c r="I11" s="73">
        <v>32.799999999999997</v>
      </c>
      <c r="J11" s="73">
        <v>26.5</v>
      </c>
      <c r="K11" s="73">
        <v>24.5</v>
      </c>
      <c r="L11" s="73">
        <v>11.1</v>
      </c>
      <c r="M11" s="73">
        <v>15.9</v>
      </c>
      <c r="N11" s="73">
        <v>22.6</v>
      </c>
      <c r="O11" s="73">
        <v>30.4</v>
      </c>
      <c r="P11" s="74">
        <f t="shared" si="0"/>
        <v>24.961387434554975</v>
      </c>
      <c r="Q11" s="38">
        <f t="shared" si="1"/>
        <v>1</v>
      </c>
      <c r="R11" s="140">
        <f t="shared" si="5"/>
        <v>21.645549738219898</v>
      </c>
      <c r="S11" s="150">
        <f t="shared" si="6"/>
        <v>1</v>
      </c>
      <c r="T11" s="140">
        <f t="shared" si="7"/>
        <v>20.7</v>
      </c>
      <c r="U11" s="9">
        <f t="shared" si="8"/>
        <v>1</v>
      </c>
      <c r="V11" s="141">
        <f t="shared" si="9"/>
        <v>24.961387434554975</v>
      </c>
      <c r="W11" s="142">
        <f t="shared" si="10"/>
        <v>1</v>
      </c>
      <c r="X11" s="144">
        <f t="shared" si="2"/>
        <v>21.115939499709132</v>
      </c>
      <c r="Y11" s="144">
        <f t="shared" si="3"/>
        <v>26.011111111111109</v>
      </c>
      <c r="Z11" s="144">
        <f t="shared" si="4"/>
        <v>26.212318208260616</v>
      </c>
      <c r="AA11" s="10"/>
      <c r="AB11" s="357" t="str">
        <f>VLOOKUP($B11,'2007-2020 Metadata'!$A$4:$S$214,MATCH("Urban Area /Monitoring Zone",'2007-2020 Metadata'!$A$4:$S$4,0),FALSE)</f>
        <v>Auckland - Northern</v>
      </c>
      <c r="AC11" s="87" t="str">
        <f>VLOOKUP(B11,'2007-2020 Metadata'!$A$6:$A$214,1,FALSE)</f>
        <v>AUC007</v>
      </c>
      <c r="AD11" s="230" t="str">
        <f>VLOOKUP($AC11,'2007-2020 Metadata'!$A$6:$S$214,9,FALSE)</f>
        <v xml:space="preserve">North Shore </v>
      </c>
      <c r="AE11" s="248">
        <f>IF(ISBLANK(VLOOKUP($AC11,'2007-2020 Metadata'!$A$6:$S$214,19,FALSE)),"",VLOOKUP($AC11,'2007-2020 Metadata'!$A$6:$S$214,19,FALSE))</f>
        <v>3</v>
      </c>
      <c r="AF11" s="88" t="str">
        <f>VLOOKUP($B11,'2007-2020 Metadata'!$A$4:$S$214,MATCH("Site type",'2007-2020 Metadata'!$A$4:$S$4,0),FALSE)</f>
        <v>SH</v>
      </c>
      <c r="AG11" s="143">
        <f t="shared" si="11"/>
        <v>11.1</v>
      </c>
      <c r="AH11" s="143">
        <f t="shared" si="12"/>
        <v>37.299999999999997</v>
      </c>
      <c r="AI11" s="144">
        <f t="shared" si="13"/>
        <v>26.212318208260616</v>
      </c>
    </row>
    <row r="12" spans="2:35" ht="12" customHeight="1" x14ac:dyDescent="0.2">
      <c r="B12" s="71" t="s">
        <v>7</v>
      </c>
      <c r="C12" s="58">
        <f>IF(VLOOKUP($B12,'Monthly Summary 2007'!$B$7:$U$62,14,FALSE)&gt;0,VLOOKUP($B12,'Monthly Summary 2007'!$B$7:$U$62,14,FALSE),"")</f>
        <v>19.426701570680628</v>
      </c>
      <c r="D12" s="72">
        <v>23.290575916230367</v>
      </c>
      <c r="E12" s="73">
        <v>20.399999999999999</v>
      </c>
      <c r="F12" s="73">
        <v>29.7</v>
      </c>
      <c r="G12" s="73">
        <v>34.5</v>
      </c>
      <c r="H12" s="73">
        <v>36</v>
      </c>
      <c r="I12" s="73">
        <v>35.200000000000003</v>
      </c>
      <c r="J12" s="73">
        <v>32.299999999999997</v>
      </c>
      <c r="K12" s="73">
        <v>30.6</v>
      </c>
      <c r="L12" s="73">
        <v>14.5</v>
      </c>
      <c r="M12" s="73">
        <v>22.9</v>
      </c>
      <c r="N12" s="73">
        <v>22</v>
      </c>
      <c r="O12" s="73">
        <v>18.399999999999999</v>
      </c>
      <c r="P12" s="74">
        <f t="shared" si="0"/>
        <v>26.649214659685857</v>
      </c>
      <c r="Q12" s="38">
        <f t="shared" si="1"/>
        <v>1</v>
      </c>
      <c r="R12" s="140">
        <f t="shared" si="5"/>
        <v>24.463525305410119</v>
      </c>
      <c r="S12" s="150">
        <f t="shared" si="6"/>
        <v>1</v>
      </c>
      <c r="T12" s="140">
        <f t="shared" si="7"/>
        <v>25.8</v>
      </c>
      <c r="U12" s="9">
        <f t="shared" si="8"/>
        <v>1</v>
      </c>
      <c r="V12" s="141">
        <f t="shared" si="9"/>
        <v>26.649214659685857</v>
      </c>
      <c r="W12" s="142">
        <f t="shared" si="10"/>
        <v>1</v>
      </c>
      <c r="X12" s="144">
        <f t="shared" si="2"/>
        <v>22.527070001939116</v>
      </c>
      <c r="Y12" s="144">
        <f t="shared" si="3"/>
        <v>29.414814814814818</v>
      </c>
      <c r="Z12" s="144">
        <f t="shared" si="4"/>
        <v>25.255177428737639</v>
      </c>
      <c r="AA12" s="10"/>
      <c r="AB12" s="357" t="str">
        <f>VLOOKUP($B12,'2007-2020 Metadata'!$A$4:$S$214,MATCH("Urban Area /Monitoring Zone",'2007-2020 Metadata'!$A$4:$S$4,0),FALSE)</f>
        <v>Auckland - Central</v>
      </c>
      <c r="AC12" s="87" t="str">
        <f>VLOOKUP(B12,'2007-2020 Metadata'!$A$6:$A$214,1,FALSE)</f>
        <v>AUC008</v>
      </c>
      <c r="AD12" s="230" t="str">
        <f>VLOOKUP($AC12,'2007-2020 Metadata'!$A$6:$S$214,9,FALSE)</f>
        <v>Auckland</v>
      </c>
      <c r="AE12" s="248">
        <f>IF(ISBLANK(VLOOKUP($AC12,'2007-2020 Metadata'!$A$6:$S$214,19,FALSE)),"",VLOOKUP($AC12,'2007-2020 Metadata'!$A$6:$S$214,19,FALSE))</f>
        <v>3</v>
      </c>
      <c r="AF12" s="88" t="str">
        <f>VLOOKUP($B12,'2007-2020 Metadata'!$A$4:$S$214,MATCH("Site type",'2007-2020 Metadata'!$A$4:$S$4,0),FALSE)</f>
        <v>SH</v>
      </c>
      <c r="AG12" s="143">
        <f t="shared" si="11"/>
        <v>14.5</v>
      </c>
      <c r="AH12" s="143">
        <f t="shared" si="12"/>
        <v>36</v>
      </c>
      <c r="AI12" s="144">
        <f t="shared" si="13"/>
        <v>25.255177428737639</v>
      </c>
    </row>
    <row r="13" spans="2:35" ht="12" customHeight="1" x14ac:dyDescent="0.2">
      <c r="B13" s="71" t="s">
        <v>8</v>
      </c>
      <c r="C13" s="58">
        <f>IF(VLOOKUP($B13,'Monthly Summary 2007'!$B$7:$U$62,14,FALSE)&gt;0,VLOOKUP($B13,'Monthly Summary 2007'!$B$7:$U$62,14,FALSE),"")</f>
        <v>23.719895287958117</v>
      </c>
      <c r="D13" s="72">
        <v>30.910994764397905</v>
      </c>
      <c r="E13" s="73">
        <v>30.8</v>
      </c>
      <c r="F13" s="73">
        <v>38.200000000000003</v>
      </c>
      <c r="G13" s="73">
        <v>47.2</v>
      </c>
      <c r="H13" s="73">
        <v>15.2</v>
      </c>
      <c r="I13" s="73">
        <v>44.8</v>
      </c>
      <c r="J13" s="73">
        <v>58.2</v>
      </c>
      <c r="K13" s="73">
        <v>51.6</v>
      </c>
      <c r="L13" s="73">
        <v>22.3</v>
      </c>
      <c r="M13" s="73"/>
      <c r="N13" s="73">
        <v>29</v>
      </c>
      <c r="O13" s="73">
        <v>25.9</v>
      </c>
      <c r="P13" s="74">
        <f t="shared" si="0"/>
        <v>35.828272251308903</v>
      </c>
      <c r="Q13" s="38">
        <f t="shared" si="1"/>
        <v>0.91666666666666663</v>
      </c>
      <c r="R13" s="140">
        <f t="shared" si="5"/>
        <v>33.303664921465973</v>
      </c>
      <c r="S13" s="150">
        <f t="shared" si="6"/>
        <v>1</v>
      </c>
      <c r="T13" s="140">
        <f t="shared" si="7"/>
        <v>44.033333333333339</v>
      </c>
      <c r="U13" s="9">
        <f t="shared" si="8"/>
        <v>1</v>
      </c>
      <c r="V13" s="141">
        <f t="shared" si="9"/>
        <v>35.828272251308903</v>
      </c>
      <c r="W13" s="142">
        <f t="shared" si="10"/>
        <v>0.91666666666666663</v>
      </c>
      <c r="X13" s="144">
        <f t="shared" si="2"/>
        <v>22.527070001939116</v>
      </c>
      <c r="Y13" s="144">
        <f t="shared" si="3"/>
        <v>29.414814814814818</v>
      </c>
      <c r="Z13" s="144">
        <f t="shared" si="4"/>
        <v>25.255177428737639</v>
      </c>
      <c r="AA13" s="10"/>
      <c r="AB13" s="357" t="str">
        <f>VLOOKUP($B13,'2007-2020 Metadata'!$A$4:$S$214,MATCH("Urban Area /Monitoring Zone",'2007-2020 Metadata'!$A$4:$S$4,0),FALSE)</f>
        <v>Auckland - Central</v>
      </c>
      <c r="AC13" s="87" t="str">
        <f>VLOOKUP(B13,'2007-2020 Metadata'!$A$6:$A$214,1,FALSE)</f>
        <v>AUC009</v>
      </c>
      <c r="AD13" s="230" t="str">
        <f>VLOOKUP($AC13,'2007-2020 Metadata'!$A$6:$S$214,9,FALSE)</f>
        <v>Auckland</v>
      </c>
      <c r="AE13" s="248">
        <f>IF(ISBLANK(VLOOKUP($AC13,'2007-2020 Metadata'!$A$6:$S$214,19,FALSE)),"",VLOOKUP($AC13,'2007-2020 Metadata'!$A$6:$S$214,19,FALSE))</f>
        <v>3</v>
      </c>
      <c r="AF13" s="88" t="str">
        <f>VLOOKUP($B13,'2007-2020 Metadata'!$A$4:$S$214,MATCH("Site type",'2007-2020 Metadata'!$A$4:$S$4,0),FALSE)</f>
        <v>SH</v>
      </c>
      <c r="AG13" s="143">
        <f t="shared" si="11"/>
        <v>15.2</v>
      </c>
      <c r="AH13" s="143">
        <f t="shared" si="12"/>
        <v>58.2</v>
      </c>
      <c r="AI13" s="144">
        <f t="shared" si="13"/>
        <v>25.255177428737639</v>
      </c>
    </row>
    <row r="14" spans="2:35" ht="12" customHeight="1" x14ac:dyDescent="0.2">
      <c r="B14" s="71" t="s">
        <v>9</v>
      </c>
      <c r="C14" s="58">
        <f>IF(VLOOKUP($B14,'Monthly Summary 2007'!$B$7:$U$62,14,FALSE)&gt;0,VLOOKUP($B14,'Monthly Summary 2007'!$B$7:$U$62,14,FALSE),"")</f>
        <v>14.489528795811518</v>
      </c>
      <c r="D14" s="72">
        <v>22.431937172774866</v>
      </c>
      <c r="E14" s="73">
        <v>26.7</v>
      </c>
      <c r="F14" s="73">
        <v>30.6</v>
      </c>
      <c r="G14" s="73">
        <v>38.4</v>
      </c>
      <c r="H14" s="73">
        <v>30.1</v>
      </c>
      <c r="I14" s="73">
        <v>43.2</v>
      </c>
      <c r="J14" s="73">
        <v>44.2</v>
      </c>
      <c r="K14" s="73">
        <v>36.1</v>
      </c>
      <c r="L14" s="73">
        <v>32.799999999999997</v>
      </c>
      <c r="M14" s="73">
        <v>30.7</v>
      </c>
      <c r="N14" s="73">
        <v>20.399999999999999</v>
      </c>
      <c r="O14" s="73">
        <v>20.2</v>
      </c>
      <c r="P14" s="74">
        <f t="shared" si="0"/>
        <v>31.31932809773124</v>
      </c>
      <c r="Q14" s="38">
        <f t="shared" si="1"/>
        <v>1</v>
      </c>
      <c r="R14" s="140">
        <f t="shared" si="5"/>
        <v>26.577312390924959</v>
      </c>
      <c r="S14" s="150">
        <f t="shared" si="6"/>
        <v>1</v>
      </c>
      <c r="T14" s="140">
        <f t="shared" si="7"/>
        <v>37.700000000000003</v>
      </c>
      <c r="U14" s="9">
        <f t="shared" si="8"/>
        <v>1</v>
      </c>
      <c r="V14" s="141">
        <f t="shared" si="9"/>
        <v>31.31932809773124</v>
      </c>
      <c r="W14" s="142">
        <f t="shared" si="10"/>
        <v>1</v>
      </c>
      <c r="X14" s="144">
        <f t="shared" si="2"/>
        <v>22.527070001939116</v>
      </c>
      <c r="Y14" s="144">
        <f t="shared" si="3"/>
        <v>29.414814814814818</v>
      </c>
      <c r="Z14" s="144">
        <f t="shared" si="4"/>
        <v>25.255177428737639</v>
      </c>
      <c r="AA14" s="10"/>
      <c r="AB14" s="357" t="str">
        <f>VLOOKUP($B14,'2007-2020 Metadata'!$A$4:$S$214,MATCH("Urban Area /Monitoring Zone",'2007-2020 Metadata'!$A$4:$S$4,0),FALSE)</f>
        <v>Auckland - Central</v>
      </c>
      <c r="AC14" s="87" t="str">
        <f>VLOOKUP(B14,'2007-2020 Metadata'!$A$6:$A$214,1,FALSE)</f>
        <v>AUC011</v>
      </c>
      <c r="AD14" s="230" t="str">
        <f>VLOOKUP($AC14,'2007-2020 Metadata'!$A$6:$S$214,9,FALSE)</f>
        <v>Auckland</v>
      </c>
      <c r="AE14" s="248">
        <f>IF(ISBLANK(VLOOKUP($AC14,'2007-2020 Metadata'!$A$6:$S$214,19,FALSE)),"",VLOOKUP($AC14,'2007-2020 Metadata'!$A$6:$S$214,19,FALSE))</f>
        <v>3</v>
      </c>
      <c r="AF14" s="88" t="str">
        <f>VLOOKUP($B14,'2007-2020 Metadata'!$A$4:$S$214,MATCH("Site type",'2007-2020 Metadata'!$A$4:$S$4,0),FALSE)</f>
        <v>SH</v>
      </c>
      <c r="AG14" s="143">
        <f t="shared" si="11"/>
        <v>20.2</v>
      </c>
      <c r="AH14" s="143">
        <f t="shared" si="12"/>
        <v>44.2</v>
      </c>
      <c r="AI14" s="144">
        <f t="shared" si="13"/>
        <v>25.255177428737639</v>
      </c>
    </row>
    <row r="15" spans="2:35" ht="12" customHeight="1" x14ac:dyDescent="0.2">
      <c r="B15" s="71" t="s">
        <v>10</v>
      </c>
      <c r="C15" s="58">
        <f>IF(VLOOKUP($B15,'Monthly Summary 2007'!$B$7:$U$62,14,FALSE)&gt;0,VLOOKUP($B15,'Monthly Summary 2007'!$B$7:$U$62,14,FALSE),"")</f>
        <v>11.162303664921465</v>
      </c>
      <c r="D15" s="72">
        <v>14.489528795811518</v>
      </c>
      <c r="E15" s="73">
        <v>20.7</v>
      </c>
      <c r="F15" s="73">
        <v>24.3</v>
      </c>
      <c r="G15" s="73">
        <v>28.8</v>
      </c>
      <c r="H15" s="73">
        <v>30.6</v>
      </c>
      <c r="I15" s="73">
        <v>37.6</v>
      </c>
      <c r="J15" s="73">
        <v>30.2</v>
      </c>
      <c r="K15" s="73">
        <v>32.299999999999997</v>
      </c>
      <c r="L15" s="73">
        <v>20.6</v>
      </c>
      <c r="M15" s="73">
        <v>16.8</v>
      </c>
      <c r="N15" s="73">
        <v>14</v>
      </c>
      <c r="O15" s="73">
        <v>11.9</v>
      </c>
      <c r="P15" s="74">
        <f t="shared" si="0"/>
        <v>23.524127399650954</v>
      </c>
      <c r="Q15" s="38">
        <f t="shared" si="1"/>
        <v>1</v>
      </c>
      <c r="R15" s="260">
        <f t="shared" si="5"/>
        <v>19.829842931937176</v>
      </c>
      <c r="S15" s="261">
        <f t="shared" si="6"/>
        <v>1</v>
      </c>
      <c r="T15" s="260">
        <f t="shared" si="7"/>
        <v>27.7</v>
      </c>
      <c r="U15" s="265">
        <f t="shared" si="8"/>
        <v>1</v>
      </c>
      <c r="V15" s="262">
        <f t="shared" si="9"/>
        <v>23.524127399650954</v>
      </c>
      <c r="W15" s="261">
        <f t="shared" si="10"/>
        <v>1</v>
      </c>
      <c r="X15" s="177">
        <f t="shared" si="2"/>
        <v>22.527070001939116</v>
      </c>
      <c r="Y15" s="177">
        <f t="shared" si="3"/>
        <v>29.414814814814818</v>
      </c>
      <c r="Z15" s="177">
        <f t="shared" si="4"/>
        <v>25.255177428737639</v>
      </c>
      <c r="AA15" s="10"/>
      <c r="AB15" s="357" t="str">
        <f>VLOOKUP($B15,'2007-2020 Metadata'!$A$4:$S$214,MATCH("Urban Area /Monitoring Zone",'2007-2020 Metadata'!$A$4:$S$4,0),FALSE)</f>
        <v>Auckland - Central</v>
      </c>
      <c r="AC15" s="259" t="str">
        <f>VLOOKUP(B15,'2007-2020 Metadata'!$A$6:$A$214,1,FALSE)</f>
        <v>AUC013</v>
      </c>
      <c r="AD15" s="256" t="str">
        <f>VLOOKUP($AC15,'2007-2020 Metadata'!$A$6:$S$214,9,FALSE)</f>
        <v>Auckland</v>
      </c>
      <c r="AE15" s="263">
        <f>IF(ISBLANK(VLOOKUP($AC15,'2007-2020 Metadata'!$A$6:$S$214,19,FALSE)),"",VLOOKUP($AC15,'2007-2020 Metadata'!$A$6:$S$214,19,FALSE))</f>
        <v>4</v>
      </c>
      <c r="AF15" s="257" t="str">
        <f>VLOOKUP($B15,'2007-2020 Metadata'!$A$4:$S$214,MATCH("Site type",'2007-2020 Metadata'!$A$4:$S$4,0),FALSE)</f>
        <v>SH</v>
      </c>
      <c r="AG15" s="258">
        <f>MIN(AVERAGE(D$15:D$17),AVERAGE(E$15:E$17),AVERAGE(F$15:F$17),AVERAGE(G$15:G$17),AVERAGE(H$15:H$17),AVERAGE(I$15:I$17),AVERAGE(J$15:J$17),AVERAGE(K$15:K$17),AVERAGE(L$15:L$17),AVERAGE(M$15:M$17),AVERAGE(N$15:N$17),AVERAGE(O$15:O$17))</f>
        <v>12.9</v>
      </c>
      <c r="AH15" s="258">
        <f>MAX(AVERAGE(D$15:D$17),AVERAGE(E$15:E$17),AVERAGE(F$15:F$17),AVERAGE(G$15:G$17),AVERAGE(H$15:H$17),AVERAGE(I$15:I$17),AVERAGE(J$15:J$17),AVERAGE(K$15:K$17),AVERAGE(L$15:L$17),AVERAGE(M$15:M$17),AVERAGE(N$15:N$17),AVERAGE(O$15:O$17))</f>
        <v>33.466666666666669</v>
      </c>
      <c r="AI15" s="177">
        <f t="shared" si="13"/>
        <v>25.255177428737639</v>
      </c>
    </row>
    <row r="16" spans="2:35" ht="12" customHeight="1" x14ac:dyDescent="0.2">
      <c r="B16" s="71" t="s">
        <v>11</v>
      </c>
      <c r="C16" s="58">
        <f>IF(VLOOKUP($B16,'Monthly Summary 2007'!$B$7:$U$62,14,FALSE)&gt;0,VLOOKUP($B16,'Monthly Summary 2007'!$B$7:$U$62,14,FALSE),"")</f>
        <v>9.6596858638743459</v>
      </c>
      <c r="D16" s="72">
        <v>15.884816753926701</v>
      </c>
      <c r="E16" s="73">
        <v>21</v>
      </c>
      <c r="F16" s="73">
        <v>22.9</v>
      </c>
      <c r="G16" s="73">
        <v>31.4</v>
      </c>
      <c r="H16" s="73">
        <v>18.100000000000001</v>
      </c>
      <c r="I16" s="73">
        <v>25.5</v>
      </c>
      <c r="J16" s="73">
        <v>35.700000000000003</v>
      </c>
      <c r="K16" s="73">
        <v>28</v>
      </c>
      <c r="L16" s="73">
        <v>31.6</v>
      </c>
      <c r="M16" s="73">
        <v>16.5</v>
      </c>
      <c r="N16" s="73">
        <v>16.2</v>
      </c>
      <c r="O16" s="73">
        <v>14.1</v>
      </c>
      <c r="P16" s="74">
        <f t="shared" si="0"/>
        <v>23.073734729493893</v>
      </c>
      <c r="Q16" s="38">
        <f t="shared" si="1"/>
        <v>1</v>
      </c>
      <c r="R16" s="260">
        <f t="shared" si="5"/>
        <v>19.928272251308901</v>
      </c>
      <c r="S16" s="261">
        <f t="shared" si="6"/>
        <v>1</v>
      </c>
      <c r="T16" s="260">
        <f t="shared" si="7"/>
        <v>31.766666666666669</v>
      </c>
      <c r="U16" s="265">
        <f t="shared" si="8"/>
        <v>1</v>
      </c>
      <c r="V16" s="262">
        <f t="shared" si="9"/>
        <v>23.073734729493893</v>
      </c>
      <c r="W16" s="261">
        <f t="shared" si="10"/>
        <v>1</v>
      </c>
      <c r="X16" s="177">
        <f t="shared" si="2"/>
        <v>22.527070001939116</v>
      </c>
      <c r="Y16" s="177">
        <f t="shared" si="3"/>
        <v>29.414814814814818</v>
      </c>
      <c r="Z16" s="177">
        <f t="shared" si="4"/>
        <v>25.255177428737639</v>
      </c>
      <c r="AA16" s="10"/>
      <c r="AB16" s="357" t="str">
        <f>VLOOKUP($B16,'2007-2020 Metadata'!$A$4:$S$214,MATCH("Urban Area /Monitoring Zone",'2007-2020 Metadata'!$A$4:$S$4,0),FALSE)</f>
        <v>Auckland - Central</v>
      </c>
      <c r="AC16" s="259" t="str">
        <f>VLOOKUP(B16,'2007-2020 Metadata'!$A$6:$A$214,1,FALSE)</f>
        <v>AUC014</v>
      </c>
      <c r="AD16" s="256" t="str">
        <f>VLOOKUP($AC16,'2007-2020 Metadata'!$A$6:$S$214,9,FALSE)</f>
        <v>Auckland</v>
      </c>
      <c r="AE16" s="263">
        <f>IF(ISBLANK(VLOOKUP($AC16,'2007-2020 Metadata'!$A$6:$S$214,19,FALSE)),"",VLOOKUP($AC16,'2007-2020 Metadata'!$A$6:$S$214,19,FALSE))</f>
        <v>4</v>
      </c>
      <c r="AF16" s="257" t="str">
        <f>VLOOKUP($B16,'2007-2020 Metadata'!$A$4:$S$214,MATCH("Site type",'2007-2020 Metadata'!$A$4:$S$4,0),FALSE)</f>
        <v>SH</v>
      </c>
      <c r="AG16" s="258">
        <f>MIN(AVERAGE(D$15:D$17),AVERAGE(E$15:E$17),AVERAGE(F$15:F$17),AVERAGE(G$15:G$17),AVERAGE(H$15:H$17),AVERAGE(I$15:I$17),AVERAGE(J$15:J$17),AVERAGE(K$15:K$17),AVERAGE(L$15:L$17),AVERAGE(M$15:M$17),AVERAGE(N$15:N$17),AVERAGE(O$15:O$17))</f>
        <v>12.9</v>
      </c>
      <c r="AH16" s="258">
        <f t="shared" ref="AH16:AH17" si="14">MAX(AVERAGE(D$15:D$17),AVERAGE(E$15:E$17),AVERAGE(F$15:F$17),AVERAGE(G$15:G$17),AVERAGE(H$15:H$17),AVERAGE(I$15:I$17),AVERAGE(J$15:J$17),AVERAGE(K$15:K$17),AVERAGE(L$15:L$17),AVERAGE(M$15:M$17),AVERAGE(N$15:N$17),AVERAGE(O$15:O$17))</f>
        <v>33.466666666666669</v>
      </c>
      <c r="AI16" s="177">
        <f t="shared" si="13"/>
        <v>25.255177428737639</v>
      </c>
    </row>
    <row r="17" spans="2:35" ht="12" customHeight="1" x14ac:dyDescent="0.2">
      <c r="B17" s="71" t="s">
        <v>12</v>
      </c>
      <c r="C17" s="58">
        <f>IF(VLOOKUP($B17,'Monthly Summary 2007'!$B$7:$U$62,14,FALSE)&gt;0,VLOOKUP($B17,'Monthly Summary 2007'!$B$7:$U$62,14,FALSE),"")</f>
        <v>9.3376963350785331</v>
      </c>
      <c r="D17" s="72">
        <v>17.280104712041886</v>
      </c>
      <c r="E17" s="73">
        <v>21.3</v>
      </c>
      <c r="F17" s="73">
        <v>25.3</v>
      </c>
      <c r="G17" s="73">
        <v>32.299999999999997</v>
      </c>
      <c r="H17" s="73">
        <v>28.1</v>
      </c>
      <c r="I17" s="73">
        <v>37.299999999999997</v>
      </c>
      <c r="J17" s="73">
        <v>30.3</v>
      </c>
      <c r="K17" s="73">
        <v>29.9</v>
      </c>
      <c r="L17" s="73">
        <v>34.299999999999997</v>
      </c>
      <c r="M17" s="73">
        <v>16.100000000000001</v>
      </c>
      <c r="N17" s="73">
        <v>17</v>
      </c>
      <c r="O17" s="73">
        <v>12.7</v>
      </c>
      <c r="P17" s="74">
        <f t="shared" si="0"/>
        <v>25.156675392670156</v>
      </c>
      <c r="Q17" s="38">
        <f t="shared" si="1"/>
        <v>1</v>
      </c>
      <c r="R17" s="260">
        <f t="shared" si="5"/>
        <v>21.293368237347295</v>
      </c>
      <c r="S17" s="261">
        <f t="shared" si="6"/>
        <v>1</v>
      </c>
      <c r="T17" s="260">
        <f t="shared" si="7"/>
        <v>31.5</v>
      </c>
      <c r="U17" s="265">
        <f t="shared" si="8"/>
        <v>1</v>
      </c>
      <c r="V17" s="262">
        <f t="shared" si="9"/>
        <v>25.156675392670156</v>
      </c>
      <c r="W17" s="261">
        <f t="shared" si="10"/>
        <v>1</v>
      </c>
      <c r="X17" s="177">
        <f t="shared" si="2"/>
        <v>22.527070001939116</v>
      </c>
      <c r="Y17" s="177">
        <f t="shared" si="3"/>
        <v>29.414814814814818</v>
      </c>
      <c r="Z17" s="177">
        <f t="shared" si="4"/>
        <v>25.255177428737639</v>
      </c>
      <c r="AA17" s="10"/>
      <c r="AB17" s="357" t="str">
        <f>VLOOKUP($B17,'2007-2020 Metadata'!$A$4:$S$214,MATCH("Urban Area /Monitoring Zone",'2007-2020 Metadata'!$A$4:$S$4,0),FALSE)</f>
        <v>Auckland - Central</v>
      </c>
      <c r="AC17" s="259" t="str">
        <f>VLOOKUP(B17,'2007-2020 Metadata'!$A$6:$A$214,1,FALSE)</f>
        <v>AUC015</v>
      </c>
      <c r="AD17" s="256" t="str">
        <f>VLOOKUP($AC17,'2007-2020 Metadata'!$A$6:$S$214,9,FALSE)</f>
        <v>Auckland</v>
      </c>
      <c r="AE17" s="263">
        <f>IF(ISBLANK(VLOOKUP($AC17,'2007-2020 Metadata'!$A$6:$S$214,19,FALSE)),"",VLOOKUP($AC17,'2007-2020 Metadata'!$A$6:$S$214,19,FALSE))</f>
        <v>4</v>
      </c>
      <c r="AF17" s="257" t="str">
        <f>VLOOKUP($B17,'2007-2020 Metadata'!$A$4:$S$214,MATCH("Site type",'2007-2020 Metadata'!$A$4:$S$4,0),FALSE)</f>
        <v>SH</v>
      </c>
      <c r="AG17" s="258">
        <f>MIN(AVERAGE(D$15:D$17),AVERAGE(E$15:E$17),AVERAGE(F$15:F$17),AVERAGE(G$15:G$17),AVERAGE(H$15:H$17),AVERAGE(I$15:I$17),AVERAGE(J$15:J$17),AVERAGE(K$15:K$17),AVERAGE(L$15:L$17),AVERAGE(M$15:M$17),AVERAGE(N$15:N$17),AVERAGE(O$15:O$17))</f>
        <v>12.9</v>
      </c>
      <c r="AH17" s="258">
        <f t="shared" si="14"/>
        <v>33.466666666666669</v>
      </c>
      <c r="AI17" s="177">
        <f t="shared" si="13"/>
        <v>25.255177428737639</v>
      </c>
    </row>
    <row r="18" spans="2:35" ht="12" customHeight="1" x14ac:dyDescent="0.2">
      <c r="B18" s="71" t="s">
        <v>13</v>
      </c>
      <c r="C18" s="58">
        <f>IF(VLOOKUP($B18,'Monthly Summary 2007'!$B$7:$U$62,14,FALSE)&gt;0,VLOOKUP($B18,'Monthly Summary 2007'!$B$7:$U$62,14,FALSE),"")</f>
        <v>15.562827225130889</v>
      </c>
      <c r="D18" s="72">
        <v>11.054973821989529</v>
      </c>
      <c r="E18" s="73">
        <v>20.3</v>
      </c>
      <c r="F18" s="73">
        <v>22</v>
      </c>
      <c r="G18" s="73">
        <v>31.5</v>
      </c>
      <c r="H18" s="73">
        <v>22.7</v>
      </c>
      <c r="I18" s="73">
        <v>36.299999999999997</v>
      </c>
      <c r="J18" s="73">
        <v>37.9</v>
      </c>
      <c r="K18" s="73">
        <v>35.299999999999997</v>
      </c>
      <c r="L18" s="73">
        <v>23</v>
      </c>
      <c r="M18" s="73"/>
      <c r="N18" s="73"/>
      <c r="O18" s="73">
        <v>20.2</v>
      </c>
      <c r="P18" s="74">
        <f t="shared" si="0"/>
        <v>26.025497382198949</v>
      </c>
      <c r="Q18" s="38">
        <f t="shared" si="1"/>
        <v>0.83333333333333337</v>
      </c>
      <c r="R18" s="140">
        <f t="shared" si="5"/>
        <v>17.784991273996511</v>
      </c>
      <c r="S18" s="150">
        <f t="shared" si="6"/>
        <v>1</v>
      </c>
      <c r="T18" s="140">
        <f t="shared" si="7"/>
        <v>32.066666666666663</v>
      </c>
      <c r="U18" s="9">
        <f t="shared" si="8"/>
        <v>1</v>
      </c>
      <c r="V18" s="141">
        <f t="shared" si="9"/>
        <v>26.025497382198949</v>
      </c>
      <c r="W18" s="142">
        <f t="shared" si="10"/>
        <v>0.83333333333333337</v>
      </c>
      <c r="X18" s="144">
        <f t="shared" si="2"/>
        <v>18.005700988947066</v>
      </c>
      <c r="Y18" s="144">
        <f t="shared" si="3"/>
        <v>27.033333333333331</v>
      </c>
      <c r="Z18" s="144">
        <f t="shared" si="4"/>
        <v>22.419987043206934</v>
      </c>
      <c r="AA18" s="10"/>
      <c r="AB18" s="357" t="str">
        <f>VLOOKUP($B18,'2007-2020 Metadata'!$A$4:$S$214,MATCH("Urban Area /Monitoring Zone",'2007-2020 Metadata'!$A$4:$S$4,0),FALSE)</f>
        <v xml:space="preserve">Auckland - Southern </v>
      </c>
      <c r="AC18" s="87" t="str">
        <f>VLOOKUP(B18,'2007-2020 Metadata'!$A$6:$A$214,1,FALSE)</f>
        <v>AUC018</v>
      </c>
      <c r="AD18" s="230" t="str">
        <f>VLOOKUP($AC18,'2007-2020 Metadata'!$A$6:$S$214,9,FALSE)</f>
        <v>Manukau</v>
      </c>
      <c r="AE18" s="248">
        <f>IF(ISBLANK(VLOOKUP($AC18,'2007-2020 Metadata'!$A$6:$S$214,19,FALSE)),"",VLOOKUP($AC18,'2007-2020 Metadata'!$A$6:$S$214,19,FALSE))</f>
        <v>3</v>
      </c>
      <c r="AF18" s="88" t="str">
        <f>VLOOKUP($B18,'2007-2020 Metadata'!$A$4:$S$214,MATCH("Site type",'2007-2020 Metadata'!$A$4:$S$4,0),FALSE)</f>
        <v>SH</v>
      </c>
      <c r="AG18" s="143">
        <f t="shared" si="11"/>
        <v>11.054973821989529</v>
      </c>
      <c r="AH18" s="143">
        <f t="shared" si="12"/>
        <v>37.9</v>
      </c>
      <c r="AI18" s="144">
        <f t="shared" si="13"/>
        <v>22.419987043206934</v>
      </c>
    </row>
    <row r="19" spans="2:35" ht="12" customHeight="1" x14ac:dyDescent="0.2">
      <c r="B19" s="71" t="s">
        <v>14</v>
      </c>
      <c r="C19" s="58">
        <f>IF(VLOOKUP($B19,'Monthly Summary 2007'!$B$7:$U$62,14,FALSE)&gt;0,VLOOKUP($B19,'Monthly Summary 2007'!$B$7:$U$62,14,FALSE),"")</f>
        <v>13.201570680628272</v>
      </c>
      <c r="D19" s="72">
        <v>14.489528795811518</v>
      </c>
      <c r="E19" s="73">
        <v>15.7</v>
      </c>
      <c r="F19" s="73">
        <v>19.8</v>
      </c>
      <c r="G19" s="73">
        <v>25.9</v>
      </c>
      <c r="H19" s="73">
        <v>36.200000000000003</v>
      </c>
      <c r="I19" s="73">
        <v>28.9</v>
      </c>
      <c r="J19" s="73">
        <v>29.7</v>
      </c>
      <c r="K19" s="73">
        <v>23.1</v>
      </c>
      <c r="L19" s="73"/>
      <c r="M19" s="73">
        <v>14.2</v>
      </c>
      <c r="N19" s="73">
        <v>11.9</v>
      </c>
      <c r="O19" s="73">
        <v>13.5</v>
      </c>
      <c r="P19" s="74">
        <f t="shared" si="0"/>
        <v>21.217229890528316</v>
      </c>
      <c r="Q19" s="38">
        <f t="shared" si="1"/>
        <v>0.91666666666666663</v>
      </c>
      <c r="R19" s="140">
        <f t="shared" si="5"/>
        <v>16.663176265270508</v>
      </c>
      <c r="S19" s="150">
        <f t="shared" si="6"/>
        <v>1</v>
      </c>
      <c r="T19" s="140">
        <f t="shared" si="7"/>
        <v>26.4</v>
      </c>
      <c r="U19" s="9">
        <f t="shared" si="8"/>
        <v>0.66666666666666663</v>
      </c>
      <c r="V19" s="141">
        <f t="shared" si="9"/>
        <v>21.217229890528316</v>
      </c>
      <c r="W19" s="142">
        <f t="shared" si="10"/>
        <v>0.91666666666666663</v>
      </c>
      <c r="X19" s="144">
        <f t="shared" si="2"/>
        <v>18.005700988947066</v>
      </c>
      <c r="Y19" s="144">
        <f t="shared" si="3"/>
        <v>27.033333333333331</v>
      </c>
      <c r="Z19" s="144">
        <f t="shared" si="4"/>
        <v>22.419987043206934</v>
      </c>
      <c r="AA19" s="10"/>
      <c r="AB19" s="357" t="str">
        <f>VLOOKUP($B19,'2007-2020 Metadata'!$A$4:$S$214,MATCH("Urban Area /Monitoring Zone",'2007-2020 Metadata'!$A$4:$S$4,0),FALSE)</f>
        <v xml:space="preserve">Auckland - Southern </v>
      </c>
      <c r="AC19" s="87" t="str">
        <f>VLOOKUP(B19,'2007-2020 Metadata'!$A$6:$A$214,1,FALSE)</f>
        <v>AUC019</v>
      </c>
      <c r="AD19" s="230" t="str">
        <f>VLOOKUP($AC19,'2007-2020 Metadata'!$A$6:$S$214,9,FALSE)</f>
        <v>Manukau</v>
      </c>
      <c r="AE19" s="248">
        <f>IF(ISBLANK(VLOOKUP($AC19,'2007-2020 Metadata'!$A$6:$S$214,19,FALSE)),"",VLOOKUP($AC19,'2007-2020 Metadata'!$A$6:$S$214,19,FALSE))</f>
        <v>2</v>
      </c>
      <c r="AF19" s="88" t="str">
        <f>VLOOKUP($B19,'2007-2020 Metadata'!$A$4:$S$214,MATCH("Site type",'2007-2020 Metadata'!$A$4:$S$4,0),FALSE)</f>
        <v>SH</v>
      </c>
      <c r="AG19" s="143">
        <f t="shared" si="11"/>
        <v>11.9</v>
      </c>
      <c r="AH19" s="143">
        <f t="shared" si="12"/>
        <v>36.200000000000003</v>
      </c>
      <c r="AI19" s="144">
        <f t="shared" si="13"/>
        <v>22.419987043206934</v>
      </c>
    </row>
    <row r="20" spans="2:35" ht="12" customHeight="1" x14ac:dyDescent="0.2">
      <c r="B20" s="71" t="s">
        <v>15</v>
      </c>
      <c r="C20" s="58">
        <f>IF(VLOOKUP($B20,'Monthly Summary 2007'!$B$7:$U$62,14,FALSE)&gt;0,VLOOKUP($B20,'Monthly Summary 2007'!$B$7:$U$62,14,FALSE),"")</f>
        <v>6.654450261780104</v>
      </c>
      <c r="D20" s="72">
        <v>11.162303664921465</v>
      </c>
      <c r="E20" s="73">
        <v>10.3</v>
      </c>
      <c r="F20" s="73">
        <v>14.3</v>
      </c>
      <c r="G20" s="73">
        <v>17.3</v>
      </c>
      <c r="H20" s="73">
        <v>19.8</v>
      </c>
      <c r="I20" s="339"/>
      <c r="J20" s="339"/>
      <c r="K20" s="339"/>
      <c r="L20" s="339"/>
      <c r="M20" s="339"/>
      <c r="N20" s="339"/>
      <c r="O20" s="339"/>
      <c r="P20" s="74">
        <f t="shared" si="0"/>
        <v>14.572460732984291</v>
      </c>
      <c r="Q20" s="38">
        <f t="shared" si="1"/>
        <v>0.41666666666666669</v>
      </c>
      <c r="R20" s="140">
        <f t="shared" si="5"/>
        <v>11.920767888307154</v>
      </c>
      <c r="S20" s="150">
        <f t="shared" si="6"/>
        <v>1</v>
      </c>
      <c r="T20" s="140" t="str">
        <f t="shared" si="7"/>
        <v/>
      </c>
      <c r="U20" s="9">
        <f t="shared" si="8"/>
        <v>0</v>
      </c>
      <c r="V20" s="141" t="str">
        <f t="shared" si="9"/>
        <v>-</v>
      </c>
      <c r="W20" s="142">
        <f t="shared" si="10"/>
        <v>0.41666666666666669</v>
      </c>
      <c r="X20" s="144">
        <f t="shared" si="2"/>
        <v>11.920767888307154</v>
      </c>
      <c r="Y20" s="144" t="str">
        <f t="shared" si="3"/>
        <v/>
      </c>
      <c r="Z20" s="144" t="str">
        <f t="shared" si="4"/>
        <v/>
      </c>
      <c r="AA20" s="10"/>
      <c r="AB20" s="357" t="str">
        <f>VLOOKUP($B20,'2007-2020 Metadata'!$A$4:$S$214,MATCH("Urban Area /Monitoring Zone",'2007-2020 Metadata'!$A$4:$S$4,0),FALSE)</f>
        <v>Auckland - Western</v>
      </c>
      <c r="AC20" s="87" t="str">
        <f>VLOOKUP(B20,'2007-2020 Metadata'!$A$6:$A$214,1,FALSE)</f>
        <v>AUC020</v>
      </c>
      <c r="AD20" s="230" t="str">
        <f>VLOOKUP($AC20,'2007-2020 Metadata'!$A$6:$S$214,9,FALSE)</f>
        <v>Waitakere</v>
      </c>
      <c r="AE20" s="248">
        <f>IF(ISBLANK(VLOOKUP($AC20,'2007-2020 Metadata'!$A$6:$S$214,19,FALSE)),"",VLOOKUP($AC20,'2007-2020 Metadata'!$A$6:$S$214,19,FALSE))</f>
        <v>2</v>
      </c>
      <c r="AF20" s="88" t="str">
        <f>VLOOKUP($B20,'2007-2020 Metadata'!$A$4:$S$214,MATCH("Site type",'2007-2020 Metadata'!$A$4:$S$4,0),FALSE)</f>
        <v>SH</v>
      </c>
      <c r="AG20" s="143">
        <f t="shared" si="11"/>
        <v>10.3</v>
      </c>
      <c r="AH20" s="143">
        <f t="shared" si="12"/>
        <v>19.8</v>
      </c>
      <c r="AI20" s="144" t="str">
        <f t="shared" si="13"/>
        <v xml:space="preserve"> </v>
      </c>
    </row>
    <row r="21" spans="2:35" ht="12" customHeight="1" x14ac:dyDescent="0.2">
      <c r="B21" s="71" t="s">
        <v>993</v>
      </c>
      <c r="C21" s="58"/>
      <c r="D21" s="340"/>
      <c r="E21" s="339"/>
      <c r="F21" s="339"/>
      <c r="G21" s="339"/>
      <c r="H21" s="339"/>
      <c r="I21" s="73">
        <v>22.8</v>
      </c>
      <c r="J21" s="73">
        <v>21.6</v>
      </c>
      <c r="K21" s="73">
        <v>18.8</v>
      </c>
      <c r="L21" s="73">
        <v>11.9</v>
      </c>
      <c r="M21" s="73">
        <v>12</v>
      </c>
      <c r="N21" s="73">
        <v>7.6</v>
      </c>
      <c r="O21" s="73">
        <v>8.4</v>
      </c>
      <c r="P21" s="74">
        <f t="shared" ref="P21" si="15">AVERAGE(D21:O21)</f>
        <v>14.72857142857143</v>
      </c>
      <c r="Q21" s="38">
        <f t="shared" ref="Q21" si="16">COUNT(D21:O21)/COUNT($D$6:$O$6)</f>
        <v>0.58333333333333337</v>
      </c>
      <c r="R21" s="140" t="str">
        <f t="shared" si="5"/>
        <v/>
      </c>
      <c r="S21" s="150">
        <f t="shared" ref="S21" si="17">COUNT(D21:F21)/3</f>
        <v>0</v>
      </c>
      <c r="T21" s="140">
        <f t="shared" si="7"/>
        <v>17.433333333333334</v>
      </c>
      <c r="U21" s="9">
        <f t="shared" ref="U21" si="18">COUNT(J21:L21)/3</f>
        <v>1</v>
      </c>
      <c r="V21" s="141" t="str">
        <f t="shared" si="9"/>
        <v>-</v>
      </c>
      <c r="W21" s="142">
        <f t="shared" ref="W21" si="19">Q21</f>
        <v>0.58333333333333337</v>
      </c>
      <c r="X21" s="144" t="str">
        <f t="shared" si="2"/>
        <v/>
      </c>
      <c r="Y21" s="144">
        <f t="shared" si="3"/>
        <v>17.433333333333334</v>
      </c>
      <c r="Z21" s="144" t="str">
        <f t="shared" si="4"/>
        <v>-</v>
      </c>
      <c r="AA21" s="10"/>
      <c r="AB21" s="357">
        <f>VLOOKUP($B21,'2007-2020 Metadata'!$A$4:$S$214,MATCH("Urban Area /Monitoring Zone",'2007-2020 Metadata'!$A$4:$S$4,0),FALSE)</f>
        <v>0</v>
      </c>
      <c r="AC21" s="87" t="str">
        <f>VLOOKUP(B21,'2007-2020 Metadata'!$A$6:$A$214,1,FALSE)</f>
        <v>AUC020a</v>
      </c>
      <c r="AD21" s="230">
        <f>VLOOKUP($AC21,'2007-2020 Metadata'!$A$6:$S$214,9,FALSE)</f>
        <v>0</v>
      </c>
      <c r="AE21" s="248" t="str">
        <f>IF(ISBLANK(VLOOKUP($AC21,'2007-2020 Metadata'!$A$6:$S$214,19,FALSE)),"",VLOOKUP($AC21,'2007-2020 Metadata'!$A$6:$S$214,19,FALSE))</f>
        <v/>
      </c>
      <c r="AF21" s="88" t="str">
        <f>VLOOKUP($B21,'2007-2020 Metadata'!$A$4:$S$214,MATCH("Site type",'2007-2020 Metadata'!$A$4:$S$4,0),FALSE)</f>
        <v>SH</v>
      </c>
      <c r="AG21" s="143">
        <f t="shared" si="11"/>
        <v>7.6</v>
      </c>
      <c r="AH21" s="143">
        <f t="shared" si="12"/>
        <v>22.8</v>
      </c>
      <c r="AI21" s="144" t="str">
        <f t="shared" si="13"/>
        <v xml:space="preserve"> </v>
      </c>
    </row>
    <row r="22" spans="2:35" ht="12" customHeight="1" x14ac:dyDescent="0.2">
      <c r="B22" s="71" t="s">
        <v>16</v>
      </c>
      <c r="C22" s="58">
        <f>IF(VLOOKUP($B22,'Monthly Summary 2007'!$B$7:$U$62,14,FALSE)&gt;0,VLOOKUP($B22,'Monthly Summary 2007'!$B$7:$U$62,14,FALSE),"")</f>
        <v>13.094240837696335</v>
      </c>
      <c r="D22" s="72">
        <v>13.738219895287958</v>
      </c>
      <c r="E22" s="73">
        <v>13.6</v>
      </c>
      <c r="F22" s="73">
        <v>18.899999999999999</v>
      </c>
      <c r="G22" s="73">
        <v>20.8</v>
      </c>
      <c r="H22" s="73">
        <v>18.3</v>
      </c>
      <c r="I22" s="73">
        <v>24.5</v>
      </c>
      <c r="J22" s="73">
        <v>23.8</v>
      </c>
      <c r="K22" s="73">
        <v>20.6</v>
      </c>
      <c r="L22" s="73">
        <v>11.5</v>
      </c>
      <c r="M22" s="73">
        <v>11.8</v>
      </c>
      <c r="N22" s="73">
        <v>12.8</v>
      </c>
      <c r="O22" s="73">
        <v>11.4</v>
      </c>
      <c r="P22" s="74">
        <f t="shared" si="0"/>
        <v>16.811518324607331</v>
      </c>
      <c r="Q22" s="38">
        <f t="shared" si="1"/>
        <v>1</v>
      </c>
      <c r="R22" s="140">
        <f t="shared" si="5"/>
        <v>15.412739965095986</v>
      </c>
      <c r="S22" s="150">
        <f t="shared" si="6"/>
        <v>1</v>
      </c>
      <c r="T22" s="140">
        <f t="shared" si="7"/>
        <v>18.633333333333336</v>
      </c>
      <c r="U22" s="9">
        <f t="shared" si="8"/>
        <v>1</v>
      </c>
      <c r="V22" s="141">
        <f t="shared" si="9"/>
        <v>16.811518324607331</v>
      </c>
      <c r="W22" s="142">
        <f t="shared" si="10"/>
        <v>1</v>
      </c>
      <c r="X22" s="144">
        <f t="shared" si="2"/>
        <v>22.527070001939116</v>
      </c>
      <c r="Y22" s="144">
        <f t="shared" si="3"/>
        <v>29.414814814814818</v>
      </c>
      <c r="Z22" s="144">
        <f t="shared" si="4"/>
        <v>25.255177428737639</v>
      </c>
      <c r="AA22" s="10"/>
      <c r="AB22" s="357" t="str">
        <f>VLOOKUP($B22,'2007-2020 Metadata'!$A$4:$S$214,MATCH("Urban Area /Monitoring Zone",'2007-2020 Metadata'!$A$4:$S$4,0),FALSE)</f>
        <v>Auckland - Central</v>
      </c>
      <c r="AC22" s="87" t="str">
        <f>VLOOKUP(B22,'2007-2020 Metadata'!$A$6:$A$214,1,FALSE)</f>
        <v>AUC021</v>
      </c>
      <c r="AD22" s="230" t="str">
        <f>VLOOKUP($AC22,'2007-2020 Metadata'!$A$6:$S$214,9,FALSE)</f>
        <v>Auckland</v>
      </c>
      <c r="AE22" s="248">
        <f>IF(ISBLANK(VLOOKUP($AC22,'2007-2020 Metadata'!$A$6:$S$214,19,FALSE)),"",VLOOKUP($AC22,'2007-2020 Metadata'!$A$6:$S$214,19,FALSE))</f>
        <v>3</v>
      </c>
      <c r="AF22" s="88" t="str">
        <f>VLOOKUP($B22,'2007-2020 Metadata'!$A$4:$S$214,MATCH("Site type",'2007-2020 Metadata'!$A$4:$S$4,0),FALSE)</f>
        <v>Background</v>
      </c>
      <c r="AG22" s="143">
        <f t="shared" si="11"/>
        <v>11.4</v>
      </c>
      <c r="AH22" s="143">
        <f t="shared" si="12"/>
        <v>24.5</v>
      </c>
      <c r="AI22" s="144">
        <f t="shared" si="13"/>
        <v>25.255177428737639</v>
      </c>
    </row>
    <row r="23" spans="2:35" ht="12" customHeight="1" x14ac:dyDescent="0.2">
      <c r="B23" s="71" t="s">
        <v>17</v>
      </c>
      <c r="C23" s="58">
        <f>IF(VLOOKUP($B23,'Monthly Summary 2007'!$B$7:$U$62,14,FALSE)&gt;0,VLOOKUP($B23,'Monthly Summary 2007'!$B$7:$U$62,14,FALSE),"")</f>
        <v>20.392670157068061</v>
      </c>
      <c r="D23" s="72">
        <v>28.44240837696335</v>
      </c>
      <c r="E23" s="73">
        <v>25.4</v>
      </c>
      <c r="F23" s="73">
        <v>34.9</v>
      </c>
      <c r="G23" s="73">
        <v>41.3</v>
      </c>
      <c r="H23" s="73">
        <v>20</v>
      </c>
      <c r="I23" s="73">
        <v>39.4</v>
      </c>
      <c r="J23" s="73">
        <v>36.1</v>
      </c>
      <c r="K23" s="73">
        <v>39.700000000000003</v>
      </c>
      <c r="L23" s="73">
        <v>13.6</v>
      </c>
      <c r="M23" s="73">
        <v>26.8</v>
      </c>
      <c r="N23" s="73">
        <v>23.6</v>
      </c>
      <c r="O23" s="73">
        <v>23.8</v>
      </c>
      <c r="P23" s="74">
        <f t="shared" si="0"/>
        <v>29.420200698080283</v>
      </c>
      <c r="Q23" s="38">
        <f t="shared" si="1"/>
        <v>1</v>
      </c>
      <c r="R23" s="140">
        <f t="shared" si="5"/>
        <v>29.580802792321112</v>
      </c>
      <c r="S23" s="150">
        <f t="shared" si="6"/>
        <v>1</v>
      </c>
      <c r="T23" s="140">
        <f t="shared" si="7"/>
        <v>29.8</v>
      </c>
      <c r="U23" s="9">
        <f t="shared" si="8"/>
        <v>1</v>
      </c>
      <c r="V23" s="141">
        <f t="shared" si="9"/>
        <v>29.420200698080283</v>
      </c>
      <c r="W23" s="142">
        <f t="shared" si="10"/>
        <v>1</v>
      </c>
      <c r="X23" s="144">
        <f t="shared" si="2"/>
        <v>22.527070001939116</v>
      </c>
      <c r="Y23" s="144">
        <f t="shared" si="3"/>
        <v>29.414814814814818</v>
      </c>
      <c r="Z23" s="144">
        <f t="shared" si="4"/>
        <v>25.255177428737639</v>
      </c>
      <c r="AA23" s="10"/>
      <c r="AB23" s="357" t="str">
        <f>VLOOKUP($B23,'2007-2020 Metadata'!$A$4:$S$214,MATCH("Urban Area /Monitoring Zone",'2007-2020 Metadata'!$A$4:$S$4,0),FALSE)</f>
        <v>Auckland - Central</v>
      </c>
      <c r="AC23" s="87" t="str">
        <f>VLOOKUP(B23,'2007-2020 Metadata'!$A$6:$A$214,1,FALSE)</f>
        <v>AUC022</v>
      </c>
      <c r="AD23" s="230" t="str">
        <f>VLOOKUP($AC23,'2007-2020 Metadata'!$A$6:$S$214,9,FALSE)</f>
        <v>Auckland</v>
      </c>
      <c r="AE23" s="248">
        <f>IF(ISBLANK(VLOOKUP($AC23,'2007-2020 Metadata'!$A$6:$S$214,19,FALSE)),"",VLOOKUP($AC23,'2007-2020 Metadata'!$A$6:$S$214,19,FALSE))</f>
        <v>3</v>
      </c>
      <c r="AF23" s="88" t="str">
        <f>VLOOKUP($B23,'2007-2020 Metadata'!$A$4:$S$214,MATCH("Site type",'2007-2020 Metadata'!$A$4:$S$4,0),FALSE)</f>
        <v>SH</v>
      </c>
      <c r="AG23" s="143">
        <f t="shared" si="11"/>
        <v>13.6</v>
      </c>
      <c r="AH23" s="143">
        <f t="shared" si="12"/>
        <v>41.3</v>
      </c>
      <c r="AI23" s="144">
        <f t="shared" si="13"/>
        <v>25.255177428737639</v>
      </c>
    </row>
    <row r="24" spans="2:35" ht="12" customHeight="1" x14ac:dyDescent="0.2">
      <c r="B24" s="71" t="s">
        <v>18</v>
      </c>
      <c r="C24" s="58">
        <f>IF(VLOOKUP($B24,'Monthly Summary 2007'!$B$7:$U$62,14,FALSE)&gt;0,VLOOKUP($B24,'Monthly Summary 2007'!$B$7:$U$62,14,FALSE),"")</f>
        <v>17.494764397905762</v>
      </c>
      <c r="D24" s="72">
        <v>11.162303664921465</v>
      </c>
      <c r="E24" s="73">
        <v>11.4</v>
      </c>
      <c r="F24" s="73">
        <v>14.5</v>
      </c>
      <c r="G24" s="73">
        <v>21.5</v>
      </c>
      <c r="H24" s="73">
        <v>19.7</v>
      </c>
      <c r="I24" s="73">
        <v>21.1</v>
      </c>
      <c r="J24" s="73">
        <v>25.8</v>
      </c>
      <c r="K24" s="73">
        <v>19.8</v>
      </c>
      <c r="L24" s="73">
        <v>7.8</v>
      </c>
      <c r="M24" s="73">
        <v>14</v>
      </c>
      <c r="N24" s="73">
        <v>10.199999999999999</v>
      </c>
      <c r="O24" s="73">
        <v>9.1999999999999993</v>
      </c>
      <c r="P24" s="74">
        <f t="shared" si="0"/>
        <v>15.51352530541012</v>
      </c>
      <c r="Q24" s="38">
        <f t="shared" si="1"/>
        <v>1</v>
      </c>
      <c r="R24" s="140">
        <f t="shared" si="5"/>
        <v>12.354101221640489</v>
      </c>
      <c r="S24" s="150">
        <f t="shared" si="6"/>
        <v>1</v>
      </c>
      <c r="T24" s="140">
        <f t="shared" si="7"/>
        <v>17.8</v>
      </c>
      <c r="U24" s="9">
        <f t="shared" si="8"/>
        <v>1</v>
      </c>
      <c r="V24" s="141">
        <f t="shared" si="9"/>
        <v>15.51352530541012</v>
      </c>
      <c r="W24" s="142">
        <f t="shared" si="10"/>
        <v>1</v>
      </c>
      <c r="X24" s="144">
        <f t="shared" si="2"/>
        <v>22.527070001939116</v>
      </c>
      <c r="Y24" s="144">
        <f t="shared" si="3"/>
        <v>29.414814814814818</v>
      </c>
      <c r="Z24" s="144">
        <f t="shared" si="4"/>
        <v>25.255177428737639</v>
      </c>
      <c r="AA24" s="10"/>
      <c r="AB24" s="357" t="str">
        <f>VLOOKUP($B24,'2007-2020 Metadata'!$A$4:$S$214,MATCH("Urban Area /Monitoring Zone",'2007-2020 Metadata'!$A$4:$S$4,0),FALSE)</f>
        <v>Auckland - Central</v>
      </c>
      <c r="AC24" s="87" t="str">
        <f>VLOOKUP(B24,'2007-2020 Metadata'!$A$6:$A$214,1,FALSE)</f>
        <v>AUC025</v>
      </c>
      <c r="AD24" s="230" t="str">
        <f>VLOOKUP($AC24,'2007-2020 Metadata'!$A$6:$S$214,9,FALSE)</f>
        <v>Auckland</v>
      </c>
      <c r="AE24" s="248">
        <f>IF(ISBLANK(VLOOKUP($AC24,'2007-2020 Metadata'!$A$6:$S$214,19,FALSE)),"",VLOOKUP($AC24,'2007-2020 Metadata'!$A$6:$S$214,19,FALSE))</f>
        <v>3</v>
      </c>
      <c r="AF24" s="88" t="str">
        <f>VLOOKUP($B24,'2007-2020 Metadata'!$A$4:$S$214,MATCH("Site type",'2007-2020 Metadata'!$A$4:$S$4,0),FALSE)</f>
        <v>SH</v>
      </c>
      <c r="AG24" s="143">
        <f t="shared" si="11"/>
        <v>7.8</v>
      </c>
      <c r="AH24" s="143">
        <f t="shared" si="12"/>
        <v>25.8</v>
      </c>
      <c r="AI24" s="144">
        <f t="shared" si="13"/>
        <v>25.255177428737639</v>
      </c>
    </row>
    <row r="25" spans="2:35" ht="12" customHeight="1" x14ac:dyDescent="0.2">
      <c r="B25" s="71" t="s">
        <v>19</v>
      </c>
      <c r="C25" s="58">
        <f>IF(VLOOKUP($B25,'Monthly Summary 2007'!$B$7:$U$62,14,FALSE)&gt;0,VLOOKUP($B25,'Monthly Summary 2007'!$B$7:$U$62,14,FALSE),"")</f>
        <v>17.70942408376963</v>
      </c>
      <c r="D25" s="72">
        <v>16.206806282722514</v>
      </c>
      <c r="E25" s="73">
        <v>17.2</v>
      </c>
      <c r="F25" s="73">
        <v>25.3</v>
      </c>
      <c r="G25" s="73">
        <v>23.8</v>
      </c>
      <c r="H25" s="73">
        <v>30.9</v>
      </c>
      <c r="I25" s="73">
        <v>25.2</v>
      </c>
      <c r="J25" s="73">
        <v>28.8</v>
      </c>
      <c r="K25" s="73">
        <v>22</v>
      </c>
      <c r="L25" s="73">
        <v>17.100000000000001</v>
      </c>
      <c r="M25" s="73">
        <v>14.6</v>
      </c>
      <c r="N25" s="73">
        <v>6.1</v>
      </c>
      <c r="O25" s="73">
        <v>13</v>
      </c>
      <c r="P25" s="74">
        <f t="shared" si="0"/>
        <v>20.01723385689354</v>
      </c>
      <c r="Q25" s="38">
        <f t="shared" si="1"/>
        <v>1</v>
      </c>
      <c r="R25" s="140">
        <f t="shared" si="5"/>
        <v>19.568935427574171</v>
      </c>
      <c r="S25" s="150">
        <f t="shared" si="6"/>
        <v>1</v>
      </c>
      <c r="T25" s="140">
        <f t="shared" si="7"/>
        <v>22.633333333333336</v>
      </c>
      <c r="U25" s="9">
        <f t="shared" si="8"/>
        <v>1</v>
      </c>
      <c r="V25" s="141">
        <f t="shared" si="9"/>
        <v>20.01723385689354</v>
      </c>
      <c r="W25" s="142">
        <f t="shared" si="10"/>
        <v>1</v>
      </c>
      <c r="X25" s="144">
        <f t="shared" si="2"/>
        <v>18.005700988947066</v>
      </c>
      <c r="Y25" s="144">
        <f t="shared" si="3"/>
        <v>27.033333333333331</v>
      </c>
      <c r="Z25" s="144">
        <f t="shared" si="4"/>
        <v>22.419987043206934</v>
      </c>
      <c r="AA25" s="10"/>
      <c r="AB25" s="357" t="str">
        <f>VLOOKUP($B25,'2007-2020 Metadata'!$A$4:$S$214,MATCH("Urban Area /Monitoring Zone",'2007-2020 Metadata'!$A$4:$S$4,0),FALSE)</f>
        <v xml:space="preserve">Auckland - Southern </v>
      </c>
      <c r="AC25" s="87" t="str">
        <f>VLOOKUP(B25,'2007-2020 Metadata'!$A$6:$A$214,1,FALSE)</f>
        <v>AUC026</v>
      </c>
      <c r="AD25" s="230" t="str">
        <f>VLOOKUP($AC25,'2007-2020 Metadata'!$A$6:$S$214,9,FALSE)</f>
        <v>Manukau</v>
      </c>
      <c r="AE25" s="248">
        <f>IF(ISBLANK(VLOOKUP($AC25,'2007-2020 Metadata'!$A$6:$S$214,19,FALSE)),"",VLOOKUP($AC25,'2007-2020 Metadata'!$A$6:$S$214,19,FALSE))</f>
        <v>3</v>
      </c>
      <c r="AF25" s="88" t="str">
        <f>VLOOKUP($B25,'2007-2020 Metadata'!$A$4:$S$214,MATCH("Site type",'2007-2020 Metadata'!$A$4:$S$4,0),FALSE)</f>
        <v>SH</v>
      </c>
      <c r="AG25" s="143">
        <f t="shared" si="11"/>
        <v>6.1</v>
      </c>
      <c r="AH25" s="143">
        <f t="shared" si="12"/>
        <v>30.9</v>
      </c>
      <c r="AI25" s="144">
        <f t="shared" si="13"/>
        <v>22.419987043206934</v>
      </c>
    </row>
    <row r="26" spans="2:35" ht="12" customHeight="1" x14ac:dyDescent="0.2">
      <c r="B26" s="71" t="s">
        <v>998</v>
      </c>
      <c r="C26" s="58">
        <f>IF(VLOOKUP($B26,'Monthly Summary 2007'!$B$7:$U$62,14,FALSE)&gt;0,VLOOKUP($B26,'Monthly Summary 2007'!$B$7:$U$62,14,FALSE),"")</f>
        <v>10.19633507853403</v>
      </c>
      <c r="D26" s="72">
        <v>14.596858638743456</v>
      </c>
      <c r="E26" s="73">
        <v>15.6</v>
      </c>
      <c r="F26" s="73">
        <v>16.600000000000001</v>
      </c>
      <c r="G26" s="73">
        <v>25.5</v>
      </c>
      <c r="H26" s="73">
        <v>24</v>
      </c>
      <c r="I26" s="73">
        <v>37.6</v>
      </c>
      <c r="J26" s="73">
        <v>33.299999999999997</v>
      </c>
      <c r="K26" s="73">
        <v>28.6</v>
      </c>
      <c r="L26" s="73">
        <v>9.8000000000000007</v>
      </c>
      <c r="M26" s="73">
        <v>17.3</v>
      </c>
      <c r="N26" s="73">
        <v>15.3</v>
      </c>
      <c r="O26" s="73">
        <v>14.8</v>
      </c>
      <c r="P26" s="74">
        <f t="shared" si="0"/>
        <v>21.083071553228624</v>
      </c>
      <c r="Q26" s="38">
        <f t="shared" si="1"/>
        <v>1</v>
      </c>
      <c r="R26" s="140">
        <f t="shared" si="5"/>
        <v>15.598952879581153</v>
      </c>
      <c r="S26" s="150">
        <f t="shared" si="6"/>
        <v>1</v>
      </c>
      <c r="T26" s="140">
        <f t="shared" si="7"/>
        <v>23.900000000000002</v>
      </c>
      <c r="U26" s="9">
        <f t="shared" si="8"/>
        <v>1</v>
      </c>
      <c r="V26" s="141">
        <f t="shared" si="9"/>
        <v>21.083071553228624</v>
      </c>
      <c r="W26" s="142">
        <f t="shared" si="10"/>
        <v>1</v>
      </c>
      <c r="X26" s="144">
        <f t="shared" si="2"/>
        <v>15.598952879581153</v>
      </c>
      <c r="Y26" s="144">
        <f t="shared" si="3"/>
        <v>23.900000000000002</v>
      </c>
      <c r="Z26" s="144">
        <f t="shared" si="4"/>
        <v>21.083071553228624</v>
      </c>
      <c r="AA26" s="10"/>
      <c r="AB26" s="357">
        <f>VLOOKUP($B26,'2007-2020 Metadata'!$A$4:$S$214,MATCH("Urban Area /Monitoring Zone",'2007-2020 Metadata'!$A$4:$S$4,0),FALSE)</f>
        <v>0</v>
      </c>
      <c r="AC26" s="87" t="str">
        <f>VLOOKUP(B26,'2007-2020 Metadata'!$A$6:$A$214,1,FALSE)</f>
        <v>AUC027a</v>
      </c>
      <c r="AD26" s="230">
        <f>VLOOKUP($AC26,'2007-2020 Metadata'!$A$6:$S$214,9,FALSE)</f>
        <v>0</v>
      </c>
      <c r="AE26" s="248" t="str">
        <f>IF(ISBLANK(VLOOKUP($AC26,'2007-2020 Metadata'!$A$6:$S$214,19,FALSE)),"",VLOOKUP($AC26,'2007-2020 Metadata'!$A$6:$S$214,19,FALSE))</f>
        <v/>
      </c>
      <c r="AF26" s="88" t="str">
        <f>VLOOKUP($B26,'2007-2020 Metadata'!$A$4:$S$214,MATCH("Site type",'2007-2020 Metadata'!$A$4:$S$4,0),FALSE)</f>
        <v>SH</v>
      </c>
      <c r="AG26" s="143">
        <f t="shared" si="11"/>
        <v>9.8000000000000007</v>
      </c>
      <c r="AH26" s="143">
        <f t="shared" si="12"/>
        <v>37.6</v>
      </c>
      <c r="AI26" s="144">
        <f t="shared" si="13"/>
        <v>21.083071553228624</v>
      </c>
    </row>
    <row r="27" spans="2:35" ht="12" customHeight="1" x14ac:dyDescent="0.2">
      <c r="B27" s="71" t="s">
        <v>32</v>
      </c>
      <c r="C27" s="58">
        <f>IF(VLOOKUP($B27,'Monthly Summary 2007'!$B$7:$U$62,14,FALSE)&gt;0,VLOOKUP($B27,'Monthly Summary 2007'!$B$7:$U$62,14,FALSE),"")</f>
        <v>15.777486910994762</v>
      </c>
      <c r="D27" s="72">
        <v>15.240837696335078</v>
      </c>
      <c r="E27" s="73">
        <v>22.9</v>
      </c>
      <c r="F27" s="73">
        <v>22.3</v>
      </c>
      <c r="G27" s="73">
        <v>29.3</v>
      </c>
      <c r="H27" s="73">
        <v>44.3</v>
      </c>
      <c r="I27" s="73">
        <v>30</v>
      </c>
      <c r="J27" s="73"/>
      <c r="K27" s="73">
        <v>25.3</v>
      </c>
      <c r="L27" s="73">
        <v>3.1</v>
      </c>
      <c r="M27" s="73">
        <v>21</v>
      </c>
      <c r="N27" s="73">
        <v>19.7</v>
      </c>
      <c r="O27" s="73">
        <v>15.8</v>
      </c>
      <c r="P27" s="74">
        <f t="shared" si="0"/>
        <v>22.630985245121369</v>
      </c>
      <c r="Q27" s="38">
        <f t="shared" si="1"/>
        <v>0.91666666666666663</v>
      </c>
      <c r="R27" s="140">
        <f t="shared" si="5"/>
        <v>20.146945898778359</v>
      </c>
      <c r="S27" s="150">
        <f t="shared" si="6"/>
        <v>1</v>
      </c>
      <c r="T27" s="140">
        <f t="shared" si="7"/>
        <v>14.200000000000001</v>
      </c>
      <c r="U27" s="9">
        <f t="shared" si="8"/>
        <v>0.66666666666666663</v>
      </c>
      <c r="V27" s="141">
        <f t="shared" si="9"/>
        <v>22.630985245121369</v>
      </c>
      <c r="W27" s="142">
        <f t="shared" si="10"/>
        <v>0.91666666666666663</v>
      </c>
      <c r="X27" s="144">
        <f t="shared" si="2"/>
        <v>23.500174520069809</v>
      </c>
      <c r="Y27" s="144">
        <f t="shared" si="3"/>
        <v>23</v>
      </c>
      <c r="Z27" s="144">
        <f t="shared" si="4"/>
        <v>26.234022489290812</v>
      </c>
      <c r="AA27" s="10"/>
      <c r="AB27" s="357" t="str">
        <f>VLOOKUP($B27,'2007-2020 Metadata'!$A$4:$S$214,MATCH("Urban Area /Monitoring Zone",'2007-2020 Metadata'!$A$4:$S$4,0),FALSE)</f>
        <v>Hamilton</v>
      </c>
      <c r="AC27" s="87" t="str">
        <f>VLOOKUP(B27,'2007-2020 Metadata'!$A$6:$A$214,1,FALSE)</f>
        <v>HAM001</v>
      </c>
      <c r="AD27" s="230" t="str">
        <f>VLOOKUP($AC27,'2007-2020 Metadata'!$A$6:$S$214,9,FALSE)</f>
        <v>Hamilton</v>
      </c>
      <c r="AE27" s="248">
        <f>IF(ISBLANK(VLOOKUP($AC27,'2007-2020 Metadata'!$A$6:$S$214,19,FALSE)),"",VLOOKUP($AC27,'2007-2020 Metadata'!$A$6:$S$214,19,FALSE))</f>
        <v>3.8</v>
      </c>
      <c r="AF27" s="88" t="str">
        <f>VLOOKUP($B27,'2007-2020 Metadata'!$A$4:$S$214,MATCH("Site type",'2007-2020 Metadata'!$A$4:$S$4,0),FALSE)</f>
        <v>SH</v>
      </c>
      <c r="AG27" s="143">
        <f t="shared" si="11"/>
        <v>3.1</v>
      </c>
      <c r="AH27" s="143">
        <f t="shared" si="12"/>
        <v>44.3</v>
      </c>
      <c r="AI27" s="144">
        <f t="shared" si="13"/>
        <v>26.234022489290812</v>
      </c>
    </row>
    <row r="28" spans="2:35" ht="12" customHeight="1" x14ac:dyDescent="0.2">
      <c r="B28" s="71" t="s">
        <v>33</v>
      </c>
      <c r="C28" s="58" t="str">
        <f>IF(VLOOKUP($B28,'Monthly Summary 2007'!$B$7:$U$62,14,FALSE)&gt;0,VLOOKUP($B28,'Monthly Summary 2007'!$B$7:$U$62,14,FALSE),"")</f>
        <v/>
      </c>
      <c r="D28" s="72">
        <v>19.319371727748692</v>
      </c>
      <c r="E28" s="73">
        <v>17.899999999999999</v>
      </c>
      <c r="F28" s="73">
        <v>21.3</v>
      </c>
      <c r="G28" s="73">
        <v>33.1</v>
      </c>
      <c r="H28" s="73">
        <v>37.5</v>
      </c>
      <c r="I28" s="73">
        <v>8.1999999999999993</v>
      </c>
      <c r="J28" s="73">
        <v>29.8</v>
      </c>
      <c r="K28" s="73">
        <v>29.4</v>
      </c>
      <c r="L28" s="73">
        <v>8.1</v>
      </c>
      <c r="M28" s="73">
        <v>19.399999999999999</v>
      </c>
      <c r="N28" s="73">
        <v>14</v>
      </c>
      <c r="O28" s="73">
        <v>12.5</v>
      </c>
      <c r="P28" s="74">
        <f t="shared" si="0"/>
        <v>20.876614310645724</v>
      </c>
      <c r="Q28" s="38">
        <f t="shared" si="1"/>
        <v>1</v>
      </c>
      <c r="R28" s="140">
        <f t="shared" si="5"/>
        <v>19.506457242582897</v>
      </c>
      <c r="S28" s="150">
        <f t="shared" si="6"/>
        <v>1</v>
      </c>
      <c r="T28" s="140">
        <f t="shared" si="7"/>
        <v>22.433333333333334</v>
      </c>
      <c r="U28" s="9">
        <f t="shared" si="8"/>
        <v>1</v>
      </c>
      <c r="V28" s="141">
        <f t="shared" si="9"/>
        <v>20.876614310645724</v>
      </c>
      <c r="W28" s="142">
        <f t="shared" si="10"/>
        <v>1</v>
      </c>
      <c r="X28" s="144">
        <f t="shared" si="2"/>
        <v>23.500174520069809</v>
      </c>
      <c r="Y28" s="144">
        <f t="shared" si="3"/>
        <v>23</v>
      </c>
      <c r="Z28" s="144">
        <f t="shared" si="4"/>
        <v>26.234022489290812</v>
      </c>
      <c r="AA28" s="10"/>
      <c r="AB28" s="357" t="str">
        <f>VLOOKUP($B28,'2007-2020 Metadata'!$A$4:$S$214,MATCH("Urban Area /Monitoring Zone",'2007-2020 Metadata'!$A$4:$S$4,0),FALSE)</f>
        <v>Hamilton</v>
      </c>
      <c r="AC28" s="87" t="str">
        <f>VLOOKUP(B28,'2007-2020 Metadata'!$A$6:$A$214,1,FALSE)</f>
        <v>HAM002</v>
      </c>
      <c r="AD28" s="230" t="str">
        <f>VLOOKUP($AC28,'2007-2020 Metadata'!$A$6:$S$214,9,FALSE)</f>
        <v>Hamilton</v>
      </c>
      <c r="AE28" s="248">
        <f>IF(ISBLANK(VLOOKUP($AC28,'2007-2020 Metadata'!$A$6:$S$214,19,FALSE)),"",VLOOKUP($AC28,'2007-2020 Metadata'!$A$6:$S$214,19,FALSE))</f>
        <v>2.6</v>
      </c>
      <c r="AF28" s="88" t="str">
        <f>VLOOKUP($B28,'2007-2020 Metadata'!$A$4:$S$214,MATCH("Site type",'2007-2020 Metadata'!$A$4:$S$4,0),FALSE)</f>
        <v>Local (ex SH)</v>
      </c>
      <c r="AG28" s="143">
        <f t="shared" si="11"/>
        <v>8.1</v>
      </c>
      <c r="AH28" s="143">
        <f t="shared" si="12"/>
        <v>37.5</v>
      </c>
      <c r="AI28" s="144">
        <f t="shared" si="13"/>
        <v>26.234022489290812</v>
      </c>
    </row>
    <row r="29" spans="2:35" ht="12" customHeight="1" x14ac:dyDescent="0.2">
      <c r="B29" s="71" t="s">
        <v>34</v>
      </c>
      <c r="C29" s="58">
        <f>IF(VLOOKUP($B29,'Monthly Summary 2007'!$B$7:$U$62,14,FALSE)&gt;0,VLOOKUP($B29,'Monthly Summary 2007'!$B$7:$U$62,14,FALSE),"")</f>
        <v>27.476439790575917</v>
      </c>
      <c r="D29" s="72">
        <v>29.193717277486911</v>
      </c>
      <c r="E29" s="73">
        <v>34</v>
      </c>
      <c r="F29" s="73">
        <v>35.6</v>
      </c>
      <c r="G29" s="73">
        <v>44.5</v>
      </c>
      <c r="H29" s="73">
        <v>62.5</v>
      </c>
      <c r="I29" s="73">
        <v>50.7</v>
      </c>
      <c r="J29" s="73">
        <v>43</v>
      </c>
      <c r="K29" s="73">
        <v>47.2</v>
      </c>
      <c r="L29" s="73">
        <v>9.6</v>
      </c>
      <c r="M29" s="73">
        <v>41.4</v>
      </c>
      <c r="N29" s="73">
        <v>29.4</v>
      </c>
      <c r="O29" s="73">
        <v>32</v>
      </c>
      <c r="P29" s="74">
        <f t="shared" si="0"/>
        <v>38.257809773123903</v>
      </c>
      <c r="Q29" s="38">
        <f t="shared" si="1"/>
        <v>1</v>
      </c>
      <c r="R29" s="140">
        <f t="shared" si="5"/>
        <v>32.931239092495638</v>
      </c>
      <c r="S29" s="150">
        <f t="shared" si="6"/>
        <v>1</v>
      </c>
      <c r="T29" s="140">
        <f t="shared" si="7"/>
        <v>33.266666666666666</v>
      </c>
      <c r="U29" s="9">
        <f t="shared" si="8"/>
        <v>1</v>
      </c>
      <c r="V29" s="141">
        <f t="shared" si="9"/>
        <v>38.257809773123903</v>
      </c>
      <c r="W29" s="142">
        <f t="shared" si="10"/>
        <v>1</v>
      </c>
      <c r="X29" s="144">
        <f t="shared" si="2"/>
        <v>23.500174520069809</v>
      </c>
      <c r="Y29" s="144">
        <f t="shared" si="3"/>
        <v>23</v>
      </c>
      <c r="Z29" s="144">
        <f t="shared" si="4"/>
        <v>26.234022489290812</v>
      </c>
      <c r="AA29" s="10"/>
      <c r="AB29" s="357" t="str">
        <f>VLOOKUP($B29,'2007-2020 Metadata'!$A$4:$S$214,MATCH("Urban Area /Monitoring Zone",'2007-2020 Metadata'!$A$4:$S$4,0),FALSE)</f>
        <v>Hamilton</v>
      </c>
      <c r="AC29" s="87" t="str">
        <f>VLOOKUP(B29,'2007-2020 Metadata'!$A$6:$A$214,1,FALSE)</f>
        <v>HAM003</v>
      </c>
      <c r="AD29" s="230" t="str">
        <f>VLOOKUP($AC29,'2007-2020 Metadata'!$A$6:$S$214,9,FALSE)</f>
        <v>Hamilton</v>
      </c>
      <c r="AE29" s="248">
        <f>IF(ISBLANK(VLOOKUP($AC29,'2007-2020 Metadata'!$A$6:$S$214,19,FALSE)),"",VLOOKUP($AC29,'2007-2020 Metadata'!$A$6:$S$214,19,FALSE))</f>
        <v>2.9</v>
      </c>
      <c r="AF29" s="88" t="str">
        <f>VLOOKUP($B29,'2007-2020 Metadata'!$A$4:$S$214,MATCH("Site type",'2007-2020 Metadata'!$A$4:$S$4,0),FALSE)</f>
        <v>SH</v>
      </c>
      <c r="AG29" s="143">
        <f t="shared" si="11"/>
        <v>9.6</v>
      </c>
      <c r="AH29" s="143">
        <f t="shared" si="12"/>
        <v>62.5</v>
      </c>
      <c r="AI29" s="144">
        <f t="shared" si="13"/>
        <v>26.234022489290812</v>
      </c>
    </row>
    <row r="30" spans="2:35" ht="12" customHeight="1" x14ac:dyDescent="0.2">
      <c r="B30" s="71" t="s">
        <v>35</v>
      </c>
      <c r="C30" s="58">
        <f>IF(VLOOKUP($B30,'Monthly Summary 2007'!$B$7:$U$62,14,FALSE)&gt;0,VLOOKUP($B30,'Monthly Summary 2007'!$B$7:$U$62,14,FALSE),"")</f>
        <v>15.348167539267017</v>
      </c>
      <c r="D30" s="72">
        <v>15.348167539267017</v>
      </c>
      <c r="E30" s="73">
        <v>23.1</v>
      </c>
      <c r="F30" s="73">
        <v>25.8</v>
      </c>
      <c r="G30" s="73">
        <v>32.200000000000003</v>
      </c>
      <c r="H30" s="73">
        <v>28.4</v>
      </c>
      <c r="I30" s="73">
        <v>30.9</v>
      </c>
      <c r="J30" s="73">
        <v>28</v>
      </c>
      <c r="K30" s="73">
        <v>26.2</v>
      </c>
      <c r="L30" s="73">
        <v>12.1</v>
      </c>
      <c r="M30" s="73">
        <v>22.5</v>
      </c>
      <c r="N30" s="73">
        <v>17.3</v>
      </c>
      <c r="O30" s="73">
        <v>16.2</v>
      </c>
      <c r="P30" s="74">
        <f t="shared" si="0"/>
        <v>23.170680628272251</v>
      </c>
      <c r="Q30" s="38">
        <f t="shared" si="1"/>
        <v>1</v>
      </c>
      <c r="R30" s="140">
        <f t="shared" si="5"/>
        <v>21.416055846422339</v>
      </c>
      <c r="S30" s="150">
        <f t="shared" si="6"/>
        <v>1</v>
      </c>
      <c r="T30" s="140">
        <f t="shared" si="7"/>
        <v>22.099999999999998</v>
      </c>
      <c r="U30" s="9">
        <f t="shared" si="8"/>
        <v>1</v>
      </c>
      <c r="V30" s="141">
        <f t="shared" si="9"/>
        <v>23.170680628272251</v>
      </c>
      <c r="W30" s="142">
        <f t="shared" si="10"/>
        <v>1</v>
      </c>
      <c r="X30" s="144">
        <f t="shared" si="2"/>
        <v>23.500174520069809</v>
      </c>
      <c r="Y30" s="144">
        <f t="shared" si="3"/>
        <v>23</v>
      </c>
      <c r="Z30" s="144">
        <f t="shared" si="4"/>
        <v>26.234022489290812</v>
      </c>
      <c r="AA30" s="10"/>
      <c r="AB30" s="357" t="str">
        <f>VLOOKUP($B30,'2007-2020 Metadata'!$A$4:$S$214,MATCH("Urban Area /Monitoring Zone",'2007-2020 Metadata'!$A$4:$S$4,0),FALSE)</f>
        <v>Cambridge</v>
      </c>
      <c r="AC30" s="87" t="str">
        <f>VLOOKUP(B30,'2007-2020 Metadata'!$A$6:$A$214,1,FALSE)</f>
        <v>HAM004</v>
      </c>
      <c r="AD30" s="230" t="str">
        <f>VLOOKUP($AC30,'2007-2020 Metadata'!$A$6:$S$214,9,FALSE)</f>
        <v>Hamilton</v>
      </c>
      <c r="AE30" s="248">
        <f>IF(ISBLANK(VLOOKUP($AC30,'2007-2020 Metadata'!$A$6:$S$214,19,FALSE)),"",VLOOKUP($AC30,'2007-2020 Metadata'!$A$6:$S$214,19,FALSE))</f>
        <v>3</v>
      </c>
      <c r="AF30" s="88" t="str">
        <f>VLOOKUP($B30,'2007-2020 Metadata'!$A$4:$S$214,MATCH("Site type",'2007-2020 Metadata'!$A$4:$S$4,0),FALSE)</f>
        <v>Local (ex SH)</v>
      </c>
      <c r="AG30" s="143">
        <f t="shared" si="11"/>
        <v>12.1</v>
      </c>
      <c r="AH30" s="143">
        <f t="shared" si="12"/>
        <v>32.200000000000003</v>
      </c>
      <c r="AI30" s="144">
        <f t="shared" si="13"/>
        <v>26.234022489290812</v>
      </c>
    </row>
    <row r="31" spans="2:35" ht="12" customHeight="1" x14ac:dyDescent="0.2">
      <c r="B31" s="71" t="s">
        <v>36</v>
      </c>
      <c r="C31" s="58">
        <f>IF(VLOOKUP($B31,'Monthly Summary 2007'!$B$7:$U$62,14,FALSE)&gt;0,VLOOKUP($B31,'Monthly Summary 2007'!$B$7:$U$62,14,FALSE),"")</f>
        <v>15.240837696335078</v>
      </c>
      <c r="D31" s="72">
        <v>11.698952879581151</v>
      </c>
      <c r="E31" s="73">
        <v>17.8</v>
      </c>
      <c r="F31" s="73">
        <v>17.8</v>
      </c>
      <c r="G31" s="73">
        <v>21.2</v>
      </c>
      <c r="H31" s="73">
        <v>27.5</v>
      </c>
      <c r="I31" s="73">
        <v>25</v>
      </c>
      <c r="J31" s="73">
        <v>23.3</v>
      </c>
      <c r="K31" s="73">
        <v>20.399999999999999</v>
      </c>
      <c r="L31" s="73">
        <v>15.6</v>
      </c>
      <c r="M31" s="73">
        <v>16</v>
      </c>
      <c r="N31" s="73">
        <v>16</v>
      </c>
      <c r="O31" s="73">
        <v>11.2</v>
      </c>
      <c r="P31" s="74">
        <f t="shared" si="0"/>
        <v>18.624912739965094</v>
      </c>
      <c r="Q31" s="38">
        <f t="shared" si="1"/>
        <v>1</v>
      </c>
      <c r="R31" s="140">
        <f t="shared" si="5"/>
        <v>15.76631762652705</v>
      </c>
      <c r="S31" s="150">
        <f t="shared" si="6"/>
        <v>1</v>
      </c>
      <c r="T31" s="140">
        <f t="shared" si="7"/>
        <v>19.766666666666669</v>
      </c>
      <c r="U31" s="9">
        <f t="shared" si="8"/>
        <v>1</v>
      </c>
      <c r="V31" s="141">
        <f t="shared" si="9"/>
        <v>18.624912739965094</v>
      </c>
      <c r="W31" s="142">
        <f t="shared" si="10"/>
        <v>1</v>
      </c>
      <c r="X31" s="144">
        <f t="shared" si="2"/>
        <v>15.76631762652705</v>
      </c>
      <c r="Y31" s="144">
        <f t="shared" si="3"/>
        <v>19.766666666666669</v>
      </c>
      <c r="Z31" s="144">
        <f t="shared" si="4"/>
        <v>18.624912739965094</v>
      </c>
      <c r="AA31" s="10"/>
      <c r="AB31" s="357" t="str">
        <f>VLOOKUP($B31,'2007-2020 Metadata'!$A$4:$S$214,MATCH("Urban Area /Monitoring Zone",'2007-2020 Metadata'!$A$4:$S$4,0),FALSE)</f>
        <v>Taupo</v>
      </c>
      <c r="AC31" s="87" t="str">
        <f>VLOOKUP(B31,'2007-2020 Metadata'!$A$6:$A$214,1,FALSE)</f>
        <v>HAM005</v>
      </c>
      <c r="AD31" s="230" t="str">
        <f>VLOOKUP($AC31,'2007-2020 Metadata'!$A$6:$S$214,9,FALSE)</f>
        <v>Taupo</v>
      </c>
      <c r="AE31" s="248">
        <f>IF(ISBLANK(VLOOKUP($AC31,'2007-2020 Metadata'!$A$6:$S$214,19,FALSE)),"",VLOOKUP($AC31,'2007-2020 Metadata'!$A$6:$S$214,19,FALSE))</f>
        <v>3.5</v>
      </c>
      <c r="AF31" s="88" t="str">
        <f>VLOOKUP($B31,'2007-2020 Metadata'!$A$4:$S$214,MATCH("Site type",'2007-2020 Metadata'!$A$4:$S$4,0),FALSE)</f>
        <v>Local (ex SH)</v>
      </c>
      <c r="AG31" s="143">
        <f t="shared" si="11"/>
        <v>11.2</v>
      </c>
      <c r="AH31" s="143">
        <f t="shared" si="12"/>
        <v>27.5</v>
      </c>
      <c r="AI31" s="144">
        <f t="shared" si="13"/>
        <v>18.624912739965094</v>
      </c>
    </row>
    <row r="32" spans="2:35" ht="12" customHeight="1" x14ac:dyDescent="0.2">
      <c r="B32" s="71" t="s">
        <v>37</v>
      </c>
      <c r="C32" s="58">
        <f>IF(VLOOKUP($B32,'Monthly Summary 2007'!$B$7:$U$62,14,FALSE)&gt;0,VLOOKUP($B32,'Monthly Summary 2007'!$B$7:$U$62,14,FALSE),"")</f>
        <v>8.5863874345549736</v>
      </c>
      <c r="D32" s="72">
        <v>10.19633507853403</v>
      </c>
      <c r="E32" s="73">
        <v>10.8</v>
      </c>
      <c r="F32" s="73">
        <v>15.5</v>
      </c>
      <c r="G32" s="73">
        <v>21.8</v>
      </c>
      <c r="H32" s="73">
        <v>50.8</v>
      </c>
      <c r="I32" s="73">
        <v>26</v>
      </c>
      <c r="J32" s="73">
        <v>24.2</v>
      </c>
      <c r="K32" s="73">
        <v>20.6</v>
      </c>
      <c r="L32" s="73">
        <v>9.9</v>
      </c>
      <c r="M32" s="73">
        <v>13.9</v>
      </c>
      <c r="N32" s="73">
        <v>11.5</v>
      </c>
      <c r="O32" s="73">
        <v>11.3</v>
      </c>
      <c r="P32" s="74">
        <f t="shared" si="0"/>
        <v>18.874694589877837</v>
      </c>
      <c r="Q32" s="38">
        <f t="shared" si="1"/>
        <v>1</v>
      </c>
      <c r="R32" s="140">
        <f t="shared" si="5"/>
        <v>12.165445026178011</v>
      </c>
      <c r="S32" s="150">
        <f t="shared" si="6"/>
        <v>1</v>
      </c>
      <c r="T32" s="140">
        <f t="shared" si="7"/>
        <v>18.233333333333331</v>
      </c>
      <c r="U32" s="9">
        <f t="shared" si="8"/>
        <v>1</v>
      </c>
      <c r="V32" s="141">
        <f t="shared" si="9"/>
        <v>18.874694589877837</v>
      </c>
      <c r="W32" s="142">
        <f t="shared" si="10"/>
        <v>1</v>
      </c>
      <c r="X32" s="144">
        <f t="shared" si="2"/>
        <v>12.165445026178011</v>
      </c>
      <c r="Y32" s="144">
        <f t="shared" si="3"/>
        <v>18.233333333333331</v>
      </c>
      <c r="Z32" s="144">
        <f t="shared" si="4"/>
        <v>18.874694589877837</v>
      </c>
      <c r="AA32" s="10"/>
      <c r="AB32" s="357" t="str">
        <f>VLOOKUP($B32,'2007-2020 Metadata'!$A$4:$S$214,MATCH("Urban Area /Monitoring Zone",'2007-2020 Metadata'!$A$4:$S$4,0),FALSE)</f>
        <v>Rotorua</v>
      </c>
      <c r="AC32" s="87" t="str">
        <f>VLOOKUP(B32,'2007-2020 Metadata'!$A$6:$A$214,1,FALSE)</f>
        <v>HAM006</v>
      </c>
      <c r="AD32" s="230" t="str">
        <f>VLOOKUP($AC32,'2007-2020 Metadata'!$A$6:$S$214,9,FALSE)</f>
        <v>Rotorua</v>
      </c>
      <c r="AE32" s="248">
        <f>IF(ISBLANK(VLOOKUP($AC32,'2007-2020 Metadata'!$A$6:$S$214,19,FALSE)),"",VLOOKUP($AC32,'2007-2020 Metadata'!$A$6:$S$214,19,FALSE))</f>
        <v>3</v>
      </c>
      <c r="AF32" s="88" t="str">
        <f>VLOOKUP($B32,'2007-2020 Metadata'!$A$4:$S$214,MATCH("Site type",'2007-2020 Metadata'!$A$4:$S$4,0),FALSE)</f>
        <v>SH</v>
      </c>
      <c r="AG32" s="143">
        <f t="shared" si="11"/>
        <v>9.9</v>
      </c>
      <c r="AH32" s="143">
        <f t="shared" si="12"/>
        <v>50.8</v>
      </c>
      <c r="AI32" s="144">
        <f t="shared" si="13"/>
        <v>18.874694589877837</v>
      </c>
    </row>
    <row r="33" spans="2:35" ht="12" customHeight="1" x14ac:dyDescent="0.2">
      <c r="B33" s="71" t="s">
        <v>39</v>
      </c>
      <c r="C33" s="58">
        <f>IF(VLOOKUP($B33,'Monthly Summary 2007'!$B$7:$U$62,14,FALSE)&gt;0,VLOOKUP($B33,'Monthly Summary 2007'!$B$7:$U$62,14,FALSE),"")</f>
        <v>13.845549738219896</v>
      </c>
      <c r="D33" s="72">
        <v>18.353403141361259</v>
      </c>
      <c r="E33" s="73">
        <v>21.4</v>
      </c>
      <c r="F33" s="73">
        <v>23.9</v>
      </c>
      <c r="G33" s="73">
        <v>31.2</v>
      </c>
      <c r="H33" s="73">
        <v>31.7</v>
      </c>
      <c r="I33" s="73">
        <v>38.4</v>
      </c>
      <c r="J33" s="73">
        <v>11.7</v>
      </c>
      <c r="K33" s="73">
        <v>30.6</v>
      </c>
      <c r="L33" s="73">
        <v>13.2</v>
      </c>
      <c r="M33" s="73">
        <v>21</v>
      </c>
      <c r="N33" s="73">
        <v>18.2</v>
      </c>
      <c r="O33" s="73">
        <v>17.600000000000001</v>
      </c>
      <c r="P33" s="74">
        <f t="shared" si="0"/>
        <v>23.104450261780105</v>
      </c>
      <c r="Q33" s="38">
        <f t="shared" si="1"/>
        <v>1</v>
      </c>
      <c r="R33" s="140">
        <f t="shared" si="5"/>
        <v>21.217801047120421</v>
      </c>
      <c r="S33" s="150">
        <f t="shared" si="6"/>
        <v>1</v>
      </c>
      <c r="T33" s="140">
        <f t="shared" si="7"/>
        <v>18.5</v>
      </c>
      <c r="U33" s="9">
        <f t="shared" si="8"/>
        <v>1</v>
      </c>
      <c r="V33" s="141">
        <f t="shared" si="9"/>
        <v>23.104450261780105</v>
      </c>
      <c r="W33" s="142">
        <f t="shared" si="10"/>
        <v>1</v>
      </c>
      <c r="X33" s="144">
        <f t="shared" si="2"/>
        <v>22.607795229784756</v>
      </c>
      <c r="Y33" s="144">
        <f t="shared" si="3"/>
        <v>21.727777777777778</v>
      </c>
      <c r="Z33" s="144">
        <f t="shared" si="4"/>
        <v>25.191925802527901</v>
      </c>
      <c r="AA33" s="10"/>
      <c r="AB33" s="357" t="str">
        <f>VLOOKUP($B33,'2007-2020 Metadata'!$A$4:$S$214,MATCH("Urban Area /Monitoring Zone",'2007-2020 Metadata'!$A$4:$S$4,0),FALSE)</f>
        <v>Tauranga</v>
      </c>
      <c r="AC33" s="87" t="str">
        <f>VLOOKUP(B33,'2007-2020 Metadata'!$A$6:$A$214,1,FALSE)</f>
        <v>HAM007</v>
      </c>
      <c r="AD33" s="230" t="str">
        <f>VLOOKUP($AC33,'2007-2020 Metadata'!$A$6:$S$214,9,FALSE)</f>
        <v>Tauranga</v>
      </c>
      <c r="AE33" s="248">
        <f>IF(ISBLANK(VLOOKUP($AC33,'2007-2020 Metadata'!$A$6:$S$214,19,FALSE)),"",VLOOKUP($AC33,'2007-2020 Metadata'!$A$6:$S$214,19,FALSE))</f>
        <v>2.9</v>
      </c>
      <c r="AF33" s="88" t="str">
        <f>VLOOKUP($B33,'2007-2020 Metadata'!$A$4:$S$214,MATCH("Site type",'2007-2020 Metadata'!$A$4:$S$4,0),FALSE)</f>
        <v>SH</v>
      </c>
      <c r="AG33" s="143">
        <f t="shared" si="11"/>
        <v>11.7</v>
      </c>
      <c r="AH33" s="143">
        <f t="shared" si="12"/>
        <v>38.4</v>
      </c>
      <c r="AI33" s="144">
        <f t="shared" si="13"/>
        <v>25.191925802527901</v>
      </c>
    </row>
    <row r="34" spans="2:35" ht="12" customHeight="1" x14ac:dyDescent="0.2">
      <c r="B34" s="71" t="s">
        <v>40</v>
      </c>
      <c r="C34" s="58">
        <f>IF(VLOOKUP($B34,'Monthly Summary 2007'!$B$7:$U$62,14,FALSE)&gt;0,VLOOKUP($B34,'Monthly Summary 2007'!$B$7:$U$62,14,FALSE),"")</f>
        <v>8.157068062827225</v>
      </c>
      <c r="D34" s="72">
        <v>13.630890052356019</v>
      </c>
      <c r="E34" s="73">
        <v>15.9</v>
      </c>
      <c r="F34" s="73">
        <v>19.2</v>
      </c>
      <c r="G34" s="73">
        <v>28.1</v>
      </c>
      <c r="H34" s="73">
        <v>38.6</v>
      </c>
      <c r="I34" s="73">
        <v>37.5</v>
      </c>
      <c r="J34" s="73">
        <v>30</v>
      </c>
      <c r="K34" s="73"/>
      <c r="L34" s="73">
        <v>16.3</v>
      </c>
      <c r="M34" s="73">
        <v>19.8</v>
      </c>
      <c r="N34" s="73">
        <v>14.3</v>
      </c>
      <c r="O34" s="73">
        <v>15.7</v>
      </c>
      <c r="P34" s="74">
        <f t="shared" si="0"/>
        <v>22.639171822941456</v>
      </c>
      <c r="Q34" s="38">
        <f t="shared" si="1"/>
        <v>0.91666666666666663</v>
      </c>
      <c r="R34" s="140">
        <f t="shared" si="5"/>
        <v>16.243630017452006</v>
      </c>
      <c r="S34" s="150">
        <f t="shared" si="6"/>
        <v>1</v>
      </c>
      <c r="T34" s="140">
        <f t="shared" si="7"/>
        <v>23.15</v>
      </c>
      <c r="U34" s="9">
        <f t="shared" si="8"/>
        <v>0.66666666666666663</v>
      </c>
      <c r="V34" s="141">
        <f t="shared" si="9"/>
        <v>22.639171822941456</v>
      </c>
      <c r="W34" s="142">
        <f t="shared" si="10"/>
        <v>0.91666666666666663</v>
      </c>
      <c r="X34" s="144">
        <f t="shared" si="2"/>
        <v>22.607795229784756</v>
      </c>
      <c r="Y34" s="144">
        <f t="shared" si="3"/>
        <v>21.727777777777778</v>
      </c>
      <c r="Z34" s="144">
        <f t="shared" si="4"/>
        <v>25.191925802527901</v>
      </c>
      <c r="AA34" s="10"/>
      <c r="AB34" s="357" t="str">
        <f>VLOOKUP($B34,'2007-2020 Metadata'!$A$4:$S$214,MATCH("Urban Area /Monitoring Zone",'2007-2020 Metadata'!$A$4:$S$4,0),FALSE)</f>
        <v>Tauranga</v>
      </c>
      <c r="AC34" s="87" t="str">
        <f>VLOOKUP(B34,'2007-2020 Metadata'!$A$6:$A$214,1,FALSE)</f>
        <v>HAM008</v>
      </c>
      <c r="AD34" s="230" t="str">
        <f>VLOOKUP($AC34,'2007-2020 Metadata'!$A$6:$S$214,9,FALSE)</f>
        <v>Tauranga</v>
      </c>
      <c r="AE34" s="248">
        <f>IF(ISBLANK(VLOOKUP($AC34,'2007-2020 Metadata'!$A$6:$S$214,19,FALSE)),"",VLOOKUP($AC34,'2007-2020 Metadata'!$A$6:$S$214,19,FALSE))</f>
        <v>2.9</v>
      </c>
      <c r="AF34" s="88" t="str">
        <f>VLOOKUP($B34,'2007-2020 Metadata'!$A$4:$S$214,MATCH("Site type",'2007-2020 Metadata'!$A$4:$S$4,0),FALSE)</f>
        <v>SH</v>
      </c>
      <c r="AG34" s="143">
        <f t="shared" si="11"/>
        <v>13.630890052356019</v>
      </c>
      <c r="AH34" s="143">
        <f t="shared" si="12"/>
        <v>38.6</v>
      </c>
      <c r="AI34" s="144">
        <f t="shared" si="13"/>
        <v>25.191925802527901</v>
      </c>
    </row>
    <row r="35" spans="2:35" ht="12" customHeight="1" x14ac:dyDescent="0.2">
      <c r="B35" s="71" t="s">
        <v>41</v>
      </c>
      <c r="C35" s="58">
        <f>IF(VLOOKUP($B35,'Monthly Summary 2007'!$B$7:$U$62,14,FALSE)&gt;0,VLOOKUP($B35,'Monthly Summary 2007'!$B$7:$U$62,14,FALSE),"")</f>
        <v>19.963350785340314</v>
      </c>
      <c r="D35" s="72">
        <v>24.68586387434555</v>
      </c>
      <c r="E35" s="73">
        <v>31.2</v>
      </c>
      <c r="F35" s="73">
        <v>35.200000000000003</v>
      </c>
      <c r="G35" s="73">
        <v>45.6</v>
      </c>
      <c r="H35" s="73">
        <v>31</v>
      </c>
      <c r="I35" s="73">
        <v>49.8</v>
      </c>
      <c r="J35" s="73">
        <v>38.700000000000003</v>
      </c>
      <c r="K35" s="73">
        <v>26.7</v>
      </c>
      <c r="L35" s="73">
        <v>5.2</v>
      </c>
      <c r="M35" s="73">
        <v>21</v>
      </c>
      <c r="N35" s="73">
        <v>27.8</v>
      </c>
      <c r="O35" s="73">
        <v>21.1</v>
      </c>
      <c r="P35" s="74">
        <f t="shared" si="0"/>
        <v>29.832155322862132</v>
      </c>
      <c r="Q35" s="38">
        <f t="shared" si="1"/>
        <v>1</v>
      </c>
      <c r="R35" s="140">
        <f t="shared" si="5"/>
        <v>30.361954624781848</v>
      </c>
      <c r="S35" s="150">
        <f t="shared" si="6"/>
        <v>1</v>
      </c>
      <c r="T35" s="140">
        <f t="shared" si="7"/>
        <v>23.533333333333335</v>
      </c>
      <c r="U35" s="9">
        <f t="shared" si="8"/>
        <v>1</v>
      </c>
      <c r="V35" s="141">
        <f t="shared" si="9"/>
        <v>29.832155322862132</v>
      </c>
      <c r="W35" s="142">
        <f t="shared" si="10"/>
        <v>1</v>
      </c>
      <c r="X35" s="144">
        <f t="shared" si="2"/>
        <v>22.607795229784756</v>
      </c>
      <c r="Y35" s="144">
        <f t="shared" si="3"/>
        <v>21.727777777777778</v>
      </c>
      <c r="Z35" s="144">
        <f t="shared" si="4"/>
        <v>25.191925802527901</v>
      </c>
      <c r="AA35" s="10"/>
      <c r="AB35" s="357" t="str">
        <f>VLOOKUP($B35,'2007-2020 Metadata'!$A$4:$S$214,MATCH("Urban Area /Monitoring Zone",'2007-2020 Metadata'!$A$4:$S$4,0),FALSE)</f>
        <v>Tauranga</v>
      </c>
      <c r="AC35" s="87" t="str">
        <f>VLOOKUP(B35,'2007-2020 Metadata'!$A$6:$A$214,1,FALSE)</f>
        <v>HAM010</v>
      </c>
      <c r="AD35" s="230" t="str">
        <f>VLOOKUP($AC35,'2007-2020 Metadata'!$A$6:$S$214,9,FALSE)</f>
        <v>Tauranga</v>
      </c>
      <c r="AE35" s="248">
        <f>IF(ISBLANK(VLOOKUP($AC35,'2007-2020 Metadata'!$A$6:$S$214,19,FALSE)),"",VLOOKUP($AC35,'2007-2020 Metadata'!$A$6:$S$214,19,FALSE))</f>
        <v>2.7</v>
      </c>
      <c r="AF35" s="88" t="str">
        <f>VLOOKUP($B35,'2007-2020 Metadata'!$A$4:$S$214,MATCH("Site type",'2007-2020 Metadata'!$A$4:$S$4,0),FALSE)</f>
        <v>SH</v>
      </c>
      <c r="AG35" s="143">
        <f t="shared" si="11"/>
        <v>5.2</v>
      </c>
      <c r="AH35" s="143">
        <f t="shared" si="12"/>
        <v>49.8</v>
      </c>
      <c r="AI35" s="144">
        <f t="shared" si="13"/>
        <v>25.191925802527901</v>
      </c>
    </row>
    <row r="36" spans="2:35" ht="12" customHeight="1" x14ac:dyDescent="0.2">
      <c r="B36" s="71" t="s">
        <v>42</v>
      </c>
      <c r="C36" s="58">
        <f>IF(VLOOKUP($B36,'Monthly Summary 2007'!$B$7:$U$62,14,FALSE)&gt;0,VLOOKUP($B36,'Monthly Summary 2007'!$B$7:$U$62,14,FALSE),"")</f>
        <v>7.1910994764397902</v>
      </c>
      <c r="D36" s="72">
        <v>5.6884816753926701</v>
      </c>
      <c r="E36" s="73">
        <v>9.9</v>
      </c>
      <c r="F36" s="73">
        <v>11.7</v>
      </c>
      <c r="G36" s="73">
        <v>14.5</v>
      </c>
      <c r="H36" s="73"/>
      <c r="I36" s="73">
        <v>11.5</v>
      </c>
      <c r="J36" s="73">
        <v>16.2</v>
      </c>
      <c r="K36" s="73">
        <v>10.4</v>
      </c>
      <c r="L36" s="73">
        <v>5.4</v>
      </c>
      <c r="M36" s="73">
        <v>14.3</v>
      </c>
      <c r="N36" s="73">
        <v>7.6</v>
      </c>
      <c r="O36" s="73">
        <v>9.1999999999999993</v>
      </c>
      <c r="P36" s="74">
        <f t="shared" si="0"/>
        <v>10.580771061399334</v>
      </c>
      <c r="Q36" s="38">
        <f t="shared" si="1"/>
        <v>0.91666666666666663</v>
      </c>
      <c r="R36" s="140">
        <f t="shared" si="5"/>
        <v>9.0961605584642236</v>
      </c>
      <c r="S36" s="150">
        <f t="shared" si="6"/>
        <v>1</v>
      </c>
      <c r="T36" s="140">
        <f t="shared" si="7"/>
        <v>10.666666666666666</v>
      </c>
      <c r="U36" s="9">
        <f t="shared" si="8"/>
        <v>1</v>
      </c>
      <c r="V36" s="141">
        <f t="shared" si="9"/>
        <v>10.580771061399334</v>
      </c>
      <c r="W36" s="142">
        <f t="shared" si="10"/>
        <v>0.91666666666666663</v>
      </c>
      <c r="X36" s="144">
        <f t="shared" si="2"/>
        <v>9.0961605584642236</v>
      </c>
      <c r="Y36" s="144">
        <f t="shared" si="3"/>
        <v>10.666666666666666</v>
      </c>
      <c r="Z36" s="144">
        <f t="shared" si="4"/>
        <v>10.580771061399334</v>
      </c>
      <c r="AA36" s="10"/>
      <c r="AB36" s="357" t="str">
        <f>VLOOKUP($B36,'2007-2020 Metadata'!$A$4:$S$214,MATCH("Urban Area /Monitoring Zone",'2007-2020 Metadata'!$A$4:$S$4,0),FALSE)</f>
        <v>Gisborne</v>
      </c>
      <c r="AC36" s="87" t="str">
        <f>VLOOKUP(B36,'2007-2020 Metadata'!$A$6:$A$214,1,FALSE)</f>
        <v>NAP001</v>
      </c>
      <c r="AD36" s="230" t="str">
        <f>VLOOKUP($AC36,'2007-2020 Metadata'!$A$6:$S$214,9,FALSE)</f>
        <v>Gisborne</v>
      </c>
      <c r="AE36" s="248">
        <f>IF(ISBLANK(VLOOKUP($AC36,'2007-2020 Metadata'!$A$6:$S$214,19,FALSE)),"",VLOOKUP($AC36,'2007-2020 Metadata'!$A$6:$S$214,19,FALSE))</f>
        <v>3</v>
      </c>
      <c r="AF36" s="88" t="str">
        <f>VLOOKUP($B36,'2007-2020 Metadata'!$A$4:$S$214,MATCH("Site type",'2007-2020 Metadata'!$A$4:$S$4,0),FALSE)</f>
        <v>SH</v>
      </c>
      <c r="AG36" s="143">
        <f t="shared" si="11"/>
        <v>5.4</v>
      </c>
      <c r="AH36" s="143">
        <f t="shared" si="12"/>
        <v>16.2</v>
      </c>
      <c r="AI36" s="144">
        <f t="shared" si="13"/>
        <v>10.580771061399334</v>
      </c>
    </row>
    <row r="37" spans="2:35" ht="12" customHeight="1" x14ac:dyDescent="0.2">
      <c r="B37" s="71" t="s">
        <v>43</v>
      </c>
      <c r="C37" s="58" t="str">
        <f>IF(VLOOKUP($B37,'Monthly Summary 2007'!$B$7:$U$62,14,FALSE)&gt;0,VLOOKUP($B37,'Monthly Summary 2007'!$B$7:$U$62,14,FALSE),"")</f>
        <v/>
      </c>
      <c r="D37" s="72">
        <v>12.128272251308902</v>
      </c>
      <c r="E37" s="73">
        <v>12.9</v>
      </c>
      <c r="F37" s="73">
        <v>15.2</v>
      </c>
      <c r="G37" s="73">
        <v>18.100000000000001</v>
      </c>
      <c r="H37" s="73">
        <v>19.399999999999999</v>
      </c>
      <c r="I37" s="73">
        <v>23.1</v>
      </c>
      <c r="J37" s="73">
        <v>12.6</v>
      </c>
      <c r="K37" s="73">
        <v>10.5</v>
      </c>
      <c r="L37" s="73">
        <v>4.7</v>
      </c>
      <c r="M37" s="73">
        <v>12.7</v>
      </c>
      <c r="N37" s="73">
        <v>10.4</v>
      </c>
      <c r="O37" s="73">
        <v>10.6</v>
      </c>
      <c r="P37" s="74">
        <f t="shared" si="0"/>
        <v>13.527356020942406</v>
      </c>
      <c r="Q37" s="38">
        <f t="shared" si="1"/>
        <v>1</v>
      </c>
      <c r="R37" s="140">
        <f t="shared" si="5"/>
        <v>13.409424083769634</v>
      </c>
      <c r="S37" s="150">
        <f t="shared" si="6"/>
        <v>1</v>
      </c>
      <c r="T37" s="140">
        <f t="shared" si="7"/>
        <v>9.2666666666666675</v>
      </c>
      <c r="U37" s="9">
        <f t="shared" si="8"/>
        <v>1</v>
      </c>
      <c r="V37" s="141">
        <f t="shared" si="9"/>
        <v>13.527356020942406</v>
      </c>
      <c r="W37" s="142">
        <f t="shared" si="10"/>
        <v>1</v>
      </c>
      <c r="X37" s="144">
        <f t="shared" si="2"/>
        <v>17.51151832460733</v>
      </c>
      <c r="Y37" s="144">
        <f t="shared" si="3"/>
        <v>12.399999999999999</v>
      </c>
      <c r="Z37" s="144">
        <f t="shared" si="4"/>
        <v>16.661212914485166</v>
      </c>
      <c r="AA37" s="10"/>
      <c r="AB37" s="357" t="str">
        <f>VLOOKUP($B37,'2007-2020 Metadata'!$A$4:$S$214,MATCH("Urban Area /Monitoring Zone",'2007-2020 Metadata'!$A$4:$S$4,0),FALSE)</f>
        <v>Napier</v>
      </c>
      <c r="AC37" s="87" t="str">
        <f>VLOOKUP(B37,'2007-2020 Metadata'!$A$6:$A$214,1,FALSE)</f>
        <v>NAP002</v>
      </c>
      <c r="AD37" s="230" t="str">
        <f>VLOOKUP($AC37,'2007-2020 Metadata'!$A$6:$S$214,9,FALSE)</f>
        <v>Napier</v>
      </c>
      <c r="AE37" s="248">
        <f>IF(ISBLANK(VLOOKUP($AC37,'2007-2020 Metadata'!$A$6:$S$214,19,FALSE)),"",VLOOKUP($AC37,'2007-2020 Metadata'!$A$6:$S$214,19,FALSE))</f>
        <v>3</v>
      </c>
      <c r="AF37" s="88" t="str">
        <f>VLOOKUP($B37,'2007-2020 Metadata'!$A$4:$S$214,MATCH("Site type",'2007-2020 Metadata'!$A$4:$S$4,0),FALSE)</f>
        <v>SH</v>
      </c>
      <c r="AG37" s="143">
        <f t="shared" si="11"/>
        <v>4.7</v>
      </c>
      <c r="AH37" s="143">
        <f t="shared" si="12"/>
        <v>23.1</v>
      </c>
      <c r="AI37" s="144">
        <f t="shared" si="13"/>
        <v>16.661212914485166</v>
      </c>
    </row>
    <row r="38" spans="2:35" ht="12" customHeight="1" x14ac:dyDescent="0.2">
      <c r="B38" s="71" t="s">
        <v>44</v>
      </c>
      <c r="C38" s="58">
        <f>IF(VLOOKUP($B38,'Monthly Summary 2007'!$B$7:$U$62,14,FALSE)&gt;0,VLOOKUP($B38,'Monthly Summary 2007'!$B$7:$U$62,14,FALSE),"")</f>
        <v>12.772251308900524</v>
      </c>
      <c r="D38" s="72">
        <v>15.240837696335078</v>
      </c>
      <c r="E38" s="73">
        <v>23.6</v>
      </c>
      <c r="F38" s="73">
        <v>26</v>
      </c>
      <c r="G38" s="73">
        <v>24.7</v>
      </c>
      <c r="H38" s="73">
        <v>18.100000000000001</v>
      </c>
      <c r="I38" s="73">
        <v>32.1</v>
      </c>
      <c r="J38" s="73">
        <v>19.899999999999999</v>
      </c>
      <c r="K38" s="73">
        <v>7.9</v>
      </c>
      <c r="L38" s="73">
        <v>18.8</v>
      </c>
      <c r="M38" s="73">
        <v>14.6</v>
      </c>
      <c r="N38" s="73">
        <v>17.7</v>
      </c>
      <c r="O38" s="73">
        <v>18.899999999999999</v>
      </c>
      <c r="P38" s="74">
        <f t="shared" si="0"/>
        <v>19.795069808027925</v>
      </c>
      <c r="Q38" s="38">
        <f t="shared" si="1"/>
        <v>1</v>
      </c>
      <c r="R38" s="140">
        <f t="shared" si="5"/>
        <v>21.613612565445028</v>
      </c>
      <c r="S38" s="150">
        <f t="shared" si="6"/>
        <v>1</v>
      </c>
      <c r="T38" s="140">
        <f t="shared" si="7"/>
        <v>15.533333333333331</v>
      </c>
      <c r="U38" s="9">
        <f t="shared" si="8"/>
        <v>1</v>
      </c>
      <c r="V38" s="141">
        <f t="shared" si="9"/>
        <v>19.795069808027925</v>
      </c>
      <c r="W38" s="142">
        <f t="shared" si="10"/>
        <v>1</v>
      </c>
      <c r="X38" s="144">
        <f t="shared" si="2"/>
        <v>17.51151832460733</v>
      </c>
      <c r="Y38" s="144">
        <f t="shared" si="3"/>
        <v>12.399999999999999</v>
      </c>
      <c r="Z38" s="144">
        <f t="shared" si="4"/>
        <v>16.661212914485166</v>
      </c>
      <c r="AA38" s="10"/>
      <c r="AB38" s="357" t="str">
        <f>VLOOKUP($B38,'2007-2020 Metadata'!$A$4:$S$214,MATCH("Urban Area /Monitoring Zone",'2007-2020 Metadata'!$A$4:$S$4,0),FALSE)</f>
        <v>Napier</v>
      </c>
      <c r="AC38" s="87" t="str">
        <f>VLOOKUP(B38,'2007-2020 Metadata'!$A$6:$A$214,1,FALSE)</f>
        <v>NAP003</v>
      </c>
      <c r="AD38" s="230" t="str">
        <f>VLOOKUP($AC38,'2007-2020 Metadata'!$A$6:$S$214,9,FALSE)</f>
        <v>Napier</v>
      </c>
      <c r="AE38" s="248">
        <f>IF(ISBLANK(VLOOKUP($AC38,'2007-2020 Metadata'!$A$6:$S$214,19,FALSE)),"",VLOOKUP($AC38,'2007-2020 Metadata'!$A$6:$S$214,19,FALSE))</f>
        <v>3</v>
      </c>
      <c r="AF38" s="88" t="str">
        <f>VLOOKUP($B38,'2007-2020 Metadata'!$A$4:$S$214,MATCH("Site type",'2007-2020 Metadata'!$A$4:$S$4,0),FALSE)</f>
        <v>SH</v>
      </c>
      <c r="AG38" s="143">
        <f t="shared" si="11"/>
        <v>7.9</v>
      </c>
      <c r="AH38" s="143">
        <f t="shared" si="12"/>
        <v>32.1</v>
      </c>
      <c r="AI38" s="144">
        <f t="shared" si="13"/>
        <v>16.661212914485166</v>
      </c>
    </row>
    <row r="39" spans="2:35" ht="12" customHeight="1" x14ac:dyDescent="0.2">
      <c r="B39" s="71" t="s">
        <v>45</v>
      </c>
      <c r="C39" s="58">
        <f>IF(VLOOKUP($B39,'Monthly Summary 2007'!$B$7:$U$62,14,FALSE)&gt;0,VLOOKUP($B39,'Monthly Summary 2007'!$B$7:$U$62,14,FALSE),"")</f>
        <v>9.2303664921465955</v>
      </c>
      <c r="D39" s="72">
        <v>14.060209424083768</v>
      </c>
      <c r="E39" s="73">
        <v>15.8</v>
      </c>
      <c r="F39" s="73">
        <v>20</v>
      </c>
      <c r="G39" s="73">
        <v>23.1</v>
      </c>
      <c r="H39" s="73">
        <v>29.8</v>
      </c>
      <c r="I39" s="73">
        <v>24.3</v>
      </c>
      <c r="J39" s="73">
        <v>18.100000000000001</v>
      </c>
      <c r="K39" s="73">
        <v>13.5</v>
      </c>
      <c r="L39" s="73">
        <v>11.2</v>
      </c>
      <c r="M39" s="73">
        <v>13</v>
      </c>
      <c r="N39" s="73">
        <v>14.6</v>
      </c>
      <c r="O39" s="73">
        <v>12.8</v>
      </c>
      <c r="P39" s="74">
        <f t="shared" si="0"/>
        <v>17.521684118673647</v>
      </c>
      <c r="Q39" s="38">
        <f t="shared" si="1"/>
        <v>1</v>
      </c>
      <c r="R39" s="140">
        <f t="shared" si="5"/>
        <v>16.620069808027925</v>
      </c>
      <c r="S39" s="150">
        <f t="shared" si="6"/>
        <v>1</v>
      </c>
      <c r="T39" s="140">
        <f t="shared" si="7"/>
        <v>14.266666666666666</v>
      </c>
      <c r="U39" s="9">
        <f t="shared" si="8"/>
        <v>1</v>
      </c>
      <c r="V39" s="141">
        <f t="shared" si="9"/>
        <v>17.521684118673647</v>
      </c>
      <c r="W39" s="142">
        <f t="shared" si="10"/>
        <v>1</v>
      </c>
      <c r="X39" s="144">
        <f t="shared" si="2"/>
        <v>16.620069808027925</v>
      </c>
      <c r="Y39" s="144">
        <f t="shared" si="3"/>
        <v>14.266666666666666</v>
      </c>
      <c r="Z39" s="144">
        <f t="shared" si="4"/>
        <v>17.521684118673647</v>
      </c>
      <c r="AA39" s="10"/>
      <c r="AB39" s="357" t="str">
        <f>VLOOKUP($B39,'2007-2020 Metadata'!$A$4:$S$214,MATCH("Urban Area /Monitoring Zone",'2007-2020 Metadata'!$A$4:$S$4,0),FALSE)</f>
        <v>Hastings</v>
      </c>
      <c r="AC39" s="87" t="str">
        <f>VLOOKUP(B39,'2007-2020 Metadata'!$A$6:$A$214,1,FALSE)</f>
        <v>NAP004</v>
      </c>
      <c r="AD39" s="230" t="str">
        <f>VLOOKUP($AC39,'2007-2020 Metadata'!$A$6:$S$214,9,FALSE)</f>
        <v>Hastings</v>
      </c>
      <c r="AE39" s="248">
        <f>IF(ISBLANK(VLOOKUP($AC39,'2007-2020 Metadata'!$A$6:$S$214,19,FALSE)),"",VLOOKUP($AC39,'2007-2020 Metadata'!$A$6:$S$214,19,FALSE))</f>
        <v>3</v>
      </c>
      <c r="AF39" s="88" t="str">
        <f>VLOOKUP($B39,'2007-2020 Metadata'!$A$4:$S$214,MATCH("Site type",'2007-2020 Metadata'!$A$4:$S$4,0),FALSE)</f>
        <v>SH</v>
      </c>
      <c r="AG39" s="143">
        <f t="shared" si="11"/>
        <v>11.2</v>
      </c>
      <c r="AH39" s="143">
        <f t="shared" si="12"/>
        <v>29.8</v>
      </c>
      <c r="AI39" s="144">
        <f t="shared" si="13"/>
        <v>17.521684118673647</v>
      </c>
    </row>
    <row r="40" spans="2:35" ht="12" customHeight="1" x14ac:dyDescent="0.2">
      <c r="B40" s="71" t="s">
        <v>46</v>
      </c>
      <c r="C40" s="58" t="str">
        <f>IF(VLOOKUP($B40,'Monthly Summary 2007'!$B$7:$U$62,14,FALSE)&gt;0,VLOOKUP($B40,'Monthly Summary 2007'!$B$7:$U$62,14,FALSE),"")</f>
        <v/>
      </c>
      <c r="D40" s="72">
        <v>13.738219895287958</v>
      </c>
      <c r="E40" s="73">
        <v>16.5</v>
      </c>
      <c r="F40" s="73">
        <v>17.8</v>
      </c>
      <c r="G40" s="73">
        <v>21.8</v>
      </c>
      <c r="H40" s="73">
        <v>20.2</v>
      </c>
      <c r="I40" s="73">
        <v>24.2</v>
      </c>
      <c r="J40" s="73">
        <v>26</v>
      </c>
      <c r="K40" s="73">
        <v>17.899999999999999</v>
      </c>
      <c r="L40" s="73">
        <v>23.1</v>
      </c>
      <c r="M40" s="73"/>
      <c r="N40" s="73">
        <v>20.3</v>
      </c>
      <c r="O40" s="73">
        <v>14.5</v>
      </c>
      <c r="P40" s="74">
        <f t="shared" si="0"/>
        <v>19.639838172298905</v>
      </c>
      <c r="Q40" s="38">
        <f t="shared" si="1"/>
        <v>0.91666666666666663</v>
      </c>
      <c r="R40" s="140">
        <f t="shared" si="5"/>
        <v>16.012739965095985</v>
      </c>
      <c r="S40" s="150">
        <f t="shared" si="6"/>
        <v>1</v>
      </c>
      <c r="T40" s="140">
        <f t="shared" si="7"/>
        <v>22.333333333333332</v>
      </c>
      <c r="U40" s="9">
        <f t="shared" si="8"/>
        <v>1</v>
      </c>
      <c r="V40" s="141">
        <f t="shared" si="9"/>
        <v>19.639838172298905</v>
      </c>
      <c r="W40" s="142">
        <f t="shared" si="10"/>
        <v>0.91666666666666663</v>
      </c>
      <c r="X40" s="144">
        <f t="shared" ref="X40:X62" si="20">IF(VLOOKUP($B40,$AC$6:$AI$159,3,FALSE)="",$R40,IF(ISERROR(AVERAGEIF($AD$6:$AD$67,VLOOKUP($B40,$AC$6:$AI$159,2,FALSE),$R$6:$R$159)),"",AVERAGEIF($AD$6:$AD$67,VLOOKUP($B40,$AC$6:$AI$159,2,FALSE),$R$6:$R$159)))</f>
        <v>16.012739965095985</v>
      </c>
      <c r="Y40" s="144">
        <f t="shared" ref="Y40:Y62" si="21">IF(VLOOKUP($B40,$AC$6:$AI$159,3,FALSE)="",$T40,IF(ISERROR(AVERAGEIF($AD$6:$AD$67,VLOOKUP($B40,$AC$6:$AI$159,2,FALSE),$T$6:$T$159)),"",AVERAGEIF($AD$6:$AD$67,VLOOKUP($B40,$AC$6:$AI$159,2,FALSE),$T$6:$T$159)))</f>
        <v>22.333333333333332</v>
      </c>
      <c r="Z40" s="144">
        <f t="shared" ref="Z40:Z62" si="22">IF(VLOOKUP($B40,$AC$6:$AI$159,3,FALSE)="",$V40,IF(ISERROR(AVERAGEIF($AD$6:$AD$67,VLOOKUP($B40,$AC$6:$AI$159,2,FALSE),$V$6:$V$159)),"",AVERAGEIF($AD$6:$AD$67,VLOOKUP($B40,$AC$6:$AI$159,2,FALSE),$V$6:$V$159)))</f>
        <v>19.639838172298905</v>
      </c>
      <c r="AA40" s="10"/>
      <c r="AB40" s="357" t="str">
        <f>VLOOKUP($B40,'2007-2020 Metadata'!$A$4:$S$214,MATCH("Urban Area /Monitoring Zone",'2007-2020 Metadata'!$A$4:$S$4,0),FALSE)</f>
        <v>New Plymouth</v>
      </c>
      <c r="AC40" s="87" t="str">
        <f>VLOOKUP(B40,'2007-2020 Metadata'!$A$6:$A$214,1,FALSE)</f>
        <v>WAN001</v>
      </c>
      <c r="AD40" s="230" t="str">
        <f>VLOOKUP($AC40,'2007-2020 Metadata'!$A$6:$S$214,9,FALSE)</f>
        <v>New Plymouth</v>
      </c>
      <c r="AE40" s="248">
        <f>IF(ISBLANK(VLOOKUP($AC40,'2007-2020 Metadata'!$A$6:$S$214,19,FALSE)),"",VLOOKUP($AC40,'2007-2020 Metadata'!$A$6:$S$214,19,FALSE))</f>
        <v>3</v>
      </c>
      <c r="AF40" s="88" t="str">
        <f>VLOOKUP($B40,'2007-2020 Metadata'!$A$4:$S$214,MATCH("Site type",'2007-2020 Metadata'!$A$4:$S$4,0),FALSE)</f>
        <v>SH</v>
      </c>
      <c r="AG40" s="143">
        <f t="shared" si="11"/>
        <v>13.738219895287958</v>
      </c>
      <c r="AH40" s="143">
        <f t="shared" si="12"/>
        <v>26</v>
      </c>
      <c r="AI40" s="144">
        <f t="shared" si="13"/>
        <v>19.639838172298905</v>
      </c>
    </row>
    <row r="41" spans="2:35" ht="12" customHeight="1" x14ac:dyDescent="0.2">
      <c r="B41" s="71" t="s">
        <v>47</v>
      </c>
      <c r="C41" s="58">
        <f>IF(VLOOKUP($B41,'Monthly Summary 2007'!$B$7:$U$62,14,FALSE)&gt;0,VLOOKUP($B41,'Monthly Summary 2007'!$B$7:$U$62,14,FALSE),"")</f>
        <v>12.450261780104711</v>
      </c>
      <c r="D41" s="72">
        <v>8.479057591623036</v>
      </c>
      <c r="E41" s="73">
        <v>12.9</v>
      </c>
      <c r="F41" s="73">
        <v>15.8</v>
      </c>
      <c r="G41" s="73">
        <v>19.600000000000001</v>
      </c>
      <c r="H41" s="73">
        <v>20.7</v>
      </c>
      <c r="I41" s="73">
        <v>19.5</v>
      </c>
      <c r="J41" s="73">
        <v>17.3</v>
      </c>
      <c r="K41" s="73">
        <v>8.6</v>
      </c>
      <c r="L41" s="73">
        <v>11.5</v>
      </c>
      <c r="M41" s="73">
        <v>12</v>
      </c>
      <c r="N41" s="73">
        <v>7.8</v>
      </c>
      <c r="O41" s="73">
        <v>8.9</v>
      </c>
      <c r="P41" s="74">
        <f t="shared" si="0"/>
        <v>13.589921465968587</v>
      </c>
      <c r="Q41" s="38">
        <f t="shared" si="1"/>
        <v>1</v>
      </c>
      <c r="R41" s="140">
        <f t="shared" si="5"/>
        <v>12.393019197207678</v>
      </c>
      <c r="S41" s="150">
        <f t="shared" si="6"/>
        <v>1</v>
      </c>
      <c r="T41" s="140">
        <f t="shared" si="7"/>
        <v>12.466666666666667</v>
      </c>
      <c r="U41" s="9">
        <f t="shared" si="8"/>
        <v>1</v>
      </c>
      <c r="V41" s="141">
        <f t="shared" si="9"/>
        <v>13.589921465968587</v>
      </c>
      <c r="W41" s="142">
        <f t="shared" si="10"/>
        <v>1</v>
      </c>
      <c r="X41" s="144">
        <f t="shared" si="20"/>
        <v>12.393019197207678</v>
      </c>
      <c r="Y41" s="144">
        <f t="shared" si="21"/>
        <v>12.466666666666667</v>
      </c>
      <c r="Z41" s="144">
        <f t="shared" si="22"/>
        <v>13.589921465968587</v>
      </c>
      <c r="AA41" s="10"/>
      <c r="AB41" s="357" t="str">
        <f>VLOOKUP($B41,'2007-2020 Metadata'!$A$4:$S$214,MATCH("Urban Area /Monitoring Zone",'2007-2020 Metadata'!$A$4:$S$4,0),FALSE)</f>
        <v>Whanganui</v>
      </c>
      <c r="AC41" s="87" t="str">
        <f>VLOOKUP(B41,'2007-2020 Metadata'!$A$6:$A$214,1,FALSE)</f>
        <v>WAN002</v>
      </c>
      <c r="AD41" s="230" t="str">
        <f>VLOOKUP($AC41,'2007-2020 Metadata'!$A$6:$S$214,9,FALSE)</f>
        <v>Whanganui</v>
      </c>
      <c r="AE41" s="248">
        <f>IF(ISBLANK(VLOOKUP($AC41,'2007-2020 Metadata'!$A$6:$S$214,19,FALSE)),"",VLOOKUP($AC41,'2007-2020 Metadata'!$A$6:$S$214,19,FALSE))</f>
        <v>3</v>
      </c>
      <c r="AF41" s="88" t="str">
        <f>VLOOKUP($B41,'2007-2020 Metadata'!$A$4:$S$214,MATCH("Site type",'2007-2020 Metadata'!$A$4:$S$4,0),FALSE)</f>
        <v>SH</v>
      </c>
      <c r="AG41" s="143">
        <f t="shared" si="11"/>
        <v>7.8</v>
      </c>
      <c r="AH41" s="143">
        <f t="shared" si="12"/>
        <v>20.7</v>
      </c>
      <c r="AI41" s="144">
        <f t="shared" si="13"/>
        <v>13.589921465968587</v>
      </c>
    </row>
    <row r="42" spans="2:35" ht="12" customHeight="1" x14ac:dyDescent="0.2">
      <c r="B42" s="71" t="s">
        <v>48</v>
      </c>
      <c r="C42" s="58">
        <f>IF(VLOOKUP($B42,'Monthly Summary 2007'!$B$7:$U$62,14,FALSE)&gt;0,VLOOKUP($B42,'Monthly Summary 2007'!$B$7:$U$62,14,FALSE),"")</f>
        <v>8.9083769633507863</v>
      </c>
      <c r="D42" s="72">
        <v>13.523560209424083</v>
      </c>
      <c r="E42" s="73">
        <v>16.8</v>
      </c>
      <c r="F42" s="73">
        <v>21.6</v>
      </c>
      <c r="G42" s="73">
        <v>24.1</v>
      </c>
      <c r="H42" s="73">
        <v>30.8</v>
      </c>
      <c r="I42" s="73">
        <v>29.5</v>
      </c>
      <c r="J42" s="73">
        <v>31.1</v>
      </c>
      <c r="K42" s="73">
        <v>12.5</v>
      </c>
      <c r="L42" s="73">
        <v>22.7</v>
      </c>
      <c r="M42" s="73">
        <v>19.7</v>
      </c>
      <c r="N42" s="73">
        <v>14.3</v>
      </c>
      <c r="O42" s="73">
        <v>16.100000000000001</v>
      </c>
      <c r="P42" s="74">
        <f t="shared" si="0"/>
        <v>21.060296684118672</v>
      </c>
      <c r="Q42" s="38">
        <f t="shared" si="1"/>
        <v>1</v>
      </c>
      <c r="R42" s="140">
        <f t="shared" si="5"/>
        <v>17.307853403141362</v>
      </c>
      <c r="S42" s="150">
        <f t="shared" si="6"/>
        <v>1</v>
      </c>
      <c r="T42" s="140">
        <f t="shared" si="7"/>
        <v>22.099999999999998</v>
      </c>
      <c r="U42" s="9">
        <f t="shared" si="8"/>
        <v>1</v>
      </c>
      <c r="V42" s="141">
        <f t="shared" si="9"/>
        <v>21.060296684118672</v>
      </c>
      <c r="W42" s="142">
        <f t="shared" si="10"/>
        <v>1</v>
      </c>
      <c r="X42" s="144">
        <f t="shared" si="20"/>
        <v>17.307853403141362</v>
      </c>
      <c r="Y42" s="144">
        <f t="shared" si="21"/>
        <v>22.099999999999998</v>
      </c>
      <c r="Z42" s="144">
        <f t="shared" si="22"/>
        <v>21.060296684118672</v>
      </c>
      <c r="AA42" s="10"/>
      <c r="AB42" s="357" t="str">
        <f>VLOOKUP($B42,'2007-2020 Metadata'!$A$4:$S$214,MATCH("Urban Area /Monitoring Zone",'2007-2020 Metadata'!$A$4:$S$4,0),FALSE)</f>
        <v>Palmerston North</v>
      </c>
      <c r="AC42" s="87" t="str">
        <f>VLOOKUP(B42,'2007-2020 Metadata'!$A$6:$A$214,1,FALSE)</f>
        <v>WAN004</v>
      </c>
      <c r="AD42" s="230" t="str">
        <f>VLOOKUP($AC42,'2007-2020 Metadata'!$A$6:$S$214,9,FALSE)</f>
        <v>Palmerston North</v>
      </c>
      <c r="AE42" s="248">
        <f>IF(ISBLANK(VLOOKUP($AC42,'2007-2020 Metadata'!$A$6:$S$214,19,FALSE)),"",VLOOKUP($AC42,'2007-2020 Metadata'!$A$6:$S$214,19,FALSE))</f>
        <v>3</v>
      </c>
      <c r="AF42" s="88" t="str">
        <f>VLOOKUP($B42,'2007-2020 Metadata'!$A$4:$S$214,MATCH("Site type",'2007-2020 Metadata'!$A$4:$S$4,0),FALSE)</f>
        <v>SH</v>
      </c>
      <c r="AG42" s="143">
        <f t="shared" si="11"/>
        <v>12.5</v>
      </c>
      <c r="AH42" s="143">
        <f t="shared" si="12"/>
        <v>31.1</v>
      </c>
      <c r="AI42" s="144">
        <f t="shared" si="13"/>
        <v>21.060296684118672</v>
      </c>
    </row>
    <row r="43" spans="2:35" ht="12" customHeight="1" x14ac:dyDescent="0.2">
      <c r="B43" s="71" t="s">
        <v>49</v>
      </c>
      <c r="C43" s="58">
        <f>IF(VLOOKUP($B43,'Monthly Summary 2007'!$B$7:$U$62,14,FALSE)&gt;0,VLOOKUP($B43,'Monthly Summary 2007'!$B$7:$U$62,14,FALSE),"")</f>
        <v>15.026178010471202</v>
      </c>
      <c r="D43" s="72">
        <v>11.698952879581151</v>
      </c>
      <c r="E43" s="73">
        <v>17.8</v>
      </c>
      <c r="F43" s="73">
        <v>24.2</v>
      </c>
      <c r="G43" s="73">
        <v>30.4</v>
      </c>
      <c r="H43" s="73">
        <v>30</v>
      </c>
      <c r="I43" s="73">
        <v>32.5</v>
      </c>
      <c r="J43" s="73">
        <v>28.9</v>
      </c>
      <c r="K43" s="73">
        <v>5.0999999999999996</v>
      </c>
      <c r="L43" s="73">
        <v>22.9</v>
      </c>
      <c r="M43" s="73">
        <v>24.7</v>
      </c>
      <c r="N43" s="73">
        <v>18.600000000000001</v>
      </c>
      <c r="O43" s="73">
        <v>11.7</v>
      </c>
      <c r="P43" s="74">
        <f t="shared" si="0"/>
        <v>21.541579406631765</v>
      </c>
      <c r="Q43" s="38">
        <f t="shared" si="1"/>
        <v>1</v>
      </c>
      <c r="R43" s="140">
        <f t="shared" si="5"/>
        <v>17.899650959860384</v>
      </c>
      <c r="S43" s="150">
        <f t="shared" si="6"/>
        <v>1</v>
      </c>
      <c r="T43" s="140">
        <f t="shared" si="7"/>
        <v>18.966666666666665</v>
      </c>
      <c r="U43" s="9">
        <f t="shared" si="8"/>
        <v>1</v>
      </c>
      <c r="V43" s="141">
        <f t="shared" si="9"/>
        <v>21.541579406631765</v>
      </c>
      <c r="W43" s="142">
        <f t="shared" si="10"/>
        <v>1</v>
      </c>
      <c r="X43" s="144">
        <f t="shared" si="20"/>
        <v>14.49022687609075</v>
      </c>
      <c r="Y43" s="144">
        <f t="shared" si="21"/>
        <v>17.283333333333331</v>
      </c>
      <c r="Z43" s="144">
        <f t="shared" si="22"/>
        <v>17.664223385689354</v>
      </c>
      <c r="AA43" s="10"/>
      <c r="AB43" s="357" t="str">
        <f>VLOOKUP($B43,'2007-2020 Metadata'!$A$4:$S$214,MATCH("Urban Area /Monitoring Zone",'2007-2020 Metadata'!$A$4:$S$4,0),FALSE)</f>
        <v>Lower Hutt</v>
      </c>
      <c r="AC43" s="87" t="str">
        <f>VLOOKUP(B43,'2007-2020 Metadata'!$A$6:$A$214,1,FALSE)</f>
        <v>WEL002</v>
      </c>
      <c r="AD43" s="230" t="str">
        <f>VLOOKUP($AC43,'2007-2020 Metadata'!$A$6:$S$214,9,FALSE)</f>
        <v>Lower Hutt</v>
      </c>
      <c r="AE43" s="248">
        <f>IF(ISBLANK(VLOOKUP($AC43,'2007-2020 Metadata'!$A$6:$S$214,19,FALSE)),"",VLOOKUP($AC43,'2007-2020 Metadata'!$A$6:$S$214,19,FALSE))</f>
        <v>3.2</v>
      </c>
      <c r="AF43" s="88" t="str">
        <f>VLOOKUP($B43,'2007-2020 Metadata'!$A$4:$S$214,MATCH("Site type",'2007-2020 Metadata'!$A$4:$S$4,0),FALSE)</f>
        <v>SH</v>
      </c>
      <c r="AG43" s="143">
        <f t="shared" si="11"/>
        <v>5.0999999999999996</v>
      </c>
      <c r="AH43" s="143">
        <f t="shared" si="12"/>
        <v>32.5</v>
      </c>
      <c r="AI43" s="144">
        <f t="shared" si="13"/>
        <v>17.664223385689354</v>
      </c>
    </row>
    <row r="44" spans="2:35" ht="12" customHeight="1" x14ac:dyDescent="0.2">
      <c r="B44" s="71" t="s">
        <v>50</v>
      </c>
      <c r="C44" s="58">
        <f>IF(VLOOKUP($B44,'Monthly Summary 2007'!$B$7:$U$62,14,FALSE)&gt;0,VLOOKUP($B44,'Monthly Summary 2007'!$B$7:$U$62,14,FALSE),"")</f>
        <v>8.3717277486910984</v>
      </c>
      <c r="D44" s="72">
        <v>7.9424083769633507</v>
      </c>
      <c r="E44" s="73">
        <v>10.199999999999999</v>
      </c>
      <c r="F44" s="73">
        <v>15.1</v>
      </c>
      <c r="G44" s="73">
        <v>14.5</v>
      </c>
      <c r="H44" s="73">
        <v>23</v>
      </c>
      <c r="I44" s="73">
        <v>21.3</v>
      </c>
      <c r="J44" s="73">
        <v>20.8</v>
      </c>
      <c r="K44" s="73">
        <v>13.7</v>
      </c>
      <c r="L44" s="73">
        <v>12.3</v>
      </c>
      <c r="M44" s="73">
        <v>11.9</v>
      </c>
      <c r="N44" s="73">
        <v>8.8000000000000007</v>
      </c>
      <c r="O44" s="73">
        <v>5.9</v>
      </c>
      <c r="P44" s="74">
        <f t="shared" si="0"/>
        <v>13.786867364746946</v>
      </c>
      <c r="Q44" s="38">
        <f t="shared" si="1"/>
        <v>1</v>
      </c>
      <c r="R44" s="140">
        <f t="shared" si="5"/>
        <v>11.080802792321116</v>
      </c>
      <c r="S44" s="150">
        <f t="shared" si="6"/>
        <v>1</v>
      </c>
      <c r="T44" s="140">
        <f t="shared" si="7"/>
        <v>15.6</v>
      </c>
      <c r="U44" s="9">
        <f t="shared" si="8"/>
        <v>1</v>
      </c>
      <c r="V44" s="141">
        <f t="shared" si="9"/>
        <v>13.786867364746946</v>
      </c>
      <c r="W44" s="142">
        <f t="shared" si="10"/>
        <v>1</v>
      </c>
      <c r="X44" s="144">
        <f t="shared" si="20"/>
        <v>14.49022687609075</v>
      </c>
      <c r="Y44" s="144">
        <f t="shared" si="21"/>
        <v>17.283333333333331</v>
      </c>
      <c r="Z44" s="144">
        <f t="shared" si="22"/>
        <v>17.664223385689354</v>
      </c>
      <c r="AA44" s="10"/>
      <c r="AB44" s="357" t="str">
        <f>VLOOKUP($B44,'2007-2020 Metadata'!$A$4:$S$214,MATCH("Urban Area /Monitoring Zone",'2007-2020 Metadata'!$A$4:$S$4,0),FALSE)</f>
        <v>Lower Hutt</v>
      </c>
      <c r="AC44" s="87" t="str">
        <f>VLOOKUP(B44,'2007-2020 Metadata'!$A$6:$A$214,1,FALSE)</f>
        <v>WEL003</v>
      </c>
      <c r="AD44" s="230" t="str">
        <f>VLOOKUP($AC44,'2007-2020 Metadata'!$A$6:$S$214,9,FALSE)</f>
        <v>Lower Hutt</v>
      </c>
      <c r="AE44" s="248">
        <f>IF(ISBLANK(VLOOKUP($AC44,'2007-2020 Metadata'!$A$6:$S$214,19,FALSE)),"",VLOOKUP($AC44,'2007-2020 Metadata'!$A$6:$S$214,19,FALSE))</f>
        <v>3.3</v>
      </c>
      <c r="AF44" s="88" t="str">
        <f>VLOOKUP($B44,'2007-2020 Metadata'!$A$4:$S$214,MATCH("Site type",'2007-2020 Metadata'!$A$4:$S$4,0),FALSE)</f>
        <v>SH</v>
      </c>
      <c r="AG44" s="143">
        <f t="shared" si="11"/>
        <v>5.9</v>
      </c>
      <c r="AH44" s="143">
        <f t="shared" si="12"/>
        <v>23</v>
      </c>
      <c r="AI44" s="144">
        <f t="shared" si="13"/>
        <v>17.664223385689354</v>
      </c>
    </row>
    <row r="45" spans="2:35" ht="12" customHeight="1" x14ac:dyDescent="0.2">
      <c r="B45" s="71" t="s">
        <v>51</v>
      </c>
      <c r="C45" s="58">
        <f>IF(VLOOKUP($B45,'Monthly Summary 2007'!$B$7:$U$62,14,FALSE)&gt;0,VLOOKUP($B45,'Monthly Summary 2007'!$B$7:$U$62,14,FALSE),"")</f>
        <v>12.557591623036647</v>
      </c>
      <c r="D45" s="72">
        <v>8.9083769633507863</v>
      </c>
      <c r="E45" s="73">
        <v>16.3</v>
      </c>
      <c r="F45" s="73">
        <v>18.8</v>
      </c>
      <c r="G45" s="73">
        <v>22.3</v>
      </c>
      <c r="H45" s="73">
        <v>23.2</v>
      </c>
      <c r="I45" s="73">
        <v>26.1</v>
      </c>
      <c r="J45" s="73">
        <v>23.8</v>
      </c>
      <c r="K45" s="73">
        <v>17.100000000000001</v>
      </c>
      <c r="L45" s="73">
        <v>14.6</v>
      </c>
      <c r="M45" s="73">
        <v>15.8</v>
      </c>
      <c r="N45" s="73">
        <v>11.7</v>
      </c>
      <c r="O45" s="73">
        <v>9.4</v>
      </c>
      <c r="P45" s="74">
        <f t="shared" si="0"/>
        <v>17.334031413612568</v>
      </c>
      <c r="Q45" s="38">
        <f t="shared" si="1"/>
        <v>1</v>
      </c>
      <c r="R45" s="140">
        <f t="shared" si="5"/>
        <v>14.669458987783594</v>
      </c>
      <c r="S45" s="150">
        <f t="shared" si="6"/>
        <v>1</v>
      </c>
      <c r="T45" s="140">
        <f t="shared" si="7"/>
        <v>18.500000000000004</v>
      </c>
      <c r="U45" s="9">
        <f t="shared" si="8"/>
        <v>1</v>
      </c>
      <c r="V45" s="141">
        <f t="shared" si="9"/>
        <v>17.334031413612568</v>
      </c>
      <c r="W45" s="142">
        <f t="shared" si="10"/>
        <v>1</v>
      </c>
      <c r="X45" s="144">
        <f t="shared" si="20"/>
        <v>14.669458987783594</v>
      </c>
      <c r="Y45" s="144">
        <f t="shared" si="21"/>
        <v>18.500000000000004</v>
      </c>
      <c r="Z45" s="144">
        <f t="shared" si="22"/>
        <v>17.334031413612568</v>
      </c>
      <c r="AA45" s="10"/>
      <c r="AB45" s="357" t="str">
        <f>VLOOKUP($B45,'2007-2020 Metadata'!$A$4:$S$214,MATCH("Urban Area /Monitoring Zone",'2007-2020 Metadata'!$A$4:$S$4,0),FALSE)</f>
        <v xml:space="preserve">Kapiti </v>
      </c>
      <c r="AC45" s="87" t="str">
        <f>VLOOKUP(B45,'2007-2020 Metadata'!$A$6:$A$214,1,FALSE)</f>
        <v>WEL004</v>
      </c>
      <c r="AD45" s="230" t="str">
        <f>VLOOKUP($AC45,'2007-2020 Metadata'!$A$6:$S$214,9,FALSE)</f>
        <v>Kapiti Coast</v>
      </c>
      <c r="AE45" s="248">
        <f>IF(ISBLANK(VLOOKUP($AC45,'2007-2020 Metadata'!$A$6:$S$214,19,FALSE)),"",VLOOKUP($AC45,'2007-2020 Metadata'!$A$6:$S$214,19,FALSE))</f>
        <v>3.3</v>
      </c>
      <c r="AF45" s="88" t="str">
        <f>VLOOKUP($B45,'2007-2020 Metadata'!$A$4:$S$214,MATCH("Site type",'2007-2020 Metadata'!$A$4:$S$4,0),FALSE)</f>
        <v>SH</v>
      </c>
      <c r="AG45" s="143">
        <f t="shared" si="11"/>
        <v>8.9083769633507863</v>
      </c>
      <c r="AH45" s="143">
        <f t="shared" si="12"/>
        <v>26.1</v>
      </c>
      <c r="AI45" s="144">
        <f t="shared" si="13"/>
        <v>17.334031413612568</v>
      </c>
    </row>
    <row r="46" spans="2:35" ht="12" customHeight="1" x14ac:dyDescent="0.2">
      <c r="B46" s="71" t="s">
        <v>52</v>
      </c>
      <c r="C46" s="58">
        <f>IF(VLOOKUP($B46,'Monthly Summary 2007'!$B$7:$U$62,14,FALSE)&gt;0,VLOOKUP($B46,'Monthly Summary 2007'!$B$7:$U$62,14,FALSE),"")</f>
        <v>12.450261780104711</v>
      </c>
      <c r="D46" s="72">
        <v>10.732984293193718</v>
      </c>
      <c r="E46" s="73">
        <v>15.2</v>
      </c>
      <c r="F46" s="73"/>
      <c r="G46" s="73"/>
      <c r="H46" s="73"/>
      <c r="I46" s="73">
        <v>27.7</v>
      </c>
      <c r="J46" s="73">
        <v>22.6</v>
      </c>
      <c r="K46" s="73">
        <v>11.5</v>
      </c>
      <c r="L46" s="73">
        <v>14.7</v>
      </c>
      <c r="M46" s="73">
        <v>19.8</v>
      </c>
      <c r="N46" s="73">
        <v>16.100000000000001</v>
      </c>
      <c r="O46" s="73">
        <v>12.7</v>
      </c>
      <c r="P46" s="74">
        <f t="shared" si="0"/>
        <v>16.781442699243744</v>
      </c>
      <c r="Q46" s="38">
        <f t="shared" si="1"/>
        <v>0.75</v>
      </c>
      <c r="R46" s="140">
        <f t="shared" si="5"/>
        <v>12.96649214659686</v>
      </c>
      <c r="S46" s="150">
        <f t="shared" si="6"/>
        <v>0.66666666666666663</v>
      </c>
      <c r="T46" s="140">
        <f t="shared" si="7"/>
        <v>16.266666666666666</v>
      </c>
      <c r="U46" s="9">
        <f t="shared" si="8"/>
        <v>1</v>
      </c>
      <c r="V46" s="141">
        <f t="shared" si="9"/>
        <v>16.781442699243744</v>
      </c>
      <c r="W46" s="142">
        <f t="shared" si="10"/>
        <v>0.75</v>
      </c>
      <c r="X46" s="144">
        <f t="shared" si="20"/>
        <v>12.96649214659686</v>
      </c>
      <c r="Y46" s="144">
        <f t="shared" si="21"/>
        <v>16.266666666666666</v>
      </c>
      <c r="Z46" s="144">
        <f t="shared" si="22"/>
        <v>16.781442699243744</v>
      </c>
      <c r="AA46" s="10"/>
      <c r="AB46" s="357" t="str">
        <f>VLOOKUP($B46,'2007-2020 Metadata'!$A$4:$S$214,MATCH("Urban Area /Monitoring Zone",'2007-2020 Metadata'!$A$4:$S$4,0),FALSE)</f>
        <v>Porirua</v>
      </c>
      <c r="AC46" s="87" t="str">
        <f>VLOOKUP(B46,'2007-2020 Metadata'!$A$6:$A$214,1,FALSE)</f>
        <v>WEL005</v>
      </c>
      <c r="AD46" s="230" t="str">
        <f>VLOOKUP($AC46,'2007-2020 Metadata'!$A$6:$S$214,9,FALSE)</f>
        <v>Porirua</v>
      </c>
      <c r="AE46" s="248">
        <f>IF(ISBLANK(VLOOKUP($AC46,'2007-2020 Metadata'!$A$6:$S$214,19,FALSE)),"",VLOOKUP($AC46,'2007-2020 Metadata'!$A$6:$S$214,19,FALSE))</f>
        <v>3.2</v>
      </c>
      <c r="AF46" s="88" t="str">
        <f>VLOOKUP($B46,'2007-2020 Metadata'!$A$4:$S$214,MATCH("Site type",'2007-2020 Metadata'!$A$4:$S$4,0),FALSE)</f>
        <v>SH</v>
      </c>
      <c r="AG46" s="143">
        <f t="shared" si="11"/>
        <v>10.732984293193718</v>
      </c>
      <c r="AH46" s="143">
        <f t="shared" si="12"/>
        <v>27.7</v>
      </c>
      <c r="AI46" s="144">
        <f t="shared" si="13"/>
        <v>16.781442699243744</v>
      </c>
    </row>
    <row r="47" spans="2:35" ht="12" customHeight="1" x14ac:dyDescent="0.2">
      <c r="B47" s="71" t="s">
        <v>53</v>
      </c>
      <c r="C47" s="58">
        <f>IF(VLOOKUP($B47,'Monthly Summary 2007'!$B$7:$U$62,14,FALSE)&gt;0,VLOOKUP($B47,'Monthly Summary 2007'!$B$7:$U$62,14,FALSE),"")</f>
        <v>11.591623036649214</v>
      </c>
      <c r="D47" s="72">
        <v>12.235602094240837</v>
      </c>
      <c r="E47" s="73">
        <v>15</v>
      </c>
      <c r="F47" s="73">
        <v>21.3</v>
      </c>
      <c r="G47" s="73">
        <v>24.9</v>
      </c>
      <c r="H47" s="73">
        <v>27.1</v>
      </c>
      <c r="I47" s="73">
        <v>22.8</v>
      </c>
      <c r="J47" s="73">
        <v>22.7</v>
      </c>
      <c r="K47" s="73">
        <v>8.5</v>
      </c>
      <c r="L47" s="73">
        <v>14.8</v>
      </c>
      <c r="M47" s="73">
        <v>15.7</v>
      </c>
      <c r="N47" s="73">
        <v>11.6</v>
      </c>
      <c r="O47" s="73">
        <v>10.7</v>
      </c>
      <c r="P47" s="74">
        <f t="shared" si="0"/>
        <v>17.277966841186736</v>
      </c>
      <c r="Q47" s="38">
        <f t="shared" si="1"/>
        <v>1</v>
      </c>
      <c r="R47" s="140">
        <f t="shared" si="5"/>
        <v>16.178534031413616</v>
      </c>
      <c r="S47" s="150">
        <f t="shared" si="6"/>
        <v>1</v>
      </c>
      <c r="T47" s="140">
        <f t="shared" si="7"/>
        <v>15.333333333333334</v>
      </c>
      <c r="U47" s="9">
        <f t="shared" si="8"/>
        <v>1</v>
      </c>
      <c r="V47" s="141">
        <f t="shared" si="9"/>
        <v>17.277966841186736</v>
      </c>
      <c r="W47" s="142">
        <f t="shared" si="10"/>
        <v>1</v>
      </c>
      <c r="X47" s="144">
        <f t="shared" si="20"/>
        <v>23.178446771378709</v>
      </c>
      <c r="Y47" s="144">
        <f t="shared" si="21"/>
        <v>24.616666666666667</v>
      </c>
      <c r="Z47" s="144">
        <f t="shared" si="22"/>
        <v>24.273778359511343</v>
      </c>
      <c r="AA47" s="10"/>
      <c r="AB47" s="357" t="str">
        <f>VLOOKUP($B47,'2007-2020 Metadata'!$A$4:$S$214,MATCH("Urban Area /Monitoring Zone",'2007-2020 Metadata'!$A$4:$S$4,0),FALSE)</f>
        <v>Wellington</v>
      </c>
      <c r="AC47" s="87" t="str">
        <f>VLOOKUP(B47,'2007-2020 Metadata'!$A$6:$A$214,1,FALSE)</f>
        <v>WEL007</v>
      </c>
      <c r="AD47" s="230" t="str">
        <f>VLOOKUP($AC47,'2007-2020 Metadata'!$A$6:$S$214,9,FALSE)</f>
        <v>Wellington</v>
      </c>
      <c r="AE47" s="248">
        <f>IF(ISBLANK(VLOOKUP($AC47,'2007-2020 Metadata'!$A$6:$S$214,19,FALSE)),"",VLOOKUP($AC47,'2007-2020 Metadata'!$A$6:$S$214,19,FALSE))</f>
        <v>1</v>
      </c>
      <c r="AF47" s="88" t="str">
        <f>VLOOKUP($B47,'2007-2020 Metadata'!$A$4:$S$214,MATCH("Site type",'2007-2020 Metadata'!$A$4:$S$4,0),FALSE)</f>
        <v>SH</v>
      </c>
      <c r="AG47" s="143">
        <f t="shared" si="11"/>
        <v>8.5</v>
      </c>
      <c r="AH47" s="143">
        <f t="shared" si="12"/>
        <v>27.1</v>
      </c>
      <c r="AI47" s="144">
        <f t="shared" si="13"/>
        <v>24.273778359511343</v>
      </c>
    </row>
    <row r="48" spans="2:35" ht="12" customHeight="1" x14ac:dyDescent="0.2">
      <c r="B48" s="71" t="s">
        <v>54</v>
      </c>
      <c r="C48" s="58">
        <f>IF(VLOOKUP($B48,'Monthly Summary 2007'!$B$7:$U$62,14,FALSE)&gt;0,VLOOKUP($B48,'Monthly Summary 2007'!$B$7:$U$62,14,FALSE),"")</f>
        <v>24.041884816753925</v>
      </c>
      <c r="D48" s="72">
        <v>28.33507853403141</v>
      </c>
      <c r="E48" s="73">
        <v>27.3</v>
      </c>
      <c r="F48" s="73">
        <v>34.9</v>
      </c>
      <c r="G48" s="73">
        <v>38.700000000000003</v>
      </c>
      <c r="H48" s="73">
        <v>37.200000000000003</v>
      </c>
      <c r="I48" s="73">
        <v>26</v>
      </c>
      <c r="J48" s="73">
        <v>47.6</v>
      </c>
      <c r="K48" s="73">
        <v>27.8</v>
      </c>
      <c r="L48" s="73">
        <v>26.3</v>
      </c>
      <c r="M48" s="73">
        <v>37.1</v>
      </c>
      <c r="N48" s="73">
        <v>22.7</v>
      </c>
      <c r="O48" s="73">
        <v>21.3</v>
      </c>
      <c r="P48" s="74">
        <f t="shared" si="0"/>
        <v>31.269589877835951</v>
      </c>
      <c r="Q48" s="38">
        <f t="shared" si="1"/>
        <v>1</v>
      </c>
      <c r="R48" s="140">
        <f t="shared" si="5"/>
        <v>30.178359511343803</v>
      </c>
      <c r="S48" s="150">
        <f t="shared" si="6"/>
        <v>1</v>
      </c>
      <c r="T48" s="140">
        <f t="shared" si="7"/>
        <v>33.9</v>
      </c>
      <c r="U48" s="9">
        <f t="shared" si="8"/>
        <v>1</v>
      </c>
      <c r="V48" s="141">
        <f t="shared" si="9"/>
        <v>31.269589877835951</v>
      </c>
      <c r="W48" s="142">
        <f t="shared" si="10"/>
        <v>1</v>
      </c>
      <c r="X48" s="144">
        <f t="shared" si="20"/>
        <v>23.178446771378709</v>
      </c>
      <c r="Y48" s="144">
        <f t="shared" si="21"/>
        <v>24.616666666666667</v>
      </c>
      <c r="Z48" s="144">
        <f t="shared" si="22"/>
        <v>24.273778359511343</v>
      </c>
      <c r="AA48" s="10"/>
      <c r="AB48" s="357" t="str">
        <f>VLOOKUP($B48,'2007-2020 Metadata'!$A$4:$S$214,MATCH("Urban Area /Monitoring Zone",'2007-2020 Metadata'!$A$4:$S$4,0),FALSE)</f>
        <v>Wellington</v>
      </c>
      <c r="AC48" s="87" t="str">
        <f>VLOOKUP(B48,'2007-2020 Metadata'!$A$6:$A$214,1,FALSE)</f>
        <v>WEL008</v>
      </c>
      <c r="AD48" s="230" t="str">
        <f>VLOOKUP($AC48,'2007-2020 Metadata'!$A$6:$S$214,9,FALSE)</f>
        <v>Wellington</v>
      </c>
      <c r="AE48" s="248">
        <f>IF(ISBLANK(VLOOKUP($AC48,'2007-2020 Metadata'!$A$6:$S$214,19,FALSE)),"",VLOOKUP($AC48,'2007-2020 Metadata'!$A$6:$S$214,19,FALSE))</f>
        <v>3.1</v>
      </c>
      <c r="AF48" s="88" t="str">
        <f>VLOOKUP($B48,'2007-2020 Metadata'!$A$4:$S$214,MATCH("Site type",'2007-2020 Metadata'!$A$4:$S$4,0),FALSE)</f>
        <v>SH</v>
      </c>
      <c r="AG48" s="143">
        <f t="shared" si="11"/>
        <v>21.3</v>
      </c>
      <c r="AH48" s="143">
        <f t="shared" si="12"/>
        <v>47.6</v>
      </c>
      <c r="AI48" s="144">
        <f t="shared" si="13"/>
        <v>24.273778359511343</v>
      </c>
    </row>
    <row r="49" spans="2:35" ht="12" customHeight="1" x14ac:dyDescent="0.2">
      <c r="B49" s="71" t="s">
        <v>55</v>
      </c>
      <c r="C49" s="58">
        <f>IF(VLOOKUP($B49,'Monthly Summary 2007'!$B$7:$U$62,14,FALSE)&gt;0,VLOOKUP($B49,'Monthly Summary 2007'!$B$7:$U$62,14,FALSE),"")</f>
        <v>15.562827225130889</v>
      </c>
      <c r="D49" s="72">
        <v>15.777486910994762</v>
      </c>
      <c r="E49" s="73">
        <v>11.8</v>
      </c>
      <c r="F49" s="73">
        <v>18</v>
      </c>
      <c r="G49" s="73">
        <v>22.5</v>
      </c>
      <c r="H49" s="73">
        <v>23.9</v>
      </c>
      <c r="I49" s="73">
        <v>26.2</v>
      </c>
      <c r="J49" s="73">
        <v>21.4</v>
      </c>
      <c r="K49" s="73">
        <v>24.6</v>
      </c>
      <c r="L49" s="73">
        <v>25.4</v>
      </c>
      <c r="M49" s="73"/>
      <c r="N49" s="73"/>
      <c r="O49" s="73">
        <v>12.1</v>
      </c>
      <c r="P49" s="74">
        <f t="shared" si="0"/>
        <v>20.167748691099476</v>
      </c>
      <c r="Q49" s="38">
        <f t="shared" si="1"/>
        <v>0.83333333333333337</v>
      </c>
      <c r="R49" s="140">
        <f t="shared" si="5"/>
        <v>15.192495636998254</v>
      </c>
      <c r="S49" s="150">
        <f t="shared" si="6"/>
        <v>1</v>
      </c>
      <c r="T49" s="140">
        <f t="shared" si="7"/>
        <v>23.8</v>
      </c>
      <c r="U49" s="9">
        <f t="shared" si="8"/>
        <v>1</v>
      </c>
      <c r="V49" s="141">
        <f t="shared" si="9"/>
        <v>20.167748691099476</v>
      </c>
      <c r="W49" s="142">
        <f t="shared" si="10"/>
        <v>0.83333333333333337</v>
      </c>
      <c r="X49" s="144">
        <f t="shared" si="20"/>
        <v>14.934729493891796</v>
      </c>
      <c r="Y49" s="144">
        <f t="shared" si="21"/>
        <v>23.7</v>
      </c>
      <c r="Z49" s="144">
        <f t="shared" si="22"/>
        <v>19.562551166111376</v>
      </c>
      <c r="AA49" s="10"/>
      <c r="AB49" s="357" t="str">
        <f>VLOOKUP($B49,'2007-2020 Metadata'!$A$4:$S$214,MATCH("Urban Area /Monitoring Zone",'2007-2020 Metadata'!$A$4:$S$4,0),FALSE)</f>
        <v>Nelson</v>
      </c>
      <c r="AC49" s="87" t="str">
        <f>VLOOKUP(B49,'2007-2020 Metadata'!$A$6:$A$214,1,FALSE)</f>
        <v>WEL009</v>
      </c>
      <c r="AD49" s="230" t="str">
        <f>VLOOKUP($AC49,'2007-2020 Metadata'!$A$6:$S$214,9,FALSE)</f>
        <v>Nelson</v>
      </c>
      <c r="AE49" s="248">
        <f>IF(ISBLANK(VLOOKUP($AC49,'2007-2020 Metadata'!$A$6:$S$214,19,FALSE)),"",VLOOKUP($AC49,'2007-2020 Metadata'!$A$6:$S$214,19,FALSE))</f>
        <v>3</v>
      </c>
      <c r="AF49" s="88" t="str">
        <f>VLOOKUP($B49,'2007-2020 Metadata'!$A$4:$S$214,MATCH("Site type",'2007-2020 Metadata'!$A$4:$S$4,0),FALSE)</f>
        <v>SH</v>
      </c>
      <c r="AG49" s="143">
        <f t="shared" si="11"/>
        <v>11.8</v>
      </c>
      <c r="AH49" s="143">
        <f t="shared" si="12"/>
        <v>26.2</v>
      </c>
      <c r="AI49" s="144">
        <f t="shared" si="13"/>
        <v>19.562551166111376</v>
      </c>
    </row>
    <row r="50" spans="2:35" ht="12" customHeight="1" x14ac:dyDescent="0.2">
      <c r="B50" s="71" t="s">
        <v>56</v>
      </c>
      <c r="C50" s="58">
        <f>IF(VLOOKUP($B50,'Monthly Summary 2007'!$B$7:$U$62,14,FALSE)&gt;0,VLOOKUP($B50,'Monthly Summary 2007'!$B$7:$U$62,14,FALSE),"")</f>
        <v>10.732984293193718</v>
      </c>
      <c r="D50" s="72">
        <v>13.630890052356019</v>
      </c>
      <c r="E50" s="73">
        <v>12.2</v>
      </c>
      <c r="F50" s="73">
        <v>18.2</v>
      </c>
      <c r="G50" s="73">
        <v>17.7</v>
      </c>
      <c r="H50" s="73">
        <v>16.3</v>
      </c>
      <c r="I50" s="73">
        <v>30.9</v>
      </c>
      <c r="J50" s="73">
        <v>26.3</v>
      </c>
      <c r="K50" s="73">
        <v>22.5</v>
      </c>
      <c r="L50" s="73">
        <v>22</v>
      </c>
      <c r="M50" s="73">
        <v>19.2</v>
      </c>
      <c r="N50" s="73"/>
      <c r="O50" s="73">
        <v>9.6</v>
      </c>
      <c r="P50" s="74">
        <f t="shared" si="0"/>
        <v>18.957353641123273</v>
      </c>
      <c r="Q50" s="38">
        <f t="shared" si="1"/>
        <v>0.91666666666666663</v>
      </c>
      <c r="R50" s="140">
        <f t="shared" si="5"/>
        <v>14.676963350785337</v>
      </c>
      <c r="S50" s="150">
        <f t="shared" si="6"/>
        <v>1</v>
      </c>
      <c r="T50" s="140">
        <f t="shared" si="7"/>
        <v>23.599999999999998</v>
      </c>
      <c r="U50" s="9">
        <f t="shared" si="8"/>
        <v>1</v>
      </c>
      <c r="V50" s="141">
        <f t="shared" si="9"/>
        <v>18.957353641123273</v>
      </c>
      <c r="W50" s="142">
        <f t="shared" si="10"/>
        <v>0.91666666666666663</v>
      </c>
      <c r="X50" s="144">
        <f t="shared" si="20"/>
        <v>14.934729493891796</v>
      </c>
      <c r="Y50" s="144">
        <f t="shared" si="21"/>
        <v>23.7</v>
      </c>
      <c r="Z50" s="144">
        <f t="shared" si="22"/>
        <v>19.562551166111376</v>
      </c>
      <c r="AA50" s="10"/>
      <c r="AB50" s="357" t="str">
        <f>VLOOKUP($B50,'2007-2020 Metadata'!$A$4:$S$214,MATCH("Urban Area /Monitoring Zone",'2007-2020 Metadata'!$A$4:$S$4,0),FALSE)</f>
        <v>Nelson</v>
      </c>
      <c r="AC50" s="87" t="str">
        <f>VLOOKUP(B50,'2007-2020 Metadata'!$A$6:$A$214,1,FALSE)</f>
        <v>WEL010</v>
      </c>
      <c r="AD50" s="230" t="str">
        <f>VLOOKUP($AC50,'2007-2020 Metadata'!$A$6:$S$214,9,FALSE)</f>
        <v>Nelson</v>
      </c>
      <c r="AE50" s="248">
        <f>IF(ISBLANK(VLOOKUP($AC50,'2007-2020 Metadata'!$A$6:$S$214,19,FALSE)),"",VLOOKUP($AC50,'2007-2020 Metadata'!$A$6:$S$214,19,FALSE))</f>
        <v>2.4</v>
      </c>
      <c r="AF50" s="88" t="str">
        <f>VLOOKUP($B50,'2007-2020 Metadata'!$A$4:$S$214,MATCH("Site type",'2007-2020 Metadata'!$A$4:$S$4,0),FALSE)</f>
        <v>SH</v>
      </c>
      <c r="AG50" s="143">
        <f t="shared" si="11"/>
        <v>9.6</v>
      </c>
      <c r="AH50" s="143">
        <f t="shared" si="12"/>
        <v>30.9</v>
      </c>
      <c r="AI50" s="144">
        <f t="shared" si="13"/>
        <v>19.562551166111376</v>
      </c>
    </row>
    <row r="51" spans="2:35" ht="12" customHeight="1" x14ac:dyDescent="0.2">
      <c r="B51" s="71" t="s">
        <v>57</v>
      </c>
      <c r="C51" s="58">
        <f>IF(VLOOKUP($B51,'Monthly Summary 2007'!$B$7:$U$62,14,FALSE)&gt;0,VLOOKUP($B51,'Monthly Summary 2007'!$B$7:$U$62,14,FALSE),"")</f>
        <v>10.19633507853403</v>
      </c>
      <c r="D51" s="72">
        <v>8.5863874345549736</v>
      </c>
      <c r="E51" s="73">
        <v>9.1</v>
      </c>
      <c r="F51" s="73">
        <v>11.9</v>
      </c>
      <c r="G51" s="73">
        <v>15.4</v>
      </c>
      <c r="H51" s="73">
        <v>16.100000000000001</v>
      </c>
      <c r="I51" s="73">
        <v>21.3</v>
      </c>
      <c r="J51" s="73">
        <v>19.399999999999999</v>
      </c>
      <c r="K51" s="73">
        <v>13.4</v>
      </c>
      <c r="L51" s="73">
        <v>14.5</v>
      </c>
      <c r="M51" s="73">
        <v>7.6</v>
      </c>
      <c r="N51" s="73"/>
      <c r="O51" s="73">
        <v>6</v>
      </c>
      <c r="P51" s="74">
        <f t="shared" si="0"/>
        <v>13.026035221323179</v>
      </c>
      <c r="Q51" s="38">
        <f t="shared" si="1"/>
        <v>0.91666666666666663</v>
      </c>
      <c r="R51" s="140">
        <f t="shared" si="5"/>
        <v>9.8621291448516573</v>
      </c>
      <c r="S51" s="150">
        <f t="shared" si="6"/>
        <v>1</v>
      </c>
      <c r="T51" s="140">
        <f t="shared" si="7"/>
        <v>15.766666666666666</v>
      </c>
      <c r="U51" s="9">
        <f t="shared" si="8"/>
        <v>1</v>
      </c>
      <c r="V51" s="141">
        <f t="shared" si="9"/>
        <v>13.026035221323179</v>
      </c>
      <c r="W51" s="142">
        <f t="shared" si="10"/>
        <v>0.91666666666666663</v>
      </c>
      <c r="X51" s="144">
        <f t="shared" si="20"/>
        <v>9.8621291448516573</v>
      </c>
      <c r="Y51" s="144">
        <f t="shared" si="21"/>
        <v>15.766666666666666</v>
      </c>
      <c r="Z51" s="144">
        <f t="shared" si="22"/>
        <v>13.026035221323179</v>
      </c>
      <c r="AA51" s="10"/>
      <c r="AB51" s="357" t="str">
        <f>VLOOKUP($B51,'2007-2020 Metadata'!$A$4:$S$214,MATCH("Urban Area /Monitoring Zone",'2007-2020 Metadata'!$A$4:$S$4,0),FALSE)</f>
        <v>Nelson</v>
      </c>
      <c r="AC51" s="87" t="str">
        <f>VLOOKUP(B51,'2007-2020 Metadata'!$A$6:$A$214,1,FALSE)</f>
        <v>WEL011</v>
      </c>
      <c r="AD51" s="230" t="str">
        <f>VLOOKUP($AC51,'2007-2020 Metadata'!$A$6:$S$214,9,FALSE)</f>
        <v>Tasman</v>
      </c>
      <c r="AE51" s="248">
        <f>IF(ISBLANK(VLOOKUP($AC51,'2007-2020 Metadata'!$A$6:$S$214,19,FALSE)),"",VLOOKUP($AC51,'2007-2020 Metadata'!$A$6:$S$214,19,FALSE))</f>
        <v>2.4</v>
      </c>
      <c r="AF51" s="88" t="str">
        <f>VLOOKUP($B51,'2007-2020 Metadata'!$A$4:$S$214,MATCH("Site type",'2007-2020 Metadata'!$A$4:$S$4,0),FALSE)</f>
        <v>SH</v>
      </c>
      <c r="AG51" s="143">
        <f t="shared" si="11"/>
        <v>6</v>
      </c>
      <c r="AH51" s="143">
        <f t="shared" si="12"/>
        <v>21.3</v>
      </c>
      <c r="AI51" s="144">
        <f t="shared" si="13"/>
        <v>13.026035221323179</v>
      </c>
    </row>
    <row r="52" spans="2:35" ht="12" customHeight="1" x14ac:dyDescent="0.2">
      <c r="B52" s="71" t="s">
        <v>58</v>
      </c>
      <c r="C52" s="58">
        <f>IF(VLOOKUP($B52,'Monthly Summary 2007'!$B$7:$U$62,14,FALSE)&gt;0,VLOOKUP($B52,'Monthly Summary 2007'!$B$7:$U$62,14,FALSE),"")</f>
        <v>6.5471204188481673</v>
      </c>
      <c r="D52" s="72">
        <v>11.162303664921465</v>
      </c>
      <c r="E52" s="73">
        <v>11.2</v>
      </c>
      <c r="F52" s="73">
        <v>14.5</v>
      </c>
      <c r="G52" s="73">
        <v>20.9</v>
      </c>
      <c r="H52" s="73">
        <v>14</v>
      </c>
      <c r="I52" s="73">
        <v>18.5</v>
      </c>
      <c r="J52" s="73">
        <v>18.7</v>
      </c>
      <c r="K52" s="73">
        <v>11</v>
      </c>
      <c r="L52" s="73">
        <v>12.6</v>
      </c>
      <c r="M52" s="73">
        <v>10</v>
      </c>
      <c r="N52" s="73">
        <v>10.1</v>
      </c>
      <c r="O52" s="73">
        <v>8.6999999999999993</v>
      </c>
      <c r="P52" s="74">
        <f t="shared" si="0"/>
        <v>13.446858638743455</v>
      </c>
      <c r="Q52" s="38">
        <f t="shared" si="1"/>
        <v>1</v>
      </c>
      <c r="R52" s="140">
        <f t="shared" si="5"/>
        <v>12.287434554973821</v>
      </c>
      <c r="S52" s="150">
        <f t="shared" si="6"/>
        <v>1</v>
      </c>
      <c r="T52" s="140">
        <f t="shared" si="7"/>
        <v>14.1</v>
      </c>
      <c r="U52" s="9">
        <f t="shared" si="8"/>
        <v>1</v>
      </c>
      <c r="V52" s="141">
        <f t="shared" si="9"/>
        <v>13.446858638743455</v>
      </c>
      <c r="W52" s="142">
        <f t="shared" si="10"/>
        <v>1</v>
      </c>
      <c r="X52" s="144">
        <f t="shared" si="20"/>
        <v>12.287434554973821</v>
      </c>
      <c r="Y52" s="144">
        <f t="shared" si="21"/>
        <v>14.1</v>
      </c>
      <c r="Z52" s="144">
        <f t="shared" si="22"/>
        <v>13.446858638743455</v>
      </c>
      <c r="AA52" s="10"/>
      <c r="AB52" s="357" t="str">
        <f>VLOOKUP($B52,'2007-2020 Metadata'!$A$4:$S$214,MATCH("Urban Area /Monitoring Zone",'2007-2020 Metadata'!$A$4:$S$4,0),FALSE)</f>
        <v>Blenheim</v>
      </c>
      <c r="AC52" s="87" t="str">
        <f>VLOOKUP(B52,'2007-2020 Metadata'!$A$6:$A$214,1,FALSE)</f>
        <v>WEL012</v>
      </c>
      <c r="AD52" s="230" t="str">
        <f>VLOOKUP($AC52,'2007-2020 Metadata'!$A$6:$S$214,9,FALSE)</f>
        <v>Blenheim</v>
      </c>
      <c r="AE52" s="248">
        <f>IF(ISBLANK(VLOOKUP($AC52,'2007-2020 Metadata'!$A$6:$S$214,19,FALSE)),"",VLOOKUP($AC52,'2007-2020 Metadata'!$A$6:$S$214,19,FALSE))</f>
        <v>4.2</v>
      </c>
      <c r="AF52" s="88" t="str">
        <f>VLOOKUP($B52,'2007-2020 Metadata'!$A$4:$S$214,MATCH("Site type",'2007-2020 Metadata'!$A$4:$S$4,0),FALSE)</f>
        <v>SH</v>
      </c>
      <c r="AG52" s="143">
        <f t="shared" si="11"/>
        <v>8.6999999999999993</v>
      </c>
      <c r="AH52" s="143">
        <f t="shared" si="12"/>
        <v>20.9</v>
      </c>
      <c r="AI52" s="144">
        <f t="shared" si="13"/>
        <v>13.446858638743455</v>
      </c>
    </row>
    <row r="53" spans="2:35" ht="12" customHeight="1" x14ac:dyDescent="0.2">
      <c r="B53" s="71" t="s">
        <v>21</v>
      </c>
      <c r="C53" s="58">
        <f>IF(VLOOKUP($B53,'Monthly Summary 2007'!$B$7:$U$62,14,FALSE)&gt;0,VLOOKUP($B53,'Monthly Summary 2007'!$B$7:$U$62,14,FALSE),"")</f>
        <v>8.2643979057591626</v>
      </c>
      <c r="D53" s="72">
        <v>7.8350785340314131</v>
      </c>
      <c r="E53" s="73">
        <v>8</v>
      </c>
      <c r="F53" s="73">
        <v>12.2</v>
      </c>
      <c r="G53" s="73">
        <v>13.1</v>
      </c>
      <c r="H53" s="73">
        <v>13.1</v>
      </c>
      <c r="I53" s="73">
        <v>18.5</v>
      </c>
      <c r="J53" s="73">
        <v>12.6</v>
      </c>
      <c r="K53" s="73">
        <v>9.6</v>
      </c>
      <c r="L53" s="73">
        <v>15.6</v>
      </c>
      <c r="M53" s="73">
        <v>13.8</v>
      </c>
      <c r="N53" s="73">
        <v>8.8000000000000007</v>
      </c>
      <c r="O53" s="73">
        <v>7.5</v>
      </c>
      <c r="P53" s="74">
        <f t="shared" si="0"/>
        <v>11.719589877835951</v>
      </c>
      <c r="Q53" s="38">
        <f t="shared" si="1"/>
        <v>1</v>
      </c>
      <c r="R53" s="140">
        <f t="shared" si="5"/>
        <v>9.3450261780104711</v>
      </c>
      <c r="S53" s="150">
        <f t="shared" si="6"/>
        <v>1</v>
      </c>
      <c r="T53" s="140">
        <f t="shared" si="7"/>
        <v>12.6</v>
      </c>
      <c r="U53" s="9">
        <f t="shared" si="8"/>
        <v>1</v>
      </c>
      <c r="V53" s="141">
        <f t="shared" si="9"/>
        <v>11.719589877835951</v>
      </c>
      <c r="W53" s="142">
        <f t="shared" si="10"/>
        <v>1</v>
      </c>
      <c r="X53" s="144">
        <f t="shared" si="20"/>
        <v>9.3450261780104711</v>
      </c>
      <c r="Y53" s="144">
        <f t="shared" si="21"/>
        <v>12.6</v>
      </c>
      <c r="Z53" s="144">
        <f t="shared" si="22"/>
        <v>11.719589877835951</v>
      </c>
      <c r="AA53" s="10"/>
      <c r="AB53" s="357" t="str">
        <f>VLOOKUP($B53,'2007-2020 Metadata'!$A$4:$S$214,MATCH("Urban Area /Monitoring Zone",'2007-2020 Metadata'!$A$4:$S$4,0),FALSE)</f>
        <v>Greymouth</v>
      </c>
      <c r="AC53" s="87" t="str">
        <f>VLOOKUP(B53,'2007-2020 Metadata'!$A$6:$A$214,1,FALSE)</f>
        <v>CHR001</v>
      </c>
      <c r="AD53" s="230" t="str">
        <f>VLOOKUP($AC53,'2007-2020 Metadata'!$A$6:$S$214,9,FALSE)</f>
        <v>Greymouth</v>
      </c>
      <c r="AE53" s="248">
        <f>IF(ISBLANK(VLOOKUP($AC53,'2007-2020 Metadata'!$A$6:$S$214,19,FALSE)),"",VLOOKUP($AC53,'2007-2020 Metadata'!$A$6:$S$214,19,FALSE))</f>
        <v>2.2999999999999998</v>
      </c>
      <c r="AF53" s="88" t="str">
        <f>VLOOKUP($B53,'2007-2020 Metadata'!$A$4:$S$214,MATCH("Site type",'2007-2020 Metadata'!$A$4:$S$4,0),FALSE)</f>
        <v>SH</v>
      </c>
      <c r="AG53" s="143">
        <f t="shared" si="11"/>
        <v>7.5</v>
      </c>
      <c r="AH53" s="143">
        <f t="shared" si="12"/>
        <v>18.5</v>
      </c>
      <c r="AI53" s="144">
        <f t="shared" si="13"/>
        <v>11.719589877835951</v>
      </c>
    </row>
    <row r="54" spans="2:35" ht="12" customHeight="1" x14ac:dyDescent="0.2">
      <c r="B54" s="71" t="s">
        <v>22</v>
      </c>
      <c r="C54" s="58">
        <f>IF(VLOOKUP($B54,'Monthly Summary 2007'!$B$7:$U$62,14,FALSE)&gt;0,VLOOKUP($B54,'Monthly Summary 2007'!$B$7:$U$62,14,FALSE),"")</f>
        <v>11.269633507853403</v>
      </c>
      <c r="D54" s="72">
        <v>11.484293193717278</v>
      </c>
      <c r="E54" s="73">
        <v>21.5</v>
      </c>
      <c r="F54" s="73">
        <v>25.1</v>
      </c>
      <c r="G54" s="73">
        <v>31.2</v>
      </c>
      <c r="H54" s="73">
        <v>28.6</v>
      </c>
      <c r="I54" s="73">
        <v>36.799999999999997</v>
      </c>
      <c r="J54" s="73">
        <v>28.6</v>
      </c>
      <c r="K54" s="73">
        <v>11.5</v>
      </c>
      <c r="L54" s="73">
        <v>21.7</v>
      </c>
      <c r="M54" s="73">
        <v>17.8</v>
      </c>
      <c r="N54" s="73">
        <v>18.399999999999999</v>
      </c>
      <c r="O54" s="73">
        <v>13.9</v>
      </c>
      <c r="P54" s="74">
        <f t="shared" si="0"/>
        <v>22.215357766143104</v>
      </c>
      <c r="Q54" s="38">
        <f t="shared" si="1"/>
        <v>1</v>
      </c>
      <c r="R54" s="140">
        <f t="shared" si="5"/>
        <v>19.361431064572425</v>
      </c>
      <c r="S54" s="150">
        <f t="shared" si="6"/>
        <v>1</v>
      </c>
      <c r="T54" s="140">
        <f t="shared" si="7"/>
        <v>20.599999999999998</v>
      </c>
      <c r="U54" s="9">
        <f t="shared" si="8"/>
        <v>1</v>
      </c>
      <c r="V54" s="141">
        <f t="shared" si="9"/>
        <v>22.215357766143104</v>
      </c>
      <c r="W54" s="142">
        <f t="shared" si="10"/>
        <v>1</v>
      </c>
      <c r="X54" s="144">
        <f t="shared" si="20"/>
        <v>15.014397905759161</v>
      </c>
      <c r="Y54" s="144">
        <f t="shared" si="21"/>
        <v>20.891666666666666</v>
      </c>
      <c r="Z54" s="144">
        <f t="shared" si="22"/>
        <v>18.984849476439791</v>
      </c>
      <c r="AA54" s="10"/>
      <c r="AB54" s="357" t="str">
        <f>VLOOKUP($B54,'2007-2020 Metadata'!$A$4:$S$214,MATCH("Urban Area /Monitoring Zone",'2007-2020 Metadata'!$A$4:$S$4,0),FALSE)</f>
        <v>Christchurch</v>
      </c>
      <c r="AC54" s="87" t="str">
        <f>VLOOKUP(B54,'2007-2020 Metadata'!$A$6:$A$214,1,FALSE)</f>
        <v>CHR002</v>
      </c>
      <c r="AD54" s="230" t="str">
        <f>VLOOKUP($AC54,'2007-2020 Metadata'!$A$6:$S$214,9,FALSE)</f>
        <v>Christchurch</v>
      </c>
      <c r="AE54" s="248">
        <f>IF(ISBLANK(VLOOKUP($AC54,'2007-2020 Metadata'!$A$6:$S$214,19,FALSE)),"",VLOOKUP($AC54,'2007-2020 Metadata'!$A$6:$S$214,19,FALSE))</f>
        <v>3.2</v>
      </c>
      <c r="AF54" s="88" t="str">
        <f>VLOOKUP($B54,'2007-2020 Metadata'!$A$4:$S$214,MATCH("Site type",'2007-2020 Metadata'!$A$4:$S$4,0),FALSE)</f>
        <v>SH</v>
      </c>
      <c r="AG54" s="143">
        <f t="shared" si="11"/>
        <v>11.484293193717278</v>
      </c>
      <c r="AH54" s="143">
        <f t="shared" si="12"/>
        <v>36.799999999999997</v>
      </c>
      <c r="AI54" s="144">
        <f t="shared" si="13"/>
        <v>18.984849476439791</v>
      </c>
    </row>
    <row r="55" spans="2:35" ht="12" customHeight="1" x14ac:dyDescent="0.2">
      <c r="B55" s="71" t="s">
        <v>23</v>
      </c>
      <c r="C55" s="58">
        <f>IF(VLOOKUP($B55,'Monthly Summary 2007'!$B$7:$U$62,14,FALSE)&gt;0,VLOOKUP($B55,'Monthly Summary 2007'!$B$7:$U$62,14,FALSE),"")</f>
        <v>8.479057591623036</v>
      </c>
      <c r="D55" s="72">
        <v>7.8350785340314131</v>
      </c>
      <c r="E55" s="73">
        <v>15.9</v>
      </c>
      <c r="F55" s="73">
        <v>21.4</v>
      </c>
      <c r="G55" s="73">
        <v>28.2</v>
      </c>
      <c r="H55" s="73">
        <v>36.299999999999997</v>
      </c>
      <c r="I55" s="73">
        <v>25.9</v>
      </c>
      <c r="J55" s="73">
        <v>36.200000000000003</v>
      </c>
      <c r="K55" s="73">
        <v>30</v>
      </c>
      <c r="L55" s="73">
        <v>23.3</v>
      </c>
      <c r="M55" s="73">
        <v>11.5</v>
      </c>
      <c r="N55" s="73">
        <v>13.5</v>
      </c>
      <c r="O55" s="73">
        <v>9.9</v>
      </c>
      <c r="P55" s="74">
        <f t="shared" si="0"/>
        <v>21.661256544502617</v>
      </c>
      <c r="Q55" s="38">
        <f t="shared" si="1"/>
        <v>1</v>
      </c>
      <c r="R55" s="140">
        <f t="shared" si="5"/>
        <v>15.045026178010469</v>
      </c>
      <c r="S55" s="150">
        <f t="shared" si="6"/>
        <v>1</v>
      </c>
      <c r="T55" s="140">
        <f t="shared" si="7"/>
        <v>29.833333333333332</v>
      </c>
      <c r="U55" s="9">
        <f t="shared" si="8"/>
        <v>1</v>
      </c>
      <c r="V55" s="141">
        <f t="shared" si="9"/>
        <v>21.661256544502617</v>
      </c>
      <c r="W55" s="142">
        <f t="shared" si="10"/>
        <v>1</v>
      </c>
      <c r="X55" s="144">
        <f t="shared" si="20"/>
        <v>15.014397905759161</v>
      </c>
      <c r="Y55" s="144">
        <f t="shared" si="21"/>
        <v>20.891666666666666</v>
      </c>
      <c r="Z55" s="144">
        <f t="shared" si="22"/>
        <v>18.984849476439791</v>
      </c>
      <c r="AA55" s="10"/>
      <c r="AB55" s="357" t="str">
        <f>VLOOKUP($B55,'2007-2020 Metadata'!$A$4:$S$214,MATCH("Urban Area /Monitoring Zone",'2007-2020 Metadata'!$A$4:$S$4,0),FALSE)</f>
        <v>Christchurch</v>
      </c>
      <c r="AC55" s="87" t="str">
        <f>VLOOKUP(B55,'2007-2020 Metadata'!$A$6:$A$214,1,FALSE)</f>
        <v>CHR003</v>
      </c>
      <c r="AD55" s="230" t="str">
        <f>VLOOKUP($AC55,'2007-2020 Metadata'!$A$6:$S$214,9,FALSE)</f>
        <v>Christchurch</v>
      </c>
      <c r="AE55" s="248">
        <f>IF(ISBLANK(VLOOKUP($AC55,'2007-2020 Metadata'!$A$6:$S$214,19,FALSE)),"",VLOOKUP($AC55,'2007-2020 Metadata'!$A$6:$S$214,19,FALSE))</f>
        <v>3.3</v>
      </c>
      <c r="AF55" s="88" t="str">
        <f>VLOOKUP($B55,'2007-2020 Metadata'!$A$4:$S$214,MATCH("Site type",'2007-2020 Metadata'!$A$4:$S$4,0),FALSE)</f>
        <v>SH</v>
      </c>
      <c r="AG55" s="143">
        <f t="shared" si="11"/>
        <v>7.8350785340314131</v>
      </c>
      <c r="AH55" s="143">
        <f t="shared" si="12"/>
        <v>36.299999999999997</v>
      </c>
      <c r="AI55" s="144">
        <f t="shared" si="13"/>
        <v>18.984849476439791</v>
      </c>
    </row>
    <row r="56" spans="2:35" ht="12" customHeight="1" x14ac:dyDescent="0.2">
      <c r="B56" s="71" t="s">
        <v>24</v>
      </c>
      <c r="C56" s="58">
        <f>IF(VLOOKUP($B56,'Monthly Summary 2007'!$B$7:$U$62,14,FALSE)&gt;0,VLOOKUP($B56,'Monthly Summary 2007'!$B$7:$U$62,14,FALSE),"")</f>
        <v>5.3664921465968591</v>
      </c>
      <c r="D56" s="72">
        <v>6.0104712041884811</v>
      </c>
      <c r="E56" s="73">
        <v>7.6</v>
      </c>
      <c r="F56" s="73">
        <v>13.6</v>
      </c>
      <c r="G56" s="73">
        <v>17.7</v>
      </c>
      <c r="H56" s="73">
        <v>17.8</v>
      </c>
      <c r="I56" s="73">
        <v>23.8</v>
      </c>
      <c r="J56" s="73">
        <v>16.5</v>
      </c>
      <c r="K56" s="73">
        <v>12.9</v>
      </c>
      <c r="L56" s="73">
        <v>11.4</v>
      </c>
      <c r="M56" s="73">
        <v>6.4</v>
      </c>
      <c r="N56" s="73">
        <v>7.3</v>
      </c>
      <c r="O56" s="73">
        <v>5.9</v>
      </c>
      <c r="P56" s="74">
        <f t="shared" si="0"/>
        <v>12.242539267015708</v>
      </c>
      <c r="Q56" s="38">
        <f t="shared" si="1"/>
        <v>1</v>
      </c>
      <c r="R56" s="140">
        <f t="shared" si="5"/>
        <v>9.0701570680628265</v>
      </c>
      <c r="S56" s="150">
        <f t="shared" si="6"/>
        <v>1</v>
      </c>
      <c r="T56" s="140">
        <f t="shared" si="7"/>
        <v>13.6</v>
      </c>
      <c r="U56" s="9">
        <f t="shared" si="8"/>
        <v>1</v>
      </c>
      <c r="V56" s="141">
        <f t="shared" si="9"/>
        <v>12.242539267015708</v>
      </c>
      <c r="W56" s="142">
        <f t="shared" si="10"/>
        <v>1</v>
      </c>
      <c r="X56" s="144">
        <f t="shared" si="20"/>
        <v>15.014397905759161</v>
      </c>
      <c r="Y56" s="144">
        <f t="shared" si="21"/>
        <v>20.891666666666666</v>
      </c>
      <c r="Z56" s="144">
        <f t="shared" si="22"/>
        <v>18.984849476439791</v>
      </c>
      <c r="AA56" s="10"/>
      <c r="AB56" s="357" t="str">
        <f>VLOOKUP($B56,'2007-2020 Metadata'!$A$4:$S$214,MATCH("Urban Area /Monitoring Zone",'2007-2020 Metadata'!$A$4:$S$4,0),FALSE)</f>
        <v>Christchurch</v>
      </c>
      <c r="AC56" s="87" t="str">
        <f>VLOOKUP(B56,'2007-2020 Metadata'!$A$6:$A$214,1,FALSE)</f>
        <v>CHR004</v>
      </c>
      <c r="AD56" s="230" t="str">
        <f>VLOOKUP($AC56,'2007-2020 Metadata'!$A$6:$S$214,9,FALSE)</f>
        <v>Christchurch</v>
      </c>
      <c r="AE56" s="248">
        <f>IF(ISBLANK(VLOOKUP($AC56,'2007-2020 Metadata'!$A$6:$S$214,19,FALSE)),"",VLOOKUP($AC56,'2007-2020 Metadata'!$A$6:$S$214,19,FALSE))</f>
        <v>3.1</v>
      </c>
      <c r="AF56" s="88" t="str">
        <f>VLOOKUP($B56,'2007-2020 Metadata'!$A$4:$S$214,MATCH("Site type",'2007-2020 Metadata'!$A$4:$S$4,0),FALSE)</f>
        <v>Background</v>
      </c>
      <c r="AG56" s="143">
        <f t="shared" si="11"/>
        <v>5.9</v>
      </c>
      <c r="AH56" s="143">
        <f t="shared" si="12"/>
        <v>23.8</v>
      </c>
      <c r="AI56" s="144">
        <f t="shared" si="13"/>
        <v>18.984849476439791</v>
      </c>
    </row>
    <row r="57" spans="2:35" ht="12" customHeight="1" x14ac:dyDescent="0.2">
      <c r="B57" s="71" t="s">
        <v>25</v>
      </c>
      <c r="C57" s="58">
        <f>IF(VLOOKUP($B57,'Monthly Summary 2007'!$B$7:$U$62,14,FALSE)&gt;0,VLOOKUP($B57,'Monthly Summary 2007'!$B$7:$U$62,14,FALSE),"")</f>
        <v>11.37696335078534</v>
      </c>
      <c r="D57" s="72">
        <v>12.342931937172775</v>
      </c>
      <c r="E57" s="73">
        <v>15.6</v>
      </c>
      <c r="F57" s="73">
        <v>21.8</v>
      </c>
      <c r="G57" s="73">
        <v>24.9</v>
      </c>
      <c r="H57" s="73">
        <v>27.2</v>
      </c>
      <c r="I57" s="73">
        <v>31.5</v>
      </c>
      <c r="J57" s="73">
        <v>26.2</v>
      </c>
      <c r="K57" s="73">
        <v>17.399999999999999</v>
      </c>
      <c r="L57" s="73">
        <v>15</v>
      </c>
      <c r="M57" s="73">
        <v>17.2</v>
      </c>
      <c r="N57" s="73">
        <v>14.9</v>
      </c>
      <c r="O57" s="73">
        <v>13.8</v>
      </c>
      <c r="P57" s="74">
        <f t="shared" si="0"/>
        <v>19.820244328097729</v>
      </c>
      <c r="Q57" s="38">
        <f t="shared" si="1"/>
        <v>1</v>
      </c>
      <c r="R57" s="140">
        <f t="shared" si="5"/>
        <v>16.580977312390925</v>
      </c>
      <c r="S57" s="150">
        <f t="shared" si="6"/>
        <v>1</v>
      </c>
      <c r="T57" s="140">
        <f t="shared" si="7"/>
        <v>19.533333333333331</v>
      </c>
      <c r="U57" s="9">
        <f t="shared" si="8"/>
        <v>1</v>
      </c>
      <c r="V57" s="141">
        <f t="shared" si="9"/>
        <v>19.820244328097729</v>
      </c>
      <c r="W57" s="142">
        <f t="shared" si="10"/>
        <v>1</v>
      </c>
      <c r="X57" s="144">
        <f t="shared" si="20"/>
        <v>15.014397905759161</v>
      </c>
      <c r="Y57" s="144">
        <f t="shared" si="21"/>
        <v>20.891666666666666</v>
      </c>
      <c r="Z57" s="144">
        <f t="shared" si="22"/>
        <v>18.984849476439791</v>
      </c>
      <c r="AA57" s="10"/>
      <c r="AB57" s="357" t="str">
        <f>VLOOKUP($B57,'2007-2020 Metadata'!$A$4:$S$214,MATCH("Urban Area /Monitoring Zone",'2007-2020 Metadata'!$A$4:$S$4,0),FALSE)</f>
        <v>Christchurch</v>
      </c>
      <c r="AC57" s="87" t="str">
        <f>VLOOKUP(B57,'2007-2020 Metadata'!$A$6:$A$214,1,FALSE)</f>
        <v>CHR006</v>
      </c>
      <c r="AD57" s="230" t="str">
        <f>VLOOKUP($AC57,'2007-2020 Metadata'!$A$6:$S$214,9,FALSE)</f>
        <v>Christchurch</v>
      </c>
      <c r="AE57" s="248">
        <f>IF(ISBLANK(VLOOKUP($AC57,'2007-2020 Metadata'!$A$6:$S$214,19,FALSE)),"",VLOOKUP($AC57,'2007-2020 Metadata'!$A$6:$S$214,19,FALSE))</f>
        <v>3.4</v>
      </c>
      <c r="AF57" s="88" t="str">
        <f>VLOOKUP($B57,'2007-2020 Metadata'!$A$4:$S$214,MATCH("Site type",'2007-2020 Metadata'!$A$4:$S$4,0),FALSE)</f>
        <v>SH</v>
      </c>
      <c r="AG57" s="143">
        <f t="shared" si="11"/>
        <v>12.342931937172775</v>
      </c>
      <c r="AH57" s="143">
        <f t="shared" si="12"/>
        <v>31.5</v>
      </c>
      <c r="AI57" s="144">
        <f t="shared" si="13"/>
        <v>18.984849476439791</v>
      </c>
    </row>
    <row r="58" spans="2:35" ht="12" customHeight="1" x14ac:dyDescent="0.2">
      <c r="B58" s="71" t="s">
        <v>26</v>
      </c>
      <c r="C58" s="58">
        <f>IF(VLOOKUP($B58,'Monthly Summary 2007'!$B$7:$U$62,14,FALSE)&gt;0,VLOOKUP($B58,'Monthly Summary 2007'!$B$7:$U$62,14,FALSE),"")</f>
        <v>13.738219895287958</v>
      </c>
      <c r="D58" s="72">
        <v>12.664921465968586</v>
      </c>
      <c r="E58" s="73">
        <v>20.3</v>
      </c>
      <c r="F58" s="73">
        <v>18.7</v>
      </c>
      <c r="G58" s="73">
        <v>34.700000000000003</v>
      </c>
      <c r="H58" s="73">
        <v>35.1</v>
      </c>
      <c r="I58" s="73">
        <v>29.2</v>
      </c>
      <c r="J58" s="73">
        <v>26.2</v>
      </c>
      <c r="K58" s="73">
        <v>21.6</v>
      </c>
      <c r="L58" s="73">
        <v>25.7</v>
      </c>
      <c r="M58" s="73">
        <v>13.7</v>
      </c>
      <c r="N58" s="73">
        <v>21</v>
      </c>
      <c r="O58" s="73">
        <v>13.8</v>
      </c>
      <c r="P58" s="74">
        <f t="shared" si="0"/>
        <v>22.722076788830716</v>
      </c>
      <c r="Q58" s="38">
        <f t="shared" si="1"/>
        <v>1</v>
      </c>
      <c r="R58" s="140">
        <f t="shared" si="5"/>
        <v>17.221640488656195</v>
      </c>
      <c r="S58" s="150">
        <f t="shared" si="6"/>
        <v>1</v>
      </c>
      <c r="T58" s="140">
        <f t="shared" si="7"/>
        <v>24.5</v>
      </c>
      <c r="U58" s="9">
        <f t="shared" si="8"/>
        <v>1</v>
      </c>
      <c r="V58" s="141">
        <f t="shared" si="9"/>
        <v>22.722076788830716</v>
      </c>
      <c r="W58" s="142">
        <f t="shared" si="10"/>
        <v>1</v>
      </c>
      <c r="X58" s="144">
        <f t="shared" si="20"/>
        <v>12.004130308318791</v>
      </c>
      <c r="Y58" s="144">
        <f t="shared" si="21"/>
        <v>15.488888888888887</v>
      </c>
      <c r="Z58" s="144">
        <f t="shared" si="22"/>
        <v>14.348254799301918</v>
      </c>
      <c r="AA58" s="10"/>
      <c r="AB58" s="357" t="str">
        <f>VLOOKUP($B58,'2007-2020 Metadata'!$A$4:$S$214,MATCH("Urban Area /Monitoring Zone",'2007-2020 Metadata'!$A$4:$S$4,0),FALSE)</f>
        <v>Dunedin</v>
      </c>
      <c r="AC58" s="87" t="str">
        <f>VLOOKUP(B58,'2007-2020 Metadata'!$A$6:$A$214,1,FALSE)</f>
        <v>DUN001</v>
      </c>
      <c r="AD58" s="230" t="str">
        <f>VLOOKUP($AC58,'2007-2020 Metadata'!$A$6:$S$214,9,FALSE)</f>
        <v>Dunedin</v>
      </c>
      <c r="AE58" s="248">
        <f>IF(ISBLANK(VLOOKUP($AC58,'2007-2020 Metadata'!$A$6:$S$214,19,FALSE)),"",VLOOKUP($AC58,'2007-2020 Metadata'!$A$6:$S$214,19,FALSE))</f>
        <v>3</v>
      </c>
      <c r="AF58" s="88" t="str">
        <f>VLOOKUP($B58,'2007-2020 Metadata'!$A$4:$S$214,MATCH("Site type",'2007-2020 Metadata'!$A$4:$S$4,0),FALSE)</f>
        <v>SH</v>
      </c>
      <c r="AG58" s="143">
        <f t="shared" si="11"/>
        <v>12.664921465968586</v>
      </c>
      <c r="AH58" s="143">
        <f t="shared" si="12"/>
        <v>35.1</v>
      </c>
      <c r="AI58" s="144">
        <f t="shared" si="13"/>
        <v>14.348254799301918</v>
      </c>
    </row>
    <row r="59" spans="2:35" ht="12" customHeight="1" x14ac:dyDescent="0.2">
      <c r="B59" s="71" t="s">
        <v>27</v>
      </c>
      <c r="C59" s="58">
        <f>IF(VLOOKUP($B59,'Monthly Summary 2007'!$B$7:$U$62,14,FALSE)&gt;0,VLOOKUP($B59,'Monthly Summary 2007'!$B$7:$U$62,14,FALSE),"")</f>
        <v>8.3717277486910984</v>
      </c>
      <c r="D59" s="72">
        <v>8.2643979057591626</v>
      </c>
      <c r="E59" s="73">
        <v>11.2</v>
      </c>
      <c r="F59" s="73">
        <v>14.7</v>
      </c>
      <c r="G59" s="73">
        <v>14</v>
      </c>
      <c r="H59" s="73">
        <v>19.600000000000001</v>
      </c>
      <c r="I59" s="73">
        <v>18</v>
      </c>
      <c r="J59" s="73">
        <v>18.100000000000001</v>
      </c>
      <c r="K59" s="73">
        <v>13.3</v>
      </c>
      <c r="L59" s="73">
        <v>11.1</v>
      </c>
      <c r="M59" s="73">
        <v>4.2</v>
      </c>
      <c r="N59" s="73">
        <v>10.8</v>
      </c>
      <c r="O59" s="73">
        <v>6.1</v>
      </c>
      <c r="P59" s="74">
        <f t="shared" si="0"/>
        <v>12.447033158813262</v>
      </c>
      <c r="Q59" s="38">
        <f t="shared" si="1"/>
        <v>1</v>
      </c>
      <c r="R59" s="140">
        <f t="shared" si="5"/>
        <v>11.388132635253053</v>
      </c>
      <c r="S59" s="150">
        <f t="shared" si="6"/>
        <v>1</v>
      </c>
      <c r="T59" s="140">
        <f t="shared" si="7"/>
        <v>14.166666666666666</v>
      </c>
      <c r="U59" s="9">
        <f t="shared" si="8"/>
        <v>1</v>
      </c>
      <c r="V59" s="141">
        <f t="shared" si="9"/>
        <v>12.447033158813262</v>
      </c>
      <c r="W59" s="142">
        <f t="shared" si="10"/>
        <v>1</v>
      </c>
      <c r="X59" s="144">
        <f t="shared" si="20"/>
        <v>12.004130308318791</v>
      </c>
      <c r="Y59" s="144">
        <f t="shared" si="21"/>
        <v>15.488888888888887</v>
      </c>
      <c r="Z59" s="144">
        <f t="shared" si="22"/>
        <v>14.348254799301918</v>
      </c>
      <c r="AA59" s="10"/>
      <c r="AB59" s="357" t="str">
        <f>VLOOKUP($B59,'2007-2020 Metadata'!$A$4:$S$214,MATCH("Urban Area /Monitoring Zone",'2007-2020 Metadata'!$A$4:$S$4,0),FALSE)</f>
        <v>Dunedin</v>
      </c>
      <c r="AC59" s="87" t="str">
        <f>VLOOKUP(B59,'2007-2020 Metadata'!$A$6:$A$214,1,FALSE)</f>
        <v>DUN002</v>
      </c>
      <c r="AD59" s="230" t="str">
        <f>VLOOKUP($AC59,'2007-2020 Metadata'!$A$6:$S$214,9,FALSE)</f>
        <v>Dunedin</v>
      </c>
      <c r="AE59" s="248">
        <f>IF(ISBLANK(VLOOKUP($AC59,'2007-2020 Metadata'!$A$6:$S$214,19,FALSE)),"",VLOOKUP($AC59,'2007-2020 Metadata'!$A$6:$S$214,19,FALSE))</f>
        <v>3</v>
      </c>
      <c r="AF59" s="88" t="str">
        <f>VLOOKUP($B59,'2007-2020 Metadata'!$A$4:$S$214,MATCH("Site type",'2007-2020 Metadata'!$A$4:$S$4,0),FALSE)</f>
        <v>SH</v>
      </c>
      <c r="AG59" s="143">
        <f t="shared" si="11"/>
        <v>4.2</v>
      </c>
      <c r="AH59" s="143">
        <f t="shared" si="12"/>
        <v>19.600000000000001</v>
      </c>
      <c r="AI59" s="144">
        <f t="shared" si="13"/>
        <v>14.348254799301918</v>
      </c>
    </row>
    <row r="60" spans="2:35" ht="12" customHeight="1" x14ac:dyDescent="0.2">
      <c r="B60" s="71" t="s">
        <v>28</v>
      </c>
      <c r="C60" s="58">
        <f>IF(VLOOKUP($B60,'Monthly Summary 2007'!$B$7:$U$62,14,FALSE)&gt;0,VLOOKUP($B60,'Monthly Summary 2007'!$B$7:$U$62,14,FALSE),"")</f>
        <v>5.5811518324607325</v>
      </c>
      <c r="D60" s="72">
        <v>4.507853403141362</v>
      </c>
      <c r="E60" s="73">
        <v>8.8000000000000007</v>
      </c>
      <c r="F60" s="73">
        <v>8.9</v>
      </c>
      <c r="G60" s="73">
        <v>9.9</v>
      </c>
      <c r="H60" s="73">
        <v>11.9</v>
      </c>
      <c r="I60" s="73">
        <v>12</v>
      </c>
      <c r="J60" s="73">
        <v>10.3</v>
      </c>
      <c r="K60" s="73">
        <v>6.6</v>
      </c>
      <c r="L60" s="73">
        <v>6.5</v>
      </c>
      <c r="M60" s="73">
        <v>4.3</v>
      </c>
      <c r="N60" s="73">
        <v>6.8</v>
      </c>
      <c r="O60" s="73">
        <v>4</v>
      </c>
      <c r="P60" s="74">
        <f t="shared" si="0"/>
        <v>7.8756544502617798</v>
      </c>
      <c r="Q60" s="38">
        <f t="shared" si="1"/>
        <v>1</v>
      </c>
      <c r="R60" s="140">
        <f t="shared" si="5"/>
        <v>7.4026178010471213</v>
      </c>
      <c r="S60" s="150">
        <f t="shared" si="6"/>
        <v>1</v>
      </c>
      <c r="T60" s="140">
        <f t="shared" si="7"/>
        <v>7.8</v>
      </c>
      <c r="U60" s="9">
        <f t="shared" si="8"/>
        <v>1</v>
      </c>
      <c r="V60" s="141">
        <f t="shared" si="9"/>
        <v>7.8756544502617798</v>
      </c>
      <c r="W60" s="142">
        <f t="shared" si="10"/>
        <v>1</v>
      </c>
      <c r="X60" s="144">
        <f t="shared" si="20"/>
        <v>12.004130308318791</v>
      </c>
      <c r="Y60" s="144">
        <f t="shared" si="21"/>
        <v>15.488888888888887</v>
      </c>
      <c r="Z60" s="144">
        <f t="shared" si="22"/>
        <v>14.348254799301918</v>
      </c>
      <c r="AA60" s="10"/>
      <c r="AB60" s="357" t="str">
        <f>VLOOKUP($B60,'2007-2020 Metadata'!$A$4:$S$214,MATCH("Urban Area /Monitoring Zone",'2007-2020 Metadata'!$A$4:$S$4,0),FALSE)</f>
        <v>Dunedin</v>
      </c>
      <c r="AC60" s="87" t="str">
        <f>VLOOKUP(B60,'2007-2020 Metadata'!$A$6:$A$214,1,FALSE)</f>
        <v>DUN003</v>
      </c>
      <c r="AD60" s="230" t="str">
        <f>VLOOKUP($AC60,'2007-2020 Metadata'!$A$6:$S$214,9,FALSE)</f>
        <v>Dunedin</v>
      </c>
      <c r="AE60" s="248">
        <f>IF(ISBLANK(VLOOKUP($AC60,'2007-2020 Metadata'!$A$6:$S$214,19,FALSE)),"",VLOOKUP($AC60,'2007-2020 Metadata'!$A$6:$S$214,19,FALSE))</f>
        <v>3</v>
      </c>
      <c r="AF60" s="88" t="str">
        <f>VLOOKUP($B60,'2007-2020 Metadata'!$A$4:$S$214,MATCH("Site type",'2007-2020 Metadata'!$A$4:$S$4,0),FALSE)</f>
        <v>Local</v>
      </c>
      <c r="AG60" s="143">
        <f t="shared" si="11"/>
        <v>4</v>
      </c>
      <c r="AH60" s="143">
        <f t="shared" si="12"/>
        <v>12</v>
      </c>
      <c r="AI60" s="144">
        <f t="shared" si="13"/>
        <v>14.348254799301918</v>
      </c>
    </row>
    <row r="61" spans="2:35" ht="12" customHeight="1" x14ac:dyDescent="0.2">
      <c r="B61" s="71" t="s">
        <v>29</v>
      </c>
      <c r="C61" s="58">
        <f>IF(VLOOKUP($B61,'Monthly Summary 2007'!$B$7:$U$62,14,FALSE)&gt;0,VLOOKUP($B61,'Monthly Summary 2007'!$B$7:$U$62,14,FALSE),"")</f>
        <v>12.020942408376962</v>
      </c>
      <c r="D61" s="72">
        <v>12.128272251308902</v>
      </c>
      <c r="E61" s="73">
        <v>15.3</v>
      </c>
      <c r="F61" s="73">
        <v>18.5</v>
      </c>
      <c r="G61" s="73">
        <v>24.7</v>
      </c>
      <c r="H61" s="73">
        <v>23.1</v>
      </c>
      <c r="I61" s="73">
        <v>27.7</v>
      </c>
      <c r="J61" s="73">
        <v>22.7</v>
      </c>
      <c r="K61" s="73">
        <v>9.6999999999999993</v>
      </c>
      <c r="L61" s="73">
        <v>17.2</v>
      </c>
      <c r="M61" s="73">
        <v>10.6</v>
      </c>
      <c r="N61" s="73">
        <v>15.2</v>
      </c>
      <c r="O61" s="73"/>
      <c r="P61" s="74">
        <f t="shared" si="0"/>
        <v>17.893479295573535</v>
      </c>
      <c r="Q61" s="38">
        <f t="shared" si="1"/>
        <v>0.91666666666666663</v>
      </c>
      <c r="R61" s="140">
        <f t="shared" si="5"/>
        <v>15.309424083769635</v>
      </c>
      <c r="S61" s="150">
        <f t="shared" si="6"/>
        <v>1</v>
      </c>
      <c r="T61" s="140">
        <f t="shared" si="7"/>
        <v>16.533333333333331</v>
      </c>
      <c r="U61" s="9">
        <f t="shared" si="8"/>
        <v>1</v>
      </c>
      <c r="V61" s="141">
        <f t="shared" si="9"/>
        <v>17.893479295573535</v>
      </c>
      <c r="W61" s="142">
        <f t="shared" si="10"/>
        <v>0.91666666666666663</v>
      </c>
      <c r="X61" s="144">
        <f t="shared" si="20"/>
        <v>15.309424083769635</v>
      </c>
      <c r="Y61" s="144">
        <f t="shared" si="21"/>
        <v>16.533333333333331</v>
      </c>
      <c r="Z61" s="144">
        <f t="shared" si="22"/>
        <v>17.893479295573535</v>
      </c>
      <c r="AA61" s="10"/>
      <c r="AB61" s="357" t="str">
        <f>VLOOKUP($B61,'2007-2020 Metadata'!$A$4:$S$214,MATCH("Urban Area /Monitoring Zone",'2007-2020 Metadata'!$A$4:$S$4,0),FALSE)</f>
        <v>Queenstown</v>
      </c>
      <c r="AC61" s="87" t="str">
        <f>VLOOKUP(B61,'2007-2020 Metadata'!$A$6:$A$214,1,FALSE)</f>
        <v>DUN004</v>
      </c>
      <c r="AD61" s="230" t="str">
        <f>VLOOKUP($AC61,'2007-2020 Metadata'!$A$6:$S$214,9,FALSE)</f>
        <v>Queenstown</v>
      </c>
      <c r="AE61" s="248">
        <f>IF(ISBLANK(VLOOKUP($AC61,'2007-2020 Metadata'!$A$6:$S$214,19,FALSE)),"",VLOOKUP($AC61,'2007-2020 Metadata'!$A$6:$S$214,19,FALSE))</f>
        <v>3</v>
      </c>
      <c r="AF61" s="88" t="str">
        <f>VLOOKUP($B61,'2007-2020 Metadata'!$A$4:$S$214,MATCH("Site type",'2007-2020 Metadata'!$A$4:$S$4,0),FALSE)</f>
        <v>SH</v>
      </c>
      <c r="AG61" s="143">
        <f t="shared" si="11"/>
        <v>9.6999999999999993</v>
      </c>
      <c r="AH61" s="143">
        <f t="shared" si="12"/>
        <v>27.7</v>
      </c>
      <c r="AI61" s="144">
        <f t="shared" si="13"/>
        <v>17.893479295573535</v>
      </c>
    </row>
    <row r="62" spans="2:35" ht="12" customHeight="1" x14ac:dyDescent="0.2">
      <c r="B62" s="75" t="s">
        <v>30</v>
      </c>
      <c r="C62" s="58">
        <f>IF(VLOOKUP($B62,'Monthly Summary 2007'!$B$7:$U$62,14,FALSE)&gt;0,VLOOKUP($B62,'Monthly Summary 2007'!$B$7:$U$62,14,FALSE),"")</f>
        <v>18.13874345549738</v>
      </c>
      <c r="D62" s="72">
        <v>15.562827225130889</v>
      </c>
      <c r="E62" s="73">
        <v>19.8</v>
      </c>
      <c r="F62" s="73">
        <v>31</v>
      </c>
      <c r="G62" s="73">
        <v>28.2</v>
      </c>
      <c r="H62" s="73">
        <v>30.2</v>
      </c>
      <c r="I62" s="73">
        <v>47.7</v>
      </c>
      <c r="J62" s="73">
        <v>36.200000000000003</v>
      </c>
      <c r="K62" s="73">
        <v>27.5</v>
      </c>
      <c r="L62" s="73">
        <v>26.3</v>
      </c>
      <c r="M62" s="73">
        <v>20.399999999999999</v>
      </c>
      <c r="N62" s="73">
        <v>21</v>
      </c>
      <c r="O62" s="73">
        <v>21</v>
      </c>
      <c r="P62" s="74">
        <f t="shared" si="0"/>
        <v>27.071902268760908</v>
      </c>
      <c r="Q62" s="38">
        <f t="shared" si="1"/>
        <v>1</v>
      </c>
      <c r="R62" s="140">
        <f t="shared" si="5"/>
        <v>22.120942408376962</v>
      </c>
      <c r="S62" s="150">
        <f t="shared" si="6"/>
        <v>1</v>
      </c>
      <c r="T62" s="140">
        <f t="shared" si="7"/>
        <v>30</v>
      </c>
      <c r="U62" s="9">
        <f t="shared" si="8"/>
        <v>1</v>
      </c>
      <c r="V62" s="141">
        <f t="shared" si="9"/>
        <v>27.071902268760908</v>
      </c>
      <c r="W62" s="142">
        <f t="shared" si="10"/>
        <v>1</v>
      </c>
      <c r="X62" s="144">
        <f t="shared" si="20"/>
        <v>22.120942408376962</v>
      </c>
      <c r="Y62" s="144">
        <f t="shared" si="21"/>
        <v>30</v>
      </c>
      <c r="Z62" s="144">
        <f t="shared" si="22"/>
        <v>27.071902268760908</v>
      </c>
      <c r="AA62" s="10"/>
      <c r="AB62" s="357" t="str">
        <f>VLOOKUP($B62,'2007-2020 Metadata'!$A$4:$S$214,MATCH("Urban Area /Monitoring Zone",'2007-2020 Metadata'!$A$4:$S$4,0),FALSE)</f>
        <v>Invercargill</v>
      </c>
      <c r="AC62" s="87" t="str">
        <f>VLOOKUP(B62,'2007-2020 Metadata'!$A$6:$A$214,1,FALSE)</f>
        <v>DUN005</v>
      </c>
      <c r="AD62" s="230" t="str">
        <f>VLOOKUP($AC62,'2007-2020 Metadata'!$A$6:$S$214,9,FALSE)</f>
        <v>Invercargill</v>
      </c>
      <c r="AE62" s="248">
        <f>IF(ISBLANK(VLOOKUP($AC62,'2007-2020 Metadata'!$A$6:$S$214,19,FALSE)),"",VLOOKUP($AC62,'2007-2020 Metadata'!$A$6:$S$214,19,FALSE))</f>
        <v>3</v>
      </c>
      <c r="AF62" s="88" t="str">
        <f>VLOOKUP($B62,'2007-2020 Metadata'!$A$4:$S$214,MATCH("Site type",'2007-2020 Metadata'!$A$4:$S$4,0),FALSE)</f>
        <v>SH</v>
      </c>
      <c r="AG62" s="143">
        <f t="shared" si="11"/>
        <v>15.562827225130889</v>
      </c>
      <c r="AH62" s="143">
        <f t="shared" si="12"/>
        <v>47.7</v>
      </c>
      <c r="AI62" s="144">
        <f t="shared" si="13"/>
        <v>27.071902268760908</v>
      </c>
    </row>
    <row r="63" spans="2:35" ht="12" customHeight="1" thickBot="1" x14ac:dyDescent="0.25">
      <c r="B63" s="76"/>
      <c r="C63" s="77"/>
      <c r="D63" s="78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80"/>
      <c r="Q63" s="81"/>
      <c r="R63" s="145"/>
      <c r="S63" s="146"/>
      <c r="T63" s="145"/>
      <c r="U63" s="146"/>
      <c r="V63" s="151"/>
      <c r="W63" s="148"/>
      <c r="X63" s="148"/>
      <c r="Y63" s="148"/>
      <c r="Z63" s="148"/>
      <c r="AB63" s="151"/>
      <c r="AC63" s="147"/>
      <c r="AD63" s="90"/>
      <c r="AE63" s="90"/>
      <c r="AF63" s="148"/>
      <c r="AG63" s="147"/>
      <c r="AH63" s="147"/>
      <c r="AI63" s="148"/>
    </row>
    <row r="64" spans="2:35" ht="12" customHeight="1" thickTop="1" x14ac:dyDescent="0.2">
      <c r="V64" s="55"/>
      <c r="W64" s="55"/>
      <c r="X64" s="55"/>
      <c r="Y64" s="55"/>
      <c r="Z64" s="143"/>
      <c r="AA64" s="55"/>
      <c r="AB64" s="55"/>
      <c r="AC64" s="55"/>
      <c r="AF64" s="55"/>
      <c r="AG64" s="55"/>
      <c r="AH64" s="55"/>
      <c r="AI64" s="55"/>
    </row>
    <row r="65" spans="2:35" ht="12" customHeight="1" x14ac:dyDescent="0.2">
      <c r="B65" s="55"/>
      <c r="D65" s="46" t="s">
        <v>455</v>
      </c>
      <c r="E65" s="31"/>
      <c r="V65" s="55"/>
      <c r="W65" s="55"/>
      <c r="X65" s="55"/>
      <c r="Y65" s="55"/>
      <c r="Z65" s="143"/>
      <c r="AA65" s="55"/>
      <c r="AB65" s="55"/>
      <c r="AC65" s="55"/>
      <c r="AF65" s="55"/>
      <c r="AG65" s="55"/>
      <c r="AH65" s="55"/>
      <c r="AI65" s="55"/>
    </row>
    <row r="66" spans="2:35" ht="12" customHeight="1" x14ac:dyDescent="0.2">
      <c r="B66" s="55"/>
      <c r="D66" s="321"/>
      <c r="E66" s="301" t="s">
        <v>456</v>
      </c>
      <c r="V66" s="55"/>
      <c r="W66" s="55"/>
      <c r="X66" s="55"/>
      <c r="Y66" s="55"/>
      <c r="Z66" s="55"/>
      <c r="AA66" s="55"/>
      <c r="AB66" s="55"/>
      <c r="AC66" s="55"/>
      <c r="AF66" s="55"/>
      <c r="AG66" s="55"/>
      <c r="AH66" s="55"/>
      <c r="AI66" s="55"/>
    </row>
    <row r="67" spans="2:35" ht="12" customHeight="1" x14ac:dyDescent="0.2">
      <c r="B67" s="55"/>
      <c r="D67" s="371"/>
      <c r="E67" s="301" t="s">
        <v>1085</v>
      </c>
      <c r="V67" s="55"/>
      <c r="W67" s="55"/>
      <c r="X67" s="55"/>
      <c r="Y67" s="55"/>
      <c r="Z67" s="55"/>
      <c r="AA67" s="55"/>
      <c r="AB67" s="55"/>
      <c r="AC67" s="55"/>
      <c r="AF67" s="55"/>
      <c r="AG67" s="55"/>
      <c r="AH67" s="55"/>
      <c r="AI67" s="55"/>
    </row>
    <row r="68" spans="2:35" ht="12" customHeight="1" x14ac:dyDescent="0.2">
      <c r="B68" s="55"/>
      <c r="D68" s="47"/>
      <c r="E68" s="31" t="s">
        <v>469</v>
      </c>
      <c r="V68" s="55"/>
      <c r="W68" s="55"/>
      <c r="X68" s="55"/>
      <c r="Y68" s="55"/>
      <c r="Z68" s="55"/>
      <c r="AA68" s="55"/>
      <c r="AB68" s="55"/>
      <c r="AC68" s="55"/>
      <c r="AF68" s="55"/>
      <c r="AG68" s="55"/>
      <c r="AH68" s="55"/>
      <c r="AI68" s="55"/>
    </row>
    <row r="69" spans="2:35" ht="12" customHeight="1" x14ac:dyDescent="0.2">
      <c r="B69" s="82"/>
      <c r="D69" s="48"/>
      <c r="E69" s="31" t="s">
        <v>457</v>
      </c>
      <c r="F69" s="83"/>
      <c r="G69" s="83"/>
      <c r="H69" s="83"/>
      <c r="I69" s="83"/>
      <c r="J69" s="83"/>
      <c r="K69" s="83"/>
      <c r="L69" s="83"/>
      <c r="M69" s="83"/>
      <c r="N69" s="83"/>
      <c r="O69" s="83"/>
      <c r="V69" s="55"/>
      <c r="W69" s="55"/>
      <c r="X69" s="55"/>
      <c r="Y69" s="55"/>
      <c r="Z69" s="55"/>
      <c r="AA69" s="55"/>
      <c r="AB69" s="55"/>
      <c r="AC69" s="55"/>
      <c r="AF69" s="55"/>
      <c r="AG69" s="55"/>
      <c r="AH69" s="55"/>
      <c r="AI69" s="55"/>
    </row>
    <row r="70" spans="2:35" ht="12" customHeight="1" x14ac:dyDescent="0.2">
      <c r="D70" s="49"/>
      <c r="E70" s="31" t="s">
        <v>458</v>
      </c>
      <c r="V70" s="55"/>
      <c r="W70" s="55"/>
      <c r="X70" s="55"/>
      <c r="Y70" s="55"/>
      <c r="Z70" s="55"/>
      <c r="AA70" s="55"/>
      <c r="AB70" s="55"/>
      <c r="AC70" s="55"/>
      <c r="AF70" s="55"/>
      <c r="AG70" s="55"/>
      <c r="AH70" s="55"/>
      <c r="AI70" s="55"/>
    </row>
    <row r="71" spans="2:35" ht="12" customHeight="1" x14ac:dyDescent="0.2">
      <c r="D71" s="176"/>
      <c r="E71" s="112" t="s">
        <v>510</v>
      </c>
      <c r="V71" s="55"/>
      <c r="W71" s="55"/>
      <c r="X71" s="55"/>
      <c r="Y71" s="55"/>
      <c r="Z71" s="55"/>
      <c r="AA71" s="55"/>
      <c r="AB71" s="55"/>
      <c r="AC71" s="55"/>
      <c r="AF71" s="55"/>
      <c r="AG71" s="55"/>
      <c r="AH71" s="55"/>
      <c r="AI71" s="55"/>
    </row>
    <row r="72" spans="2:35" ht="12" customHeight="1" x14ac:dyDescent="0.2">
      <c r="D72" s="372"/>
      <c r="E72" s="10" t="s">
        <v>1086</v>
      </c>
      <c r="V72" s="55"/>
      <c r="W72" s="55"/>
      <c r="X72" s="55"/>
      <c r="Y72" s="55"/>
      <c r="Z72" s="55"/>
      <c r="AA72" s="55"/>
      <c r="AB72" s="55"/>
      <c r="AC72" s="55"/>
      <c r="AF72" s="55"/>
      <c r="AG72" s="55"/>
      <c r="AH72" s="55"/>
      <c r="AI72" s="55"/>
    </row>
    <row r="73" spans="2:35" ht="12" customHeight="1" x14ac:dyDescent="0.2">
      <c r="V73" s="55"/>
      <c r="W73" s="55"/>
      <c r="X73" s="55"/>
      <c r="Y73" s="55"/>
      <c r="Z73" s="55"/>
      <c r="AA73" s="55"/>
      <c r="AB73" s="55"/>
      <c r="AC73" s="55"/>
      <c r="AF73" s="55"/>
      <c r="AG73" s="55"/>
      <c r="AH73" s="55"/>
      <c r="AI73" s="55"/>
    </row>
    <row r="74" spans="2:35" ht="12" customHeight="1" x14ac:dyDescent="0.2">
      <c r="V74" s="55"/>
      <c r="W74" s="55"/>
      <c r="X74" s="55"/>
      <c r="Y74" s="55"/>
      <c r="Z74" s="55"/>
      <c r="AA74" s="55"/>
      <c r="AB74" s="55"/>
      <c r="AC74" s="55"/>
      <c r="AF74" s="55"/>
      <c r="AG74" s="55"/>
      <c r="AH74" s="55"/>
      <c r="AI74" s="55"/>
    </row>
    <row r="75" spans="2:35" ht="12" customHeight="1" x14ac:dyDescent="0.2">
      <c r="V75" s="55"/>
      <c r="W75" s="55"/>
      <c r="X75" s="55"/>
      <c r="Y75" s="55"/>
      <c r="Z75" s="55"/>
      <c r="AA75" s="55"/>
      <c r="AB75" s="55"/>
      <c r="AC75" s="55"/>
      <c r="AF75" s="55"/>
      <c r="AG75" s="55"/>
      <c r="AH75" s="55"/>
      <c r="AI75" s="55"/>
    </row>
    <row r="76" spans="2:35" ht="12" customHeight="1" x14ac:dyDescent="0.2">
      <c r="V76" s="55"/>
      <c r="W76" s="55"/>
      <c r="X76" s="55"/>
      <c r="Y76" s="55"/>
      <c r="Z76" s="55"/>
      <c r="AA76" s="55"/>
      <c r="AB76" s="55"/>
      <c r="AC76" s="55"/>
      <c r="AF76" s="55"/>
      <c r="AG76" s="55"/>
      <c r="AH76" s="55"/>
      <c r="AI76" s="55"/>
    </row>
    <row r="77" spans="2:35" ht="12" customHeight="1" x14ac:dyDescent="0.2">
      <c r="V77" s="55"/>
      <c r="W77" s="55"/>
      <c r="X77" s="55"/>
      <c r="Y77" s="55"/>
      <c r="Z77" s="55"/>
      <c r="AA77" s="55"/>
      <c r="AB77" s="55"/>
      <c r="AC77" s="55"/>
      <c r="AF77" s="55"/>
      <c r="AG77" s="55"/>
      <c r="AH77" s="55"/>
      <c r="AI77" s="55"/>
    </row>
    <row r="78" spans="2:35" ht="12" customHeight="1" x14ac:dyDescent="0.2">
      <c r="V78" s="55"/>
      <c r="W78" s="55"/>
      <c r="X78" s="55"/>
      <c r="Y78" s="55"/>
      <c r="Z78" s="55"/>
      <c r="AA78" s="55"/>
      <c r="AB78" s="55"/>
      <c r="AC78" s="55"/>
      <c r="AF78" s="55"/>
      <c r="AG78" s="55"/>
      <c r="AH78" s="55"/>
      <c r="AI78" s="55"/>
    </row>
    <row r="79" spans="2:35" ht="12" customHeight="1" x14ac:dyDescent="0.2">
      <c r="V79" s="55"/>
      <c r="W79" s="55"/>
      <c r="X79" s="55"/>
      <c r="Y79" s="55"/>
      <c r="Z79" s="55"/>
      <c r="AA79" s="55"/>
      <c r="AB79" s="55"/>
      <c r="AC79" s="55"/>
      <c r="AF79" s="55"/>
      <c r="AG79" s="55"/>
      <c r="AH79" s="55"/>
      <c r="AI79" s="55"/>
    </row>
    <row r="80" spans="2:35" ht="12" customHeight="1" x14ac:dyDescent="0.2">
      <c r="V80" s="55"/>
      <c r="W80" s="55"/>
      <c r="X80" s="55"/>
      <c r="Y80" s="55"/>
      <c r="Z80" s="55"/>
      <c r="AA80" s="55"/>
      <c r="AB80" s="55"/>
      <c r="AC80" s="55"/>
      <c r="AF80" s="55"/>
      <c r="AG80" s="55"/>
      <c r="AH80" s="55"/>
      <c r="AI80" s="55"/>
    </row>
    <row r="81" spans="22:35" ht="12" customHeight="1" x14ac:dyDescent="0.2">
      <c r="V81" s="55"/>
      <c r="W81" s="55"/>
      <c r="X81" s="55"/>
      <c r="Y81" s="55"/>
      <c r="Z81" s="55"/>
      <c r="AA81" s="55"/>
      <c r="AB81" s="55"/>
      <c r="AC81" s="55"/>
      <c r="AF81" s="55"/>
      <c r="AG81" s="55"/>
      <c r="AH81" s="55"/>
      <c r="AI81" s="55"/>
    </row>
    <row r="82" spans="22:35" ht="12" customHeight="1" x14ac:dyDescent="0.2">
      <c r="V82" s="55"/>
      <c r="W82" s="55"/>
      <c r="X82" s="55"/>
      <c r="Y82" s="55"/>
      <c r="Z82" s="55"/>
      <c r="AA82" s="55"/>
      <c r="AB82" s="55"/>
      <c r="AC82" s="55"/>
      <c r="AF82" s="55"/>
      <c r="AG82" s="55"/>
      <c r="AH82" s="55"/>
      <c r="AI82" s="55"/>
    </row>
    <row r="83" spans="22:35" ht="12" customHeight="1" x14ac:dyDescent="0.2">
      <c r="V83" s="55"/>
      <c r="W83" s="55"/>
      <c r="X83" s="55"/>
      <c r="Y83" s="55"/>
      <c r="Z83" s="55"/>
      <c r="AA83" s="55"/>
      <c r="AB83" s="55"/>
      <c r="AC83" s="55"/>
      <c r="AF83" s="55"/>
      <c r="AG83" s="55"/>
      <c r="AH83" s="55"/>
      <c r="AI83" s="55"/>
    </row>
    <row r="84" spans="22:35" ht="12" customHeight="1" x14ac:dyDescent="0.2">
      <c r="V84" s="55"/>
      <c r="W84" s="55"/>
      <c r="X84" s="55"/>
      <c r="Y84" s="55"/>
      <c r="Z84" s="55"/>
      <c r="AA84" s="55"/>
      <c r="AB84" s="55"/>
      <c r="AC84" s="55"/>
      <c r="AF84" s="55"/>
      <c r="AG84" s="55"/>
      <c r="AH84" s="55"/>
      <c r="AI84" s="55"/>
    </row>
    <row r="85" spans="22:35" ht="12" customHeight="1" x14ac:dyDescent="0.2">
      <c r="V85" s="55"/>
      <c r="W85" s="55"/>
      <c r="X85" s="55"/>
      <c r="Y85" s="55"/>
      <c r="Z85" s="55"/>
      <c r="AA85" s="55"/>
      <c r="AB85" s="55"/>
      <c r="AC85" s="55"/>
      <c r="AF85" s="55"/>
      <c r="AG85" s="55"/>
      <c r="AH85" s="55"/>
      <c r="AI85" s="55"/>
    </row>
    <row r="86" spans="22:35" ht="12" customHeight="1" x14ac:dyDescent="0.2">
      <c r="V86" s="55"/>
      <c r="W86" s="55"/>
      <c r="X86" s="55"/>
      <c r="Y86" s="55"/>
      <c r="Z86" s="55"/>
      <c r="AA86" s="55"/>
      <c r="AB86" s="55"/>
      <c r="AC86" s="55"/>
      <c r="AF86" s="55"/>
      <c r="AG86" s="55"/>
      <c r="AH86" s="55"/>
      <c r="AI86" s="55"/>
    </row>
    <row r="87" spans="22:35" ht="12" customHeight="1" x14ac:dyDescent="0.2">
      <c r="V87" s="55"/>
      <c r="W87" s="55"/>
      <c r="X87" s="55"/>
      <c r="Y87" s="55"/>
      <c r="Z87" s="55"/>
      <c r="AA87" s="55"/>
      <c r="AB87" s="55"/>
      <c r="AC87" s="55"/>
      <c r="AF87" s="55"/>
      <c r="AG87" s="55"/>
      <c r="AH87" s="55"/>
      <c r="AI87" s="55"/>
    </row>
    <row r="88" spans="22:35" ht="12" customHeight="1" x14ac:dyDescent="0.2">
      <c r="V88" s="55"/>
      <c r="W88" s="55"/>
      <c r="X88" s="55"/>
      <c r="Y88" s="55"/>
      <c r="Z88" s="55"/>
      <c r="AA88" s="55"/>
      <c r="AB88" s="55"/>
      <c r="AC88" s="55"/>
      <c r="AF88" s="55"/>
      <c r="AG88" s="55"/>
      <c r="AH88" s="55"/>
      <c r="AI88" s="55"/>
    </row>
    <row r="89" spans="22:35" ht="12" customHeight="1" x14ac:dyDescent="0.2">
      <c r="V89" s="55"/>
      <c r="W89" s="55"/>
      <c r="X89" s="55"/>
      <c r="Y89" s="55"/>
      <c r="Z89" s="55"/>
      <c r="AA89" s="55"/>
      <c r="AB89" s="55"/>
      <c r="AC89" s="55"/>
      <c r="AF89" s="55"/>
      <c r="AG89" s="55"/>
      <c r="AH89" s="55"/>
      <c r="AI89" s="55"/>
    </row>
    <row r="90" spans="22:35" ht="12" customHeight="1" x14ac:dyDescent="0.2">
      <c r="V90" s="55"/>
      <c r="W90" s="55"/>
      <c r="X90" s="55"/>
      <c r="Y90" s="55"/>
      <c r="Z90" s="55"/>
      <c r="AA90" s="55"/>
      <c r="AB90" s="55"/>
      <c r="AC90" s="55"/>
      <c r="AF90" s="55"/>
      <c r="AG90" s="55"/>
      <c r="AH90" s="55"/>
      <c r="AI90" s="55"/>
    </row>
    <row r="91" spans="22:35" ht="12" customHeight="1" x14ac:dyDescent="0.2">
      <c r="V91" s="55"/>
      <c r="W91" s="55"/>
      <c r="X91" s="55"/>
      <c r="Y91" s="55"/>
      <c r="Z91" s="55"/>
      <c r="AA91" s="55"/>
      <c r="AB91" s="55"/>
      <c r="AC91" s="55"/>
      <c r="AF91" s="55"/>
      <c r="AG91" s="55"/>
      <c r="AH91" s="55"/>
      <c r="AI91" s="55"/>
    </row>
    <row r="92" spans="22:35" ht="12" customHeight="1" x14ac:dyDescent="0.2">
      <c r="V92" s="55"/>
      <c r="W92" s="55"/>
      <c r="X92" s="55"/>
      <c r="Y92" s="55"/>
      <c r="Z92" s="55"/>
      <c r="AA92" s="55"/>
      <c r="AB92" s="55"/>
      <c r="AC92" s="55"/>
      <c r="AF92" s="55"/>
      <c r="AG92" s="55"/>
      <c r="AH92" s="55"/>
      <c r="AI92" s="55"/>
    </row>
    <row r="93" spans="22:35" ht="12" customHeight="1" x14ac:dyDescent="0.2">
      <c r="V93" s="55"/>
      <c r="W93" s="55"/>
      <c r="X93" s="55"/>
      <c r="Y93" s="55"/>
      <c r="Z93" s="55"/>
      <c r="AA93" s="55"/>
      <c r="AB93" s="55"/>
      <c r="AC93" s="55"/>
      <c r="AF93" s="55"/>
      <c r="AG93" s="55"/>
      <c r="AH93" s="55"/>
      <c r="AI93" s="55"/>
    </row>
    <row r="94" spans="22:35" ht="12" customHeight="1" x14ac:dyDescent="0.2">
      <c r="V94" s="55"/>
      <c r="W94" s="55"/>
      <c r="X94" s="55"/>
      <c r="Y94" s="55"/>
      <c r="Z94" s="55"/>
      <c r="AA94" s="55"/>
      <c r="AB94" s="55"/>
      <c r="AC94" s="55"/>
      <c r="AF94" s="55"/>
      <c r="AG94" s="55"/>
      <c r="AH94" s="55"/>
      <c r="AI94" s="55"/>
    </row>
    <row r="95" spans="22:35" ht="12" customHeight="1" x14ac:dyDescent="0.2">
      <c r="V95" s="55"/>
      <c r="W95" s="55"/>
      <c r="X95" s="55"/>
      <c r="Y95" s="55"/>
      <c r="Z95" s="55"/>
      <c r="AA95" s="55"/>
      <c r="AB95" s="55"/>
      <c r="AC95" s="55"/>
      <c r="AF95" s="55"/>
      <c r="AG95" s="55"/>
      <c r="AH95" s="55"/>
      <c r="AI95" s="55"/>
    </row>
    <row r="96" spans="22:35" ht="12" customHeight="1" x14ac:dyDescent="0.2">
      <c r="V96" s="55"/>
      <c r="W96" s="55"/>
      <c r="X96" s="55"/>
      <c r="Y96" s="55"/>
      <c r="Z96" s="55"/>
      <c r="AA96" s="55"/>
      <c r="AB96" s="55"/>
      <c r="AC96" s="55"/>
      <c r="AF96" s="55"/>
      <c r="AG96" s="55"/>
      <c r="AH96" s="55"/>
      <c r="AI96" s="55"/>
    </row>
    <row r="97" spans="22:35" ht="12" customHeight="1" x14ac:dyDescent="0.2">
      <c r="V97" s="55"/>
      <c r="W97" s="55"/>
      <c r="X97" s="55"/>
      <c r="Y97" s="55"/>
      <c r="Z97" s="55"/>
      <c r="AA97" s="55"/>
      <c r="AB97" s="55"/>
      <c r="AC97" s="55"/>
      <c r="AF97" s="55"/>
      <c r="AG97" s="55"/>
      <c r="AH97" s="55"/>
      <c r="AI97" s="55"/>
    </row>
    <row r="98" spans="22:35" ht="12" customHeight="1" x14ac:dyDescent="0.2">
      <c r="V98" s="55"/>
      <c r="W98" s="55"/>
      <c r="X98" s="55"/>
      <c r="Y98" s="55"/>
      <c r="Z98" s="55"/>
      <c r="AA98" s="55"/>
      <c r="AB98" s="55"/>
      <c r="AC98" s="55"/>
      <c r="AF98" s="55"/>
      <c r="AG98" s="55"/>
      <c r="AH98" s="55"/>
      <c r="AI98" s="55"/>
    </row>
    <row r="99" spans="22:35" ht="12" customHeight="1" x14ac:dyDescent="0.2">
      <c r="V99" s="55"/>
      <c r="W99" s="55"/>
      <c r="X99" s="55"/>
      <c r="Y99" s="55"/>
      <c r="Z99" s="55"/>
      <c r="AA99" s="55"/>
      <c r="AB99" s="55"/>
      <c r="AC99" s="55"/>
      <c r="AF99" s="55"/>
      <c r="AG99" s="55"/>
      <c r="AH99" s="55"/>
      <c r="AI99" s="55"/>
    </row>
    <row r="100" spans="22:35" ht="12" customHeight="1" x14ac:dyDescent="0.2">
      <c r="V100" s="55"/>
      <c r="W100" s="55"/>
      <c r="X100" s="55"/>
      <c r="Y100" s="55"/>
      <c r="Z100" s="55"/>
      <c r="AA100" s="55"/>
      <c r="AB100" s="55"/>
      <c r="AC100" s="55"/>
      <c r="AF100" s="55"/>
      <c r="AG100" s="55"/>
      <c r="AH100" s="55"/>
      <c r="AI100" s="55"/>
    </row>
    <row r="101" spans="22:35" ht="12" customHeight="1" x14ac:dyDescent="0.2">
      <c r="V101" s="55"/>
      <c r="W101" s="55"/>
      <c r="X101" s="55"/>
      <c r="Y101" s="55"/>
      <c r="Z101" s="55"/>
      <c r="AA101" s="55"/>
      <c r="AB101" s="55"/>
      <c r="AC101" s="55"/>
      <c r="AF101" s="55"/>
      <c r="AG101" s="55"/>
      <c r="AH101" s="55"/>
      <c r="AI101" s="55"/>
    </row>
    <row r="102" spans="22:35" ht="12" customHeight="1" x14ac:dyDescent="0.2">
      <c r="V102" s="55"/>
      <c r="W102" s="55"/>
      <c r="X102" s="55"/>
      <c r="Y102" s="55"/>
      <c r="Z102" s="55"/>
      <c r="AA102" s="55"/>
      <c r="AB102" s="55"/>
      <c r="AC102" s="55"/>
      <c r="AF102" s="55"/>
      <c r="AG102" s="55"/>
      <c r="AH102" s="55"/>
      <c r="AI102" s="55"/>
    </row>
    <row r="103" spans="22:35" ht="12" customHeight="1" x14ac:dyDescent="0.2">
      <c r="V103" s="55"/>
      <c r="W103" s="55"/>
      <c r="X103" s="55"/>
      <c r="Y103" s="55"/>
      <c r="Z103" s="55"/>
      <c r="AA103" s="55"/>
      <c r="AB103" s="55"/>
      <c r="AC103" s="55"/>
      <c r="AF103" s="55"/>
      <c r="AG103" s="55"/>
      <c r="AH103" s="55"/>
      <c r="AI103" s="55"/>
    </row>
    <row r="104" spans="22:35" ht="12" customHeight="1" x14ac:dyDescent="0.2">
      <c r="V104" s="55"/>
      <c r="W104" s="55"/>
      <c r="X104" s="55"/>
      <c r="Y104" s="55"/>
      <c r="Z104" s="55"/>
      <c r="AA104" s="55"/>
      <c r="AB104" s="55"/>
      <c r="AC104" s="55"/>
      <c r="AF104" s="55"/>
      <c r="AG104" s="55"/>
      <c r="AH104" s="55"/>
      <c r="AI104" s="55"/>
    </row>
    <row r="105" spans="22:35" ht="12" customHeight="1" x14ac:dyDescent="0.2">
      <c r="V105" s="55"/>
      <c r="W105" s="55"/>
      <c r="X105" s="55"/>
      <c r="Y105" s="55"/>
      <c r="Z105" s="55"/>
      <c r="AA105" s="55"/>
      <c r="AB105" s="55"/>
      <c r="AC105" s="55"/>
      <c r="AF105" s="55"/>
      <c r="AG105" s="55"/>
      <c r="AH105" s="55"/>
      <c r="AI105" s="55"/>
    </row>
    <row r="106" spans="22:35" ht="12" customHeight="1" x14ac:dyDescent="0.2">
      <c r="V106" s="55"/>
      <c r="W106" s="55"/>
      <c r="X106" s="55"/>
      <c r="Y106" s="55"/>
      <c r="Z106" s="55"/>
      <c r="AA106" s="55"/>
      <c r="AB106" s="55"/>
      <c r="AC106" s="55"/>
      <c r="AF106" s="55"/>
      <c r="AG106" s="55"/>
      <c r="AH106" s="55"/>
      <c r="AI106" s="55"/>
    </row>
    <row r="107" spans="22:35" ht="12" customHeight="1" x14ac:dyDescent="0.2">
      <c r="V107" s="45"/>
      <c r="W107" s="45"/>
      <c r="X107" s="45"/>
      <c r="Y107" s="45"/>
      <c r="AA107" s="45"/>
      <c r="AC107" s="45"/>
      <c r="AG107" s="86"/>
      <c r="AH107" s="86"/>
    </row>
    <row r="108" spans="22:35" ht="12" customHeight="1" x14ac:dyDescent="0.2">
      <c r="V108" s="45"/>
      <c r="W108" s="45"/>
      <c r="X108" s="45"/>
      <c r="Y108" s="45"/>
      <c r="AA108" s="45"/>
      <c r="AC108" s="45"/>
      <c r="AG108" s="86"/>
      <c r="AH108" s="86"/>
    </row>
    <row r="109" spans="22:35" ht="12" customHeight="1" x14ac:dyDescent="0.2">
      <c r="V109" s="45"/>
      <c r="W109" s="45"/>
      <c r="X109" s="45"/>
      <c r="Y109" s="45"/>
      <c r="AA109" s="45"/>
      <c r="AC109" s="45"/>
      <c r="AG109" s="86"/>
      <c r="AH109" s="86"/>
    </row>
    <row r="110" spans="22:35" ht="12" customHeight="1" x14ac:dyDescent="0.2">
      <c r="V110" s="45"/>
      <c r="W110" s="45"/>
      <c r="X110" s="45"/>
      <c r="Y110" s="45"/>
      <c r="AA110" s="45"/>
      <c r="AC110" s="45"/>
      <c r="AG110" s="86"/>
      <c r="AH110" s="86"/>
    </row>
    <row r="111" spans="22:35" ht="12" customHeight="1" x14ac:dyDescent="0.2">
      <c r="V111" s="45"/>
      <c r="W111" s="45"/>
      <c r="X111" s="45"/>
      <c r="Y111" s="45"/>
      <c r="AA111" s="45"/>
      <c r="AC111" s="45"/>
      <c r="AG111" s="86"/>
      <c r="AH111" s="86"/>
    </row>
    <row r="112" spans="22:35" ht="12" customHeight="1" x14ac:dyDescent="0.2">
      <c r="V112" s="45"/>
      <c r="W112" s="45"/>
      <c r="X112" s="45"/>
      <c r="Y112" s="45"/>
      <c r="AA112" s="45"/>
      <c r="AC112" s="45"/>
      <c r="AG112" s="86"/>
      <c r="AH112" s="86"/>
    </row>
    <row r="113" spans="22:34" ht="12" customHeight="1" x14ac:dyDescent="0.2">
      <c r="V113" s="45"/>
      <c r="W113" s="45"/>
      <c r="X113" s="45"/>
      <c r="Y113" s="45"/>
      <c r="AA113" s="45"/>
      <c r="AC113" s="45"/>
      <c r="AG113" s="86"/>
      <c r="AH113" s="86"/>
    </row>
    <row r="114" spans="22:34" ht="12" customHeight="1" x14ac:dyDescent="0.2">
      <c r="V114" s="45"/>
      <c r="W114" s="45"/>
      <c r="X114" s="45"/>
      <c r="Y114" s="45"/>
      <c r="AA114" s="45"/>
      <c r="AC114" s="45"/>
      <c r="AG114" s="86"/>
      <c r="AH114" s="86"/>
    </row>
    <row r="115" spans="22:34" ht="12" customHeight="1" x14ac:dyDescent="0.2">
      <c r="V115" s="45"/>
      <c r="W115" s="45"/>
      <c r="X115" s="45"/>
      <c r="Y115" s="45"/>
      <c r="AA115" s="45"/>
      <c r="AC115" s="45"/>
      <c r="AG115" s="86"/>
      <c r="AH115" s="86"/>
    </row>
    <row r="116" spans="22:34" ht="12" customHeight="1" x14ac:dyDescent="0.2">
      <c r="AA116" s="45"/>
      <c r="AC116" s="45"/>
      <c r="AG116" s="86"/>
      <c r="AH116" s="86"/>
    </row>
    <row r="117" spans="22:34" ht="12" customHeight="1" x14ac:dyDescent="0.2">
      <c r="AA117" s="45"/>
      <c r="AC117" s="45"/>
      <c r="AG117" s="86"/>
      <c r="AH117" s="86"/>
    </row>
    <row r="118" spans="22:34" ht="12" customHeight="1" x14ac:dyDescent="0.2">
      <c r="AA118" s="45"/>
      <c r="AC118" s="45"/>
      <c r="AG118" s="86"/>
      <c r="AH118" s="86"/>
    </row>
    <row r="119" spans="22:34" ht="12" customHeight="1" x14ac:dyDescent="0.2">
      <c r="AA119" s="45"/>
      <c r="AC119" s="45"/>
    </row>
    <row r="120" spans="22:34" ht="12" customHeight="1" x14ac:dyDescent="0.2">
      <c r="AA120" s="45"/>
      <c r="AC120" s="45"/>
    </row>
    <row r="121" spans="22:34" ht="12" customHeight="1" x14ac:dyDescent="0.2">
      <c r="AA121" s="45"/>
      <c r="AC121" s="45"/>
    </row>
    <row r="122" spans="22:34" ht="12" customHeight="1" x14ac:dyDescent="0.2"/>
    <row r="123" spans="22:34" ht="12" customHeight="1" x14ac:dyDescent="0.2"/>
    <row r="124" spans="22:34" ht="12" customHeight="1" x14ac:dyDescent="0.2"/>
    <row r="125" spans="22:34" ht="12" customHeight="1" x14ac:dyDescent="0.2"/>
    <row r="126" spans="22:34" ht="12" customHeight="1" x14ac:dyDescent="0.2"/>
    <row r="127" spans="22:34" ht="12" customHeight="1" x14ac:dyDescent="0.2"/>
    <row r="128" spans="22:34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spans="30:31" ht="12" customHeight="1" x14ac:dyDescent="0.2"/>
    <row r="210" spans="30:31" ht="12" customHeight="1" x14ac:dyDescent="0.2"/>
    <row r="211" spans="30:31" ht="12" customHeight="1" x14ac:dyDescent="0.2"/>
    <row r="212" spans="30:31" ht="12" customHeight="1" x14ac:dyDescent="0.2"/>
    <row r="213" spans="30:31" ht="12" customHeight="1" x14ac:dyDescent="0.2"/>
    <row r="214" spans="30:31" ht="12" customHeight="1" x14ac:dyDescent="0.2"/>
    <row r="215" spans="30:31" ht="12" customHeight="1" x14ac:dyDescent="0.2">
      <c r="AD215" s="247"/>
      <c r="AE215" s="247"/>
    </row>
    <row r="216" spans="30:31" ht="12" customHeight="1" x14ac:dyDescent="0.2">
      <c r="AD216" s="247"/>
      <c r="AE216" s="247"/>
    </row>
    <row r="217" spans="30:31" ht="12" customHeight="1" x14ac:dyDescent="0.2">
      <c r="AD217" s="247"/>
      <c r="AE217" s="247"/>
    </row>
    <row r="218" spans="30:31" ht="12" customHeight="1" x14ac:dyDescent="0.2">
      <c r="AD218" s="247"/>
      <c r="AE218" s="247"/>
    </row>
    <row r="219" spans="30:31" ht="12" customHeight="1" x14ac:dyDescent="0.2">
      <c r="AD219" s="247"/>
      <c r="AE219" s="247"/>
    </row>
    <row r="220" spans="30:31" ht="12" customHeight="1" x14ac:dyDescent="0.2">
      <c r="AD220" s="247"/>
      <c r="AE220" s="247"/>
    </row>
    <row r="221" spans="30:31" ht="12" customHeight="1" x14ac:dyDescent="0.2">
      <c r="AD221" s="247"/>
      <c r="AE221" s="247"/>
    </row>
    <row r="222" spans="30:31" ht="12" customHeight="1" x14ac:dyDescent="0.2">
      <c r="AD222" s="247"/>
      <c r="AE222" s="247"/>
    </row>
    <row r="223" spans="30:31" ht="12" customHeight="1" x14ac:dyDescent="0.2">
      <c r="AD223" s="247"/>
      <c r="AE223" s="247"/>
    </row>
    <row r="224" spans="30:31" ht="12" customHeight="1" x14ac:dyDescent="0.2">
      <c r="AD224" s="247"/>
      <c r="AE224" s="247"/>
    </row>
    <row r="225" spans="26:31" ht="12" customHeight="1" x14ac:dyDescent="0.2">
      <c r="AD225" s="247"/>
      <c r="AE225" s="247"/>
    </row>
    <row r="226" spans="26:31" ht="12" customHeight="1" x14ac:dyDescent="0.2">
      <c r="AD226" s="247"/>
      <c r="AE226" s="247"/>
    </row>
    <row r="227" spans="26:31" ht="12" customHeight="1" x14ac:dyDescent="0.2">
      <c r="AD227" s="247"/>
      <c r="AE227" s="247"/>
    </row>
    <row r="228" spans="26:31" ht="12" customHeight="1" x14ac:dyDescent="0.2">
      <c r="AD228" s="247"/>
      <c r="AE228" s="247"/>
    </row>
    <row r="229" spans="26:31" ht="12" customHeight="1" x14ac:dyDescent="0.2">
      <c r="AD229" s="247"/>
      <c r="AE229" s="247"/>
    </row>
    <row r="230" spans="26:31" ht="12" customHeight="1" x14ac:dyDescent="0.2">
      <c r="AD230" s="247"/>
      <c r="AE230" s="247"/>
    </row>
    <row r="231" spans="26:31" ht="12" customHeight="1" x14ac:dyDescent="0.2">
      <c r="AD231" s="247"/>
      <c r="AE231" s="247"/>
    </row>
    <row r="232" spans="26:31" ht="12" customHeight="1" x14ac:dyDescent="0.2">
      <c r="AD232" s="247"/>
      <c r="AE232" s="247"/>
    </row>
    <row r="233" spans="26:31" ht="12" customHeight="1" x14ac:dyDescent="0.2">
      <c r="AD233" s="247"/>
      <c r="AE233" s="247"/>
    </row>
    <row r="234" spans="26:31" ht="12" customHeight="1" x14ac:dyDescent="0.2">
      <c r="AD234" s="247"/>
      <c r="AE234" s="247"/>
    </row>
    <row r="235" spans="26:31" ht="12" customHeight="1" x14ac:dyDescent="0.2">
      <c r="AD235" s="247"/>
      <c r="AE235" s="247"/>
    </row>
    <row r="236" spans="26:31" ht="12" customHeight="1" x14ac:dyDescent="0.2">
      <c r="AD236" s="247"/>
      <c r="AE236" s="247"/>
    </row>
    <row r="237" spans="26:31" ht="12" customHeight="1" x14ac:dyDescent="0.2">
      <c r="Z237" s="50"/>
      <c r="AD237" s="247"/>
      <c r="AE237" s="247"/>
    </row>
    <row r="238" spans="26:31" ht="12" customHeight="1" x14ac:dyDescent="0.2">
      <c r="Z238" s="50"/>
      <c r="AD238" s="247"/>
      <c r="AE238" s="247"/>
    </row>
    <row r="239" spans="26:31" ht="12" customHeight="1" x14ac:dyDescent="0.2">
      <c r="Z239" s="50"/>
      <c r="AD239" s="247"/>
      <c r="AE239" s="247"/>
    </row>
    <row r="240" spans="26:31" ht="12" customHeight="1" x14ac:dyDescent="0.2">
      <c r="Z240" s="50"/>
      <c r="AD240" s="247"/>
      <c r="AE240" s="247"/>
    </row>
    <row r="241" spans="26:35" ht="12" customHeight="1" x14ac:dyDescent="0.2">
      <c r="Z241" s="50"/>
      <c r="AA241" s="50"/>
      <c r="AB241" s="50"/>
      <c r="AC241" s="50"/>
      <c r="AD241" s="247"/>
      <c r="AE241" s="247"/>
      <c r="AF241" s="50"/>
      <c r="AG241" s="50"/>
      <c r="AH241" s="50"/>
      <c r="AI241" s="50"/>
    </row>
    <row r="242" spans="26:35" ht="12" customHeight="1" x14ac:dyDescent="0.2">
      <c r="Z242" s="50"/>
      <c r="AA242" s="50"/>
      <c r="AB242" s="50"/>
      <c r="AC242" s="50"/>
      <c r="AD242" s="247"/>
      <c r="AE242" s="247"/>
      <c r="AF242" s="50"/>
      <c r="AG242" s="50"/>
      <c r="AH242" s="50"/>
      <c r="AI242" s="50"/>
    </row>
    <row r="243" spans="26:35" ht="12" customHeight="1" x14ac:dyDescent="0.2">
      <c r="Z243" s="50"/>
      <c r="AA243" s="50"/>
      <c r="AB243" s="50"/>
      <c r="AC243" s="50"/>
      <c r="AD243" s="247"/>
      <c r="AE243" s="247"/>
      <c r="AF243" s="50"/>
      <c r="AG243" s="50"/>
      <c r="AH243" s="50"/>
      <c r="AI243" s="50"/>
    </row>
    <row r="244" spans="26:35" ht="12" customHeight="1" x14ac:dyDescent="0.2">
      <c r="Z244" s="50"/>
      <c r="AA244" s="50"/>
      <c r="AB244" s="50"/>
      <c r="AC244" s="50"/>
      <c r="AD244" s="247"/>
      <c r="AE244" s="247"/>
      <c r="AF244" s="50"/>
      <c r="AG244" s="50"/>
      <c r="AH244" s="50"/>
      <c r="AI244" s="50"/>
    </row>
    <row r="245" spans="26:35" ht="12" customHeight="1" x14ac:dyDescent="0.2">
      <c r="Z245" s="50"/>
      <c r="AA245" s="50"/>
      <c r="AB245" s="50"/>
      <c r="AC245" s="50"/>
      <c r="AD245" s="247"/>
      <c r="AE245" s="247"/>
      <c r="AF245" s="50"/>
      <c r="AG245" s="50"/>
      <c r="AH245" s="50"/>
      <c r="AI245" s="50"/>
    </row>
    <row r="246" spans="26:35" ht="12" customHeight="1" x14ac:dyDescent="0.2">
      <c r="Z246" s="50"/>
      <c r="AA246" s="50"/>
      <c r="AB246" s="50"/>
      <c r="AC246" s="50"/>
      <c r="AD246" s="247"/>
      <c r="AE246" s="247"/>
      <c r="AF246" s="50"/>
      <c r="AG246" s="50"/>
      <c r="AH246" s="50"/>
      <c r="AI246" s="50"/>
    </row>
    <row r="247" spans="26:35" ht="12" customHeight="1" x14ac:dyDescent="0.2">
      <c r="Z247" s="50"/>
      <c r="AA247" s="50"/>
      <c r="AB247" s="50"/>
      <c r="AC247" s="50"/>
      <c r="AD247" s="247"/>
      <c r="AE247" s="247"/>
      <c r="AF247" s="50"/>
      <c r="AG247" s="50"/>
      <c r="AH247" s="50"/>
      <c r="AI247" s="50"/>
    </row>
    <row r="248" spans="26:35" ht="12" customHeight="1" x14ac:dyDescent="0.2">
      <c r="Z248" s="50"/>
      <c r="AA248" s="50"/>
      <c r="AB248" s="50"/>
      <c r="AC248" s="50"/>
      <c r="AD248" s="247"/>
      <c r="AE248" s="247"/>
      <c r="AF248" s="50"/>
      <c r="AG248" s="50"/>
      <c r="AH248" s="50"/>
      <c r="AI248" s="50"/>
    </row>
    <row r="249" spans="26:35" ht="12" customHeight="1" x14ac:dyDescent="0.2">
      <c r="Z249" s="50"/>
      <c r="AA249" s="50"/>
      <c r="AB249" s="50"/>
      <c r="AC249" s="50"/>
      <c r="AD249" s="247"/>
      <c r="AE249" s="247"/>
      <c r="AF249" s="50"/>
      <c r="AG249" s="50"/>
      <c r="AH249" s="50"/>
      <c r="AI249" s="50"/>
    </row>
    <row r="250" spans="26:35" ht="12" customHeight="1" x14ac:dyDescent="0.2">
      <c r="Z250" s="50"/>
      <c r="AA250" s="50"/>
      <c r="AB250" s="50"/>
      <c r="AC250" s="50"/>
      <c r="AD250" s="247"/>
      <c r="AE250" s="247"/>
      <c r="AF250" s="50"/>
      <c r="AG250" s="50"/>
      <c r="AH250" s="50"/>
      <c r="AI250" s="50"/>
    </row>
    <row r="251" spans="26:35" ht="12" customHeight="1" x14ac:dyDescent="0.2">
      <c r="Z251" s="50"/>
      <c r="AA251" s="50"/>
      <c r="AB251" s="50"/>
      <c r="AC251" s="50"/>
      <c r="AD251" s="247"/>
      <c r="AE251" s="247"/>
      <c r="AF251" s="50"/>
      <c r="AG251" s="50"/>
      <c r="AH251" s="50"/>
      <c r="AI251" s="50"/>
    </row>
    <row r="252" spans="26:35" ht="12" customHeight="1" x14ac:dyDescent="0.2">
      <c r="Z252" s="50"/>
      <c r="AA252" s="50"/>
      <c r="AB252" s="50"/>
      <c r="AC252" s="50"/>
      <c r="AD252" s="247"/>
      <c r="AE252" s="247"/>
      <c r="AF252" s="50"/>
      <c r="AG252" s="50"/>
      <c r="AH252" s="50"/>
      <c r="AI252" s="50"/>
    </row>
    <row r="253" spans="26:35" ht="12" customHeight="1" x14ac:dyDescent="0.2">
      <c r="Z253" s="50"/>
      <c r="AA253" s="50"/>
      <c r="AB253" s="50"/>
      <c r="AC253" s="50"/>
      <c r="AD253" s="247"/>
      <c r="AE253" s="247"/>
      <c r="AF253" s="50"/>
      <c r="AG253" s="50"/>
      <c r="AH253" s="50"/>
      <c r="AI253" s="50"/>
    </row>
    <row r="254" spans="26:35" ht="12" customHeight="1" x14ac:dyDescent="0.2">
      <c r="Z254" s="50"/>
      <c r="AA254" s="50"/>
      <c r="AB254" s="50"/>
      <c r="AC254" s="50"/>
      <c r="AD254" s="247"/>
      <c r="AE254" s="247"/>
      <c r="AF254" s="50"/>
      <c r="AG254" s="50"/>
      <c r="AH254" s="50"/>
      <c r="AI254" s="50"/>
    </row>
    <row r="255" spans="26:35" ht="12" customHeight="1" x14ac:dyDescent="0.2">
      <c r="Z255" s="50"/>
      <c r="AA255" s="50"/>
      <c r="AB255" s="50"/>
      <c r="AC255" s="50"/>
      <c r="AD255" s="247"/>
      <c r="AE255" s="247"/>
      <c r="AF255" s="50"/>
      <c r="AG255" s="50"/>
      <c r="AH255" s="50"/>
      <c r="AI255" s="50"/>
    </row>
    <row r="256" spans="26:35" ht="12" customHeight="1" x14ac:dyDescent="0.2">
      <c r="Z256" s="50"/>
      <c r="AA256" s="50"/>
      <c r="AB256" s="50"/>
      <c r="AC256" s="50"/>
      <c r="AD256" s="247"/>
      <c r="AE256" s="247"/>
      <c r="AF256" s="50"/>
      <c r="AG256" s="50"/>
      <c r="AH256" s="50"/>
      <c r="AI256" s="50"/>
    </row>
    <row r="257" spans="22:35" ht="12" customHeight="1" x14ac:dyDescent="0.2">
      <c r="Z257" s="50"/>
      <c r="AA257" s="50"/>
      <c r="AB257" s="50"/>
      <c r="AC257" s="50"/>
      <c r="AD257" s="247"/>
      <c r="AE257" s="247"/>
      <c r="AF257" s="50"/>
      <c r="AG257" s="50"/>
      <c r="AH257" s="50"/>
      <c r="AI257" s="50"/>
    </row>
    <row r="258" spans="22:35" ht="12" customHeight="1" x14ac:dyDescent="0.2">
      <c r="Z258" s="50"/>
      <c r="AA258" s="50"/>
      <c r="AB258" s="50"/>
      <c r="AC258" s="50"/>
      <c r="AD258" s="247"/>
      <c r="AE258" s="247"/>
      <c r="AF258" s="50"/>
      <c r="AG258" s="50"/>
      <c r="AH258" s="50"/>
      <c r="AI258" s="50"/>
    </row>
    <row r="259" spans="22:35" ht="12" customHeight="1" x14ac:dyDescent="0.2">
      <c r="Z259" s="50"/>
      <c r="AA259" s="50"/>
      <c r="AB259" s="50"/>
      <c r="AC259" s="50"/>
      <c r="AD259" s="247"/>
      <c r="AE259" s="247"/>
      <c r="AF259" s="50"/>
      <c r="AG259" s="50"/>
      <c r="AH259" s="50"/>
      <c r="AI259" s="50"/>
    </row>
    <row r="260" spans="22:35" ht="12" customHeight="1" x14ac:dyDescent="0.2">
      <c r="Z260" s="50"/>
      <c r="AA260" s="50"/>
      <c r="AB260" s="50"/>
      <c r="AC260" s="50"/>
      <c r="AD260" s="247"/>
      <c r="AE260" s="247"/>
      <c r="AF260" s="50"/>
      <c r="AG260" s="50"/>
      <c r="AH260" s="50"/>
      <c r="AI260" s="50"/>
    </row>
    <row r="261" spans="22:35" ht="12" customHeight="1" x14ac:dyDescent="0.2">
      <c r="Z261" s="50"/>
      <c r="AA261" s="50"/>
      <c r="AB261" s="50"/>
      <c r="AC261" s="50"/>
      <c r="AD261" s="247"/>
      <c r="AE261" s="247"/>
      <c r="AF261" s="50"/>
      <c r="AG261" s="50"/>
      <c r="AH261" s="50"/>
      <c r="AI261" s="50"/>
    </row>
    <row r="262" spans="22:35" ht="12" customHeight="1" x14ac:dyDescent="0.2">
      <c r="Z262" s="50"/>
      <c r="AA262" s="50"/>
      <c r="AB262" s="50"/>
      <c r="AC262" s="50"/>
      <c r="AD262" s="247"/>
      <c r="AE262" s="247"/>
      <c r="AF262" s="50"/>
      <c r="AG262" s="50"/>
      <c r="AH262" s="50"/>
      <c r="AI262" s="50"/>
    </row>
    <row r="263" spans="22:35" ht="12" customHeight="1" x14ac:dyDescent="0.2">
      <c r="V263" s="20"/>
      <c r="W263" s="20"/>
      <c r="X263" s="20"/>
      <c r="Y263" s="20"/>
      <c r="Z263" s="50"/>
      <c r="AA263" s="50"/>
      <c r="AB263" s="50"/>
      <c r="AC263" s="50"/>
      <c r="AD263" s="247"/>
      <c r="AE263" s="247"/>
      <c r="AF263" s="50"/>
      <c r="AG263" s="50"/>
      <c r="AH263" s="50"/>
      <c r="AI263" s="50"/>
    </row>
    <row r="264" spans="22:35" ht="12" customHeight="1" x14ac:dyDescent="0.2">
      <c r="V264" s="20"/>
      <c r="W264" s="20"/>
      <c r="X264" s="20"/>
      <c r="Y264" s="20"/>
      <c r="Z264" s="50"/>
      <c r="AA264" s="50"/>
      <c r="AB264" s="50"/>
      <c r="AC264" s="50"/>
      <c r="AD264" s="247"/>
      <c r="AE264" s="247"/>
      <c r="AF264" s="50"/>
      <c r="AG264" s="50"/>
      <c r="AH264" s="50"/>
      <c r="AI264" s="50"/>
    </row>
    <row r="265" spans="22:35" ht="12" customHeight="1" x14ac:dyDescent="0.2">
      <c r="V265" s="20"/>
      <c r="W265" s="20"/>
      <c r="X265" s="20"/>
      <c r="Y265" s="20"/>
      <c r="Z265" s="50"/>
      <c r="AA265" s="50"/>
      <c r="AB265" s="50"/>
      <c r="AC265" s="50"/>
      <c r="AD265" s="247"/>
      <c r="AE265" s="247"/>
      <c r="AF265" s="50"/>
      <c r="AG265" s="50"/>
      <c r="AH265" s="50"/>
      <c r="AI265" s="50"/>
    </row>
    <row r="266" spans="22:35" ht="12" customHeight="1" x14ac:dyDescent="0.2">
      <c r="V266" s="20"/>
      <c r="W266" s="20"/>
      <c r="X266" s="20"/>
      <c r="Y266" s="20"/>
      <c r="Z266" s="50"/>
      <c r="AA266" s="50"/>
      <c r="AB266" s="50"/>
      <c r="AC266" s="50"/>
      <c r="AD266" s="247"/>
      <c r="AE266" s="247"/>
      <c r="AF266" s="50"/>
      <c r="AG266" s="50"/>
      <c r="AH266" s="50"/>
      <c r="AI266" s="50"/>
    </row>
    <row r="267" spans="22:35" ht="12" customHeight="1" x14ac:dyDescent="0.2">
      <c r="V267" s="20"/>
      <c r="W267" s="20"/>
      <c r="X267" s="20"/>
      <c r="Y267" s="20"/>
      <c r="Z267" s="50"/>
      <c r="AA267" s="50"/>
      <c r="AB267" s="50"/>
      <c r="AC267" s="50"/>
      <c r="AD267" s="247"/>
      <c r="AE267" s="247"/>
      <c r="AF267" s="50"/>
      <c r="AG267" s="50"/>
      <c r="AH267" s="50"/>
      <c r="AI267" s="50"/>
    </row>
    <row r="268" spans="22:35" ht="12" customHeight="1" x14ac:dyDescent="0.2">
      <c r="V268" s="20"/>
      <c r="W268" s="20"/>
      <c r="X268" s="20"/>
      <c r="Y268" s="20"/>
      <c r="Z268" s="50"/>
      <c r="AA268" s="50"/>
      <c r="AB268" s="50"/>
      <c r="AC268" s="50"/>
      <c r="AD268" s="247"/>
      <c r="AE268" s="247"/>
      <c r="AF268" s="50"/>
      <c r="AG268" s="50"/>
      <c r="AH268" s="50"/>
      <c r="AI268" s="50"/>
    </row>
    <row r="269" spans="22:35" ht="12" customHeight="1" x14ac:dyDescent="0.2">
      <c r="V269" s="20"/>
      <c r="W269" s="20"/>
      <c r="X269" s="20"/>
      <c r="Y269" s="20"/>
      <c r="Z269" s="50"/>
      <c r="AA269" s="50"/>
      <c r="AB269" s="50"/>
      <c r="AC269" s="50"/>
      <c r="AD269" s="247"/>
      <c r="AE269" s="247"/>
      <c r="AF269" s="50"/>
      <c r="AG269" s="50"/>
      <c r="AH269" s="50"/>
      <c r="AI269" s="50"/>
    </row>
    <row r="270" spans="22:35" ht="12" customHeight="1" x14ac:dyDescent="0.2">
      <c r="V270" s="20"/>
      <c r="W270" s="20"/>
      <c r="X270" s="20"/>
      <c r="Y270" s="20"/>
      <c r="Z270" s="50"/>
      <c r="AA270" s="50"/>
      <c r="AB270" s="50"/>
      <c r="AC270" s="50"/>
      <c r="AD270" s="247"/>
      <c r="AE270" s="247"/>
      <c r="AF270" s="50"/>
      <c r="AG270" s="50"/>
      <c r="AH270" s="50"/>
      <c r="AI270" s="50"/>
    </row>
    <row r="271" spans="22:35" ht="12" customHeight="1" x14ac:dyDescent="0.2">
      <c r="V271" s="20"/>
      <c r="W271" s="20"/>
      <c r="X271" s="20"/>
      <c r="Y271" s="20"/>
      <c r="Z271" s="50"/>
      <c r="AA271" s="50"/>
      <c r="AB271" s="50"/>
      <c r="AC271" s="50"/>
      <c r="AD271" s="247"/>
      <c r="AE271" s="247"/>
      <c r="AF271" s="50"/>
      <c r="AG271" s="50"/>
      <c r="AH271" s="50"/>
      <c r="AI271" s="50"/>
    </row>
    <row r="272" spans="22:35" ht="12" customHeight="1" x14ac:dyDescent="0.2">
      <c r="V272" s="20"/>
      <c r="W272" s="20"/>
      <c r="X272" s="20"/>
      <c r="Y272" s="20"/>
      <c r="Z272" s="50"/>
      <c r="AA272" s="50"/>
      <c r="AB272" s="50"/>
      <c r="AC272" s="50"/>
      <c r="AD272" s="247"/>
      <c r="AE272" s="247"/>
      <c r="AF272" s="50"/>
      <c r="AG272" s="50"/>
      <c r="AH272" s="50"/>
      <c r="AI272" s="50"/>
    </row>
    <row r="273" spans="22:35" ht="12" customHeight="1" x14ac:dyDescent="0.2">
      <c r="V273" s="20"/>
      <c r="W273" s="20"/>
      <c r="X273" s="20"/>
      <c r="Y273" s="20"/>
      <c r="Z273" s="50"/>
      <c r="AA273" s="50"/>
      <c r="AB273" s="50"/>
      <c r="AC273" s="50"/>
      <c r="AD273" s="247"/>
      <c r="AE273" s="247"/>
      <c r="AF273" s="50"/>
      <c r="AG273" s="50"/>
      <c r="AH273" s="50"/>
      <c r="AI273" s="50"/>
    </row>
    <row r="274" spans="22:35" ht="12" customHeight="1" x14ac:dyDescent="0.2">
      <c r="V274" s="20"/>
      <c r="W274" s="20"/>
      <c r="X274" s="20"/>
      <c r="Y274" s="20"/>
      <c r="Z274" s="50"/>
      <c r="AA274" s="50"/>
      <c r="AB274" s="50"/>
      <c r="AC274" s="50"/>
      <c r="AD274" s="247"/>
      <c r="AE274" s="247"/>
      <c r="AF274" s="50"/>
      <c r="AG274" s="50"/>
      <c r="AH274" s="50"/>
      <c r="AI274" s="50"/>
    </row>
    <row r="275" spans="22:35" ht="12" customHeight="1" x14ac:dyDescent="0.2">
      <c r="V275" s="20"/>
      <c r="W275" s="20"/>
      <c r="X275" s="20"/>
      <c r="Y275" s="20"/>
      <c r="Z275" s="50"/>
      <c r="AA275" s="50"/>
      <c r="AB275" s="50"/>
      <c r="AC275" s="50"/>
      <c r="AD275" s="247"/>
      <c r="AE275" s="247"/>
      <c r="AF275" s="50"/>
      <c r="AG275" s="50"/>
      <c r="AH275" s="50"/>
      <c r="AI275" s="50"/>
    </row>
    <row r="276" spans="22:35" ht="12" customHeight="1" x14ac:dyDescent="0.2">
      <c r="V276" s="20"/>
      <c r="W276" s="20"/>
      <c r="X276" s="20"/>
      <c r="Y276" s="20"/>
      <c r="Z276" s="50"/>
      <c r="AA276" s="50"/>
      <c r="AB276" s="50"/>
      <c r="AC276" s="50"/>
      <c r="AD276" s="247"/>
      <c r="AE276" s="247"/>
      <c r="AF276" s="50"/>
      <c r="AG276" s="50"/>
      <c r="AH276" s="50"/>
      <c r="AI276" s="50"/>
    </row>
    <row r="277" spans="22:35" ht="12" customHeight="1" x14ac:dyDescent="0.2">
      <c r="V277" s="20"/>
      <c r="W277" s="20"/>
      <c r="X277" s="20"/>
      <c r="Y277" s="20"/>
      <c r="Z277" s="50"/>
      <c r="AA277" s="50"/>
      <c r="AB277" s="50"/>
      <c r="AC277" s="50"/>
      <c r="AD277" s="247"/>
      <c r="AE277" s="247"/>
      <c r="AF277" s="50"/>
      <c r="AG277" s="50"/>
      <c r="AH277" s="50"/>
      <c r="AI277" s="50"/>
    </row>
    <row r="278" spans="22:35" ht="12" customHeight="1" x14ac:dyDescent="0.2">
      <c r="V278" s="20"/>
      <c r="W278" s="20"/>
      <c r="X278" s="20"/>
      <c r="Y278" s="20"/>
      <c r="Z278" s="50"/>
      <c r="AA278" s="50"/>
      <c r="AB278" s="50"/>
      <c r="AC278" s="50"/>
      <c r="AD278" s="247"/>
      <c r="AE278" s="247"/>
      <c r="AF278" s="50"/>
      <c r="AG278" s="50"/>
      <c r="AH278" s="50"/>
      <c r="AI278" s="50"/>
    </row>
    <row r="279" spans="22:35" ht="12" customHeight="1" x14ac:dyDescent="0.2">
      <c r="V279" s="20"/>
      <c r="W279" s="20"/>
      <c r="X279" s="20"/>
      <c r="Y279" s="20"/>
      <c r="Z279" s="50"/>
      <c r="AA279" s="50"/>
      <c r="AB279" s="50"/>
      <c r="AC279" s="50"/>
      <c r="AD279" s="247"/>
      <c r="AE279" s="247"/>
      <c r="AF279" s="50"/>
      <c r="AG279" s="50"/>
      <c r="AH279" s="50"/>
      <c r="AI279" s="50"/>
    </row>
    <row r="280" spans="22:35" ht="12" customHeight="1" x14ac:dyDescent="0.2">
      <c r="V280" s="20"/>
      <c r="W280" s="20"/>
      <c r="X280" s="20"/>
      <c r="Y280" s="20"/>
      <c r="Z280" s="50"/>
      <c r="AA280" s="50"/>
      <c r="AB280" s="50"/>
      <c r="AC280" s="50"/>
      <c r="AD280" s="247"/>
      <c r="AE280" s="247"/>
      <c r="AF280" s="50"/>
      <c r="AG280" s="50"/>
      <c r="AH280" s="50"/>
      <c r="AI280" s="50"/>
    </row>
    <row r="281" spans="22:35" ht="12" customHeight="1" x14ac:dyDescent="0.2">
      <c r="V281" s="20"/>
      <c r="W281" s="20"/>
      <c r="X281" s="20"/>
      <c r="Y281" s="20"/>
      <c r="Z281" s="50"/>
      <c r="AA281" s="50"/>
      <c r="AB281" s="50"/>
      <c r="AC281" s="50"/>
      <c r="AD281" s="247"/>
      <c r="AE281" s="247"/>
      <c r="AF281" s="50"/>
      <c r="AG281" s="50"/>
      <c r="AH281" s="50"/>
      <c r="AI281" s="50"/>
    </row>
    <row r="282" spans="22:35" ht="12" customHeight="1" x14ac:dyDescent="0.2">
      <c r="V282" s="20"/>
      <c r="W282" s="20"/>
      <c r="X282" s="20"/>
      <c r="Y282" s="20"/>
      <c r="Z282" s="50"/>
      <c r="AA282" s="50"/>
      <c r="AB282" s="50"/>
      <c r="AC282" s="50"/>
      <c r="AD282" s="247"/>
      <c r="AE282" s="247"/>
      <c r="AF282" s="50"/>
      <c r="AG282" s="50"/>
      <c r="AH282" s="50"/>
      <c r="AI282" s="50"/>
    </row>
    <row r="283" spans="22:35" ht="12" customHeight="1" x14ac:dyDescent="0.2">
      <c r="V283" s="20"/>
      <c r="W283" s="20"/>
      <c r="X283" s="20"/>
      <c r="Y283" s="20"/>
      <c r="Z283" s="50"/>
      <c r="AA283" s="50"/>
      <c r="AB283" s="50"/>
      <c r="AC283" s="50"/>
      <c r="AD283" s="247"/>
      <c r="AE283" s="247"/>
      <c r="AF283" s="50"/>
      <c r="AG283" s="50"/>
      <c r="AH283" s="50"/>
      <c r="AI283" s="50"/>
    </row>
    <row r="284" spans="22:35" ht="12" customHeight="1" x14ac:dyDescent="0.2">
      <c r="V284" s="20"/>
      <c r="W284" s="20"/>
      <c r="X284" s="20"/>
      <c r="Y284" s="20"/>
      <c r="Z284" s="50"/>
      <c r="AA284" s="50"/>
      <c r="AB284" s="50"/>
      <c r="AC284" s="50"/>
      <c r="AD284" s="247"/>
      <c r="AE284" s="247"/>
      <c r="AF284" s="50"/>
      <c r="AG284" s="50"/>
      <c r="AH284" s="50"/>
      <c r="AI284" s="50"/>
    </row>
    <row r="285" spans="22:35" ht="12" customHeight="1" x14ac:dyDescent="0.2">
      <c r="V285" s="20"/>
      <c r="W285" s="20"/>
      <c r="X285" s="20"/>
      <c r="Y285" s="20"/>
      <c r="Z285" s="50"/>
      <c r="AA285" s="50"/>
      <c r="AB285" s="50"/>
      <c r="AC285" s="50"/>
      <c r="AD285" s="247"/>
      <c r="AE285" s="247"/>
      <c r="AF285" s="50"/>
      <c r="AG285" s="50"/>
      <c r="AH285" s="50"/>
      <c r="AI285" s="50"/>
    </row>
    <row r="286" spans="22:35" ht="12" customHeight="1" x14ac:dyDescent="0.2">
      <c r="V286" s="20"/>
      <c r="W286" s="20"/>
      <c r="X286" s="20"/>
      <c r="Y286" s="20"/>
      <c r="Z286" s="50"/>
      <c r="AA286" s="50"/>
      <c r="AB286" s="50"/>
      <c r="AC286" s="50"/>
      <c r="AD286" s="247"/>
      <c r="AE286" s="247"/>
      <c r="AF286" s="50"/>
      <c r="AG286" s="50"/>
      <c r="AH286" s="50"/>
      <c r="AI286" s="50"/>
    </row>
    <row r="287" spans="22:35" ht="12" customHeight="1" x14ac:dyDescent="0.2">
      <c r="V287" s="20"/>
      <c r="W287" s="20"/>
      <c r="X287" s="20"/>
      <c r="Y287" s="20"/>
      <c r="Z287" s="50"/>
      <c r="AA287" s="50"/>
      <c r="AB287" s="50"/>
      <c r="AC287" s="50"/>
      <c r="AD287" s="247"/>
      <c r="AE287" s="247"/>
      <c r="AF287" s="50"/>
      <c r="AG287" s="50"/>
      <c r="AH287" s="50"/>
      <c r="AI287" s="50"/>
    </row>
    <row r="288" spans="22:35" ht="12" customHeight="1" x14ac:dyDescent="0.2">
      <c r="V288" s="20"/>
      <c r="W288" s="20"/>
      <c r="X288" s="20"/>
      <c r="Y288" s="20"/>
      <c r="Z288" s="50"/>
      <c r="AA288" s="50"/>
      <c r="AB288" s="50"/>
      <c r="AC288" s="50"/>
      <c r="AD288" s="247"/>
      <c r="AE288" s="247"/>
      <c r="AF288" s="50"/>
      <c r="AG288" s="50"/>
      <c r="AH288" s="50"/>
      <c r="AI288" s="50"/>
    </row>
    <row r="289" spans="22:35" ht="12" customHeight="1" x14ac:dyDescent="0.2">
      <c r="V289" s="20"/>
      <c r="W289" s="20"/>
      <c r="X289" s="20"/>
      <c r="Y289" s="20"/>
      <c r="Z289" s="50"/>
      <c r="AA289" s="50"/>
      <c r="AB289" s="50"/>
      <c r="AC289" s="50"/>
      <c r="AD289" s="247"/>
      <c r="AE289" s="247"/>
      <c r="AF289" s="50"/>
      <c r="AG289" s="50"/>
      <c r="AH289" s="50"/>
      <c r="AI289" s="50"/>
    </row>
    <row r="290" spans="22:35" ht="12" customHeight="1" x14ac:dyDescent="0.2">
      <c r="V290" s="20"/>
      <c r="W290" s="20"/>
      <c r="X290" s="20"/>
      <c r="Y290" s="20"/>
      <c r="Z290" s="50"/>
      <c r="AA290" s="50"/>
      <c r="AB290" s="50"/>
      <c r="AC290" s="50"/>
      <c r="AD290" s="247"/>
      <c r="AE290" s="247"/>
      <c r="AF290" s="50"/>
      <c r="AG290" s="50"/>
      <c r="AH290" s="50"/>
      <c r="AI290" s="50"/>
    </row>
    <row r="291" spans="22:35" ht="12" customHeight="1" x14ac:dyDescent="0.2">
      <c r="V291" s="20"/>
      <c r="W291" s="20"/>
      <c r="X291" s="20"/>
      <c r="Y291" s="20"/>
      <c r="Z291" s="50"/>
      <c r="AA291" s="50"/>
      <c r="AB291" s="50"/>
      <c r="AC291" s="50"/>
      <c r="AD291" s="247"/>
      <c r="AE291" s="247"/>
      <c r="AF291" s="50"/>
      <c r="AG291" s="50"/>
      <c r="AH291" s="50"/>
      <c r="AI291" s="50"/>
    </row>
    <row r="292" spans="22:35" ht="12" customHeight="1" x14ac:dyDescent="0.2">
      <c r="V292" s="20"/>
      <c r="W292" s="20"/>
      <c r="X292" s="20"/>
      <c r="Y292" s="20"/>
      <c r="Z292" s="50"/>
      <c r="AA292" s="50"/>
      <c r="AB292" s="50"/>
      <c r="AC292" s="50"/>
      <c r="AD292" s="247"/>
      <c r="AE292" s="247"/>
      <c r="AF292" s="50"/>
      <c r="AG292" s="50"/>
      <c r="AH292" s="50"/>
      <c r="AI292" s="50"/>
    </row>
    <row r="293" spans="22:35" ht="12" customHeight="1" x14ac:dyDescent="0.2">
      <c r="V293" s="20"/>
      <c r="W293" s="20"/>
      <c r="X293" s="20"/>
      <c r="Y293" s="20"/>
      <c r="Z293" s="50"/>
      <c r="AA293" s="50"/>
      <c r="AB293" s="50"/>
      <c r="AC293" s="50"/>
      <c r="AD293" s="247"/>
      <c r="AE293" s="247"/>
      <c r="AF293" s="50"/>
      <c r="AG293" s="50"/>
      <c r="AH293" s="50"/>
      <c r="AI293" s="50"/>
    </row>
    <row r="294" spans="22:35" ht="12" customHeight="1" x14ac:dyDescent="0.2">
      <c r="V294" s="20"/>
      <c r="W294" s="20"/>
      <c r="X294" s="20"/>
      <c r="Y294" s="20"/>
      <c r="Z294" s="50"/>
      <c r="AA294" s="50"/>
      <c r="AB294" s="50"/>
      <c r="AC294" s="50"/>
      <c r="AD294" s="247"/>
      <c r="AE294" s="247"/>
      <c r="AF294" s="50"/>
      <c r="AG294" s="50"/>
      <c r="AH294" s="50"/>
      <c r="AI294" s="50"/>
    </row>
    <row r="295" spans="22:35" ht="12" customHeight="1" x14ac:dyDescent="0.2">
      <c r="V295" s="20"/>
      <c r="W295" s="20"/>
      <c r="X295" s="20"/>
      <c r="Y295" s="20"/>
      <c r="Z295" s="50"/>
      <c r="AA295" s="50"/>
      <c r="AB295" s="50"/>
      <c r="AC295" s="50"/>
      <c r="AD295" s="247"/>
      <c r="AE295" s="247"/>
      <c r="AF295" s="50"/>
      <c r="AG295" s="50"/>
      <c r="AH295" s="50"/>
      <c r="AI295" s="50"/>
    </row>
    <row r="296" spans="22:35" ht="12" customHeight="1" x14ac:dyDescent="0.2">
      <c r="V296" s="20"/>
      <c r="W296" s="20"/>
      <c r="X296" s="20"/>
      <c r="Y296" s="20"/>
      <c r="Z296" s="50"/>
      <c r="AA296" s="50"/>
      <c r="AB296" s="50"/>
      <c r="AC296" s="50"/>
      <c r="AD296" s="247"/>
      <c r="AE296" s="247"/>
      <c r="AF296" s="50"/>
      <c r="AG296" s="50"/>
      <c r="AH296" s="50"/>
      <c r="AI296" s="50"/>
    </row>
    <row r="297" spans="22:35" ht="12" customHeight="1" x14ac:dyDescent="0.2">
      <c r="V297" s="20"/>
      <c r="W297" s="20"/>
      <c r="X297" s="20"/>
      <c r="Y297" s="20"/>
      <c r="Z297" s="50"/>
      <c r="AA297" s="50"/>
      <c r="AB297" s="50"/>
      <c r="AC297" s="50"/>
      <c r="AD297" s="247"/>
      <c r="AE297" s="247"/>
      <c r="AF297" s="50"/>
      <c r="AG297" s="50"/>
      <c r="AH297" s="50"/>
      <c r="AI297" s="50"/>
    </row>
    <row r="298" spans="22:35" ht="12" customHeight="1" x14ac:dyDescent="0.2">
      <c r="V298" s="20"/>
      <c r="W298" s="20"/>
      <c r="X298" s="20"/>
      <c r="Y298" s="20"/>
      <c r="Z298" s="50"/>
      <c r="AA298" s="50"/>
      <c r="AB298" s="50"/>
      <c r="AC298" s="50"/>
      <c r="AD298" s="247"/>
      <c r="AE298" s="247"/>
      <c r="AF298" s="50"/>
      <c r="AG298" s="50"/>
      <c r="AH298" s="50"/>
      <c r="AI298" s="50"/>
    </row>
    <row r="299" spans="22:35" ht="12" customHeight="1" x14ac:dyDescent="0.2">
      <c r="V299" s="20"/>
      <c r="W299" s="20"/>
      <c r="X299" s="20"/>
      <c r="Y299" s="20"/>
      <c r="Z299" s="50"/>
      <c r="AA299" s="50"/>
      <c r="AB299" s="50"/>
      <c r="AC299" s="50"/>
      <c r="AD299" s="247"/>
      <c r="AE299" s="247"/>
      <c r="AF299" s="50"/>
      <c r="AG299" s="50"/>
      <c r="AH299" s="50"/>
      <c r="AI299" s="50"/>
    </row>
    <row r="300" spans="22:35" ht="12" customHeight="1" x14ac:dyDescent="0.2">
      <c r="V300" s="20"/>
      <c r="W300" s="20"/>
      <c r="X300" s="20"/>
      <c r="Y300" s="20"/>
      <c r="Z300" s="50"/>
      <c r="AA300" s="50"/>
      <c r="AB300" s="50"/>
      <c r="AC300" s="50"/>
      <c r="AD300" s="247"/>
      <c r="AE300" s="247"/>
      <c r="AF300" s="50"/>
      <c r="AG300" s="50"/>
      <c r="AH300" s="50"/>
      <c r="AI300" s="50"/>
    </row>
    <row r="301" spans="22:35" ht="12" customHeight="1" x14ac:dyDescent="0.2">
      <c r="V301" s="20"/>
      <c r="W301" s="20"/>
      <c r="X301" s="20"/>
      <c r="Y301" s="20"/>
      <c r="Z301" s="50"/>
      <c r="AA301" s="50"/>
      <c r="AB301" s="50"/>
      <c r="AC301" s="50"/>
      <c r="AD301" s="247"/>
      <c r="AE301" s="247"/>
      <c r="AF301" s="50"/>
      <c r="AG301" s="50"/>
      <c r="AH301" s="50"/>
      <c r="AI301" s="50"/>
    </row>
    <row r="302" spans="22:35" ht="12" customHeight="1" x14ac:dyDescent="0.2">
      <c r="V302" s="20"/>
      <c r="W302" s="20"/>
      <c r="X302" s="20"/>
      <c r="Y302" s="20"/>
      <c r="Z302" s="50"/>
      <c r="AA302" s="50"/>
      <c r="AB302" s="50"/>
      <c r="AC302" s="50"/>
      <c r="AD302" s="247"/>
      <c r="AE302" s="247"/>
      <c r="AF302" s="50"/>
      <c r="AG302" s="50"/>
      <c r="AH302" s="50"/>
      <c r="AI302" s="50"/>
    </row>
    <row r="303" spans="22:35" ht="12" customHeight="1" x14ac:dyDescent="0.2">
      <c r="V303" s="20"/>
      <c r="W303" s="20"/>
      <c r="X303" s="20"/>
      <c r="Y303" s="20"/>
      <c r="Z303" s="50"/>
      <c r="AA303" s="50"/>
      <c r="AB303" s="50"/>
      <c r="AC303" s="50"/>
      <c r="AD303" s="247"/>
      <c r="AE303" s="247"/>
      <c r="AF303" s="50"/>
      <c r="AG303" s="50"/>
      <c r="AH303" s="50"/>
      <c r="AI303" s="50"/>
    </row>
    <row r="304" spans="22:35" ht="12" customHeight="1" x14ac:dyDescent="0.2">
      <c r="V304" s="20"/>
      <c r="W304" s="20"/>
      <c r="X304" s="20"/>
      <c r="Y304" s="20"/>
      <c r="Z304" s="50"/>
      <c r="AA304" s="50"/>
      <c r="AB304" s="50"/>
      <c r="AC304" s="50"/>
      <c r="AD304" s="247"/>
      <c r="AE304" s="247"/>
      <c r="AF304" s="50"/>
      <c r="AG304" s="50"/>
      <c r="AH304" s="50"/>
      <c r="AI304" s="50"/>
    </row>
    <row r="305" spans="22:35" ht="12" customHeight="1" x14ac:dyDescent="0.2">
      <c r="V305" s="20"/>
      <c r="W305" s="20"/>
      <c r="X305" s="20"/>
      <c r="Y305" s="20"/>
      <c r="Z305" s="50"/>
      <c r="AA305" s="50"/>
      <c r="AB305" s="50"/>
      <c r="AC305" s="50"/>
      <c r="AD305" s="247"/>
      <c r="AE305" s="247"/>
      <c r="AF305" s="50"/>
      <c r="AG305" s="50"/>
      <c r="AH305" s="50"/>
      <c r="AI305" s="50"/>
    </row>
    <row r="306" spans="22:35" ht="12" customHeight="1" x14ac:dyDescent="0.2">
      <c r="V306" s="20"/>
      <c r="W306" s="20"/>
      <c r="X306" s="20"/>
      <c r="Y306" s="20"/>
      <c r="Z306" s="50"/>
      <c r="AA306" s="50"/>
      <c r="AB306" s="50"/>
      <c r="AC306" s="50"/>
      <c r="AD306" s="247"/>
      <c r="AE306" s="247"/>
      <c r="AF306" s="50"/>
      <c r="AG306" s="50"/>
      <c r="AH306" s="50"/>
      <c r="AI306" s="50"/>
    </row>
    <row r="307" spans="22:35" ht="12" customHeight="1" x14ac:dyDescent="0.2">
      <c r="V307" s="20"/>
      <c r="W307" s="20"/>
      <c r="X307" s="20"/>
      <c r="Y307" s="20"/>
      <c r="Z307" s="50"/>
      <c r="AA307" s="50"/>
      <c r="AB307" s="50"/>
      <c r="AC307" s="50"/>
      <c r="AD307" s="247"/>
      <c r="AE307" s="247"/>
      <c r="AF307" s="50"/>
      <c r="AG307" s="50"/>
      <c r="AH307" s="50"/>
      <c r="AI307" s="50"/>
    </row>
    <row r="308" spans="22:35" ht="12" customHeight="1" x14ac:dyDescent="0.2">
      <c r="V308" s="20"/>
      <c r="W308" s="20"/>
      <c r="X308" s="20"/>
      <c r="Y308" s="20"/>
      <c r="Z308" s="50"/>
      <c r="AA308" s="50"/>
      <c r="AB308" s="50"/>
      <c r="AC308" s="50"/>
      <c r="AD308" s="247"/>
      <c r="AE308" s="247"/>
      <c r="AF308" s="50"/>
      <c r="AG308" s="50"/>
      <c r="AH308" s="50"/>
      <c r="AI308" s="50"/>
    </row>
    <row r="309" spans="22:35" ht="12" customHeight="1" x14ac:dyDescent="0.2">
      <c r="V309" s="20"/>
      <c r="W309" s="20"/>
      <c r="X309" s="20"/>
      <c r="Y309" s="20"/>
      <c r="Z309" s="50"/>
      <c r="AA309" s="50"/>
      <c r="AB309" s="50"/>
      <c r="AC309" s="50"/>
      <c r="AD309" s="247"/>
      <c r="AE309" s="247"/>
      <c r="AF309" s="50"/>
      <c r="AG309" s="50"/>
      <c r="AH309" s="50"/>
      <c r="AI309" s="50"/>
    </row>
    <row r="310" spans="22:35" ht="12" customHeight="1" x14ac:dyDescent="0.2">
      <c r="V310" s="20"/>
      <c r="W310" s="20"/>
      <c r="X310" s="20"/>
      <c r="Y310" s="20"/>
      <c r="Z310" s="50"/>
      <c r="AA310" s="50"/>
      <c r="AB310" s="50"/>
      <c r="AC310" s="50"/>
      <c r="AD310" s="247"/>
      <c r="AE310" s="247"/>
      <c r="AF310" s="50"/>
      <c r="AG310" s="50"/>
      <c r="AH310" s="50"/>
      <c r="AI310" s="50"/>
    </row>
    <row r="311" spans="22:35" ht="12" customHeight="1" x14ac:dyDescent="0.2">
      <c r="V311" s="20"/>
      <c r="W311" s="20"/>
      <c r="X311" s="20"/>
      <c r="Y311" s="20"/>
      <c r="Z311" s="50"/>
      <c r="AA311" s="50"/>
      <c r="AB311" s="50"/>
      <c r="AC311" s="50"/>
      <c r="AD311" s="247"/>
      <c r="AE311" s="247"/>
      <c r="AF311" s="50"/>
      <c r="AG311" s="50"/>
      <c r="AH311" s="50"/>
      <c r="AI311" s="50"/>
    </row>
    <row r="312" spans="22:35" ht="12" customHeight="1" x14ac:dyDescent="0.2">
      <c r="V312" s="20"/>
      <c r="W312" s="20"/>
      <c r="X312" s="20"/>
      <c r="Y312" s="20"/>
      <c r="Z312" s="50"/>
      <c r="AA312" s="50"/>
      <c r="AB312" s="50"/>
      <c r="AC312" s="50"/>
      <c r="AD312" s="247"/>
      <c r="AE312" s="247"/>
      <c r="AF312" s="50"/>
      <c r="AG312" s="50"/>
      <c r="AH312" s="50"/>
      <c r="AI312" s="50"/>
    </row>
    <row r="313" spans="22:35" ht="12" customHeight="1" x14ac:dyDescent="0.2">
      <c r="V313" s="20"/>
      <c r="W313" s="20"/>
      <c r="X313" s="20"/>
      <c r="Y313" s="20"/>
      <c r="Z313" s="50"/>
      <c r="AA313" s="50"/>
      <c r="AB313" s="50"/>
      <c r="AC313" s="50"/>
      <c r="AD313" s="247"/>
      <c r="AE313" s="247"/>
      <c r="AF313" s="50"/>
      <c r="AG313" s="50"/>
      <c r="AH313" s="50"/>
      <c r="AI313" s="50"/>
    </row>
    <row r="314" spans="22:35" ht="12" customHeight="1" x14ac:dyDescent="0.2">
      <c r="V314" s="20"/>
      <c r="W314" s="20"/>
      <c r="X314" s="20"/>
      <c r="Y314" s="20"/>
      <c r="Z314" s="50"/>
      <c r="AA314" s="50"/>
      <c r="AB314" s="50"/>
      <c r="AC314" s="50"/>
      <c r="AD314" s="247"/>
      <c r="AE314" s="247"/>
      <c r="AF314" s="50"/>
      <c r="AG314" s="50"/>
      <c r="AH314" s="50"/>
      <c r="AI314" s="50"/>
    </row>
    <row r="315" spans="22:35" ht="12" customHeight="1" x14ac:dyDescent="0.2">
      <c r="V315" s="20"/>
      <c r="W315" s="20"/>
      <c r="X315" s="20"/>
      <c r="Y315" s="20"/>
      <c r="Z315" s="50"/>
      <c r="AA315" s="50"/>
      <c r="AB315" s="50"/>
      <c r="AC315" s="50"/>
      <c r="AD315" s="247"/>
      <c r="AE315" s="247"/>
      <c r="AF315" s="50"/>
      <c r="AG315" s="50"/>
      <c r="AH315" s="50"/>
      <c r="AI315" s="50"/>
    </row>
    <row r="316" spans="22:35" ht="12" customHeight="1" x14ac:dyDescent="0.2">
      <c r="V316" s="20"/>
      <c r="W316" s="20"/>
      <c r="X316" s="20"/>
      <c r="Y316" s="20"/>
      <c r="Z316" s="50"/>
      <c r="AA316" s="50"/>
      <c r="AB316" s="50"/>
      <c r="AC316" s="50"/>
      <c r="AD316" s="247"/>
      <c r="AE316" s="247"/>
      <c r="AF316" s="50"/>
      <c r="AG316" s="50"/>
      <c r="AH316" s="50"/>
      <c r="AI316" s="50"/>
    </row>
    <row r="317" spans="22:35" ht="12" customHeight="1" x14ac:dyDescent="0.2">
      <c r="V317" s="20"/>
      <c r="W317" s="20"/>
      <c r="X317" s="20"/>
      <c r="Y317" s="20"/>
      <c r="Z317" s="50"/>
      <c r="AA317" s="50"/>
      <c r="AB317" s="50"/>
      <c r="AC317" s="50"/>
      <c r="AD317" s="247"/>
      <c r="AE317" s="247"/>
      <c r="AF317" s="50"/>
      <c r="AG317" s="50"/>
      <c r="AH317" s="50"/>
      <c r="AI317" s="50"/>
    </row>
    <row r="318" spans="22:35" ht="12" customHeight="1" x14ac:dyDescent="0.2">
      <c r="V318" s="20"/>
      <c r="W318" s="20"/>
      <c r="X318" s="20"/>
      <c r="Y318" s="20"/>
      <c r="Z318" s="50"/>
      <c r="AA318" s="50"/>
      <c r="AB318" s="50"/>
      <c r="AC318" s="50"/>
      <c r="AD318" s="247"/>
      <c r="AE318" s="247"/>
      <c r="AF318" s="50"/>
      <c r="AG318" s="50"/>
      <c r="AH318" s="50"/>
      <c r="AI318" s="50"/>
    </row>
    <row r="319" spans="22:35" ht="12" customHeight="1" x14ac:dyDescent="0.2">
      <c r="V319" s="20"/>
      <c r="W319" s="20"/>
      <c r="X319" s="20"/>
      <c r="Y319" s="20"/>
      <c r="Z319" s="50"/>
      <c r="AA319" s="50"/>
      <c r="AB319" s="50"/>
      <c r="AC319" s="50"/>
      <c r="AD319" s="247"/>
      <c r="AE319" s="247"/>
      <c r="AF319" s="50"/>
      <c r="AG319" s="50"/>
      <c r="AH319" s="50"/>
      <c r="AI319" s="50"/>
    </row>
    <row r="320" spans="22:35" ht="12" customHeight="1" x14ac:dyDescent="0.2">
      <c r="V320" s="20"/>
      <c r="W320" s="20"/>
      <c r="X320" s="20"/>
      <c r="Y320" s="20"/>
      <c r="Z320" s="50"/>
      <c r="AA320" s="50"/>
      <c r="AB320" s="50"/>
      <c r="AC320" s="50"/>
      <c r="AD320" s="247"/>
      <c r="AE320" s="247"/>
      <c r="AF320" s="50"/>
      <c r="AG320" s="50"/>
      <c r="AH320" s="50"/>
      <c r="AI320" s="50"/>
    </row>
    <row r="321" spans="22:35" ht="12" customHeight="1" x14ac:dyDescent="0.2">
      <c r="V321" s="20"/>
      <c r="W321" s="20"/>
      <c r="X321" s="20"/>
      <c r="Y321" s="20"/>
      <c r="Z321" s="50"/>
      <c r="AA321" s="50"/>
      <c r="AB321" s="50"/>
      <c r="AC321" s="50"/>
      <c r="AD321" s="247"/>
      <c r="AE321" s="247"/>
      <c r="AF321" s="50"/>
      <c r="AG321" s="50"/>
      <c r="AH321" s="50"/>
      <c r="AI321" s="50"/>
    </row>
    <row r="322" spans="22:35" ht="12" customHeight="1" x14ac:dyDescent="0.2">
      <c r="V322" s="20"/>
      <c r="W322" s="20"/>
      <c r="X322" s="20"/>
      <c r="Y322" s="20"/>
      <c r="Z322" s="50"/>
      <c r="AA322" s="50"/>
      <c r="AB322" s="50"/>
      <c r="AC322" s="50"/>
      <c r="AD322" s="247"/>
      <c r="AE322" s="247"/>
      <c r="AF322" s="50"/>
      <c r="AG322" s="50"/>
      <c r="AH322" s="50"/>
      <c r="AI322" s="50"/>
    </row>
    <row r="323" spans="22:35" ht="12" customHeight="1" x14ac:dyDescent="0.2">
      <c r="V323" s="20"/>
      <c r="W323" s="20"/>
      <c r="X323" s="20"/>
      <c r="Y323" s="20"/>
      <c r="Z323" s="50"/>
      <c r="AA323" s="50"/>
      <c r="AB323" s="50"/>
      <c r="AC323" s="50"/>
      <c r="AD323" s="247"/>
      <c r="AE323" s="247"/>
      <c r="AF323" s="50"/>
      <c r="AG323" s="50"/>
      <c r="AH323" s="50"/>
      <c r="AI323" s="50"/>
    </row>
    <row r="324" spans="22:35" ht="12" customHeight="1" x14ac:dyDescent="0.2">
      <c r="V324" s="20"/>
      <c r="W324" s="20"/>
      <c r="X324" s="20"/>
      <c r="Y324" s="20"/>
      <c r="Z324" s="50"/>
      <c r="AA324" s="50"/>
      <c r="AB324" s="50"/>
      <c r="AC324" s="50"/>
      <c r="AD324" s="247"/>
      <c r="AE324" s="247"/>
      <c r="AF324" s="50"/>
      <c r="AG324" s="50"/>
      <c r="AH324" s="50"/>
      <c r="AI324" s="50"/>
    </row>
    <row r="325" spans="22:35" ht="12" customHeight="1" x14ac:dyDescent="0.2">
      <c r="V325" s="20"/>
      <c r="W325" s="20"/>
      <c r="X325" s="20"/>
      <c r="Y325" s="20"/>
      <c r="Z325" s="50"/>
      <c r="AA325" s="50"/>
      <c r="AB325" s="50"/>
      <c r="AC325" s="50"/>
      <c r="AF325" s="50"/>
      <c r="AG325" s="50"/>
      <c r="AH325" s="50"/>
      <c r="AI325" s="50"/>
    </row>
    <row r="326" spans="22:35" ht="12" customHeight="1" x14ac:dyDescent="0.2">
      <c r="V326" s="20"/>
      <c r="W326" s="20"/>
      <c r="X326" s="20"/>
      <c r="Y326" s="20"/>
      <c r="Z326" s="50"/>
      <c r="AA326" s="50"/>
      <c r="AB326" s="50"/>
      <c r="AC326" s="50"/>
      <c r="AF326" s="50"/>
      <c r="AG326" s="50"/>
      <c r="AH326" s="50"/>
      <c r="AI326" s="50"/>
    </row>
    <row r="327" spans="22:35" ht="12" customHeight="1" x14ac:dyDescent="0.2">
      <c r="V327" s="20"/>
      <c r="W327" s="20"/>
      <c r="X327" s="20"/>
      <c r="Y327" s="20"/>
      <c r="Z327" s="50"/>
      <c r="AA327" s="50"/>
      <c r="AB327" s="50"/>
      <c r="AC327" s="50"/>
      <c r="AF327" s="50"/>
      <c r="AG327" s="50"/>
      <c r="AH327" s="50"/>
      <c r="AI327" s="50"/>
    </row>
    <row r="328" spans="22:35" ht="12" customHeight="1" x14ac:dyDescent="0.2">
      <c r="V328" s="20"/>
      <c r="W328" s="20"/>
      <c r="X328" s="20"/>
      <c r="Y328" s="20"/>
      <c r="Z328" s="50"/>
      <c r="AA328" s="50"/>
      <c r="AB328" s="50"/>
      <c r="AC328" s="50"/>
      <c r="AF328" s="50"/>
      <c r="AG328" s="50"/>
      <c r="AH328" s="50"/>
      <c r="AI328" s="50"/>
    </row>
    <row r="329" spans="22:35" ht="12" customHeight="1" x14ac:dyDescent="0.2">
      <c r="V329" s="20"/>
      <c r="W329" s="20"/>
      <c r="X329" s="20"/>
      <c r="Y329" s="20"/>
      <c r="Z329" s="50"/>
      <c r="AA329" s="50"/>
      <c r="AB329" s="50"/>
      <c r="AC329" s="50"/>
      <c r="AF329" s="50"/>
      <c r="AG329" s="50"/>
      <c r="AH329" s="50"/>
      <c r="AI329" s="50"/>
    </row>
    <row r="330" spans="22:35" ht="12" customHeight="1" x14ac:dyDescent="0.2">
      <c r="V330" s="20"/>
      <c r="W330" s="20"/>
      <c r="X330" s="20"/>
      <c r="Y330" s="20"/>
      <c r="Z330" s="50"/>
      <c r="AA330" s="50"/>
      <c r="AB330" s="50"/>
      <c r="AC330" s="50"/>
      <c r="AF330" s="50"/>
      <c r="AG330" s="50"/>
      <c r="AH330" s="50"/>
      <c r="AI330" s="50"/>
    </row>
    <row r="331" spans="22:35" ht="12" customHeight="1" x14ac:dyDescent="0.2">
      <c r="V331" s="20"/>
      <c r="W331" s="20"/>
      <c r="X331" s="20"/>
      <c r="Y331" s="20"/>
      <c r="Z331" s="50"/>
      <c r="AA331" s="50"/>
      <c r="AB331" s="50"/>
      <c r="AC331" s="50"/>
      <c r="AF331" s="50"/>
      <c r="AG331" s="50"/>
      <c r="AH331" s="50"/>
      <c r="AI331" s="50"/>
    </row>
    <row r="332" spans="22:35" ht="12" customHeight="1" x14ac:dyDescent="0.2">
      <c r="V332" s="20"/>
      <c r="W332" s="20"/>
      <c r="X332" s="20"/>
      <c r="Y332" s="20"/>
      <c r="Z332" s="50"/>
      <c r="AA332" s="50"/>
      <c r="AB332" s="50"/>
      <c r="AC332" s="50"/>
      <c r="AF332" s="50"/>
      <c r="AG332" s="50"/>
      <c r="AH332" s="50"/>
      <c r="AI332" s="50"/>
    </row>
    <row r="333" spans="22:35" ht="12" customHeight="1" x14ac:dyDescent="0.2">
      <c r="V333" s="20"/>
      <c r="W333" s="20"/>
      <c r="X333" s="20"/>
      <c r="Y333" s="20"/>
      <c r="Z333" s="50"/>
      <c r="AA333" s="50"/>
      <c r="AB333" s="50"/>
      <c r="AC333" s="50"/>
      <c r="AF333" s="50"/>
      <c r="AG333" s="50"/>
      <c r="AH333" s="50"/>
      <c r="AI333" s="50"/>
    </row>
    <row r="334" spans="22:35" ht="12" customHeight="1" x14ac:dyDescent="0.2">
      <c r="V334" s="20"/>
      <c r="W334" s="20"/>
      <c r="X334" s="20"/>
      <c r="Y334" s="20"/>
      <c r="Z334" s="50"/>
      <c r="AA334" s="50"/>
      <c r="AB334" s="50"/>
      <c r="AC334" s="50"/>
      <c r="AF334" s="50"/>
      <c r="AG334" s="50"/>
      <c r="AH334" s="50"/>
      <c r="AI334" s="50"/>
    </row>
    <row r="335" spans="22:35" ht="12" customHeight="1" x14ac:dyDescent="0.2">
      <c r="V335" s="20"/>
      <c r="W335" s="20"/>
      <c r="X335" s="20"/>
      <c r="Y335" s="20"/>
      <c r="Z335" s="50"/>
      <c r="AA335" s="50"/>
      <c r="AB335" s="50"/>
      <c r="AC335" s="50"/>
      <c r="AF335" s="50"/>
      <c r="AG335" s="50"/>
      <c r="AH335" s="50"/>
      <c r="AI335" s="50"/>
    </row>
    <row r="336" spans="22:35" ht="12" customHeight="1" x14ac:dyDescent="0.2">
      <c r="V336" s="20"/>
      <c r="W336" s="20"/>
      <c r="X336" s="20"/>
      <c r="Y336" s="20"/>
      <c r="Z336" s="50"/>
      <c r="AA336" s="50"/>
      <c r="AB336" s="50"/>
      <c r="AC336" s="50"/>
      <c r="AF336" s="50"/>
      <c r="AG336" s="50"/>
      <c r="AH336" s="50"/>
      <c r="AI336" s="50"/>
    </row>
    <row r="337" spans="22:35" ht="12" customHeight="1" x14ac:dyDescent="0.2">
      <c r="V337" s="20"/>
      <c r="W337" s="20"/>
      <c r="X337" s="20"/>
      <c r="Y337" s="20"/>
      <c r="Z337" s="50"/>
      <c r="AA337" s="50"/>
      <c r="AB337" s="50"/>
      <c r="AC337" s="50"/>
      <c r="AF337" s="50"/>
      <c r="AG337" s="50"/>
      <c r="AH337" s="50"/>
      <c r="AI337" s="50"/>
    </row>
    <row r="338" spans="22:35" ht="12" customHeight="1" x14ac:dyDescent="0.2">
      <c r="V338" s="20"/>
      <c r="W338" s="20"/>
      <c r="X338" s="20"/>
      <c r="Y338" s="20"/>
      <c r="Z338" s="50"/>
      <c r="AA338" s="50"/>
      <c r="AB338" s="50"/>
      <c r="AC338" s="50"/>
      <c r="AF338" s="50"/>
      <c r="AG338" s="50"/>
      <c r="AH338" s="50"/>
      <c r="AI338" s="50"/>
    </row>
    <row r="339" spans="22:35" ht="12" customHeight="1" x14ac:dyDescent="0.2">
      <c r="V339" s="20"/>
      <c r="W339" s="20"/>
      <c r="X339" s="20"/>
      <c r="Y339" s="20"/>
      <c r="Z339" s="50"/>
      <c r="AA339" s="50"/>
      <c r="AB339" s="50"/>
      <c r="AC339" s="50"/>
      <c r="AF339" s="50"/>
      <c r="AG339" s="50"/>
      <c r="AH339" s="50"/>
      <c r="AI339" s="50"/>
    </row>
    <row r="340" spans="22:35" ht="12" customHeight="1" x14ac:dyDescent="0.2">
      <c r="V340" s="20"/>
      <c r="W340" s="20"/>
      <c r="X340" s="20"/>
      <c r="Y340" s="20"/>
      <c r="Z340" s="50"/>
      <c r="AA340" s="50"/>
      <c r="AB340" s="50"/>
      <c r="AC340" s="50"/>
      <c r="AF340" s="50"/>
      <c r="AG340" s="50"/>
      <c r="AH340" s="50"/>
      <c r="AI340" s="50"/>
    </row>
    <row r="341" spans="22:35" ht="12" customHeight="1" x14ac:dyDescent="0.2">
      <c r="V341" s="20"/>
      <c r="W341" s="20"/>
      <c r="X341" s="20"/>
      <c r="Y341" s="20"/>
      <c r="Z341" s="50"/>
      <c r="AA341" s="50"/>
      <c r="AB341" s="50"/>
      <c r="AC341" s="50"/>
      <c r="AF341" s="50"/>
      <c r="AG341" s="50"/>
      <c r="AH341" s="50"/>
      <c r="AI341" s="50"/>
    </row>
    <row r="342" spans="22:35" ht="12" customHeight="1" x14ac:dyDescent="0.2">
      <c r="V342" s="20"/>
      <c r="W342" s="20"/>
      <c r="X342" s="20"/>
      <c r="Y342" s="20"/>
      <c r="Z342" s="50"/>
      <c r="AA342" s="50"/>
      <c r="AB342" s="50"/>
      <c r="AC342" s="50"/>
      <c r="AF342" s="50"/>
      <c r="AG342" s="50"/>
      <c r="AH342" s="50"/>
      <c r="AI342" s="50"/>
    </row>
    <row r="343" spans="22:35" ht="12" customHeight="1" x14ac:dyDescent="0.2">
      <c r="V343" s="20"/>
      <c r="W343" s="20"/>
      <c r="X343" s="20"/>
      <c r="Y343" s="20"/>
      <c r="Z343" s="50"/>
      <c r="AA343" s="50"/>
      <c r="AB343" s="50"/>
      <c r="AC343" s="50"/>
      <c r="AF343" s="50"/>
      <c r="AG343" s="50"/>
      <c r="AH343" s="50"/>
      <c r="AI343" s="50"/>
    </row>
    <row r="344" spans="22:35" ht="12" customHeight="1" x14ac:dyDescent="0.2">
      <c r="V344" s="20"/>
      <c r="W344" s="20"/>
      <c r="X344" s="20"/>
      <c r="Y344" s="20"/>
      <c r="Z344" s="50"/>
      <c r="AA344" s="50"/>
      <c r="AB344" s="50"/>
      <c r="AC344" s="50"/>
      <c r="AF344" s="50"/>
      <c r="AG344" s="50"/>
      <c r="AH344" s="50"/>
      <c r="AI344" s="50"/>
    </row>
    <row r="345" spans="22:35" ht="12" customHeight="1" x14ac:dyDescent="0.2">
      <c r="V345" s="20"/>
      <c r="W345" s="20"/>
      <c r="X345" s="20"/>
      <c r="Y345" s="20"/>
      <c r="Z345" s="50"/>
      <c r="AA345" s="50"/>
      <c r="AB345" s="50"/>
      <c r="AC345" s="50"/>
      <c r="AF345" s="50"/>
      <c r="AG345" s="50"/>
      <c r="AH345" s="50"/>
      <c r="AI345" s="50"/>
    </row>
    <row r="346" spans="22:35" ht="12" customHeight="1" x14ac:dyDescent="0.2">
      <c r="V346" s="20"/>
      <c r="W346" s="20"/>
      <c r="X346" s="20"/>
      <c r="Y346" s="20"/>
      <c r="Z346" s="50"/>
      <c r="AA346" s="50"/>
      <c r="AB346" s="50"/>
      <c r="AC346" s="50"/>
      <c r="AF346" s="50"/>
      <c r="AG346" s="50"/>
      <c r="AH346" s="50"/>
      <c r="AI346" s="50"/>
    </row>
    <row r="347" spans="22:35" ht="12" customHeight="1" x14ac:dyDescent="0.2">
      <c r="V347" s="20"/>
      <c r="W347" s="20"/>
      <c r="X347" s="20"/>
      <c r="Y347" s="20"/>
      <c r="AA347" s="50"/>
      <c r="AB347" s="50"/>
      <c r="AC347" s="50"/>
      <c r="AF347" s="50"/>
      <c r="AG347" s="50"/>
      <c r="AH347" s="50"/>
      <c r="AI347" s="50"/>
    </row>
    <row r="348" spans="22:35" ht="12" customHeight="1" x14ac:dyDescent="0.2">
      <c r="V348" s="20"/>
      <c r="W348" s="20"/>
      <c r="X348" s="20"/>
      <c r="Y348" s="20"/>
      <c r="AA348" s="50"/>
      <c r="AB348" s="50"/>
      <c r="AC348" s="50"/>
      <c r="AF348" s="50"/>
      <c r="AG348" s="50"/>
      <c r="AH348" s="50"/>
      <c r="AI348" s="50"/>
    </row>
    <row r="349" spans="22:35" ht="12" customHeight="1" x14ac:dyDescent="0.2">
      <c r="V349" s="20"/>
      <c r="W349" s="20"/>
      <c r="X349" s="20"/>
      <c r="Y349" s="20"/>
      <c r="AA349" s="50"/>
      <c r="AB349" s="50"/>
      <c r="AC349" s="50"/>
      <c r="AF349" s="50"/>
      <c r="AG349" s="50"/>
      <c r="AH349" s="50"/>
      <c r="AI349" s="50"/>
    </row>
    <row r="350" spans="22:35" ht="12" customHeight="1" x14ac:dyDescent="0.2">
      <c r="V350" s="20"/>
      <c r="W350" s="20"/>
      <c r="X350" s="20"/>
      <c r="Y350" s="20"/>
      <c r="AA350" s="50"/>
      <c r="AB350" s="50"/>
      <c r="AC350" s="50"/>
      <c r="AF350" s="50"/>
      <c r="AG350" s="50"/>
      <c r="AH350" s="50"/>
      <c r="AI350" s="50"/>
    </row>
    <row r="351" spans="22:35" ht="12" customHeight="1" x14ac:dyDescent="0.2">
      <c r="V351" s="20"/>
      <c r="W351" s="20"/>
      <c r="X351" s="20"/>
      <c r="Y351" s="20"/>
    </row>
    <row r="352" spans="22:35" ht="12" customHeight="1" x14ac:dyDescent="0.2">
      <c r="V352" s="20"/>
      <c r="W352" s="20"/>
      <c r="X352" s="20"/>
      <c r="Y352" s="20"/>
    </row>
    <row r="353" spans="22:25" ht="12" customHeight="1" x14ac:dyDescent="0.2">
      <c r="V353" s="20"/>
      <c r="W353" s="20"/>
      <c r="X353" s="20"/>
      <c r="Y353" s="20"/>
    </row>
    <row r="354" spans="22:25" ht="12" customHeight="1" x14ac:dyDescent="0.2">
      <c r="V354" s="20"/>
      <c r="W354" s="20"/>
      <c r="X354" s="20"/>
      <c r="Y354" s="20"/>
    </row>
    <row r="355" spans="22:25" ht="12" customHeight="1" x14ac:dyDescent="0.2">
      <c r="V355" s="20"/>
      <c r="W355" s="20"/>
      <c r="X355" s="20"/>
      <c r="Y355" s="20"/>
    </row>
    <row r="356" spans="22:25" ht="12" customHeight="1" x14ac:dyDescent="0.2">
      <c r="V356" s="20"/>
      <c r="W356" s="20"/>
      <c r="X356" s="20"/>
      <c r="Y356" s="20"/>
    </row>
    <row r="357" spans="22:25" ht="12" customHeight="1" x14ac:dyDescent="0.2">
      <c r="V357" s="20"/>
      <c r="W357" s="20"/>
      <c r="X357" s="20"/>
      <c r="Y357" s="20"/>
    </row>
    <row r="358" spans="22:25" ht="12" customHeight="1" x14ac:dyDescent="0.2">
      <c r="V358" s="20"/>
      <c r="W358" s="20"/>
      <c r="X358" s="20"/>
      <c r="Y358" s="20"/>
    </row>
    <row r="359" spans="22:25" ht="12" customHeight="1" x14ac:dyDescent="0.2">
      <c r="V359" s="20"/>
      <c r="W359" s="20"/>
      <c r="X359" s="20"/>
      <c r="Y359" s="20"/>
    </row>
    <row r="360" spans="22:25" ht="12" customHeight="1" x14ac:dyDescent="0.2">
      <c r="V360" s="20"/>
      <c r="W360" s="20"/>
      <c r="X360" s="20"/>
      <c r="Y360" s="20"/>
    </row>
    <row r="361" spans="22:25" ht="12" customHeight="1" x14ac:dyDescent="0.2">
      <c r="V361" s="20"/>
      <c r="W361" s="20"/>
      <c r="X361" s="20"/>
      <c r="Y361" s="20"/>
    </row>
    <row r="362" spans="22:25" ht="12" customHeight="1" x14ac:dyDescent="0.2">
      <c r="V362" s="20"/>
      <c r="W362" s="20"/>
      <c r="X362" s="20"/>
      <c r="Y362" s="20"/>
    </row>
    <row r="363" spans="22:25" ht="12" customHeight="1" x14ac:dyDescent="0.2">
      <c r="V363" s="20"/>
      <c r="W363" s="20"/>
      <c r="X363" s="20"/>
      <c r="Y363" s="20"/>
    </row>
    <row r="364" spans="22:25" ht="12" customHeight="1" x14ac:dyDescent="0.2">
      <c r="V364" s="20"/>
      <c r="W364" s="20"/>
      <c r="X364" s="20"/>
      <c r="Y364" s="20"/>
    </row>
    <row r="365" spans="22:25" ht="12" customHeight="1" x14ac:dyDescent="0.2">
      <c r="V365" s="20"/>
      <c r="W365" s="20"/>
      <c r="X365" s="20"/>
      <c r="Y365" s="20"/>
    </row>
    <row r="366" spans="22:25" x14ac:dyDescent="0.2">
      <c r="V366" s="20"/>
      <c r="W366" s="20"/>
      <c r="X366" s="20"/>
      <c r="Y366" s="20"/>
    </row>
    <row r="367" spans="22:25" x14ac:dyDescent="0.2">
      <c r="V367" s="20"/>
      <c r="W367" s="20"/>
      <c r="X367" s="20"/>
      <c r="Y367" s="20"/>
    </row>
    <row r="368" spans="22:25" x14ac:dyDescent="0.2">
      <c r="V368" s="20"/>
      <c r="W368" s="20"/>
      <c r="X368" s="20"/>
      <c r="Y368" s="20"/>
    </row>
    <row r="369" spans="22:25" x14ac:dyDescent="0.2">
      <c r="V369" s="20"/>
      <c r="W369" s="20"/>
      <c r="X369" s="20"/>
      <c r="Y369" s="20"/>
    </row>
    <row r="370" spans="22:25" x14ac:dyDescent="0.2">
      <c r="V370" s="20"/>
      <c r="W370" s="20"/>
      <c r="X370" s="20"/>
      <c r="Y370" s="20"/>
    </row>
    <row r="371" spans="22:25" x14ac:dyDescent="0.2">
      <c r="V371" s="20"/>
      <c r="W371" s="20"/>
      <c r="X371" s="20"/>
      <c r="Y371" s="20"/>
    </row>
    <row r="372" spans="22:25" x14ac:dyDescent="0.2">
      <c r="V372" s="20"/>
      <c r="W372" s="20"/>
      <c r="X372" s="20"/>
      <c r="Y372" s="20"/>
    </row>
  </sheetData>
  <mergeCells count="10">
    <mergeCell ref="Z5:Z6"/>
    <mergeCell ref="W5:W6"/>
    <mergeCell ref="U5:U6"/>
    <mergeCell ref="B1:Q1"/>
    <mergeCell ref="B2:Q2"/>
    <mergeCell ref="B3:Q3"/>
    <mergeCell ref="Q5:Q6"/>
    <mergeCell ref="S5:S6"/>
    <mergeCell ref="D5:P5"/>
    <mergeCell ref="X4:Z4"/>
  </mergeCells>
  <phoneticPr fontId="0" type="noConversion"/>
  <conditionalFormatting sqref="D7:P19 D22:P63 D20:H20 P20 I21:P21">
    <cfRule type="cellIs" dxfId="9" priority="7" stopIfTrue="1" operator="greaterThan">
      <formula>30</formula>
    </cfRule>
    <cfRule type="cellIs" dxfId="8" priority="8" stopIfTrue="1" operator="between">
      <formula>0.1</formula>
      <formula>10</formula>
    </cfRule>
    <cfRule type="cellIs" dxfId="7" priority="9" stopIfTrue="1" operator="lessThan">
      <formula>0.1</formula>
    </cfRule>
  </conditionalFormatting>
  <conditionalFormatting sqref="Q7:Q62 S7:S62 U7:U62 W7:W62">
    <cfRule type="cellIs" dxfId="6" priority="3" stopIfTrue="1" operator="lessThan">
      <formula>0.5</formula>
    </cfRule>
    <cfRule type="cellIs" dxfId="5" priority="4" stopIfTrue="1" operator="lessThan">
      <formula>0.75</formula>
    </cfRule>
  </conditionalFormatting>
  <printOptions horizontalCentered="1"/>
  <pageMargins left="0.55000000000000004" right="0.74803149606299213" top="0.5" bottom="0.7" header="0.28999999999999998" footer="0.38"/>
  <pageSetup paperSize="9" scale="48" fitToHeight="2" orientation="landscape" horizontalDpi="4294967293" r:id="rId1"/>
  <headerFooter alignWithMargins="0"/>
  <ignoredErrors>
    <ignoredError sqref="S22:S62 U22:U62 U7:U20 S7:S20" formulaRange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pageSetUpPr fitToPage="1"/>
  </sheetPr>
  <dimension ref="A1:AI436"/>
  <sheetViews>
    <sheetView zoomScaleNormal="100" workbookViewId="0">
      <pane xSplit="2" ySplit="6" topLeftCell="D7" activePane="bottomRight" state="frozen"/>
      <selection activeCell="W155" sqref="W155"/>
      <selection pane="topRight" activeCell="W155" sqref="W155"/>
      <selection pane="bottomLeft" activeCell="W155" sqref="W155"/>
      <selection pane="bottomRight" activeCell="AD7" sqref="AD7"/>
    </sheetView>
  </sheetViews>
  <sheetFormatPr defaultColWidth="9.140625" defaultRowHeight="11.25" x14ac:dyDescent="0.2"/>
  <cols>
    <col min="1" max="1" width="9.140625" style="10" customWidth="1"/>
    <col min="2" max="2" width="18.140625" style="21" customWidth="1"/>
    <col min="3" max="3" width="18.140625" style="21" hidden="1" customWidth="1"/>
    <col min="4" max="15" width="18.140625" style="10" customWidth="1"/>
    <col min="16" max="17" width="18.140625" style="20" customWidth="1"/>
    <col min="18" max="18" width="13" style="21" customWidth="1"/>
    <col min="19" max="19" width="12.85546875" style="10" customWidth="1"/>
    <col min="20" max="20" width="13" style="21" customWidth="1"/>
    <col min="21" max="21" width="11.42578125" style="10" customWidth="1"/>
    <col min="22" max="25" width="11.7109375" style="10" customWidth="1"/>
    <col min="26" max="26" width="11.7109375" style="39" customWidth="1"/>
    <col min="27" max="27" width="10.7109375" style="39" customWidth="1"/>
    <col min="28" max="28" width="21" style="39" bestFit="1" customWidth="1"/>
    <col min="29" max="29" width="10.7109375" style="39" customWidth="1"/>
    <col min="30" max="30" width="16.7109375" style="230" bestFit="1" customWidth="1"/>
    <col min="31" max="31" width="9.140625" style="230"/>
    <col min="32" max="32" width="12.42578125" style="39" bestFit="1" customWidth="1"/>
    <col min="33" max="35" width="9.140625" style="39"/>
    <col min="36" max="16384" width="9.140625" style="55"/>
  </cols>
  <sheetData>
    <row r="1" spans="2:35" ht="18" customHeight="1" thickTop="1" x14ac:dyDescent="0.2">
      <c r="B1" s="496" t="s">
        <v>463</v>
      </c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497"/>
      <c r="O1" s="497"/>
      <c r="P1" s="497"/>
      <c r="Q1" s="498"/>
      <c r="V1" s="2"/>
      <c r="W1" s="2"/>
      <c r="X1" s="2"/>
      <c r="Y1" s="2"/>
      <c r="Z1" s="31"/>
      <c r="AA1" s="31"/>
      <c r="AB1" s="93"/>
      <c r="AC1" s="93"/>
      <c r="AD1" s="206"/>
      <c r="AE1" s="206"/>
      <c r="AF1" s="93"/>
      <c r="AG1" s="93"/>
      <c r="AH1" s="93"/>
      <c r="AI1" s="31"/>
    </row>
    <row r="2" spans="2:35" ht="18" customHeight="1" x14ac:dyDescent="0.2">
      <c r="B2" s="499" t="s">
        <v>449</v>
      </c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  <c r="N2" s="500"/>
      <c r="O2" s="500"/>
      <c r="P2" s="500"/>
      <c r="Q2" s="501"/>
      <c r="V2" s="2"/>
      <c r="W2" s="2"/>
      <c r="X2" s="2"/>
      <c r="Y2" s="2"/>
      <c r="Z2" s="31"/>
      <c r="AA2" s="31"/>
      <c r="AB2" s="93"/>
      <c r="AC2" s="93"/>
      <c r="AD2" s="206"/>
      <c r="AE2" s="206"/>
      <c r="AF2" s="93"/>
      <c r="AG2" s="93"/>
      <c r="AH2" s="93"/>
      <c r="AI2" s="31"/>
    </row>
    <row r="3" spans="2:35" ht="18" customHeight="1" thickBot="1" x14ac:dyDescent="0.25">
      <c r="B3" s="502" t="s">
        <v>464</v>
      </c>
      <c r="C3" s="503"/>
      <c r="D3" s="503"/>
      <c r="E3" s="503"/>
      <c r="F3" s="503"/>
      <c r="G3" s="503"/>
      <c r="H3" s="503"/>
      <c r="I3" s="503"/>
      <c r="J3" s="503"/>
      <c r="K3" s="503"/>
      <c r="L3" s="503"/>
      <c r="M3" s="503"/>
      <c r="N3" s="503"/>
      <c r="O3" s="503"/>
      <c r="P3" s="503"/>
      <c r="Q3" s="504"/>
      <c r="V3" s="2"/>
      <c r="W3" s="2"/>
      <c r="X3" s="2"/>
      <c r="Y3" s="2"/>
      <c r="Z3" s="31"/>
      <c r="AA3" s="31"/>
      <c r="AB3" s="94"/>
      <c r="AC3" s="94"/>
      <c r="AD3" s="206"/>
      <c r="AE3" s="206"/>
      <c r="AF3" s="94"/>
      <c r="AG3" s="94"/>
      <c r="AH3" s="94"/>
      <c r="AI3" s="31"/>
    </row>
    <row r="4" spans="2:35" ht="14.25" customHeight="1" thickTop="1" thickBot="1" x14ac:dyDescent="0.25">
      <c r="R4" s="21" t="s">
        <v>497</v>
      </c>
      <c r="S4" s="21"/>
      <c r="T4" s="21" t="s">
        <v>498</v>
      </c>
      <c r="V4" s="1"/>
      <c r="W4" s="1"/>
      <c r="X4" s="449" t="s">
        <v>508</v>
      </c>
      <c r="Y4" s="449"/>
      <c r="Z4" s="449"/>
      <c r="AA4" s="31"/>
      <c r="AB4" s="31"/>
      <c r="AC4" s="31"/>
      <c r="AD4" s="206"/>
      <c r="AE4" s="206"/>
      <c r="AF4" s="31"/>
      <c r="AG4" s="31"/>
      <c r="AH4" s="31"/>
      <c r="AI4" s="31"/>
    </row>
    <row r="5" spans="2:35" ht="14.25" customHeight="1" thickTop="1" thickBot="1" x14ac:dyDescent="0.25">
      <c r="B5" s="20"/>
      <c r="C5" s="70" t="s">
        <v>466</v>
      </c>
      <c r="D5" s="507" t="s">
        <v>451</v>
      </c>
      <c r="E5" s="508"/>
      <c r="F5" s="508"/>
      <c r="G5" s="508"/>
      <c r="H5" s="508"/>
      <c r="I5" s="508"/>
      <c r="J5" s="508"/>
      <c r="K5" s="508"/>
      <c r="L5" s="508"/>
      <c r="M5" s="508"/>
      <c r="N5" s="508"/>
      <c r="O5" s="508"/>
      <c r="P5" s="509"/>
      <c r="Q5" s="505" t="s">
        <v>452</v>
      </c>
      <c r="R5" s="139" t="s">
        <v>461</v>
      </c>
      <c r="S5" s="450" t="s">
        <v>452</v>
      </c>
      <c r="T5" s="139" t="s">
        <v>460</v>
      </c>
      <c r="U5" s="450" t="s">
        <v>452</v>
      </c>
      <c r="V5" s="168" t="s">
        <v>494</v>
      </c>
      <c r="W5" s="450" t="s">
        <v>452</v>
      </c>
      <c r="X5" s="139" t="s">
        <v>461</v>
      </c>
      <c r="Y5" s="139" t="s">
        <v>460</v>
      </c>
      <c r="Z5" s="450" t="s">
        <v>509</v>
      </c>
      <c r="AA5" s="31"/>
      <c r="AB5" s="95"/>
      <c r="AC5" s="96"/>
      <c r="AD5" s="96"/>
      <c r="AE5" s="96"/>
      <c r="AF5" s="96"/>
      <c r="AG5" s="96"/>
      <c r="AH5" s="96"/>
      <c r="AI5" s="97"/>
    </row>
    <row r="6" spans="2:35" ht="14.25" customHeight="1" thickTop="1" thickBot="1" x14ac:dyDescent="0.25">
      <c r="B6" s="69" t="s">
        <v>453</v>
      </c>
      <c r="C6" s="70">
        <v>39052</v>
      </c>
      <c r="D6" s="70">
        <v>39083</v>
      </c>
      <c r="E6" s="84">
        <v>39114</v>
      </c>
      <c r="F6" s="84">
        <v>39142</v>
      </c>
      <c r="G6" s="84">
        <v>39173</v>
      </c>
      <c r="H6" s="84">
        <v>39203</v>
      </c>
      <c r="I6" s="84">
        <v>39234</v>
      </c>
      <c r="J6" s="84">
        <v>39264</v>
      </c>
      <c r="K6" s="84">
        <v>39295</v>
      </c>
      <c r="L6" s="84">
        <v>39326</v>
      </c>
      <c r="M6" s="84">
        <v>39356</v>
      </c>
      <c r="N6" s="84">
        <v>39387</v>
      </c>
      <c r="O6" s="84">
        <v>39417</v>
      </c>
      <c r="P6" s="5" t="s">
        <v>459</v>
      </c>
      <c r="Q6" s="506"/>
      <c r="R6" s="149" t="s">
        <v>454</v>
      </c>
      <c r="S6" s="495"/>
      <c r="T6" s="149" t="s">
        <v>454</v>
      </c>
      <c r="U6" s="495"/>
      <c r="V6" s="158" t="s">
        <v>454</v>
      </c>
      <c r="W6" s="495"/>
      <c r="X6" s="149" t="s">
        <v>454</v>
      </c>
      <c r="Y6" s="149" t="s">
        <v>454</v>
      </c>
      <c r="Z6" s="451"/>
      <c r="AA6" s="31"/>
      <c r="AB6" s="98" t="s">
        <v>166</v>
      </c>
      <c r="AC6" s="34" t="s">
        <v>476</v>
      </c>
      <c r="AD6" s="34" t="s">
        <v>1087</v>
      </c>
      <c r="AE6" s="34" t="s">
        <v>1088</v>
      </c>
      <c r="AF6" s="34" t="s">
        <v>472</v>
      </c>
      <c r="AG6" s="34" t="s">
        <v>474</v>
      </c>
      <c r="AH6" s="34" t="s">
        <v>473</v>
      </c>
      <c r="AI6" s="99" t="s">
        <v>475</v>
      </c>
    </row>
    <row r="7" spans="2:35" ht="12" customHeight="1" thickTop="1" x14ac:dyDescent="0.2">
      <c r="B7" s="71" t="s">
        <v>2</v>
      </c>
      <c r="C7" s="71"/>
      <c r="D7" s="72"/>
      <c r="E7" s="72">
        <v>14.918848167539267</v>
      </c>
      <c r="F7" s="72">
        <v>16.099476439790575</v>
      </c>
      <c r="G7" s="72">
        <v>21.465968586387437</v>
      </c>
      <c r="H7" s="72">
        <v>29.408376963350783</v>
      </c>
      <c r="I7" s="72">
        <v>31.125654450261777</v>
      </c>
      <c r="J7" s="72">
        <v>25.007853403141361</v>
      </c>
      <c r="K7" s="72">
        <v>27.476439790575917</v>
      </c>
      <c r="L7" s="72">
        <v>21.465968586387437</v>
      </c>
      <c r="M7" s="72">
        <v>24.900523560209422</v>
      </c>
      <c r="N7" s="72">
        <v>20.392670157068061</v>
      </c>
      <c r="O7" s="72">
        <v>12.235602094240837</v>
      </c>
      <c r="P7" s="74">
        <f t="shared" ref="P7:P62" si="0">AVERAGE(D7:O7)</f>
        <v>22.227034745359354</v>
      </c>
      <c r="Q7" s="164">
        <f t="shared" ref="Q7:Q62" si="1">COUNT(D7:O7)/12</f>
        <v>0.91666666666666663</v>
      </c>
      <c r="R7" s="165">
        <f>IF($S7=0%,"",IF($S7&gt;66%,AVERAGE($D7:$F7),"-"))</f>
        <v>15.509162303664921</v>
      </c>
      <c r="S7" s="166">
        <f>COUNT(D7:F7)/3</f>
        <v>0.66666666666666663</v>
      </c>
      <c r="T7" s="165">
        <f>IF($U7=0%,"",IF($U7&gt;66%,AVERAGE($J7:$L7),"-"))</f>
        <v>24.650087260034905</v>
      </c>
      <c r="U7" s="167">
        <f>COUNT(J7:L7)/3</f>
        <v>1</v>
      </c>
      <c r="V7" s="141">
        <f>IF(AND(($S7&gt;33%),($U7&gt;33%),($W7&gt;=75%)),AVERAGE($D7:$O7),"-")</f>
        <v>22.227034745359354</v>
      </c>
      <c r="W7" s="142">
        <f>Q7</f>
        <v>0.91666666666666663</v>
      </c>
      <c r="X7" s="144">
        <f>IF(VLOOKUP($B7,$AC$6:$AI$159,3,FALSE)="",$R7,IF(ISERROR(AVERAGEIF($AD$6:$AD$67,VLOOKUP($B7,$AC$6:$AI$159,2,FALSE),$R$6:$R$159)),"",AVERAGEIF($AD$6:$AD$67,VLOOKUP($B7,$AC$6:$AI$159,2,FALSE),$R$6:$R$159)))</f>
        <v>15.509162303664921</v>
      </c>
      <c r="Y7" s="144">
        <f>IF(VLOOKUP($B7,$AC$6:$AI$159,3,FALSE)="",$T7,IF(ISERROR(AVERAGEIF($AD$6:$AD$67,VLOOKUP($B7,$AC$6:$AI$159,2,FALSE),$T$6:$T$159)),"",AVERAGEIF($AD$6:$AD$67,VLOOKUP($B7,$AC$6:$AI$159,2,FALSE),$T$6:$T$159)))</f>
        <v>24.650087260034905</v>
      </c>
      <c r="Z7" s="144">
        <f>IF(VLOOKUP($B7,$AC$6:$AI$159,3,FALSE)="",$V7,IF(ISERROR(AVERAGEIF($AD$6:$AD$67,VLOOKUP($B7,$AC$6:$AI$159,2,FALSE),$V$6:$V$159)),"",AVERAGEIF($AD$6:$AD$67,VLOOKUP($B7,$AC$6:$AI$159,2,FALSE),$V$6:$V$159)))</f>
        <v>22.227034745359354</v>
      </c>
      <c r="AA7" s="10"/>
      <c r="AB7" s="100" t="str">
        <f>VLOOKUP($B7,'2007-2020 Metadata'!$A$4:$S$214,MATCH("Urban Area /Monitoring Zone",'2007-2020 Metadata'!$A$4:$S$4,0),FALSE)</f>
        <v>Whangarei</v>
      </c>
      <c r="AC7" s="87" t="str">
        <f>VLOOKUP($B7,'2007-2020 Metadata'!$A$6:$A$214,1,FALSE)</f>
        <v>AUC001</v>
      </c>
      <c r="AD7" s="230" t="str">
        <f>VLOOKUP($AC7,'2007-2020 Metadata'!$A$6:$S$214,9,FALSE)</f>
        <v>Whangarei</v>
      </c>
      <c r="AE7" s="248">
        <f>IF(ISBLANK(VLOOKUP($AC7,'2007-2020 Metadata'!$A$6:$S$214,19,FALSE)),"",VLOOKUP($AC7,'2007-2020 Metadata'!$A$6:$S$214,19,FALSE))</f>
        <v>3.2</v>
      </c>
      <c r="AF7" s="88" t="str">
        <f>VLOOKUP($B7,'2007-2020 Metadata'!$A$4:$S$214,MATCH("Site type",'2007-2020 Metadata'!$A$4:$S$4,0),FALSE)</f>
        <v>SH</v>
      </c>
      <c r="AG7" s="143">
        <f>MIN($D7:$O7)</f>
        <v>12.235602094240837</v>
      </c>
      <c r="AH7" s="143">
        <f>MAX($D7:$O7)</f>
        <v>31.125654450261777</v>
      </c>
      <c r="AI7" s="144">
        <f>IF($W7&gt;=75%,$Z7," ")</f>
        <v>22.227034745359354</v>
      </c>
    </row>
    <row r="8" spans="2:35" ht="12" customHeight="1" x14ac:dyDescent="0.2">
      <c r="B8" s="71" t="s">
        <v>3</v>
      </c>
      <c r="C8" s="71"/>
      <c r="D8" s="72">
        <v>8.6937172774869094</v>
      </c>
      <c r="E8" s="72">
        <v>11.698952879581151</v>
      </c>
      <c r="F8" s="72">
        <v>9.8743455497382193</v>
      </c>
      <c r="G8" s="72">
        <v>17.816753926701573</v>
      </c>
      <c r="H8" s="72">
        <v>15.348167539267017</v>
      </c>
      <c r="I8" s="72">
        <v>10.625654450261781</v>
      </c>
      <c r="J8" s="72">
        <v>14.811518324607329</v>
      </c>
      <c r="K8" s="72">
        <v>9.5523560209424083</v>
      </c>
      <c r="L8" s="72">
        <v>16.206806282722514</v>
      </c>
      <c r="M8" s="72">
        <v>11.269633507853403</v>
      </c>
      <c r="N8" s="72">
        <v>12.020942408376962</v>
      </c>
      <c r="O8" s="72">
        <v>10.19633507853403</v>
      </c>
      <c r="P8" s="74">
        <f t="shared" si="0"/>
        <v>12.342931937172773</v>
      </c>
      <c r="Q8" s="38">
        <f t="shared" si="1"/>
        <v>1</v>
      </c>
      <c r="R8" s="140">
        <f t="shared" ref="R8:R62" si="2">IF($S8=0%,"",IF($S8&gt;66%,AVERAGE($D8:$F8),"-"))</f>
        <v>10.089005235602093</v>
      </c>
      <c r="S8" s="24">
        <f t="shared" ref="S8:S62" si="3">COUNT(D8:F8)/3</f>
        <v>1</v>
      </c>
      <c r="T8" s="140">
        <f t="shared" ref="T8:T62" si="4">IF($U8=0%,"",IF($U8&gt;66%,AVERAGE($J8:$L8),"-"))</f>
        <v>13.523560209424085</v>
      </c>
      <c r="U8" s="9">
        <f t="shared" ref="U8:U62" si="5">COUNT(J8:L8)/3</f>
        <v>1</v>
      </c>
      <c r="V8" s="141">
        <f t="shared" ref="V8:V62" si="6">IF(AND(($S8&gt;33%),($U8&gt;33%),($W8&gt;=75%)),AVERAGE($D8:$O8),"-")</f>
        <v>12.342931937172773</v>
      </c>
      <c r="W8" s="142">
        <f t="shared" ref="W8:W62" si="7">Q8</f>
        <v>1</v>
      </c>
      <c r="X8" s="144">
        <f t="shared" ref="X8:X62" si="8">IF(VLOOKUP($B8,$AC$6:$AI$159,3,FALSE)="",$R8,IF(ISERROR(AVERAGEIF($AD$6:$AD$67,VLOOKUP($B8,$AC$6:$AI$159,2,FALSE),$R$6:$R$159)),"",AVERAGEIF($AD$6:$AD$67,VLOOKUP($B8,$AC$6:$AI$159,2,FALSE),$R$6:$R$159)))</f>
        <v>10.089005235602093</v>
      </c>
      <c r="Y8" s="144">
        <f t="shared" ref="Y8:Y62" si="9">IF(VLOOKUP($B8,$AC$6:$AI$159,3,FALSE)="",$T8,IF(ISERROR(AVERAGEIF($AD$6:$AD$67,VLOOKUP($B8,$AC$6:$AI$159,2,FALSE),$T$6:$T$159)),"",AVERAGEIF($AD$6:$AD$67,VLOOKUP($B8,$AC$6:$AI$159,2,FALSE),$T$6:$T$159)))</f>
        <v>13.523560209424085</v>
      </c>
      <c r="Z8" s="144">
        <f t="shared" ref="Z8:Z62" si="10">IF(VLOOKUP($B8,$AC$6:$AI$159,3,FALSE)="",$V8,IF(ISERROR(AVERAGEIF($AD$6:$AD$67,VLOOKUP($B8,$AC$6:$AI$159,2,FALSE),$V$6:$V$159)),"",AVERAGEIF($AD$6:$AD$67,VLOOKUP($B8,$AC$6:$AI$159,2,FALSE),$V$6:$V$159)))</f>
        <v>12.342931937172773</v>
      </c>
      <c r="AA8" s="10"/>
      <c r="AB8" s="357" t="str">
        <f>VLOOKUP($B8,'2007-2020 Metadata'!$A$4:$S$214,MATCH("Urban Area /Monitoring Zone",'2007-2020 Metadata'!$A$4:$S$4,0),FALSE)</f>
        <v>Auckland - Northern</v>
      </c>
      <c r="AC8" s="87" t="str">
        <f>VLOOKUP($B8,'2007-2020 Metadata'!$A$6:$A$214,1,FALSE)</f>
        <v>AUC004</v>
      </c>
      <c r="AD8" s="230" t="str">
        <f>VLOOKUP($AC8,'2007-2020 Metadata'!$A$6:$S$214,9,FALSE)</f>
        <v>Rodney</v>
      </c>
      <c r="AE8" s="248">
        <f>IF(ISBLANK(VLOOKUP($AC8,'2007-2020 Metadata'!$A$6:$S$214,19,FALSE)),"",VLOOKUP($AC8,'2007-2020 Metadata'!$A$6:$S$214,19,FALSE))</f>
        <v>2.5</v>
      </c>
      <c r="AF8" s="88" t="str">
        <f>VLOOKUP($B8,'2007-2020 Metadata'!$A$4:$S$214,MATCH("Site type",'2007-2020 Metadata'!$A$4:$S$4,0),FALSE)</f>
        <v>SH</v>
      </c>
      <c r="AG8" s="143">
        <f t="shared" ref="AG8:AG62" si="11">MIN($D8:$O8)</f>
        <v>8.6937172774869094</v>
      </c>
      <c r="AH8" s="143">
        <f t="shared" ref="AH8:AH62" si="12">MAX($D8:$O8)</f>
        <v>17.816753926701573</v>
      </c>
      <c r="AI8" s="144">
        <f t="shared" ref="AI8:AI62" si="13">IF($W8&gt;=75%,$Z8," ")</f>
        <v>12.342931937172773</v>
      </c>
    </row>
    <row r="9" spans="2:35" ht="12" customHeight="1" x14ac:dyDescent="0.2">
      <c r="B9" s="71" t="s">
        <v>4</v>
      </c>
      <c r="C9" s="71"/>
      <c r="D9" s="72"/>
      <c r="E9" s="72">
        <v>12.342931937172775</v>
      </c>
      <c r="F9" s="72">
        <v>19.641361256544503</v>
      </c>
      <c r="G9" s="72">
        <v>27.047120418848166</v>
      </c>
      <c r="H9" s="72">
        <v>29.515706806282722</v>
      </c>
      <c r="I9" s="72">
        <v>32.198952879581149</v>
      </c>
      <c r="J9" s="72">
        <v>30.481675392670155</v>
      </c>
      <c r="K9" s="72">
        <v>27.798429319371724</v>
      </c>
      <c r="L9" s="72">
        <v>21.465968586387437</v>
      </c>
      <c r="M9" s="72">
        <v>23.827225130890049</v>
      </c>
      <c r="N9" s="72">
        <v>21.787958115183248</v>
      </c>
      <c r="O9" s="72">
        <v>14.489528795811518</v>
      </c>
      <c r="P9" s="74">
        <f t="shared" si="0"/>
        <v>23.690623512613044</v>
      </c>
      <c r="Q9" s="38">
        <f t="shared" si="1"/>
        <v>0.91666666666666663</v>
      </c>
      <c r="R9" s="140">
        <f t="shared" si="2"/>
        <v>15.992146596858639</v>
      </c>
      <c r="S9" s="24">
        <f t="shared" si="3"/>
        <v>0.66666666666666663</v>
      </c>
      <c r="T9" s="140">
        <f t="shared" si="4"/>
        <v>26.582024432809771</v>
      </c>
      <c r="U9" s="9">
        <f t="shared" si="5"/>
        <v>1</v>
      </c>
      <c r="V9" s="141">
        <f t="shared" si="6"/>
        <v>23.690623512613044</v>
      </c>
      <c r="W9" s="142">
        <f t="shared" si="7"/>
        <v>0.91666666666666663</v>
      </c>
      <c r="X9" s="144">
        <f t="shared" si="8"/>
        <v>20.452297847585807</v>
      </c>
      <c r="Y9" s="144">
        <f t="shared" si="9"/>
        <v>28.072716695753346</v>
      </c>
      <c r="Z9" s="144">
        <f t="shared" si="10"/>
        <v>25.00107752921889</v>
      </c>
      <c r="AA9" s="10"/>
      <c r="AB9" s="357" t="str">
        <f>VLOOKUP($B9,'2007-2020 Metadata'!$A$4:$S$214,MATCH("Urban Area /Monitoring Zone",'2007-2020 Metadata'!$A$4:$S$4,0),FALSE)</f>
        <v>Auckland - Northern</v>
      </c>
      <c r="AC9" s="87" t="str">
        <f>VLOOKUP($B9,'2007-2020 Metadata'!$A$6:$A$214,1,FALSE)</f>
        <v>AUC005</v>
      </c>
      <c r="AD9" s="230" t="str">
        <f>VLOOKUP($AC9,'2007-2020 Metadata'!$A$6:$S$214,9,FALSE)</f>
        <v xml:space="preserve">North Shore </v>
      </c>
      <c r="AE9" s="248">
        <f>IF(ISBLANK(VLOOKUP($AC9,'2007-2020 Metadata'!$A$6:$S$214,19,FALSE)),"",VLOOKUP($AC9,'2007-2020 Metadata'!$A$6:$S$214,19,FALSE))</f>
        <v>2.1</v>
      </c>
      <c r="AF9" s="88" t="str">
        <f>VLOOKUP($B9,'2007-2020 Metadata'!$A$4:$S$214,MATCH("Site type",'2007-2020 Metadata'!$A$4:$S$4,0),FALSE)</f>
        <v>Local</v>
      </c>
      <c r="AG9" s="143">
        <f t="shared" si="11"/>
        <v>12.342931937172775</v>
      </c>
      <c r="AH9" s="143">
        <f t="shared" si="12"/>
        <v>32.198952879581149</v>
      </c>
      <c r="AI9" s="144">
        <f t="shared" si="13"/>
        <v>25.00107752921889</v>
      </c>
    </row>
    <row r="10" spans="2:35" ht="12" customHeight="1" x14ac:dyDescent="0.2">
      <c r="B10" s="71" t="s">
        <v>5</v>
      </c>
      <c r="C10" s="71"/>
      <c r="D10" s="72">
        <v>18.782722513089006</v>
      </c>
      <c r="E10" s="72">
        <v>27.798429319371724</v>
      </c>
      <c r="F10" s="72">
        <v>25.329842931937172</v>
      </c>
      <c r="G10" s="72">
        <v>32.842931937172771</v>
      </c>
      <c r="H10" s="72">
        <v>34.667539267015705</v>
      </c>
      <c r="I10" s="72">
        <v>34.774869109947637</v>
      </c>
      <c r="J10" s="72">
        <v>40.03403141361256</v>
      </c>
      <c r="K10" s="72">
        <v>27.047120418848166</v>
      </c>
      <c r="L10" s="72">
        <v>28.44240837696335</v>
      </c>
      <c r="M10" s="72">
        <v>33.916230366492144</v>
      </c>
      <c r="N10" s="72">
        <v>18.782722513089006</v>
      </c>
      <c r="O10" s="72">
        <v>13.630890052356019</v>
      </c>
      <c r="P10" s="74">
        <f t="shared" si="0"/>
        <v>28.004144851657937</v>
      </c>
      <c r="Q10" s="38">
        <f t="shared" si="1"/>
        <v>1</v>
      </c>
      <c r="R10" s="140">
        <f t="shared" si="2"/>
        <v>23.970331588132638</v>
      </c>
      <c r="S10" s="24">
        <f t="shared" si="3"/>
        <v>1</v>
      </c>
      <c r="T10" s="140">
        <f t="shared" si="4"/>
        <v>31.841186736474697</v>
      </c>
      <c r="U10" s="9">
        <f t="shared" si="5"/>
        <v>1</v>
      </c>
      <c r="V10" s="141">
        <f t="shared" si="6"/>
        <v>28.004144851657937</v>
      </c>
      <c r="W10" s="142">
        <f t="shared" si="7"/>
        <v>1</v>
      </c>
      <c r="X10" s="144">
        <f t="shared" si="8"/>
        <v>20.452297847585807</v>
      </c>
      <c r="Y10" s="144">
        <f t="shared" si="9"/>
        <v>28.072716695753346</v>
      </c>
      <c r="Z10" s="144">
        <f t="shared" si="10"/>
        <v>25.00107752921889</v>
      </c>
      <c r="AA10" s="10"/>
      <c r="AB10" s="357" t="str">
        <f>VLOOKUP($B10,'2007-2020 Metadata'!$A$4:$S$214,MATCH("Urban Area /Monitoring Zone",'2007-2020 Metadata'!$A$4:$S$4,0),FALSE)</f>
        <v>Auckland - Northern</v>
      </c>
      <c r="AC10" s="87" t="str">
        <f>VLOOKUP($B10,'2007-2020 Metadata'!$A$6:$A$214,1,FALSE)</f>
        <v>AUC006</v>
      </c>
      <c r="AD10" s="230" t="str">
        <f>VLOOKUP($AC10,'2007-2020 Metadata'!$A$6:$S$214,9,FALSE)</f>
        <v xml:space="preserve">North Shore </v>
      </c>
      <c r="AE10" s="248">
        <f>IF(ISBLANK(VLOOKUP($AC10,'2007-2020 Metadata'!$A$6:$S$214,19,FALSE)),"",VLOOKUP($AC10,'2007-2020 Metadata'!$A$6:$S$214,19,FALSE))</f>
        <v>3</v>
      </c>
      <c r="AF10" s="88" t="str">
        <f>VLOOKUP($B10,'2007-2020 Metadata'!$A$4:$S$214,MATCH("Site type",'2007-2020 Metadata'!$A$4:$S$4,0),FALSE)</f>
        <v>SH</v>
      </c>
      <c r="AG10" s="143">
        <f t="shared" si="11"/>
        <v>13.630890052356019</v>
      </c>
      <c r="AH10" s="143">
        <f t="shared" si="12"/>
        <v>40.03403141361256</v>
      </c>
      <c r="AI10" s="144">
        <f t="shared" si="13"/>
        <v>25.00107752921889</v>
      </c>
    </row>
    <row r="11" spans="2:35" ht="12" customHeight="1" x14ac:dyDescent="0.2">
      <c r="B11" s="71" t="s">
        <v>6</v>
      </c>
      <c r="C11" s="71"/>
      <c r="D11" s="72">
        <v>13.952879581151832</v>
      </c>
      <c r="E11" s="72">
        <v>28.44240837696335</v>
      </c>
      <c r="F11" s="72">
        <v>21.787958115183248</v>
      </c>
      <c r="G11" s="72">
        <v>24.578534031413611</v>
      </c>
      <c r="H11" s="72">
        <v>24.14921465968586</v>
      </c>
      <c r="I11" s="72">
        <v>21.89528795811518</v>
      </c>
      <c r="J11" s="72">
        <v>36.3848167539267</v>
      </c>
      <c r="K11" s="72">
        <v>17.494764397905762</v>
      </c>
      <c r="L11" s="72">
        <v>23.505235602094238</v>
      </c>
      <c r="M11" s="72">
        <v>19.426701570680628</v>
      </c>
      <c r="N11" s="72">
        <v>27.261780104712038</v>
      </c>
      <c r="O11" s="72">
        <v>20.821989528795811</v>
      </c>
      <c r="P11" s="74">
        <f t="shared" si="0"/>
        <v>23.308464223385688</v>
      </c>
      <c r="Q11" s="38">
        <f t="shared" si="1"/>
        <v>1</v>
      </c>
      <c r="R11" s="140">
        <f t="shared" si="2"/>
        <v>21.394415357766146</v>
      </c>
      <c r="S11" s="24">
        <f t="shared" si="3"/>
        <v>1</v>
      </c>
      <c r="T11" s="140">
        <f t="shared" si="4"/>
        <v>25.794938917975568</v>
      </c>
      <c r="U11" s="9">
        <f t="shared" si="5"/>
        <v>1</v>
      </c>
      <c r="V11" s="141">
        <f t="shared" si="6"/>
        <v>23.308464223385688</v>
      </c>
      <c r="W11" s="142">
        <f t="shared" si="7"/>
        <v>1</v>
      </c>
      <c r="X11" s="144">
        <f t="shared" si="8"/>
        <v>20.452297847585807</v>
      </c>
      <c r="Y11" s="144">
        <f t="shared" si="9"/>
        <v>28.072716695753346</v>
      </c>
      <c r="Z11" s="144">
        <f t="shared" si="10"/>
        <v>25.00107752921889</v>
      </c>
      <c r="AA11" s="10"/>
      <c r="AB11" s="357" t="str">
        <f>VLOOKUP($B11,'2007-2020 Metadata'!$A$4:$S$214,MATCH("Urban Area /Monitoring Zone",'2007-2020 Metadata'!$A$4:$S$4,0),FALSE)</f>
        <v>Auckland - Northern</v>
      </c>
      <c r="AC11" s="87" t="str">
        <f>VLOOKUP($B11,'2007-2020 Metadata'!$A$6:$A$214,1,FALSE)</f>
        <v>AUC007</v>
      </c>
      <c r="AD11" s="230" t="str">
        <f>VLOOKUP($AC11,'2007-2020 Metadata'!$A$6:$S$214,9,FALSE)</f>
        <v xml:space="preserve">North Shore </v>
      </c>
      <c r="AE11" s="248">
        <f>IF(ISBLANK(VLOOKUP($AC11,'2007-2020 Metadata'!$A$6:$S$214,19,FALSE)),"",VLOOKUP($AC11,'2007-2020 Metadata'!$A$6:$S$214,19,FALSE))</f>
        <v>3</v>
      </c>
      <c r="AF11" s="88" t="str">
        <f>VLOOKUP($B11,'2007-2020 Metadata'!$A$4:$S$214,MATCH("Site type",'2007-2020 Metadata'!$A$4:$S$4,0),FALSE)</f>
        <v>SH</v>
      </c>
      <c r="AG11" s="143">
        <f t="shared" si="11"/>
        <v>13.952879581151832</v>
      </c>
      <c r="AH11" s="143">
        <f t="shared" si="12"/>
        <v>36.3848167539267</v>
      </c>
      <c r="AI11" s="144">
        <f t="shared" si="13"/>
        <v>25.00107752921889</v>
      </c>
    </row>
    <row r="12" spans="2:35" ht="12" customHeight="1" x14ac:dyDescent="0.2">
      <c r="B12" s="71" t="s">
        <v>7</v>
      </c>
      <c r="C12" s="71"/>
      <c r="D12" s="72">
        <v>14.489528795811518</v>
      </c>
      <c r="E12" s="72">
        <v>25.866492146596858</v>
      </c>
      <c r="F12" s="72">
        <v>25.973821989528794</v>
      </c>
      <c r="G12" s="72">
        <v>28.227748691099478</v>
      </c>
      <c r="H12" s="72">
        <v>23.719895287958117</v>
      </c>
      <c r="I12" s="72">
        <v>31.340314136125652</v>
      </c>
      <c r="J12" s="72">
        <v>36.3848167539267</v>
      </c>
      <c r="K12" s="72">
        <v>23.827225130890049</v>
      </c>
      <c r="L12" s="72">
        <v>34.560209424083773</v>
      </c>
      <c r="M12" s="72">
        <v>18.031413612565448</v>
      </c>
      <c r="N12" s="72">
        <v>22.32460732984293</v>
      </c>
      <c r="O12" s="72">
        <v>19.426701570680628</v>
      </c>
      <c r="P12" s="74">
        <f t="shared" si="0"/>
        <v>25.347731239092496</v>
      </c>
      <c r="Q12" s="38">
        <f t="shared" si="1"/>
        <v>1</v>
      </c>
      <c r="R12" s="140">
        <f t="shared" si="2"/>
        <v>22.109947643979059</v>
      </c>
      <c r="S12" s="24">
        <f t="shared" si="3"/>
        <v>1</v>
      </c>
      <c r="T12" s="140">
        <f t="shared" si="4"/>
        <v>31.590750436300173</v>
      </c>
      <c r="U12" s="9">
        <f t="shared" si="5"/>
        <v>1</v>
      </c>
      <c r="V12" s="141">
        <f t="shared" si="6"/>
        <v>25.347731239092496</v>
      </c>
      <c r="W12" s="142">
        <f t="shared" si="7"/>
        <v>1</v>
      </c>
      <c r="X12" s="144">
        <f t="shared" si="8"/>
        <v>21.81926265270506</v>
      </c>
      <c r="Y12" s="144">
        <f t="shared" si="9"/>
        <v>35.803446771378702</v>
      </c>
      <c r="Z12" s="144">
        <f t="shared" si="10"/>
        <v>29.923304662179003</v>
      </c>
      <c r="AA12" s="10"/>
      <c r="AB12" s="357" t="str">
        <f>VLOOKUP($B12,'2007-2020 Metadata'!$A$4:$S$214,MATCH("Urban Area /Monitoring Zone",'2007-2020 Metadata'!$A$4:$S$4,0),FALSE)</f>
        <v>Auckland - Central</v>
      </c>
      <c r="AC12" s="87" t="str">
        <f>VLOOKUP($B12,'2007-2020 Metadata'!$A$6:$A$214,1,FALSE)</f>
        <v>AUC008</v>
      </c>
      <c r="AD12" s="230" t="str">
        <f>VLOOKUP($AC12,'2007-2020 Metadata'!$A$6:$S$214,9,FALSE)</f>
        <v>Auckland</v>
      </c>
      <c r="AE12" s="248">
        <f>IF(ISBLANK(VLOOKUP($AC12,'2007-2020 Metadata'!$A$6:$S$214,19,FALSE)),"",VLOOKUP($AC12,'2007-2020 Metadata'!$A$6:$S$214,19,FALSE))</f>
        <v>3</v>
      </c>
      <c r="AF12" s="88" t="str">
        <f>VLOOKUP($B12,'2007-2020 Metadata'!$A$4:$S$214,MATCH("Site type",'2007-2020 Metadata'!$A$4:$S$4,0),FALSE)</f>
        <v>SH</v>
      </c>
      <c r="AG12" s="143">
        <f t="shared" si="11"/>
        <v>14.489528795811518</v>
      </c>
      <c r="AH12" s="143">
        <f t="shared" si="12"/>
        <v>36.3848167539267</v>
      </c>
      <c r="AI12" s="144">
        <f t="shared" si="13"/>
        <v>29.923304662179003</v>
      </c>
    </row>
    <row r="13" spans="2:35" ht="12" customHeight="1" x14ac:dyDescent="0.2">
      <c r="B13" s="71" t="s">
        <v>8</v>
      </c>
      <c r="C13" s="71"/>
      <c r="D13" s="72">
        <v>31.769633507853403</v>
      </c>
      <c r="E13" s="72">
        <v>24.041884816753925</v>
      </c>
      <c r="F13" s="72">
        <v>36.3848167539267</v>
      </c>
      <c r="G13" s="72">
        <v>46.581151832460733</v>
      </c>
      <c r="H13" s="72">
        <v>49.049738219895289</v>
      </c>
      <c r="I13" s="72">
        <v>51.196335078534034</v>
      </c>
      <c r="J13" s="72">
        <v>54.738219895287955</v>
      </c>
      <c r="K13" s="72">
        <v>52.913612565445021</v>
      </c>
      <c r="L13" s="72">
        <v>46.795811518324605</v>
      </c>
      <c r="M13" s="72">
        <v>38.531413612565444</v>
      </c>
      <c r="N13" s="72">
        <v>46.581151832460733</v>
      </c>
      <c r="O13" s="72">
        <v>23.719895287958117</v>
      </c>
      <c r="P13" s="74">
        <f t="shared" si="0"/>
        <v>41.858638743455494</v>
      </c>
      <c r="Q13" s="38">
        <f t="shared" si="1"/>
        <v>1</v>
      </c>
      <c r="R13" s="140">
        <f t="shared" si="2"/>
        <v>30.732111692844672</v>
      </c>
      <c r="S13" s="24">
        <f t="shared" si="3"/>
        <v>1</v>
      </c>
      <c r="T13" s="140">
        <f t="shared" si="4"/>
        <v>51.482547993019189</v>
      </c>
      <c r="U13" s="9">
        <f t="shared" si="5"/>
        <v>1</v>
      </c>
      <c r="V13" s="141">
        <f t="shared" si="6"/>
        <v>41.858638743455494</v>
      </c>
      <c r="W13" s="142">
        <f t="shared" si="7"/>
        <v>1</v>
      </c>
      <c r="X13" s="144">
        <f t="shared" si="8"/>
        <v>21.81926265270506</v>
      </c>
      <c r="Y13" s="144">
        <f t="shared" si="9"/>
        <v>35.803446771378702</v>
      </c>
      <c r="Z13" s="144">
        <f t="shared" si="10"/>
        <v>29.923304662179003</v>
      </c>
      <c r="AA13" s="10"/>
      <c r="AB13" s="357" t="str">
        <f>VLOOKUP($B13,'2007-2020 Metadata'!$A$4:$S$214,MATCH("Urban Area /Monitoring Zone",'2007-2020 Metadata'!$A$4:$S$4,0),FALSE)</f>
        <v>Auckland - Central</v>
      </c>
      <c r="AC13" s="87" t="str">
        <f>VLOOKUP($B13,'2007-2020 Metadata'!$A$6:$A$214,1,FALSE)</f>
        <v>AUC009</v>
      </c>
      <c r="AD13" s="230" t="str">
        <f>VLOOKUP($AC13,'2007-2020 Metadata'!$A$6:$S$214,9,FALSE)</f>
        <v>Auckland</v>
      </c>
      <c r="AE13" s="248">
        <f>IF(ISBLANK(VLOOKUP($AC13,'2007-2020 Metadata'!$A$6:$S$214,19,FALSE)),"",VLOOKUP($AC13,'2007-2020 Metadata'!$A$6:$S$214,19,FALSE))</f>
        <v>3</v>
      </c>
      <c r="AF13" s="88" t="str">
        <f>VLOOKUP($B13,'2007-2020 Metadata'!$A$4:$S$214,MATCH("Site type",'2007-2020 Metadata'!$A$4:$S$4,0),FALSE)</f>
        <v>SH</v>
      </c>
      <c r="AG13" s="143">
        <f t="shared" si="11"/>
        <v>23.719895287958117</v>
      </c>
      <c r="AH13" s="143">
        <f t="shared" si="12"/>
        <v>54.738219895287955</v>
      </c>
      <c r="AI13" s="144">
        <f t="shared" si="13"/>
        <v>29.923304662179003</v>
      </c>
    </row>
    <row r="14" spans="2:35" ht="12" customHeight="1" x14ac:dyDescent="0.2">
      <c r="B14" s="71" t="s">
        <v>9</v>
      </c>
      <c r="C14" s="71"/>
      <c r="D14" s="72">
        <v>23.075916230366492</v>
      </c>
      <c r="E14" s="72"/>
      <c r="F14" s="72">
        <v>25.65183246073298</v>
      </c>
      <c r="G14" s="72">
        <v>30.803664921465966</v>
      </c>
      <c r="H14" s="72">
        <v>21.251308900523561</v>
      </c>
      <c r="I14" s="72">
        <v>34.882198952879577</v>
      </c>
      <c r="J14" s="72">
        <v>47.654450261780099</v>
      </c>
      <c r="K14" s="72">
        <v>45.829842931937172</v>
      </c>
      <c r="L14" s="72">
        <v>30.052356020942405</v>
      </c>
      <c r="M14" s="72">
        <v>32.198952879581149</v>
      </c>
      <c r="N14" s="72">
        <v>35.311518324607327</v>
      </c>
      <c r="O14" s="72">
        <v>14.489528795811518</v>
      </c>
      <c r="P14" s="74">
        <f t="shared" si="0"/>
        <v>31.018324607329841</v>
      </c>
      <c r="Q14" s="38">
        <f t="shared" si="1"/>
        <v>0.91666666666666663</v>
      </c>
      <c r="R14" s="140">
        <f t="shared" si="2"/>
        <v>24.363874345549736</v>
      </c>
      <c r="S14" s="24">
        <f t="shared" si="3"/>
        <v>0.66666666666666663</v>
      </c>
      <c r="T14" s="140">
        <f t="shared" si="4"/>
        <v>41.178883071553223</v>
      </c>
      <c r="U14" s="9">
        <f t="shared" si="5"/>
        <v>1</v>
      </c>
      <c r="V14" s="141">
        <f t="shared" si="6"/>
        <v>31.018324607329841</v>
      </c>
      <c r="W14" s="142">
        <f t="shared" si="7"/>
        <v>0.91666666666666663</v>
      </c>
      <c r="X14" s="144">
        <f t="shared" si="8"/>
        <v>21.81926265270506</v>
      </c>
      <c r="Y14" s="144">
        <f t="shared" si="9"/>
        <v>35.803446771378702</v>
      </c>
      <c r="Z14" s="144">
        <f t="shared" si="10"/>
        <v>29.923304662179003</v>
      </c>
      <c r="AA14" s="10"/>
      <c r="AB14" s="357" t="str">
        <f>VLOOKUP($B14,'2007-2020 Metadata'!$A$4:$S$214,MATCH("Urban Area /Monitoring Zone",'2007-2020 Metadata'!$A$4:$S$4,0),FALSE)</f>
        <v>Auckland - Central</v>
      </c>
      <c r="AC14" s="87" t="str">
        <f>VLOOKUP($B14,'2007-2020 Metadata'!$A$6:$A$214,1,FALSE)</f>
        <v>AUC011</v>
      </c>
      <c r="AD14" s="230" t="str">
        <f>VLOOKUP($AC14,'2007-2020 Metadata'!$A$6:$S$214,9,FALSE)</f>
        <v>Auckland</v>
      </c>
      <c r="AE14" s="248">
        <f>IF(ISBLANK(VLOOKUP($AC14,'2007-2020 Metadata'!$A$6:$S$214,19,FALSE)),"",VLOOKUP($AC14,'2007-2020 Metadata'!$A$6:$S$214,19,FALSE))</f>
        <v>3</v>
      </c>
      <c r="AF14" s="88" t="str">
        <f>VLOOKUP($B14,'2007-2020 Metadata'!$A$4:$S$214,MATCH("Site type",'2007-2020 Metadata'!$A$4:$S$4,0),FALSE)</f>
        <v>SH</v>
      </c>
      <c r="AG14" s="143">
        <f t="shared" si="11"/>
        <v>14.489528795811518</v>
      </c>
      <c r="AH14" s="143">
        <f t="shared" si="12"/>
        <v>47.654450261780099</v>
      </c>
      <c r="AI14" s="144">
        <f t="shared" si="13"/>
        <v>29.923304662179003</v>
      </c>
    </row>
    <row r="15" spans="2:35" ht="12" customHeight="1" x14ac:dyDescent="0.2">
      <c r="B15" s="71" t="s">
        <v>10</v>
      </c>
      <c r="C15" s="71"/>
      <c r="D15" s="72">
        <v>18.13874345549738</v>
      </c>
      <c r="E15" s="72">
        <v>18.997382198952881</v>
      </c>
      <c r="F15" s="72">
        <v>26.081151832460733</v>
      </c>
      <c r="G15" s="72">
        <v>30.696335078534034</v>
      </c>
      <c r="H15" s="72">
        <v>36.492146596858639</v>
      </c>
      <c r="I15" s="72">
        <v>40.03403141361256</v>
      </c>
      <c r="J15" s="72">
        <v>37.136125654450261</v>
      </c>
      <c r="K15" s="72">
        <v>38.531413612565444</v>
      </c>
      <c r="L15" s="72">
        <v>24.363874345549736</v>
      </c>
      <c r="M15" s="72">
        <v>23.183246073298427</v>
      </c>
      <c r="N15" s="72">
        <v>26.617801047120416</v>
      </c>
      <c r="O15" s="72">
        <v>11.162303664921465</v>
      </c>
      <c r="P15" s="74">
        <f t="shared" si="0"/>
        <v>27.619546247818501</v>
      </c>
      <c r="Q15" s="38">
        <f t="shared" si="1"/>
        <v>1</v>
      </c>
      <c r="R15" s="140">
        <f t="shared" si="2"/>
        <v>21.072425828970331</v>
      </c>
      <c r="S15" s="24">
        <f t="shared" si="3"/>
        <v>1</v>
      </c>
      <c r="T15" s="260">
        <f t="shared" si="4"/>
        <v>33.343804537521812</v>
      </c>
      <c r="U15" s="265">
        <f t="shared" si="5"/>
        <v>1</v>
      </c>
      <c r="V15" s="262">
        <f t="shared" si="6"/>
        <v>27.619546247818501</v>
      </c>
      <c r="W15" s="261">
        <f t="shared" si="7"/>
        <v>1</v>
      </c>
      <c r="X15" s="177">
        <f t="shared" si="8"/>
        <v>21.81926265270506</v>
      </c>
      <c r="Y15" s="177">
        <f t="shared" si="9"/>
        <v>35.803446771378702</v>
      </c>
      <c r="Z15" s="177">
        <f t="shared" si="10"/>
        <v>29.923304662179003</v>
      </c>
      <c r="AA15" s="10"/>
      <c r="AB15" s="357" t="str">
        <f>VLOOKUP($B15,'2007-2020 Metadata'!$A$4:$S$214,MATCH("Urban Area /Monitoring Zone",'2007-2020 Metadata'!$A$4:$S$4,0),FALSE)</f>
        <v>Auckland - Central</v>
      </c>
      <c r="AC15" s="259" t="str">
        <f>VLOOKUP($B15,'2007-2020 Metadata'!$A$6:$A$214,1,FALSE)</f>
        <v>AUC013</v>
      </c>
      <c r="AD15" s="256" t="str">
        <f>VLOOKUP($AC15,'2007-2020 Metadata'!$A$6:$S$214,9,FALSE)</f>
        <v>Auckland</v>
      </c>
      <c r="AE15" s="263">
        <f>IF(ISBLANK(VLOOKUP($AC15,'2007-2020 Metadata'!$A$6:$S$214,19,FALSE)),"",VLOOKUP($AC15,'2007-2020 Metadata'!$A$6:$S$214,19,FALSE))</f>
        <v>4</v>
      </c>
      <c r="AF15" s="257" t="str">
        <f>VLOOKUP($B15,'2007-2020 Metadata'!$A$4:$S$214,MATCH("Site type",'2007-2020 Metadata'!$A$4:$S$4,0),FALSE)</f>
        <v>SH</v>
      </c>
      <c r="AG15" s="258">
        <f>MIN(AVERAGE(D$15:D$17),AVERAGE(E$15:E$17),AVERAGE(F$15:F$17),AVERAGE(G$15:G$17),AVERAGE(H$15:H$17),AVERAGE(I$15:I$17),AVERAGE(J$15:J$17),AVERAGE(K$15:K$17),AVERAGE(L$15:L$17),AVERAGE(M$15:M$17),AVERAGE(N$15:N$17),AVERAGE(O$15:O$17))</f>
        <v>10.053228621291447</v>
      </c>
      <c r="AH15" s="258">
        <f>MAX(AVERAGE(D$15:D$17),AVERAGE(E$15:E$17),AVERAGE(F$15:F$17),AVERAGE(G$15:G$17),AVERAGE(H$15:H$17),AVERAGE(I$15:I$17),AVERAGE(J$15:J$17),AVERAGE(K$15:K$17),AVERAGE(L$15:L$17),AVERAGE(M$15:M$17),AVERAGE(N$15:N$17),AVERAGE(O$15:O$17))</f>
        <v>39.640488656195458</v>
      </c>
      <c r="AI15" s="177">
        <f t="shared" si="13"/>
        <v>29.923304662179003</v>
      </c>
    </row>
    <row r="16" spans="2:35" ht="12" customHeight="1" x14ac:dyDescent="0.2">
      <c r="B16" s="71" t="s">
        <v>11</v>
      </c>
      <c r="C16" s="71"/>
      <c r="D16" s="72">
        <v>22.002617801047119</v>
      </c>
      <c r="E16" s="72">
        <v>15.777486910994762</v>
      </c>
      <c r="F16" s="72">
        <v>22.539267015706805</v>
      </c>
      <c r="G16" s="72">
        <v>33.272251308900522</v>
      </c>
      <c r="H16" s="72">
        <v>31.018324607329841</v>
      </c>
      <c r="I16" s="72">
        <v>40.248691099476439</v>
      </c>
      <c r="J16" s="72">
        <v>35.096858638743456</v>
      </c>
      <c r="K16" s="72">
        <v>33.272251308900522</v>
      </c>
      <c r="L16" s="72">
        <v>25.65183246073298</v>
      </c>
      <c r="M16" s="72">
        <v>27.583769633507849</v>
      </c>
      <c r="N16" s="72">
        <v>21.251308900523561</v>
      </c>
      <c r="O16" s="72">
        <v>9.6596858638743459</v>
      </c>
      <c r="P16" s="74">
        <f t="shared" si="0"/>
        <v>26.447862129144852</v>
      </c>
      <c r="Q16" s="38">
        <f t="shared" si="1"/>
        <v>1</v>
      </c>
      <c r="R16" s="140">
        <f t="shared" si="2"/>
        <v>20.106457242582895</v>
      </c>
      <c r="S16" s="24">
        <f t="shared" si="3"/>
        <v>1</v>
      </c>
      <c r="T16" s="260">
        <f t="shared" si="4"/>
        <v>31.340314136125652</v>
      </c>
      <c r="U16" s="265">
        <f t="shared" si="5"/>
        <v>1</v>
      </c>
      <c r="V16" s="262">
        <f t="shared" si="6"/>
        <v>26.447862129144852</v>
      </c>
      <c r="W16" s="261">
        <f t="shared" si="7"/>
        <v>1</v>
      </c>
      <c r="X16" s="177">
        <f t="shared" si="8"/>
        <v>21.81926265270506</v>
      </c>
      <c r="Y16" s="177">
        <f t="shared" si="9"/>
        <v>35.803446771378702</v>
      </c>
      <c r="Z16" s="177">
        <f t="shared" si="10"/>
        <v>29.923304662179003</v>
      </c>
      <c r="AA16" s="10"/>
      <c r="AB16" s="357" t="str">
        <f>VLOOKUP($B16,'2007-2020 Metadata'!$A$4:$S$214,MATCH("Urban Area /Monitoring Zone",'2007-2020 Metadata'!$A$4:$S$4,0),FALSE)</f>
        <v>Auckland - Central</v>
      </c>
      <c r="AC16" s="259" t="str">
        <f>VLOOKUP($B16,'2007-2020 Metadata'!$A$6:$A$214,1,FALSE)</f>
        <v>AUC014</v>
      </c>
      <c r="AD16" s="256" t="str">
        <f>VLOOKUP($AC16,'2007-2020 Metadata'!$A$6:$S$214,9,FALSE)</f>
        <v>Auckland</v>
      </c>
      <c r="AE16" s="263">
        <f>IF(ISBLANK(VLOOKUP($AC16,'2007-2020 Metadata'!$A$6:$S$214,19,FALSE)),"",VLOOKUP($AC16,'2007-2020 Metadata'!$A$6:$S$214,19,FALSE))</f>
        <v>4</v>
      </c>
      <c r="AF16" s="257" t="str">
        <f>VLOOKUP($B16,'2007-2020 Metadata'!$A$4:$S$214,MATCH("Site type",'2007-2020 Metadata'!$A$4:$S$4,0),FALSE)</f>
        <v>SH</v>
      </c>
      <c r="AG16" s="258">
        <f>MIN(AVERAGE(D$15:D$17),AVERAGE(E$15:E$17),AVERAGE(F$15:F$17),AVERAGE(G$15:G$17),AVERAGE(H$15:H$17),AVERAGE(I$15:I$17),AVERAGE(J$15:J$17),AVERAGE(K$15:K$17),AVERAGE(L$15:L$17),AVERAGE(M$15:M$17),AVERAGE(N$15:N$17),AVERAGE(O$15:O$17))</f>
        <v>10.053228621291447</v>
      </c>
      <c r="AH16" s="258">
        <f t="shared" ref="AH16:AH17" si="14">MAX(AVERAGE(D$15:D$17),AVERAGE(E$15:E$17),AVERAGE(F$15:F$17),AVERAGE(G$15:G$17),AVERAGE(H$15:H$17),AVERAGE(I$15:I$17),AVERAGE(J$15:J$17),AVERAGE(K$15:K$17),AVERAGE(L$15:L$17),AVERAGE(M$15:M$17),AVERAGE(N$15:N$17),AVERAGE(O$15:O$17))</f>
        <v>39.640488656195458</v>
      </c>
      <c r="AI16" s="177">
        <f t="shared" si="13"/>
        <v>29.923304662179003</v>
      </c>
    </row>
    <row r="17" spans="2:35" ht="12" customHeight="1" x14ac:dyDescent="0.2">
      <c r="B17" s="71" t="s">
        <v>12</v>
      </c>
      <c r="C17" s="71"/>
      <c r="D17" s="72">
        <v>21.143979057591622</v>
      </c>
      <c r="E17" s="72">
        <v>14.060209424083768</v>
      </c>
      <c r="F17" s="72">
        <v>23.290575916230367</v>
      </c>
      <c r="G17" s="72">
        <v>32.413612565445028</v>
      </c>
      <c r="H17" s="72">
        <v>32.413612565445028</v>
      </c>
      <c r="I17" s="72">
        <v>38.638743455497384</v>
      </c>
      <c r="J17" s="72">
        <v>39.068062827225127</v>
      </c>
      <c r="K17" s="72">
        <v>36.921465968586382</v>
      </c>
      <c r="L17" s="72">
        <v>24.471204188481675</v>
      </c>
      <c r="M17" s="72">
        <v>33.05759162303665</v>
      </c>
      <c r="N17" s="72">
        <v>21.787958115183248</v>
      </c>
      <c r="O17" s="72">
        <v>9.3376963350785331</v>
      </c>
      <c r="P17" s="74">
        <f t="shared" si="0"/>
        <v>27.217059336823734</v>
      </c>
      <c r="Q17" s="38">
        <f t="shared" si="1"/>
        <v>1</v>
      </c>
      <c r="R17" s="140">
        <f t="shared" si="2"/>
        <v>19.498254799301918</v>
      </c>
      <c r="S17" s="24">
        <f t="shared" si="3"/>
        <v>1</v>
      </c>
      <c r="T17" s="260">
        <f t="shared" si="4"/>
        <v>33.486910994764393</v>
      </c>
      <c r="U17" s="265">
        <f t="shared" si="5"/>
        <v>1</v>
      </c>
      <c r="V17" s="262">
        <f t="shared" si="6"/>
        <v>27.217059336823734</v>
      </c>
      <c r="W17" s="261">
        <f t="shared" si="7"/>
        <v>1</v>
      </c>
      <c r="X17" s="177">
        <f t="shared" si="8"/>
        <v>21.81926265270506</v>
      </c>
      <c r="Y17" s="177">
        <f t="shared" si="9"/>
        <v>35.803446771378702</v>
      </c>
      <c r="Z17" s="177">
        <f t="shared" si="10"/>
        <v>29.923304662179003</v>
      </c>
      <c r="AA17" s="10"/>
      <c r="AB17" s="357" t="str">
        <f>VLOOKUP($B17,'2007-2020 Metadata'!$A$4:$S$214,MATCH("Urban Area /Monitoring Zone",'2007-2020 Metadata'!$A$4:$S$4,0),FALSE)</f>
        <v>Auckland - Central</v>
      </c>
      <c r="AC17" s="259" t="str">
        <f>VLOOKUP($B17,'2007-2020 Metadata'!$A$6:$A$214,1,FALSE)</f>
        <v>AUC015</v>
      </c>
      <c r="AD17" s="256" t="str">
        <f>VLOOKUP($AC17,'2007-2020 Metadata'!$A$6:$S$214,9,FALSE)</f>
        <v>Auckland</v>
      </c>
      <c r="AE17" s="263">
        <f>IF(ISBLANK(VLOOKUP($AC17,'2007-2020 Metadata'!$A$6:$S$214,19,FALSE)),"",VLOOKUP($AC17,'2007-2020 Metadata'!$A$6:$S$214,19,FALSE))</f>
        <v>4</v>
      </c>
      <c r="AF17" s="257" t="str">
        <f>VLOOKUP($B17,'2007-2020 Metadata'!$A$4:$S$214,MATCH("Site type",'2007-2020 Metadata'!$A$4:$S$4,0),FALSE)</f>
        <v>SH</v>
      </c>
      <c r="AG17" s="258">
        <f>MIN(AVERAGE(D$15:D$17),AVERAGE(E$15:E$17),AVERAGE(F$15:F$17),AVERAGE(G$15:G$17),AVERAGE(H$15:H$17),AVERAGE(I$15:I$17),AVERAGE(J$15:J$17),AVERAGE(K$15:K$17),AVERAGE(L$15:L$17),AVERAGE(M$15:M$17),AVERAGE(N$15:N$17),AVERAGE(O$15:O$17))</f>
        <v>10.053228621291447</v>
      </c>
      <c r="AH17" s="258">
        <f t="shared" si="14"/>
        <v>39.640488656195458</v>
      </c>
      <c r="AI17" s="177">
        <f t="shared" si="13"/>
        <v>29.923304662179003</v>
      </c>
    </row>
    <row r="18" spans="2:35" ht="12" customHeight="1" x14ac:dyDescent="0.2">
      <c r="B18" s="71" t="s">
        <v>13</v>
      </c>
      <c r="C18" s="71"/>
      <c r="D18" s="72"/>
      <c r="E18" s="72"/>
      <c r="F18" s="72">
        <v>22.539267015706805</v>
      </c>
      <c r="G18" s="72">
        <v>22.753926701570681</v>
      </c>
      <c r="H18" s="72">
        <v>33.379581151832461</v>
      </c>
      <c r="I18" s="72">
        <v>33.808900523560204</v>
      </c>
      <c r="J18" s="72">
        <v>30.589005235602091</v>
      </c>
      <c r="K18" s="72">
        <v>30.159685863874348</v>
      </c>
      <c r="L18" s="72">
        <v>27.261780104712038</v>
      </c>
      <c r="M18" s="72"/>
      <c r="N18" s="72">
        <v>22.861256544502616</v>
      </c>
      <c r="O18" s="72">
        <v>15.562827225130889</v>
      </c>
      <c r="P18" s="74">
        <f t="shared" si="0"/>
        <v>26.546247818499129</v>
      </c>
      <c r="Q18" s="38">
        <f t="shared" si="1"/>
        <v>0.75</v>
      </c>
      <c r="R18" s="140" t="str">
        <f t="shared" si="2"/>
        <v>-</v>
      </c>
      <c r="S18" s="24">
        <f t="shared" si="3"/>
        <v>0.33333333333333331</v>
      </c>
      <c r="T18" s="140">
        <f t="shared" si="4"/>
        <v>29.336823734729492</v>
      </c>
      <c r="U18" s="9">
        <f t="shared" si="5"/>
        <v>1</v>
      </c>
      <c r="V18" s="141">
        <f t="shared" si="6"/>
        <v>26.546247818499129</v>
      </c>
      <c r="W18" s="142">
        <f t="shared" si="7"/>
        <v>0.75</v>
      </c>
      <c r="X18" s="144">
        <f t="shared" si="8"/>
        <v>14.471640488656195</v>
      </c>
      <c r="Y18" s="144">
        <f t="shared" si="9"/>
        <v>27.386998254799305</v>
      </c>
      <c r="Z18" s="144">
        <f t="shared" si="10"/>
        <v>21.993673647469461</v>
      </c>
      <c r="AA18" s="10"/>
      <c r="AB18" s="357" t="str">
        <f>VLOOKUP($B18,'2007-2020 Metadata'!$A$4:$S$214,MATCH("Urban Area /Monitoring Zone",'2007-2020 Metadata'!$A$4:$S$4,0),FALSE)</f>
        <v xml:space="preserve">Auckland - Southern </v>
      </c>
      <c r="AC18" s="87" t="str">
        <f>VLOOKUP($B18,'2007-2020 Metadata'!$A$6:$A$214,1,FALSE)</f>
        <v>AUC018</v>
      </c>
      <c r="AD18" s="230" t="str">
        <f>VLOOKUP($AC18,'2007-2020 Metadata'!$A$6:$S$214,9,FALSE)</f>
        <v>Manukau</v>
      </c>
      <c r="AE18" s="248">
        <f>IF(ISBLANK(VLOOKUP($AC18,'2007-2020 Metadata'!$A$6:$S$214,19,FALSE)),"",VLOOKUP($AC18,'2007-2020 Metadata'!$A$6:$S$214,19,FALSE))</f>
        <v>3</v>
      </c>
      <c r="AF18" s="88" t="str">
        <f>VLOOKUP($B18,'2007-2020 Metadata'!$A$4:$S$214,MATCH("Site type",'2007-2020 Metadata'!$A$4:$S$4,0),FALSE)</f>
        <v>SH</v>
      </c>
      <c r="AG18" s="143">
        <f t="shared" si="11"/>
        <v>15.562827225130889</v>
      </c>
      <c r="AH18" s="143">
        <f t="shared" si="12"/>
        <v>33.808900523560204</v>
      </c>
      <c r="AI18" s="144">
        <f t="shared" si="13"/>
        <v>21.993673647469461</v>
      </c>
    </row>
    <row r="19" spans="2:35" ht="12" customHeight="1" x14ac:dyDescent="0.2">
      <c r="B19" s="71" t="s">
        <v>14</v>
      </c>
      <c r="C19" s="71"/>
      <c r="D19" s="72">
        <v>6.9764397905759159</v>
      </c>
      <c r="E19" s="72">
        <v>16.528795811518325</v>
      </c>
      <c r="F19" s="72">
        <v>17.065445026178008</v>
      </c>
      <c r="G19" s="72">
        <v>22.217277486910994</v>
      </c>
      <c r="H19" s="72">
        <v>23.290575916230367</v>
      </c>
      <c r="I19" s="72">
        <v>27.583769633507849</v>
      </c>
      <c r="J19" s="72">
        <v>35.526178010471206</v>
      </c>
      <c r="K19" s="72">
        <v>21.465968586387437</v>
      </c>
      <c r="L19" s="72">
        <v>28.871727748691097</v>
      </c>
      <c r="M19" s="72">
        <v>16.636125654450261</v>
      </c>
      <c r="N19" s="72">
        <v>12.020942408376962</v>
      </c>
      <c r="O19" s="72">
        <v>13.201570680628272</v>
      </c>
      <c r="P19" s="74">
        <f t="shared" si="0"/>
        <v>20.115401396160557</v>
      </c>
      <c r="Q19" s="38">
        <f t="shared" si="1"/>
        <v>1</v>
      </c>
      <c r="R19" s="140">
        <f t="shared" si="2"/>
        <v>13.523560209424083</v>
      </c>
      <c r="S19" s="24">
        <f t="shared" si="3"/>
        <v>1</v>
      </c>
      <c r="T19" s="140">
        <f t="shared" si="4"/>
        <v>28.621291448516583</v>
      </c>
      <c r="U19" s="9">
        <f t="shared" si="5"/>
        <v>1</v>
      </c>
      <c r="V19" s="141">
        <f t="shared" si="6"/>
        <v>20.115401396160557</v>
      </c>
      <c r="W19" s="142">
        <f t="shared" si="7"/>
        <v>1</v>
      </c>
      <c r="X19" s="144">
        <f t="shared" si="8"/>
        <v>14.471640488656195</v>
      </c>
      <c r="Y19" s="144">
        <f t="shared" si="9"/>
        <v>27.386998254799305</v>
      </c>
      <c r="Z19" s="144">
        <f t="shared" si="10"/>
        <v>21.993673647469461</v>
      </c>
      <c r="AA19" s="10"/>
      <c r="AB19" s="357" t="str">
        <f>VLOOKUP($B19,'2007-2020 Metadata'!$A$4:$S$214,MATCH("Urban Area /Monitoring Zone",'2007-2020 Metadata'!$A$4:$S$4,0),FALSE)</f>
        <v xml:space="preserve">Auckland - Southern </v>
      </c>
      <c r="AC19" s="87" t="str">
        <f>VLOOKUP($B19,'2007-2020 Metadata'!$A$6:$A$214,1,FALSE)</f>
        <v>AUC019</v>
      </c>
      <c r="AD19" s="230" t="str">
        <f>VLOOKUP($AC19,'2007-2020 Metadata'!$A$6:$S$214,9,FALSE)</f>
        <v>Manukau</v>
      </c>
      <c r="AE19" s="248">
        <f>IF(ISBLANK(VLOOKUP($AC19,'2007-2020 Metadata'!$A$6:$S$214,19,FALSE)),"",VLOOKUP($AC19,'2007-2020 Metadata'!$A$6:$S$214,19,FALSE))</f>
        <v>2</v>
      </c>
      <c r="AF19" s="88" t="str">
        <f>VLOOKUP($B19,'2007-2020 Metadata'!$A$4:$S$214,MATCH("Site type",'2007-2020 Metadata'!$A$4:$S$4,0),FALSE)</f>
        <v>SH</v>
      </c>
      <c r="AG19" s="143">
        <f t="shared" si="11"/>
        <v>6.9764397905759159</v>
      </c>
      <c r="AH19" s="143">
        <f t="shared" si="12"/>
        <v>35.526178010471206</v>
      </c>
      <c r="AI19" s="144">
        <f t="shared" si="13"/>
        <v>21.993673647469461</v>
      </c>
    </row>
    <row r="20" spans="2:35" ht="12" customHeight="1" x14ac:dyDescent="0.2">
      <c r="B20" s="71" t="s">
        <v>15</v>
      </c>
      <c r="C20" s="71"/>
      <c r="D20" s="72"/>
      <c r="E20" s="72">
        <v>9.9816753926701569</v>
      </c>
      <c r="F20" s="72">
        <v>10.19633507853403</v>
      </c>
      <c r="G20" s="72">
        <v>15.777486910994762</v>
      </c>
      <c r="H20" s="72">
        <v>11.37696335078534</v>
      </c>
      <c r="I20" s="72">
        <v>20.929319371727747</v>
      </c>
      <c r="J20" s="72">
        <v>20.178010471204185</v>
      </c>
      <c r="K20" s="72">
        <v>18.031413612565448</v>
      </c>
      <c r="L20" s="72">
        <v>15.562827225130889</v>
      </c>
      <c r="M20" s="72">
        <v>14.704188481675391</v>
      </c>
      <c r="N20" s="72">
        <v>13.630890052356019</v>
      </c>
      <c r="O20" s="72">
        <v>6.654450261780104</v>
      </c>
      <c r="P20" s="74">
        <f t="shared" si="0"/>
        <v>14.274869109947645</v>
      </c>
      <c r="Q20" s="38">
        <f t="shared" si="1"/>
        <v>0.91666666666666663</v>
      </c>
      <c r="R20" s="140">
        <f t="shared" si="2"/>
        <v>10.089005235602095</v>
      </c>
      <c r="S20" s="24">
        <f t="shared" si="3"/>
        <v>0.66666666666666663</v>
      </c>
      <c r="T20" s="140">
        <f t="shared" si="4"/>
        <v>17.924083769633508</v>
      </c>
      <c r="U20" s="9">
        <f t="shared" si="5"/>
        <v>1</v>
      </c>
      <c r="V20" s="141">
        <f t="shared" si="6"/>
        <v>14.274869109947645</v>
      </c>
      <c r="W20" s="142">
        <f t="shared" si="7"/>
        <v>0.91666666666666663</v>
      </c>
      <c r="X20" s="144">
        <f t="shared" si="8"/>
        <v>10.089005235602095</v>
      </c>
      <c r="Y20" s="144">
        <f t="shared" si="9"/>
        <v>17.924083769633508</v>
      </c>
      <c r="Z20" s="144">
        <f t="shared" si="10"/>
        <v>14.274869109947645</v>
      </c>
      <c r="AA20" s="10"/>
      <c r="AB20" s="357" t="str">
        <f>VLOOKUP($B20,'2007-2020 Metadata'!$A$4:$S$214,MATCH("Urban Area /Monitoring Zone",'2007-2020 Metadata'!$A$4:$S$4,0),FALSE)</f>
        <v>Auckland - Western</v>
      </c>
      <c r="AC20" s="87" t="str">
        <f>VLOOKUP($B20,'2007-2020 Metadata'!$A$6:$A$214,1,FALSE)</f>
        <v>AUC020</v>
      </c>
      <c r="AD20" s="230" t="str">
        <f>VLOOKUP($AC20,'2007-2020 Metadata'!$A$6:$S$214,9,FALSE)</f>
        <v>Waitakere</v>
      </c>
      <c r="AE20" s="248">
        <f>IF(ISBLANK(VLOOKUP($AC20,'2007-2020 Metadata'!$A$6:$S$214,19,FALSE)),"",VLOOKUP($AC20,'2007-2020 Metadata'!$A$6:$S$214,19,FALSE))</f>
        <v>2</v>
      </c>
      <c r="AF20" s="88" t="str">
        <f>VLOOKUP($B20,'2007-2020 Metadata'!$A$4:$S$214,MATCH("Site type",'2007-2020 Metadata'!$A$4:$S$4,0),FALSE)</f>
        <v>SH</v>
      </c>
      <c r="AG20" s="143">
        <f t="shared" si="11"/>
        <v>6.654450261780104</v>
      </c>
      <c r="AH20" s="143">
        <f t="shared" si="12"/>
        <v>20.929319371727747</v>
      </c>
      <c r="AI20" s="144">
        <f t="shared" si="13"/>
        <v>14.274869109947645</v>
      </c>
    </row>
    <row r="21" spans="2:35" ht="12" customHeight="1" x14ac:dyDescent="0.2">
      <c r="B21" s="71" t="s">
        <v>16</v>
      </c>
      <c r="C21" s="71"/>
      <c r="D21" s="72"/>
      <c r="E21" s="72"/>
      <c r="F21" s="72"/>
      <c r="G21" s="72">
        <v>17.602094240837694</v>
      </c>
      <c r="H21" s="72">
        <v>18.353403141361259</v>
      </c>
      <c r="I21" s="72"/>
      <c r="J21" s="72">
        <v>35.633507853403145</v>
      </c>
      <c r="K21" s="72">
        <v>16.636125654450261</v>
      </c>
      <c r="L21" s="72">
        <v>22.646596858638741</v>
      </c>
      <c r="M21" s="72">
        <v>11.591623036649214</v>
      </c>
      <c r="N21" s="72">
        <v>15.670157068062826</v>
      </c>
      <c r="O21" s="72">
        <v>13.094240837696335</v>
      </c>
      <c r="P21" s="74">
        <f t="shared" si="0"/>
        <v>18.903468586387433</v>
      </c>
      <c r="Q21" s="38">
        <f t="shared" si="1"/>
        <v>0.66666666666666663</v>
      </c>
      <c r="R21" s="140" t="str">
        <f t="shared" si="2"/>
        <v/>
      </c>
      <c r="S21" s="24">
        <f t="shared" si="3"/>
        <v>0</v>
      </c>
      <c r="T21" s="140">
        <f t="shared" si="4"/>
        <v>24.972076788830716</v>
      </c>
      <c r="U21" s="9">
        <f t="shared" si="5"/>
        <v>1</v>
      </c>
      <c r="V21" s="141" t="str">
        <f t="shared" si="6"/>
        <v>-</v>
      </c>
      <c r="W21" s="142">
        <f t="shared" si="7"/>
        <v>0.66666666666666663</v>
      </c>
      <c r="X21" s="144">
        <f t="shared" si="8"/>
        <v>21.81926265270506</v>
      </c>
      <c r="Y21" s="144">
        <f t="shared" si="9"/>
        <v>35.803446771378702</v>
      </c>
      <c r="Z21" s="144">
        <f t="shared" si="10"/>
        <v>29.923304662179003</v>
      </c>
      <c r="AA21" s="10"/>
      <c r="AB21" s="357" t="str">
        <f>VLOOKUP($B21,'2007-2020 Metadata'!$A$4:$S$214,MATCH("Urban Area /Monitoring Zone",'2007-2020 Metadata'!$A$4:$S$4,0),FALSE)</f>
        <v>Auckland - Central</v>
      </c>
      <c r="AC21" s="87" t="str">
        <f>VLOOKUP($B21,'2007-2020 Metadata'!$A$6:$A$214,1,FALSE)</f>
        <v>AUC021</v>
      </c>
      <c r="AD21" s="230" t="str">
        <f>VLOOKUP($AC21,'2007-2020 Metadata'!$A$6:$S$214,9,FALSE)</f>
        <v>Auckland</v>
      </c>
      <c r="AE21" s="248">
        <f>IF(ISBLANK(VLOOKUP($AC21,'2007-2020 Metadata'!$A$6:$S$214,19,FALSE)),"",VLOOKUP($AC21,'2007-2020 Metadata'!$A$6:$S$214,19,FALSE))</f>
        <v>3</v>
      </c>
      <c r="AF21" s="88" t="str">
        <f>VLOOKUP($B21,'2007-2020 Metadata'!$A$4:$S$214,MATCH("Site type",'2007-2020 Metadata'!$A$4:$S$4,0),FALSE)</f>
        <v>Background</v>
      </c>
      <c r="AG21" s="143">
        <f t="shared" si="11"/>
        <v>11.591623036649214</v>
      </c>
      <c r="AH21" s="143">
        <f t="shared" si="12"/>
        <v>35.633507853403145</v>
      </c>
      <c r="AI21" s="144" t="str">
        <f t="shared" si="13"/>
        <v xml:space="preserve"> </v>
      </c>
    </row>
    <row r="22" spans="2:35" ht="12" customHeight="1" x14ac:dyDescent="0.2">
      <c r="B22" s="71" t="s">
        <v>17</v>
      </c>
      <c r="C22" s="71"/>
      <c r="D22" s="72">
        <v>21.680628272251305</v>
      </c>
      <c r="E22" s="72">
        <v>24.256544502617803</v>
      </c>
      <c r="F22" s="72">
        <v>27.369109947643977</v>
      </c>
      <c r="G22" s="72">
        <v>27.369109947643977</v>
      </c>
      <c r="H22" s="72">
        <v>32.950261780104711</v>
      </c>
      <c r="I22" s="72">
        <v>30.374345549738219</v>
      </c>
      <c r="J22" s="72">
        <v>42.717277486910987</v>
      </c>
      <c r="K22" s="72">
        <v>36.921465968586382</v>
      </c>
      <c r="L22" s="72">
        <v>37.458115183246065</v>
      </c>
      <c r="M22" s="72">
        <v>26.081151832460733</v>
      </c>
      <c r="N22" s="72">
        <v>31.876963350785335</v>
      </c>
      <c r="O22" s="72">
        <v>20.392670157068061</v>
      </c>
      <c r="P22" s="74">
        <f t="shared" si="0"/>
        <v>29.953970331588128</v>
      </c>
      <c r="Q22" s="38">
        <f t="shared" si="1"/>
        <v>1</v>
      </c>
      <c r="R22" s="140">
        <f t="shared" si="2"/>
        <v>24.43542757417103</v>
      </c>
      <c r="S22" s="24">
        <f t="shared" si="3"/>
        <v>1</v>
      </c>
      <c r="T22" s="140">
        <f t="shared" si="4"/>
        <v>39.032286212914478</v>
      </c>
      <c r="U22" s="9">
        <f t="shared" si="5"/>
        <v>1</v>
      </c>
      <c r="V22" s="141">
        <f t="shared" si="6"/>
        <v>29.953970331588128</v>
      </c>
      <c r="W22" s="142">
        <f t="shared" si="7"/>
        <v>1</v>
      </c>
      <c r="X22" s="144">
        <f t="shared" si="8"/>
        <v>21.81926265270506</v>
      </c>
      <c r="Y22" s="144">
        <f t="shared" si="9"/>
        <v>35.803446771378702</v>
      </c>
      <c r="Z22" s="144">
        <f t="shared" si="10"/>
        <v>29.923304662179003</v>
      </c>
      <c r="AA22" s="10"/>
      <c r="AB22" s="357" t="str">
        <f>VLOOKUP($B22,'2007-2020 Metadata'!$A$4:$S$214,MATCH("Urban Area /Monitoring Zone",'2007-2020 Metadata'!$A$4:$S$4,0),FALSE)</f>
        <v>Auckland - Central</v>
      </c>
      <c r="AC22" s="87" t="str">
        <f>VLOOKUP($B22,'2007-2020 Metadata'!$A$6:$A$214,1,FALSE)</f>
        <v>AUC022</v>
      </c>
      <c r="AD22" s="230" t="str">
        <f>VLOOKUP($AC22,'2007-2020 Metadata'!$A$6:$S$214,9,FALSE)</f>
        <v>Auckland</v>
      </c>
      <c r="AE22" s="248">
        <f>IF(ISBLANK(VLOOKUP($AC22,'2007-2020 Metadata'!$A$6:$S$214,19,FALSE)),"",VLOOKUP($AC22,'2007-2020 Metadata'!$A$6:$S$214,19,FALSE))</f>
        <v>3</v>
      </c>
      <c r="AF22" s="88" t="str">
        <f>VLOOKUP($B22,'2007-2020 Metadata'!$A$4:$S$214,MATCH("Site type",'2007-2020 Metadata'!$A$4:$S$4,0),FALSE)</f>
        <v>SH</v>
      </c>
      <c r="AG22" s="143">
        <f t="shared" si="11"/>
        <v>20.392670157068061</v>
      </c>
      <c r="AH22" s="143">
        <f t="shared" si="12"/>
        <v>42.717277486910987</v>
      </c>
      <c r="AI22" s="144">
        <f t="shared" si="13"/>
        <v>29.923304662179003</v>
      </c>
    </row>
    <row r="23" spans="2:35" ht="12" customHeight="1" x14ac:dyDescent="0.2">
      <c r="B23" s="71" t="s">
        <v>18</v>
      </c>
      <c r="C23" s="71"/>
      <c r="D23" s="72"/>
      <c r="E23" s="72">
        <v>10.94764397905759</v>
      </c>
      <c r="F23" s="72">
        <v>13.523560209424083</v>
      </c>
      <c r="G23" s="72">
        <v>18.890052356020941</v>
      </c>
      <c r="H23" s="72">
        <v>25.544502617801047</v>
      </c>
      <c r="I23" s="72">
        <v>19.856020942408374</v>
      </c>
      <c r="J23" s="72"/>
      <c r="K23" s="72"/>
      <c r="L23" s="72">
        <v>22.861256544502616</v>
      </c>
      <c r="M23" s="72">
        <v>11.054973821989529</v>
      </c>
      <c r="N23" s="72"/>
      <c r="O23" s="72">
        <v>17.494764397905762</v>
      </c>
      <c r="P23" s="74">
        <f t="shared" si="0"/>
        <v>17.521596858638741</v>
      </c>
      <c r="Q23" s="38">
        <f t="shared" si="1"/>
        <v>0.66666666666666663</v>
      </c>
      <c r="R23" s="140">
        <f t="shared" si="2"/>
        <v>12.235602094240836</v>
      </c>
      <c r="S23" s="24">
        <f t="shared" si="3"/>
        <v>0.66666666666666663</v>
      </c>
      <c r="T23" s="140" t="str">
        <f t="shared" si="4"/>
        <v>-</v>
      </c>
      <c r="U23" s="9">
        <f t="shared" si="5"/>
        <v>0.33333333333333331</v>
      </c>
      <c r="V23" s="141" t="str">
        <f t="shared" si="6"/>
        <v>-</v>
      </c>
      <c r="W23" s="142">
        <f t="shared" si="7"/>
        <v>0.66666666666666663</v>
      </c>
      <c r="X23" s="144">
        <f t="shared" si="8"/>
        <v>21.81926265270506</v>
      </c>
      <c r="Y23" s="144">
        <f t="shared" si="9"/>
        <v>35.803446771378702</v>
      </c>
      <c r="Z23" s="144">
        <f t="shared" si="10"/>
        <v>29.923304662179003</v>
      </c>
      <c r="AA23" s="10"/>
      <c r="AB23" s="357" t="str">
        <f>VLOOKUP($B23,'2007-2020 Metadata'!$A$4:$S$214,MATCH("Urban Area /Monitoring Zone",'2007-2020 Metadata'!$A$4:$S$4,0),FALSE)</f>
        <v>Auckland - Central</v>
      </c>
      <c r="AC23" s="87" t="str">
        <f>VLOOKUP($B23,'2007-2020 Metadata'!$A$6:$A$214,1,FALSE)</f>
        <v>AUC025</v>
      </c>
      <c r="AD23" s="230" t="str">
        <f>VLOOKUP($AC23,'2007-2020 Metadata'!$A$6:$S$214,9,FALSE)</f>
        <v>Auckland</v>
      </c>
      <c r="AE23" s="248">
        <f>IF(ISBLANK(VLOOKUP($AC23,'2007-2020 Metadata'!$A$6:$S$214,19,FALSE)),"",VLOOKUP($AC23,'2007-2020 Metadata'!$A$6:$S$214,19,FALSE))</f>
        <v>3</v>
      </c>
      <c r="AF23" s="88" t="str">
        <f>VLOOKUP($B23,'2007-2020 Metadata'!$A$4:$S$214,MATCH("Site type",'2007-2020 Metadata'!$A$4:$S$4,0),FALSE)</f>
        <v>SH</v>
      </c>
      <c r="AG23" s="143">
        <f t="shared" si="11"/>
        <v>10.94764397905759</v>
      </c>
      <c r="AH23" s="143">
        <f t="shared" si="12"/>
        <v>25.544502617801047</v>
      </c>
      <c r="AI23" s="144" t="str">
        <f t="shared" si="13"/>
        <v xml:space="preserve"> </v>
      </c>
    </row>
    <row r="24" spans="2:35" ht="12" customHeight="1" x14ac:dyDescent="0.2">
      <c r="B24" s="71" t="s">
        <v>19</v>
      </c>
      <c r="C24" s="71"/>
      <c r="D24" s="72">
        <v>9.1230366492146597</v>
      </c>
      <c r="E24" s="72">
        <v>18.782722513089006</v>
      </c>
      <c r="F24" s="72">
        <v>18.353403141361259</v>
      </c>
      <c r="G24" s="72">
        <v>18.246073298429319</v>
      </c>
      <c r="H24" s="72">
        <v>24.14921465968586</v>
      </c>
      <c r="I24" s="72">
        <v>25.329842931937172</v>
      </c>
      <c r="J24" s="72">
        <v>30.589005235602091</v>
      </c>
      <c r="K24" s="72">
        <v>17.816753926701573</v>
      </c>
      <c r="L24" s="72"/>
      <c r="M24" s="72">
        <v>15.240837696335078</v>
      </c>
      <c r="N24" s="72">
        <v>17.172774869109947</v>
      </c>
      <c r="O24" s="72">
        <v>17.70942408376963</v>
      </c>
      <c r="P24" s="74">
        <f t="shared" si="0"/>
        <v>19.319371727748692</v>
      </c>
      <c r="Q24" s="38">
        <f t="shared" si="1"/>
        <v>0.91666666666666663</v>
      </c>
      <c r="R24" s="140">
        <f t="shared" si="2"/>
        <v>15.419720767888307</v>
      </c>
      <c r="S24" s="24">
        <f t="shared" si="3"/>
        <v>1</v>
      </c>
      <c r="T24" s="140">
        <f t="shared" si="4"/>
        <v>24.202879581151834</v>
      </c>
      <c r="U24" s="9">
        <f t="shared" si="5"/>
        <v>0.66666666666666663</v>
      </c>
      <c r="V24" s="141">
        <f t="shared" si="6"/>
        <v>19.319371727748692</v>
      </c>
      <c r="W24" s="142">
        <f t="shared" si="7"/>
        <v>0.91666666666666663</v>
      </c>
      <c r="X24" s="144">
        <f t="shared" si="8"/>
        <v>14.471640488656195</v>
      </c>
      <c r="Y24" s="144">
        <f t="shared" si="9"/>
        <v>27.386998254799305</v>
      </c>
      <c r="Z24" s="144">
        <f t="shared" si="10"/>
        <v>21.993673647469461</v>
      </c>
      <c r="AA24" s="10"/>
      <c r="AB24" s="357" t="str">
        <f>VLOOKUP($B24,'2007-2020 Metadata'!$A$4:$S$214,MATCH("Urban Area /Monitoring Zone",'2007-2020 Metadata'!$A$4:$S$4,0),FALSE)</f>
        <v xml:space="preserve">Auckland - Southern </v>
      </c>
      <c r="AC24" s="87" t="str">
        <f>VLOOKUP($B24,'2007-2020 Metadata'!$A$6:$A$214,1,FALSE)</f>
        <v>AUC026</v>
      </c>
      <c r="AD24" s="230" t="str">
        <f>VLOOKUP($AC24,'2007-2020 Metadata'!$A$6:$S$214,9,FALSE)</f>
        <v>Manukau</v>
      </c>
      <c r="AE24" s="248">
        <f>IF(ISBLANK(VLOOKUP($AC24,'2007-2020 Metadata'!$A$6:$S$214,19,FALSE)),"",VLOOKUP($AC24,'2007-2020 Metadata'!$A$6:$S$214,19,FALSE))</f>
        <v>3</v>
      </c>
      <c r="AF24" s="88" t="str">
        <f>VLOOKUP($B24,'2007-2020 Metadata'!$A$4:$S$214,MATCH("Site type",'2007-2020 Metadata'!$A$4:$S$4,0),FALSE)</f>
        <v>SH</v>
      </c>
      <c r="AG24" s="143">
        <f t="shared" si="11"/>
        <v>9.1230366492146597</v>
      </c>
      <c r="AH24" s="143">
        <f t="shared" si="12"/>
        <v>30.589005235602091</v>
      </c>
      <c r="AI24" s="144">
        <f t="shared" si="13"/>
        <v>21.993673647469461</v>
      </c>
    </row>
    <row r="25" spans="2:35" ht="12" customHeight="1" x14ac:dyDescent="0.2">
      <c r="B25" s="71" t="s">
        <v>20</v>
      </c>
      <c r="C25" s="71"/>
      <c r="D25" s="72"/>
      <c r="E25" s="72"/>
      <c r="F25" s="72"/>
      <c r="G25" s="340"/>
      <c r="H25" s="340"/>
      <c r="I25" s="340"/>
      <c r="J25" s="340"/>
      <c r="K25" s="340"/>
      <c r="L25" s="340"/>
      <c r="M25" s="340"/>
      <c r="N25" s="340"/>
      <c r="O25" s="340"/>
      <c r="P25" s="74"/>
      <c r="Q25" s="38">
        <f t="shared" si="1"/>
        <v>0</v>
      </c>
      <c r="R25" s="140" t="str">
        <f t="shared" si="2"/>
        <v/>
      </c>
      <c r="S25" s="24">
        <f t="shared" si="3"/>
        <v>0</v>
      </c>
      <c r="T25" s="140" t="str">
        <f t="shared" si="4"/>
        <v/>
      </c>
      <c r="U25" s="9">
        <f t="shared" si="5"/>
        <v>0</v>
      </c>
      <c r="V25" s="141" t="str">
        <f t="shared" si="6"/>
        <v>-</v>
      </c>
      <c r="W25" s="142">
        <f t="shared" si="7"/>
        <v>0</v>
      </c>
      <c r="X25" s="144">
        <f t="shared" si="8"/>
        <v>14.471640488656195</v>
      </c>
      <c r="Y25" s="144">
        <f t="shared" si="9"/>
        <v>27.386998254799305</v>
      </c>
      <c r="Z25" s="144">
        <f t="shared" si="10"/>
        <v>21.993673647469461</v>
      </c>
      <c r="AA25" s="10"/>
      <c r="AB25" s="357" t="str">
        <f>VLOOKUP($B25,'2007-2020 Metadata'!$A$4:$S$214,MATCH("Urban Area /Monitoring Zone",'2007-2020 Metadata'!$A$4:$S$4,0),FALSE)</f>
        <v xml:space="preserve">Auckland - Southern </v>
      </c>
      <c r="AC25" s="87" t="str">
        <f>VLOOKUP($B25,'2007-2020 Metadata'!$A$6:$A$214,1,FALSE)</f>
        <v>AUC027</v>
      </c>
      <c r="AD25" s="230" t="str">
        <f>VLOOKUP($AC25,'2007-2020 Metadata'!$A$6:$S$214,9,FALSE)</f>
        <v>Manukau</v>
      </c>
      <c r="AE25" s="248">
        <f>IF(ISBLANK(VLOOKUP($AC25,'2007-2020 Metadata'!$A$6:$S$214,19,FALSE)),"",VLOOKUP($AC25,'2007-2020 Metadata'!$A$6:$S$214,19,FALSE))</f>
        <v>3</v>
      </c>
      <c r="AF25" s="88" t="str">
        <f>VLOOKUP($B25,'2007-2020 Metadata'!$A$4:$S$214,MATCH("Site type",'2007-2020 Metadata'!$A$4:$S$4,0),FALSE)</f>
        <v>SH</v>
      </c>
      <c r="AG25" s="143"/>
      <c r="AH25" s="143"/>
      <c r="AI25" s="144" t="str">
        <f t="shared" si="13"/>
        <v xml:space="preserve"> </v>
      </c>
    </row>
    <row r="26" spans="2:35" ht="12" customHeight="1" x14ac:dyDescent="0.2">
      <c r="B26" s="71" t="s">
        <v>998</v>
      </c>
      <c r="C26" s="71"/>
      <c r="D26" s="340"/>
      <c r="E26" s="340"/>
      <c r="F26" s="340"/>
      <c r="G26" s="72">
        <v>39.068062827225127</v>
      </c>
      <c r="H26" s="72">
        <v>30.696335078534034</v>
      </c>
      <c r="I26" s="72">
        <v>32.198952879581149</v>
      </c>
      <c r="J26" s="72">
        <v>28.549738219895289</v>
      </c>
      <c r="K26" s="72">
        <v>27.905759162303664</v>
      </c>
      <c r="L26" s="72">
        <v>21.251308900523561</v>
      </c>
      <c r="M26" s="72">
        <v>22.539267015706805</v>
      </c>
      <c r="N26" s="72"/>
      <c r="O26" s="72">
        <v>10.19633507853403</v>
      </c>
      <c r="P26" s="74">
        <f t="shared" si="0"/>
        <v>26.550719895287955</v>
      </c>
      <c r="Q26" s="38">
        <f t="shared" ref="Q26" si="15">COUNT(D26:O26)/12</f>
        <v>0.66666666666666663</v>
      </c>
      <c r="R26" s="140" t="str">
        <f t="shared" si="2"/>
        <v/>
      </c>
      <c r="S26" s="24">
        <f t="shared" ref="S26" si="16">COUNT(D26:F26)/3</f>
        <v>0</v>
      </c>
      <c r="T26" s="140">
        <f t="shared" si="4"/>
        <v>25.902268760907504</v>
      </c>
      <c r="U26" s="9">
        <f t="shared" ref="U26" si="17">COUNT(J26:L26)/3</f>
        <v>1</v>
      </c>
      <c r="V26" s="141" t="str">
        <f t="shared" si="6"/>
        <v>-</v>
      </c>
      <c r="W26" s="142">
        <f t="shared" ref="W26" si="18">Q26</f>
        <v>0.66666666666666663</v>
      </c>
      <c r="X26" s="144" t="str">
        <f t="shared" si="8"/>
        <v/>
      </c>
      <c r="Y26" s="144">
        <f t="shared" si="9"/>
        <v>25.902268760907504</v>
      </c>
      <c r="Z26" s="144" t="str">
        <f t="shared" si="10"/>
        <v>-</v>
      </c>
      <c r="AA26" s="10"/>
      <c r="AB26" s="357">
        <f>VLOOKUP($B26,'2007-2020 Metadata'!$A$4:$S$214,MATCH("Urban Area /Monitoring Zone",'2007-2020 Metadata'!$A$4:$S$4,0),FALSE)</f>
        <v>0</v>
      </c>
      <c r="AC26" s="87" t="str">
        <f>VLOOKUP($B26,'2007-2020 Metadata'!$A$6:$A$214,1,FALSE)</f>
        <v>AUC027a</v>
      </c>
      <c r="AD26" s="230">
        <f>VLOOKUP($AC26,'2007-2020 Metadata'!$A$6:$S$214,9,FALSE)</f>
        <v>0</v>
      </c>
      <c r="AE26" s="248" t="str">
        <f>IF(ISBLANK(VLOOKUP($AC26,'2007-2020 Metadata'!$A$6:$S$214,19,FALSE)),"",VLOOKUP($AC26,'2007-2020 Metadata'!$A$6:$S$214,19,FALSE))</f>
        <v/>
      </c>
      <c r="AF26" s="88" t="str">
        <f>VLOOKUP($B26,'2007-2020 Metadata'!$A$4:$S$214,MATCH("Site type",'2007-2020 Metadata'!$A$4:$S$4,0),FALSE)</f>
        <v>SH</v>
      </c>
      <c r="AG26" s="143">
        <f t="shared" si="11"/>
        <v>10.19633507853403</v>
      </c>
      <c r="AH26" s="143">
        <f t="shared" si="12"/>
        <v>39.068062827225127</v>
      </c>
      <c r="AI26" s="144" t="str">
        <f t="shared" si="13"/>
        <v xml:space="preserve"> </v>
      </c>
    </row>
    <row r="27" spans="2:35" ht="12" customHeight="1" x14ac:dyDescent="0.2">
      <c r="B27" s="71" t="s">
        <v>32</v>
      </c>
      <c r="C27" s="71"/>
      <c r="D27" s="72">
        <v>20.07068062827225</v>
      </c>
      <c r="E27" s="72">
        <v>21.251308900523561</v>
      </c>
      <c r="F27" s="72">
        <v>18.353403141361259</v>
      </c>
      <c r="G27" s="72">
        <v>23.290575916230367</v>
      </c>
      <c r="H27" s="72">
        <v>27.905759162303664</v>
      </c>
      <c r="I27" s="72">
        <v>28.227748691099478</v>
      </c>
      <c r="J27" s="72">
        <v>21.787958115183248</v>
      </c>
      <c r="K27" s="72">
        <v>21.465968586387437</v>
      </c>
      <c r="L27" s="72">
        <v>20.714659685863875</v>
      </c>
      <c r="M27" s="72">
        <v>17.602094240837694</v>
      </c>
      <c r="N27" s="72">
        <v>20.929319371727747</v>
      </c>
      <c r="O27" s="72">
        <v>15.777486910994762</v>
      </c>
      <c r="P27" s="74">
        <f t="shared" si="0"/>
        <v>21.448080279232112</v>
      </c>
      <c r="Q27" s="38">
        <f t="shared" si="1"/>
        <v>1</v>
      </c>
      <c r="R27" s="140">
        <f t="shared" si="2"/>
        <v>19.891797556719023</v>
      </c>
      <c r="S27" s="24">
        <f t="shared" si="3"/>
        <v>1</v>
      </c>
      <c r="T27" s="140">
        <f t="shared" si="4"/>
        <v>21.322862129144852</v>
      </c>
      <c r="U27" s="9">
        <f t="shared" si="5"/>
        <v>1</v>
      </c>
      <c r="V27" s="141">
        <f t="shared" si="6"/>
        <v>21.448080279232112</v>
      </c>
      <c r="W27" s="142">
        <f t="shared" si="7"/>
        <v>1</v>
      </c>
      <c r="X27" s="144">
        <f t="shared" si="8"/>
        <v>22.789703315881326</v>
      </c>
      <c r="Y27" s="144">
        <f t="shared" si="9"/>
        <v>30.684409540430483</v>
      </c>
      <c r="Z27" s="144">
        <f t="shared" si="10"/>
        <v>27.211096567771957</v>
      </c>
      <c r="AA27" s="10"/>
      <c r="AB27" s="357" t="str">
        <f>VLOOKUP($B27,'2007-2020 Metadata'!$A$4:$S$214,MATCH("Urban Area /Monitoring Zone",'2007-2020 Metadata'!$A$4:$S$4,0),FALSE)</f>
        <v>Hamilton</v>
      </c>
      <c r="AC27" s="87" t="str">
        <f>VLOOKUP($B27,'2007-2020 Metadata'!$A$6:$A$214,1,FALSE)</f>
        <v>HAM001</v>
      </c>
      <c r="AD27" s="230" t="str">
        <f>VLOOKUP($AC27,'2007-2020 Metadata'!$A$6:$S$214,9,FALSE)</f>
        <v>Hamilton</v>
      </c>
      <c r="AE27" s="248">
        <f>IF(ISBLANK(VLOOKUP($AC27,'2007-2020 Metadata'!$A$6:$S$214,19,FALSE)),"",VLOOKUP($AC27,'2007-2020 Metadata'!$A$6:$S$214,19,FALSE))</f>
        <v>3.8</v>
      </c>
      <c r="AF27" s="88" t="str">
        <f>VLOOKUP($B27,'2007-2020 Metadata'!$A$4:$S$214,MATCH("Site type",'2007-2020 Metadata'!$A$4:$S$4,0),FALSE)</f>
        <v>SH</v>
      </c>
      <c r="AG27" s="143">
        <f t="shared" si="11"/>
        <v>15.777486910994762</v>
      </c>
      <c r="AH27" s="143">
        <f t="shared" si="12"/>
        <v>28.227748691099478</v>
      </c>
      <c r="AI27" s="144">
        <f t="shared" si="13"/>
        <v>27.211096567771957</v>
      </c>
    </row>
    <row r="28" spans="2:35" ht="12" customHeight="1" x14ac:dyDescent="0.2">
      <c r="B28" s="71" t="s">
        <v>33</v>
      </c>
      <c r="C28" s="71"/>
      <c r="D28" s="72">
        <v>15.884816753926701</v>
      </c>
      <c r="E28" s="72">
        <v>21.251308900523561</v>
      </c>
      <c r="F28" s="72">
        <v>29.086387434554972</v>
      </c>
      <c r="G28" s="72">
        <v>27.691099476439792</v>
      </c>
      <c r="H28" s="85"/>
      <c r="I28" s="72">
        <v>32.52094240837696</v>
      </c>
      <c r="J28" s="85"/>
      <c r="K28" s="85"/>
      <c r="L28" s="85"/>
      <c r="M28" s="85"/>
      <c r="N28" s="72">
        <v>19.212041884816749</v>
      </c>
      <c r="O28" s="72"/>
      <c r="P28" s="74">
        <f t="shared" si="0"/>
        <v>24.274432809773121</v>
      </c>
      <c r="Q28" s="38">
        <f t="shared" si="1"/>
        <v>0.5</v>
      </c>
      <c r="R28" s="140">
        <f t="shared" si="2"/>
        <v>22.07417102966841</v>
      </c>
      <c r="S28" s="24">
        <f t="shared" si="3"/>
        <v>1</v>
      </c>
      <c r="T28" s="140" t="str">
        <f t="shared" si="4"/>
        <v/>
      </c>
      <c r="U28" s="9">
        <f t="shared" si="5"/>
        <v>0</v>
      </c>
      <c r="V28" s="141" t="str">
        <f t="shared" si="6"/>
        <v>-</v>
      </c>
      <c r="W28" s="142">
        <f t="shared" si="7"/>
        <v>0.5</v>
      </c>
      <c r="X28" s="144">
        <f t="shared" si="8"/>
        <v>22.789703315881326</v>
      </c>
      <c r="Y28" s="144">
        <f t="shared" si="9"/>
        <v>30.684409540430483</v>
      </c>
      <c r="Z28" s="144">
        <f t="shared" si="10"/>
        <v>27.211096567771957</v>
      </c>
      <c r="AA28" s="10"/>
      <c r="AB28" s="357" t="str">
        <f>VLOOKUP($B28,'2007-2020 Metadata'!$A$4:$S$214,MATCH("Urban Area /Monitoring Zone",'2007-2020 Metadata'!$A$4:$S$4,0),FALSE)</f>
        <v>Hamilton</v>
      </c>
      <c r="AC28" s="87" t="str">
        <f>VLOOKUP($B28,'2007-2020 Metadata'!$A$6:$A$214,1,FALSE)</f>
        <v>HAM002</v>
      </c>
      <c r="AD28" s="230" t="str">
        <f>VLOOKUP($AC28,'2007-2020 Metadata'!$A$6:$S$214,9,FALSE)</f>
        <v>Hamilton</v>
      </c>
      <c r="AE28" s="248">
        <f>IF(ISBLANK(VLOOKUP($AC28,'2007-2020 Metadata'!$A$6:$S$214,19,FALSE)),"",VLOOKUP($AC28,'2007-2020 Metadata'!$A$6:$S$214,19,FALSE))</f>
        <v>2.6</v>
      </c>
      <c r="AF28" s="88" t="str">
        <f>VLOOKUP($B28,'2007-2020 Metadata'!$A$4:$S$214,MATCH("Site type",'2007-2020 Metadata'!$A$4:$S$4,0),FALSE)</f>
        <v>Local (ex SH)</v>
      </c>
      <c r="AG28" s="143">
        <f t="shared" si="11"/>
        <v>15.884816753926701</v>
      </c>
      <c r="AH28" s="143">
        <f t="shared" si="12"/>
        <v>32.52094240837696</v>
      </c>
      <c r="AI28" s="144" t="str">
        <f t="shared" si="13"/>
        <v xml:space="preserve"> </v>
      </c>
    </row>
    <row r="29" spans="2:35" ht="12" customHeight="1" x14ac:dyDescent="0.2">
      <c r="B29" s="71" t="s">
        <v>34</v>
      </c>
      <c r="C29" s="71"/>
      <c r="D29" s="72">
        <v>25.222513089005236</v>
      </c>
      <c r="E29" s="72">
        <v>26.939790575916231</v>
      </c>
      <c r="F29" s="72">
        <v>33.808900523560204</v>
      </c>
      <c r="G29" s="72">
        <v>37.780104712041883</v>
      </c>
      <c r="H29" s="72">
        <v>42.502617801047123</v>
      </c>
      <c r="I29" s="72">
        <v>39.819371727748688</v>
      </c>
      <c r="J29" s="72">
        <v>42.395287958115176</v>
      </c>
      <c r="K29" s="72">
        <v>45.293193717277482</v>
      </c>
      <c r="L29" s="72">
        <v>42.717277486910987</v>
      </c>
      <c r="M29" s="72">
        <v>32.198952879581149</v>
      </c>
      <c r="N29" s="72">
        <v>37.136125654450261</v>
      </c>
      <c r="O29" s="72">
        <v>27.476439790575917</v>
      </c>
      <c r="P29" s="74">
        <f t="shared" si="0"/>
        <v>36.107547993019189</v>
      </c>
      <c r="Q29" s="38">
        <f t="shared" si="1"/>
        <v>1</v>
      </c>
      <c r="R29" s="140">
        <f t="shared" si="2"/>
        <v>28.657068062827221</v>
      </c>
      <c r="S29" s="24">
        <f t="shared" si="3"/>
        <v>1</v>
      </c>
      <c r="T29" s="140">
        <f t="shared" si="4"/>
        <v>43.468586387434549</v>
      </c>
      <c r="U29" s="9">
        <f t="shared" si="5"/>
        <v>1</v>
      </c>
      <c r="V29" s="141">
        <f t="shared" si="6"/>
        <v>36.107547993019189</v>
      </c>
      <c r="W29" s="142">
        <f t="shared" si="7"/>
        <v>1</v>
      </c>
      <c r="X29" s="144">
        <f t="shared" si="8"/>
        <v>22.789703315881326</v>
      </c>
      <c r="Y29" s="144">
        <f t="shared" si="9"/>
        <v>30.684409540430483</v>
      </c>
      <c r="Z29" s="144">
        <f t="shared" si="10"/>
        <v>27.211096567771957</v>
      </c>
      <c r="AA29" s="10"/>
      <c r="AB29" s="357" t="str">
        <f>VLOOKUP($B29,'2007-2020 Metadata'!$A$4:$S$214,MATCH("Urban Area /Monitoring Zone",'2007-2020 Metadata'!$A$4:$S$4,0),FALSE)</f>
        <v>Hamilton</v>
      </c>
      <c r="AC29" s="87" t="str">
        <f>VLOOKUP($B29,'2007-2020 Metadata'!$A$6:$A$214,1,FALSE)</f>
        <v>HAM003</v>
      </c>
      <c r="AD29" s="230" t="str">
        <f>VLOOKUP($AC29,'2007-2020 Metadata'!$A$6:$S$214,9,FALSE)</f>
        <v>Hamilton</v>
      </c>
      <c r="AE29" s="248">
        <f>IF(ISBLANK(VLOOKUP($AC29,'2007-2020 Metadata'!$A$6:$S$214,19,FALSE)),"",VLOOKUP($AC29,'2007-2020 Metadata'!$A$6:$S$214,19,FALSE))</f>
        <v>2.9</v>
      </c>
      <c r="AF29" s="88" t="str">
        <f>VLOOKUP($B29,'2007-2020 Metadata'!$A$4:$S$214,MATCH("Site type",'2007-2020 Metadata'!$A$4:$S$4,0),FALSE)</f>
        <v>SH</v>
      </c>
      <c r="AG29" s="143">
        <f t="shared" si="11"/>
        <v>25.222513089005236</v>
      </c>
      <c r="AH29" s="143">
        <f t="shared" si="12"/>
        <v>45.293193717277482</v>
      </c>
      <c r="AI29" s="144">
        <f t="shared" si="13"/>
        <v>27.211096567771957</v>
      </c>
    </row>
    <row r="30" spans="2:35" ht="12" customHeight="1" x14ac:dyDescent="0.2">
      <c r="B30" s="71" t="s">
        <v>35</v>
      </c>
      <c r="C30" s="71"/>
      <c r="D30" s="72">
        <v>14.060209424083768</v>
      </c>
      <c r="E30" s="72">
        <v>23.075916230366492</v>
      </c>
      <c r="F30" s="72">
        <v>24.471204188481675</v>
      </c>
      <c r="G30" s="72">
        <v>29.515706806282722</v>
      </c>
      <c r="H30" s="72">
        <v>26.725130890052355</v>
      </c>
      <c r="I30" s="72">
        <v>28.871727748691097</v>
      </c>
      <c r="J30" s="72">
        <v>32.6282722513089</v>
      </c>
      <c r="K30" s="72">
        <v>28.33507853403141</v>
      </c>
      <c r="L30" s="72">
        <v>20.821989528795811</v>
      </c>
      <c r="M30" s="72">
        <v>22.32460732984293</v>
      </c>
      <c r="N30" s="72">
        <v>22.753926701570681</v>
      </c>
      <c r="O30" s="72">
        <v>15.348167539267017</v>
      </c>
      <c r="P30" s="74">
        <f t="shared" si="0"/>
        <v>24.077661431064573</v>
      </c>
      <c r="Q30" s="38">
        <f t="shared" si="1"/>
        <v>1</v>
      </c>
      <c r="R30" s="140">
        <f t="shared" si="2"/>
        <v>20.535776614310645</v>
      </c>
      <c r="S30" s="24">
        <f t="shared" si="3"/>
        <v>1</v>
      </c>
      <c r="T30" s="140">
        <f t="shared" si="4"/>
        <v>27.261780104712042</v>
      </c>
      <c r="U30" s="9">
        <f t="shared" si="5"/>
        <v>1</v>
      </c>
      <c r="V30" s="141">
        <f t="shared" si="6"/>
        <v>24.077661431064573</v>
      </c>
      <c r="W30" s="142">
        <f t="shared" si="7"/>
        <v>1</v>
      </c>
      <c r="X30" s="144">
        <f t="shared" si="8"/>
        <v>22.789703315881326</v>
      </c>
      <c r="Y30" s="144">
        <f t="shared" si="9"/>
        <v>30.684409540430483</v>
      </c>
      <c r="Z30" s="144">
        <f t="shared" si="10"/>
        <v>27.211096567771957</v>
      </c>
      <c r="AA30" s="10"/>
      <c r="AB30" s="357" t="str">
        <f>VLOOKUP($B30,'2007-2020 Metadata'!$A$4:$S$214,MATCH("Urban Area /Monitoring Zone",'2007-2020 Metadata'!$A$4:$S$4,0),FALSE)</f>
        <v>Cambridge</v>
      </c>
      <c r="AC30" s="87" t="str">
        <f>VLOOKUP($B30,'2007-2020 Metadata'!$A$6:$A$214,1,FALSE)</f>
        <v>HAM004</v>
      </c>
      <c r="AD30" s="230" t="str">
        <f>VLOOKUP($AC30,'2007-2020 Metadata'!$A$6:$S$214,9,FALSE)</f>
        <v>Hamilton</v>
      </c>
      <c r="AE30" s="248">
        <f>IF(ISBLANK(VLOOKUP($AC30,'2007-2020 Metadata'!$A$6:$S$214,19,FALSE)),"",VLOOKUP($AC30,'2007-2020 Metadata'!$A$6:$S$214,19,FALSE))</f>
        <v>3</v>
      </c>
      <c r="AF30" s="88" t="str">
        <f>VLOOKUP($B30,'2007-2020 Metadata'!$A$4:$S$214,MATCH("Site type",'2007-2020 Metadata'!$A$4:$S$4,0),FALSE)</f>
        <v>Local (ex SH)</v>
      </c>
      <c r="AG30" s="143">
        <f t="shared" si="11"/>
        <v>14.060209424083768</v>
      </c>
      <c r="AH30" s="143">
        <f t="shared" si="12"/>
        <v>32.6282722513089</v>
      </c>
      <c r="AI30" s="144">
        <f t="shared" si="13"/>
        <v>27.211096567771957</v>
      </c>
    </row>
    <row r="31" spans="2:35" ht="12" customHeight="1" x14ac:dyDescent="0.2">
      <c r="B31" s="71" t="s">
        <v>36</v>
      </c>
      <c r="C31" s="71"/>
      <c r="D31" s="72">
        <v>10.089005235602093</v>
      </c>
      <c r="E31" s="72">
        <v>12.664921465968586</v>
      </c>
      <c r="F31" s="72">
        <v>13.630890052356019</v>
      </c>
      <c r="G31" s="72">
        <v>21.036649214659686</v>
      </c>
      <c r="H31" s="72">
        <v>21.358638743455494</v>
      </c>
      <c r="I31" s="72">
        <v>17.172774869109947</v>
      </c>
      <c r="J31" s="72">
        <v>25.544502617801047</v>
      </c>
      <c r="K31" s="72">
        <v>17.70942408376963</v>
      </c>
      <c r="L31" s="72">
        <v>20.285340314136125</v>
      </c>
      <c r="M31" s="72">
        <v>12.450261780104711</v>
      </c>
      <c r="N31" s="72">
        <v>18.675392670157066</v>
      </c>
      <c r="O31" s="72">
        <v>15.240837696335078</v>
      </c>
      <c r="P31" s="74">
        <f t="shared" si="0"/>
        <v>17.154886561954626</v>
      </c>
      <c r="Q31" s="38">
        <f t="shared" si="1"/>
        <v>1</v>
      </c>
      <c r="R31" s="140">
        <f t="shared" si="2"/>
        <v>12.1282722513089</v>
      </c>
      <c r="S31" s="24">
        <f t="shared" si="3"/>
        <v>1</v>
      </c>
      <c r="T31" s="140">
        <f t="shared" si="4"/>
        <v>21.179755671902267</v>
      </c>
      <c r="U31" s="9">
        <f t="shared" si="5"/>
        <v>1</v>
      </c>
      <c r="V31" s="141">
        <f t="shared" si="6"/>
        <v>17.154886561954626</v>
      </c>
      <c r="W31" s="142">
        <f t="shared" si="7"/>
        <v>1</v>
      </c>
      <c r="X31" s="144">
        <f t="shared" si="8"/>
        <v>12.1282722513089</v>
      </c>
      <c r="Y31" s="144">
        <f t="shared" si="9"/>
        <v>21.179755671902267</v>
      </c>
      <c r="Z31" s="144">
        <f t="shared" si="10"/>
        <v>17.154886561954626</v>
      </c>
      <c r="AA31" s="10"/>
      <c r="AB31" s="357" t="str">
        <f>VLOOKUP($B31,'2007-2020 Metadata'!$A$4:$S$214,MATCH("Urban Area /Monitoring Zone",'2007-2020 Metadata'!$A$4:$S$4,0),FALSE)</f>
        <v>Taupo</v>
      </c>
      <c r="AC31" s="87" t="str">
        <f>VLOOKUP($B31,'2007-2020 Metadata'!$A$6:$A$214,1,FALSE)</f>
        <v>HAM005</v>
      </c>
      <c r="AD31" s="230" t="str">
        <f>VLOOKUP($AC31,'2007-2020 Metadata'!$A$6:$S$214,9,FALSE)</f>
        <v>Taupo</v>
      </c>
      <c r="AE31" s="248">
        <f>IF(ISBLANK(VLOOKUP($AC31,'2007-2020 Metadata'!$A$6:$S$214,19,FALSE)),"",VLOOKUP($AC31,'2007-2020 Metadata'!$A$6:$S$214,19,FALSE))</f>
        <v>3.5</v>
      </c>
      <c r="AF31" s="88" t="str">
        <f>VLOOKUP($B31,'2007-2020 Metadata'!$A$4:$S$214,MATCH("Site type",'2007-2020 Metadata'!$A$4:$S$4,0),FALSE)</f>
        <v>Local (ex SH)</v>
      </c>
      <c r="AG31" s="143">
        <f t="shared" si="11"/>
        <v>10.089005235602093</v>
      </c>
      <c r="AH31" s="143">
        <f t="shared" si="12"/>
        <v>25.544502617801047</v>
      </c>
      <c r="AI31" s="144">
        <f t="shared" si="13"/>
        <v>17.154886561954626</v>
      </c>
    </row>
    <row r="32" spans="2:35" ht="12" customHeight="1" x14ac:dyDescent="0.2">
      <c r="B32" s="71" t="s">
        <v>37</v>
      </c>
      <c r="C32" s="71"/>
      <c r="D32" s="72">
        <v>9.3376963350785331</v>
      </c>
      <c r="E32" s="72"/>
      <c r="F32" s="72">
        <v>11.591623036649214</v>
      </c>
      <c r="G32" s="72">
        <v>19.641361256544503</v>
      </c>
      <c r="H32" s="85"/>
      <c r="I32" s="72">
        <v>25.007853403141361</v>
      </c>
      <c r="J32" s="72">
        <v>25.329842931937172</v>
      </c>
      <c r="K32" s="72">
        <v>18.56806282722513</v>
      </c>
      <c r="L32" s="72">
        <v>22.217277486910994</v>
      </c>
      <c r="M32" s="72">
        <v>15.884816753926701</v>
      </c>
      <c r="N32" s="72">
        <v>13.416230366492146</v>
      </c>
      <c r="O32" s="72">
        <v>8.5863874345549736</v>
      </c>
      <c r="P32" s="74">
        <f t="shared" si="0"/>
        <v>16.958115183246075</v>
      </c>
      <c r="Q32" s="38">
        <f t="shared" si="1"/>
        <v>0.83333333333333337</v>
      </c>
      <c r="R32" s="140">
        <f t="shared" si="2"/>
        <v>10.464659685863873</v>
      </c>
      <c r="S32" s="24">
        <f t="shared" si="3"/>
        <v>0.66666666666666663</v>
      </c>
      <c r="T32" s="140">
        <f t="shared" si="4"/>
        <v>22.038394415357761</v>
      </c>
      <c r="U32" s="9">
        <f t="shared" si="5"/>
        <v>1</v>
      </c>
      <c r="V32" s="141">
        <f t="shared" si="6"/>
        <v>16.958115183246075</v>
      </c>
      <c r="W32" s="142">
        <f t="shared" si="7"/>
        <v>0.83333333333333337</v>
      </c>
      <c r="X32" s="144">
        <f t="shared" si="8"/>
        <v>10.464659685863873</v>
      </c>
      <c r="Y32" s="144">
        <f t="shared" si="9"/>
        <v>22.038394415357761</v>
      </c>
      <c r="Z32" s="144">
        <f t="shared" si="10"/>
        <v>16.958115183246075</v>
      </c>
      <c r="AA32" s="10"/>
      <c r="AB32" s="357" t="str">
        <f>VLOOKUP($B32,'2007-2020 Metadata'!$A$4:$S$214,MATCH("Urban Area /Monitoring Zone",'2007-2020 Metadata'!$A$4:$S$4,0),FALSE)</f>
        <v>Rotorua</v>
      </c>
      <c r="AC32" s="87" t="str">
        <f>VLOOKUP($B32,'2007-2020 Metadata'!$A$6:$A$214,1,FALSE)</f>
        <v>HAM006</v>
      </c>
      <c r="AD32" s="230" t="str">
        <f>VLOOKUP($AC32,'2007-2020 Metadata'!$A$6:$S$214,9,FALSE)</f>
        <v>Rotorua</v>
      </c>
      <c r="AE32" s="248">
        <f>IF(ISBLANK(VLOOKUP($AC32,'2007-2020 Metadata'!$A$6:$S$214,19,FALSE)),"",VLOOKUP($AC32,'2007-2020 Metadata'!$A$6:$S$214,19,FALSE))</f>
        <v>3</v>
      </c>
      <c r="AF32" s="88" t="str">
        <f>VLOOKUP($B32,'2007-2020 Metadata'!$A$4:$S$214,MATCH("Site type",'2007-2020 Metadata'!$A$4:$S$4,0),FALSE)</f>
        <v>SH</v>
      </c>
      <c r="AG32" s="143">
        <f t="shared" si="11"/>
        <v>8.5863874345549736</v>
      </c>
      <c r="AH32" s="143">
        <f t="shared" si="12"/>
        <v>25.329842931937172</v>
      </c>
      <c r="AI32" s="144">
        <f t="shared" si="13"/>
        <v>16.958115183246075</v>
      </c>
    </row>
    <row r="33" spans="2:35" ht="12" customHeight="1" x14ac:dyDescent="0.2">
      <c r="B33" s="71" t="s">
        <v>39</v>
      </c>
      <c r="C33" s="71"/>
      <c r="D33" s="72">
        <v>17.387434554973819</v>
      </c>
      <c r="E33" s="72">
        <v>19.426701570680628</v>
      </c>
      <c r="F33" s="72">
        <v>21.573298429319372</v>
      </c>
      <c r="G33" s="72">
        <v>30.26701570680628</v>
      </c>
      <c r="H33" s="72">
        <v>29.301047120418847</v>
      </c>
      <c r="I33" s="72">
        <v>31.125654450261777</v>
      </c>
      <c r="J33" s="72">
        <v>31.876963350785335</v>
      </c>
      <c r="K33" s="72">
        <v>28.33507853403141</v>
      </c>
      <c r="L33" s="72">
        <v>27.905759162303664</v>
      </c>
      <c r="M33" s="72">
        <v>23.934554973821989</v>
      </c>
      <c r="N33" s="72">
        <v>21.143979057591622</v>
      </c>
      <c r="O33" s="72">
        <v>13.845549738219896</v>
      </c>
      <c r="P33" s="74">
        <f t="shared" si="0"/>
        <v>24.676919720767888</v>
      </c>
      <c r="Q33" s="38">
        <f t="shared" si="1"/>
        <v>1</v>
      </c>
      <c r="R33" s="140">
        <f t="shared" si="2"/>
        <v>19.462478184991273</v>
      </c>
      <c r="S33" s="24">
        <f t="shared" si="3"/>
        <v>1</v>
      </c>
      <c r="T33" s="140">
        <f t="shared" si="4"/>
        <v>29.372600349040138</v>
      </c>
      <c r="U33" s="9">
        <f t="shared" si="5"/>
        <v>1</v>
      </c>
      <c r="V33" s="141">
        <f t="shared" si="6"/>
        <v>24.676919720767888</v>
      </c>
      <c r="W33" s="142">
        <f t="shared" si="7"/>
        <v>1</v>
      </c>
      <c r="X33" s="144">
        <f t="shared" si="8"/>
        <v>21.000872600349041</v>
      </c>
      <c r="Y33" s="144">
        <f t="shared" si="9"/>
        <v>33.045666084933096</v>
      </c>
      <c r="Z33" s="144">
        <f t="shared" si="10"/>
        <v>27.158515786133592</v>
      </c>
      <c r="AA33" s="10"/>
      <c r="AB33" s="357" t="str">
        <f>VLOOKUP($B33,'2007-2020 Metadata'!$A$4:$S$214,MATCH("Urban Area /Monitoring Zone",'2007-2020 Metadata'!$A$4:$S$4,0),FALSE)</f>
        <v>Tauranga</v>
      </c>
      <c r="AC33" s="87" t="str">
        <f>VLOOKUP($B33,'2007-2020 Metadata'!$A$6:$A$214,1,FALSE)</f>
        <v>HAM007</v>
      </c>
      <c r="AD33" s="230" t="str">
        <f>VLOOKUP($AC33,'2007-2020 Metadata'!$A$6:$S$214,9,FALSE)</f>
        <v>Tauranga</v>
      </c>
      <c r="AE33" s="248">
        <f>IF(ISBLANK(VLOOKUP($AC33,'2007-2020 Metadata'!$A$6:$S$214,19,FALSE)),"",VLOOKUP($AC33,'2007-2020 Metadata'!$A$6:$S$214,19,FALSE))</f>
        <v>2.9</v>
      </c>
      <c r="AF33" s="88" t="str">
        <f>VLOOKUP($B33,'2007-2020 Metadata'!$A$4:$S$214,MATCH("Site type",'2007-2020 Metadata'!$A$4:$S$4,0),FALSE)</f>
        <v>SH</v>
      </c>
      <c r="AG33" s="143">
        <f t="shared" si="11"/>
        <v>13.845549738219896</v>
      </c>
      <c r="AH33" s="143">
        <f t="shared" si="12"/>
        <v>31.876963350785335</v>
      </c>
      <c r="AI33" s="144">
        <f t="shared" si="13"/>
        <v>27.158515786133592</v>
      </c>
    </row>
    <row r="34" spans="2:35" ht="12" customHeight="1" x14ac:dyDescent="0.2">
      <c r="B34" s="71" t="s">
        <v>40</v>
      </c>
      <c r="C34" s="71"/>
      <c r="D34" s="72">
        <v>11.913612565445025</v>
      </c>
      <c r="E34" s="72">
        <v>16.636125654450261</v>
      </c>
      <c r="F34" s="72">
        <v>20.821989528795811</v>
      </c>
      <c r="G34" s="72">
        <v>30.159685863874348</v>
      </c>
      <c r="H34" s="72">
        <v>31.232984293193716</v>
      </c>
      <c r="I34" s="72">
        <v>25.437172774869111</v>
      </c>
      <c r="J34" s="72">
        <v>34.130890052356015</v>
      </c>
      <c r="K34" s="72">
        <v>30.803664921465966</v>
      </c>
      <c r="L34" s="72">
        <v>30.696335078534034</v>
      </c>
      <c r="M34" s="72">
        <v>18.997382198952881</v>
      </c>
      <c r="N34" s="72"/>
      <c r="O34" s="72">
        <v>8.157068062827225</v>
      </c>
      <c r="P34" s="74">
        <f t="shared" si="0"/>
        <v>23.544264635887679</v>
      </c>
      <c r="Q34" s="38">
        <f t="shared" si="1"/>
        <v>0.91666666666666663</v>
      </c>
      <c r="R34" s="140">
        <f t="shared" si="2"/>
        <v>16.457242582897035</v>
      </c>
      <c r="S34" s="24">
        <f t="shared" si="3"/>
        <v>1</v>
      </c>
      <c r="T34" s="140">
        <f t="shared" si="4"/>
        <v>31.876963350785335</v>
      </c>
      <c r="U34" s="9">
        <f t="shared" si="5"/>
        <v>1</v>
      </c>
      <c r="V34" s="141">
        <f t="shared" si="6"/>
        <v>23.544264635887679</v>
      </c>
      <c r="W34" s="142">
        <f t="shared" si="7"/>
        <v>0.91666666666666663</v>
      </c>
      <c r="X34" s="144">
        <f t="shared" si="8"/>
        <v>21.000872600349041</v>
      </c>
      <c r="Y34" s="144">
        <f t="shared" si="9"/>
        <v>33.045666084933096</v>
      </c>
      <c r="Z34" s="144">
        <f t="shared" si="10"/>
        <v>27.158515786133592</v>
      </c>
      <c r="AA34" s="10"/>
      <c r="AB34" s="357" t="str">
        <f>VLOOKUP($B34,'2007-2020 Metadata'!$A$4:$S$214,MATCH("Urban Area /Monitoring Zone",'2007-2020 Metadata'!$A$4:$S$4,0),FALSE)</f>
        <v>Tauranga</v>
      </c>
      <c r="AC34" s="87" t="str">
        <f>VLOOKUP($B34,'2007-2020 Metadata'!$A$6:$A$214,1,FALSE)</f>
        <v>HAM008</v>
      </c>
      <c r="AD34" s="230" t="str">
        <f>VLOOKUP($AC34,'2007-2020 Metadata'!$A$6:$S$214,9,FALSE)</f>
        <v>Tauranga</v>
      </c>
      <c r="AE34" s="248">
        <f>IF(ISBLANK(VLOOKUP($AC34,'2007-2020 Metadata'!$A$6:$S$214,19,FALSE)),"",VLOOKUP($AC34,'2007-2020 Metadata'!$A$6:$S$214,19,FALSE))</f>
        <v>2.9</v>
      </c>
      <c r="AF34" s="88" t="str">
        <f>VLOOKUP($B34,'2007-2020 Metadata'!$A$4:$S$214,MATCH("Site type",'2007-2020 Metadata'!$A$4:$S$4,0),FALSE)</f>
        <v>SH</v>
      </c>
      <c r="AG34" s="143">
        <f t="shared" si="11"/>
        <v>8.157068062827225</v>
      </c>
      <c r="AH34" s="143">
        <f t="shared" si="12"/>
        <v>34.130890052356015</v>
      </c>
      <c r="AI34" s="144">
        <f t="shared" si="13"/>
        <v>27.158515786133592</v>
      </c>
    </row>
    <row r="35" spans="2:35" ht="12" customHeight="1" x14ac:dyDescent="0.2">
      <c r="B35" s="71" t="s">
        <v>41</v>
      </c>
      <c r="C35" s="71"/>
      <c r="D35" s="72">
        <v>18.997382198952881</v>
      </c>
      <c r="E35" s="72">
        <v>27.261780104712038</v>
      </c>
      <c r="F35" s="72">
        <v>34.989528795811523</v>
      </c>
      <c r="G35" s="72">
        <v>42.717277486910987</v>
      </c>
      <c r="H35" s="72">
        <v>41.96596858638744</v>
      </c>
      <c r="I35" s="72">
        <v>39.604712041884817</v>
      </c>
      <c r="J35" s="72">
        <v>43.361256544502609</v>
      </c>
      <c r="K35" s="72">
        <v>33.916230366492144</v>
      </c>
      <c r="L35" s="72">
        <v>36.3848167539267</v>
      </c>
      <c r="M35" s="72">
        <v>24.363874345549736</v>
      </c>
      <c r="N35" s="72">
        <v>35.526178010471206</v>
      </c>
      <c r="O35" s="72">
        <v>19.963350785340314</v>
      </c>
      <c r="P35" s="74">
        <f t="shared" si="0"/>
        <v>33.254363001745197</v>
      </c>
      <c r="Q35" s="38">
        <f t="shared" si="1"/>
        <v>1</v>
      </c>
      <c r="R35" s="140">
        <f t="shared" si="2"/>
        <v>27.082897033158815</v>
      </c>
      <c r="S35" s="24">
        <f t="shared" si="3"/>
        <v>1</v>
      </c>
      <c r="T35" s="140">
        <f t="shared" si="4"/>
        <v>37.887434554973815</v>
      </c>
      <c r="U35" s="9">
        <f t="shared" si="5"/>
        <v>1</v>
      </c>
      <c r="V35" s="141">
        <f t="shared" si="6"/>
        <v>33.254363001745197</v>
      </c>
      <c r="W35" s="142">
        <f t="shared" si="7"/>
        <v>1</v>
      </c>
      <c r="X35" s="144">
        <f t="shared" si="8"/>
        <v>21.000872600349041</v>
      </c>
      <c r="Y35" s="144">
        <f t="shared" si="9"/>
        <v>33.045666084933096</v>
      </c>
      <c r="Z35" s="144">
        <f t="shared" si="10"/>
        <v>27.158515786133592</v>
      </c>
      <c r="AA35" s="10"/>
      <c r="AB35" s="357" t="str">
        <f>VLOOKUP($B35,'2007-2020 Metadata'!$A$4:$S$214,MATCH("Urban Area /Monitoring Zone",'2007-2020 Metadata'!$A$4:$S$4,0),FALSE)</f>
        <v>Tauranga</v>
      </c>
      <c r="AC35" s="87" t="str">
        <f>VLOOKUP($B35,'2007-2020 Metadata'!$A$6:$A$214,1,FALSE)</f>
        <v>HAM010</v>
      </c>
      <c r="AD35" s="230" t="str">
        <f>VLOOKUP($AC35,'2007-2020 Metadata'!$A$6:$S$214,9,FALSE)</f>
        <v>Tauranga</v>
      </c>
      <c r="AE35" s="248">
        <f>IF(ISBLANK(VLOOKUP($AC35,'2007-2020 Metadata'!$A$6:$S$214,19,FALSE)),"",VLOOKUP($AC35,'2007-2020 Metadata'!$A$6:$S$214,19,FALSE))</f>
        <v>2.7</v>
      </c>
      <c r="AF35" s="88" t="str">
        <f>VLOOKUP($B35,'2007-2020 Metadata'!$A$4:$S$214,MATCH("Site type",'2007-2020 Metadata'!$A$4:$S$4,0),FALSE)</f>
        <v>SH</v>
      </c>
      <c r="AG35" s="143">
        <f t="shared" si="11"/>
        <v>18.997382198952881</v>
      </c>
      <c r="AH35" s="143">
        <f t="shared" si="12"/>
        <v>43.361256544502609</v>
      </c>
      <c r="AI35" s="144">
        <f t="shared" si="13"/>
        <v>27.158515786133592</v>
      </c>
    </row>
    <row r="36" spans="2:35" ht="12" customHeight="1" x14ac:dyDescent="0.2">
      <c r="B36" s="71" t="s">
        <v>42</v>
      </c>
      <c r="C36" s="71"/>
      <c r="D36" s="72"/>
      <c r="E36" s="72">
        <v>8.9083769633507863</v>
      </c>
      <c r="F36" s="72">
        <v>12.020942408376962</v>
      </c>
      <c r="G36" s="72">
        <v>15.026178010471202</v>
      </c>
      <c r="H36" s="72">
        <v>15.562827225130889</v>
      </c>
      <c r="I36" s="72">
        <v>12.450261780104711</v>
      </c>
      <c r="J36" s="72">
        <v>16.421465968586386</v>
      </c>
      <c r="K36" s="72">
        <v>12.235602094240837</v>
      </c>
      <c r="L36" s="72">
        <v>10.410994764397905</v>
      </c>
      <c r="M36" s="72">
        <v>9.2303664921465955</v>
      </c>
      <c r="N36" s="72">
        <v>9.4450261780104707</v>
      </c>
      <c r="O36" s="72">
        <v>7.1910994764397902</v>
      </c>
      <c r="P36" s="74">
        <f t="shared" si="0"/>
        <v>11.71846739647787</v>
      </c>
      <c r="Q36" s="38">
        <f t="shared" si="1"/>
        <v>0.91666666666666663</v>
      </c>
      <c r="R36" s="140">
        <f t="shared" si="2"/>
        <v>10.464659685863875</v>
      </c>
      <c r="S36" s="24">
        <f t="shared" si="3"/>
        <v>0.66666666666666663</v>
      </c>
      <c r="T36" s="140">
        <f t="shared" si="4"/>
        <v>13.022687609075042</v>
      </c>
      <c r="U36" s="9">
        <f t="shared" si="5"/>
        <v>1</v>
      </c>
      <c r="V36" s="141">
        <f t="shared" si="6"/>
        <v>11.71846739647787</v>
      </c>
      <c r="W36" s="142">
        <f t="shared" si="7"/>
        <v>0.91666666666666663</v>
      </c>
      <c r="X36" s="144">
        <f t="shared" si="8"/>
        <v>10.464659685863875</v>
      </c>
      <c r="Y36" s="144">
        <f t="shared" si="9"/>
        <v>13.022687609075042</v>
      </c>
      <c r="Z36" s="144">
        <f t="shared" si="10"/>
        <v>11.71846739647787</v>
      </c>
      <c r="AA36" s="10"/>
      <c r="AB36" s="357" t="str">
        <f>VLOOKUP($B36,'2007-2020 Metadata'!$A$4:$S$214,MATCH("Urban Area /Monitoring Zone",'2007-2020 Metadata'!$A$4:$S$4,0),FALSE)</f>
        <v>Gisborne</v>
      </c>
      <c r="AC36" s="87" t="str">
        <f>VLOOKUP($B36,'2007-2020 Metadata'!$A$6:$A$214,1,FALSE)</f>
        <v>NAP001</v>
      </c>
      <c r="AD36" s="230" t="str">
        <f>VLOOKUP($AC36,'2007-2020 Metadata'!$A$6:$S$214,9,FALSE)</f>
        <v>Gisborne</v>
      </c>
      <c r="AE36" s="248">
        <f>IF(ISBLANK(VLOOKUP($AC36,'2007-2020 Metadata'!$A$6:$S$214,19,FALSE)),"",VLOOKUP($AC36,'2007-2020 Metadata'!$A$6:$S$214,19,FALSE))</f>
        <v>3</v>
      </c>
      <c r="AF36" s="88" t="str">
        <f>VLOOKUP($B36,'2007-2020 Metadata'!$A$4:$S$214,MATCH("Site type",'2007-2020 Metadata'!$A$4:$S$4,0),FALSE)</f>
        <v>SH</v>
      </c>
      <c r="AG36" s="143">
        <f t="shared" si="11"/>
        <v>7.1910994764397902</v>
      </c>
      <c r="AH36" s="143">
        <f t="shared" si="12"/>
        <v>16.421465968586386</v>
      </c>
      <c r="AI36" s="144">
        <f t="shared" si="13"/>
        <v>11.71846739647787</v>
      </c>
    </row>
    <row r="37" spans="2:35" ht="12" customHeight="1" x14ac:dyDescent="0.2">
      <c r="B37" s="71" t="s">
        <v>43</v>
      </c>
      <c r="C37" s="71"/>
      <c r="D37" s="72"/>
      <c r="E37" s="72">
        <v>21.787958115183248</v>
      </c>
      <c r="F37" s="72">
        <v>26.081151832460733</v>
      </c>
      <c r="G37" s="85"/>
      <c r="H37" s="72">
        <v>24.68586387434555</v>
      </c>
      <c r="I37" s="72">
        <v>32.198952879581149</v>
      </c>
      <c r="J37" s="72">
        <v>34.989528795811523</v>
      </c>
      <c r="K37" s="72">
        <v>23.612565445026178</v>
      </c>
      <c r="L37" s="72">
        <v>24.471204188481675</v>
      </c>
      <c r="M37" s="72">
        <v>12.664921465968586</v>
      </c>
      <c r="N37" s="72"/>
      <c r="O37" s="72"/>
      <c r="P37" s="74">
        <f t="shared" si="0"/>
        <v>25.061518324607331</v>
      </c>
      <c r="Q37" s="38">
        <f t="shared" si="1"/>
        <v>0.66666666666666663</v>
      </c>
      <c r="R37" s="140">
        <f t="shared" si="2"/>
        <v>23.934554973821989</v>
      </c>
      <c r="S37" s="24">
        <f t="shared" si="3"/>
        <v>0.66666666666666663</v>
      </c>
      <c r="T37" s="140">
        <f t="shared" si="4"/>
        <v>27.691099476439792</v>
      </c>
      <c r="U37" s="9">
        <f t="shared" si="5"/>
        <v>1</v>
      </c>
      <c r="V37" s="141" t="str">
        <f t="shared" si="6"/>
        <v>-</v>
      </c>
      <c r="W37" s="142">
        <f t="shared" si="7"/>
        <v>0.66666666666666663</v>
      </c>
      <c r="X37" s="144">
        <f t="shared" si="8"/>
        <v>22.43193717277487</v>
      </c>
      <c r="Y37" s="144">
        <f t="shared" si="9"/>
        <v>24.417539267015705</v>
      </c>
      <c r="Z37" s="144">
        <f t="shared" si="10"/>
        <v>19.373036649214662</v>
      </c>
      <c r="AA37" s="10"/>
      <c r="AB37" s="357" t="str">
        <f>VLOOKUP($B37,'2007-2020 Metadata'!$A$4:$S$214,MATCH("Urban Area /Monitoring Zone",'2007-2020 Metadata'!$A$4:$S$4,0),FALSE)</f>
        <v>Napier</v>
      </c>
      <c r="AC37" s="87" t="str">
        <f>VLOOKUP($B37,'2007-2020 Metadata'!$A$6:$A$214,1,FALSE)</f>
        <v>NAP002</v>
      </c>
      <c r="AD37" s="230" t="str">
        <f>VLOOKUP($AC37,'2007-2020 Metadata'!$A$6:$S$214,9,FALSE)</f>
        <v>Napier</v>
      </c>
      <c r="AE37" s="248">
        <f>IF(ISBLANK(VLOOKUP($AC37,'2007-2020 Metadata'!$A$6:$S$214,19,FALSE)),"",VLOOKUP($AC37,'2007-2020 Metadata'!$A$6:$S$214,19,FALSE))</f>
        <v>3</v>
      </c>
      <c r="AF37" s="88" t="str">
        <f>VLOOKUP($B37,'2007-2020 Metadata'!$A$4:$S$214,MATCH("Site type",'2007-2020 Metadata'!$A$4:$S$4,0),FALSE)</f>
        <v>SH</v>
      </c>
      <c r="AG37" s="143">
        <f t="shared" si="11"/>
        <v>12.664921465968586</v>
      </c>
      <c r="AH37" s="143">
        <f t="shared" si="12"/>
        <v>34.989528795811523</v>
      </c>
      <c r="AI37" s="144" t="str">
        <f t="shared" si="13"/>
        <v xml:space="preserve"> </v>
      </c>
    </row>
    <row r="38" spans="2:35" ht="12" customHeight="1" x14ac:dyDescent="0.2">
      <c r="B38" s="71" t="s">
        <v>44</v>
      </c>
      <c r="C38" s="71"/>
      <c r="D38" s="72"/>
      <c r="E38" s="72">
        <v>18.56806282722513</v>
      </c>
      <c r="F38" s="72">
        <v>23.290575916230367</v>
      </c>
      <c r="G38" s="85"/>
      <c r="H38" s="72">
        <v>23.397905759162303</v>
      </c>
      <c r="I38" s="72">
        <v>19.748691099476439</v>
      </c>
      <c r="J38" s="72">
        <v>25.437172774869111</v>
      </c>
      <c r="K38" s="72">
        <v>19.104712041884817</v>
      </c>
      <c r="L38" s="72">
        <v>18.890052356020941</v>
      </c>
      <c r="M38" s="72">
        <v>14.489528795811518</v>
      </c>
      <c r="N38" s="72">
        <v>18.031413612565448</v>
      </c>
      <c r="O38" s="72">
        <v>12.772251308900524</v>
      </c>
      <c r="P38" s="74">
        <f t="shared" si="0"/>
        <v>19.373036649214662</v>
      </c>
      <c r="Q38" s="38">
        <f t="shared" si="1"/>
        <v>0.83333333333333337</v>
      </c>
      <c r="R38" s="140">
        <f t="shared" si="2"/>
        <v>20.92931937172775</v>
      </c>
      <c r="S38" s="24">
        <f t="shared" si="3"/>
        <v>0.66666666666666663</v>
      </c>
      <c r="T38" s="140">
        <f t="shared" si="4"/>
        <v>21.143979057591622</v>
      </c>
      <c r="U38" s="9">
        <f t="shared" si="5"/>
        <v>1</v>
      </c>
      <c r="V38" s="141">
        <f t="shared" si="6"/>
        <v>19.373036649214662</v>
      </c>
      <c r="W38" s="142">
        <f t="shared" si="7"/>
        <v>0.83333333333333337</v>
      </c>
      <c r="X38" s="144">
        <f t="shared" si="8"/>
        <v>22.43193717277487</v>
      </c>
      <c r="Y38" s="144">
        <f t="shared" si="9"/>
        <v>24.417539267015705</v>
      </c>
      <c r="Z38" s="144">
        <f t="shared" si="10"/>
        <v>19.373036649214662</v>
      </c>
      <c r="AA38" s="10"/>
      <c r="AB38" s="357" t="str">
        <f>VLOOKUP($B38,'2007-2020 Metadata'!$A$4:$S$214,MATCH("Urban Area /Monitoring Zone",'2007-2020 Metadata'!$A$4:$S$4,0),FALSE)</f>
        <v>Napier</v>
      </c>
      <c r="AC38" s="87" t="str">
        <f>VLOOKUP($B38,'2007-2020 Metadata'!$A$6:$A$214,1,FALSE)</f>
        <v>NAP003</v>
      </c>
      <c r="AD38" s="230" t="str">
        <f>VLOOKUP($AC38,'2007-2020 Metadata'!$A$6:$S$214,9,FALSE)</f>
        <v>Napier</v>
      </c>
      <c r="AE38" s="248">
        <f>IF(ISBLANK(VLOOKUP($AC38,'2007-2020 Metadata'!$A$6:$S$214,19,FALSE)),"",VLOOKUP($AC38,'2007-2020 Metadata'!$A$6:$S$214,19,FALSE))</f>
        <v>3</v>
      </c>
      <c r="AF38" s="88" t="str">
        <f>VLOOKUP($B38,'2007-2020 Metadata'!$A$4:$S$214,MATCH("Site type",'2007-2020 Metadata'!$A$4:$S$4,0),FALSE)</f>
        <v>SH</v>
      </c>
      <c r="AG38" s="143">
        <f t="shared" si="11"/>
        <v>12.772251308900524</v>
      </c>
      <c r="AH38" s="143">
        <f t="shared" si="12"/>
        <v>25.437172774869111</v>
      </c>
      <c r="AI38" s="144">
        <f t="shared" si="13"/>
        <v>19.373036649214662</v>
      </c>
    </row>
    <row r="39" spans="2:35" ht="12" customHeight="1" x14ac:dyDescent="0.2">
      <c r="B39" s="71" t="s">
        <v>45</v>
      </c>
      <c r="C39" s="71"/>
      <c r="D39" s="72"/>
      <c r="E39" s="72">
        <v>5.6884816753926701</v>
      </c>
      <c r="F39" s="72">
        <v>18.13874345549738</v>
      </c>
      <c r="G39" s="85"/>
      <c r="H39" s="72">
        <v>18.782722513089006</v>
      </c>
      <c r="I39" s="72">
        <v>15.670157068062826</v>
      </c>
      <c r="J39" s="72">
        <v>22.646596858638741</v>
      </c>
      <c r="K39" s="72">
        <v>16.743455497382197</v>
      </c>
      <c r="L39" s="72">
        <v>20.178010471204185</v>
      </c>
      <c r="M39" s="72">
        <v>13.952879581151832</v>
      </c>
      <c r="N39" s="72">
        <v>16.850785340314136</v>
      </c>
      <c r="O39" s="72">
        <v>9.2303664921465955</v>
      </c>
      <c r="P39" s="74">
        <f t="shared" si="0"/>
        <v>15.788219895287957</v>
      </c>
      <c r="Q39" s="38">
        <f t="shared" si="1"/>
        <v>0.83333333333333337</v>
      </c>
      <c r="R39" s="140">
        <f t="shared" si="2"/>
        <v>11.913612565445025</v>
      </c>
      <c r="S39" s="24">
        <f t="shared" si="3"/>
        <v>0.66666666666666663</v>
      </c>
      <c r="T39" s="140">
        <f t="shared" si="4"/>
        <v>19.856020942408374</v>
      </c>
      <c r="U39" s="9">
        <f t="shared" si="5"/>
        <v>1</v>
      </c>
      <c r="V39" s="141">
        <f t="shared" si="6"/>
        <v>15.788219895287957</v>
      </c>
      <c r="W39" s="142">
        <f t="shared" si="7"/>
        <v>0.83333333333333337</v>
      </c>
      <c r="X39" s="144">
        <f t="shared" si="8"/>
        <v>11.913612565445025</v>
      </c>
      <c r="Y39" s="144">
        <f t="shared" si="9"/>
        <v>19.856020942408374</v>
      </c>
      <c r="Z39" s="144">
        <f t="shared" si="10"/>
        <v>15.788219895287957</v>
      </c>
      <c r="AA39" s="10"/>
      <c r="AB39" s="357" t="str">
        <f>VLOOKUP($B39,'2007-2020 Metadata'!$A$4:$S$214,MATCH("Urban Area /Monitoring Zone",'2007-2020 Metadata'!$A$4:$S$4,0),FALSE)</f>
        <v>Hastings</v>
      </c>
      <c r="AC39" s="87" t="str">
        <f>VLOOKUP($B39,'2007-2020 Metadata'!$A$6:$A$214,1,FALSE)</f>
        <v>NAP004</v>
      </c>
      <c r="AD39" s="230" t="str">
        <f>VLOOKUP($AC39,'2007-2020 Metadata'!$A$6:$S$214,9,FALSE)</f>
        <v>Hastings</v>
      </c>
      <c r="AE39" s="248">
        <f>IF(ISBLANK(VLOOKUP($AC39,'2007-2020 Metadata'!$A$6:$S$214,19,FALSE)),"",VLOOKUP($AC39,'2007-2020 Metadata'!$A$6:$S$214,19,FALSE))</f>
        <v>3</v>
      </c>
      <c r="AF39" s="88" t="str">
        <f>VLOOKUP($B39,'2007-2020 Metadata'!$A$4:$S$214,MATCH("Site type",'2007-2020 Metadata'!$A$4:$S$4,0),FALSE)</f>
        <v>SH</v>
      </c>
      <c r="AG39" s="143">
        <f t="shared" si="11"/>
        <v>5.6884816753926701</v>
      </c>
      <c r="AH39" s="143">
        <f t="shared" si="12"/>
        <v>22.646596858638741</v>
      </c>
      <c r="AI39" s="144">
        <f t="shared" si="13"/>
        <v>15.788219895287957</v>
      </c>
    </row>
    <row r="40" spans="2:35" ht="12" customHeight="1" x14ac:dyDescent="0.2">
      <c r="B40" s="71" t="s">
        <v>46</v>
      </c>
      <c r="C40" s="71"/>
      <c r="D40" s="72"/>
      <c r="E40" s="72">
        <v>14.596858638743456</v>
      </c>
      <c r="F40" s="72">
        <v>17.172774869109947</v>
      </c>
      <c r="G40" s="72">
        <v>21.251308900523561</v>
      </c>
      <c r="H40" s="72">
        <v>23.612565445026178</v>
      </c>
      <c r="I40" s="72">
        <v>21.573298429319372</v>
      </c>
      <c r="J40" s="72">
        <v>22.539267015706805</v>
      </c>
      <c r="K40" s="72">
        <v>22.32460732984293</v>
      </c>
      <c r="L40" s="72">
        <v>24.793193717277486</v>
      </c>
      <c r="M40" s="72">
        <v>24.793193717277486</v>
      </c>
      <c r="N40" s="72">
        <v>19.426701570680628</v>
      </c>
      <c r="O40" s="72"/>
      <c r="P40" s="74">
        <f t="shared" si="0"/>
        <v>21.208376963350783</v>
      </c>
      <c r="Q40" s="38">
        <f t="shared" si="1"/>
        <v>0.83333333333333337</v>
      </c>
      <c r="R40" s="140">
        <f t="shared" si="2"/>
        <v>15.884816753926701</v>
      </c>
      <c r="S40" s="24">
        <f t="shared" si="3"/>
        <v>0.66666666666666663</v>
      </c>
      <c r="T40" s="140">
        <f t="shared" si="4"/>
        <v>23.219022687609073</v>
      </c>
      <c r="U40" s="9">
        <f t="shared" si="5"/>
        <v>1</v>
      </c>
      <c r="V40" s="141">
        <f t="shared" si="6"/>
        <v>21.208376963350783</v>
      </c>
      <c r="W40" s="142">
        <f t="shared" si="7"/>
        <v>0.83333333333333337</v>
      </c>
      <c r="X40" s="144">
        <f t="shared" si="8"/>
        <v>15.884816753926701</v>
      </c>
      <c r="Y40" s="144">
        <f t="shared" si="9"/>
        <v>23.219022687609073</v>
      </c>
      <c r="Z40" s="144">
        <f t="shared" si="10"/>
        <v>21.208376963350783</v>
      </c>
      <c r="AA40" s="10"/>
      <c r="AB40" s="357" t="str">
        <f>VLOOKUP($B40,'2007-2020 Metadata'!$A$4:$S$214,MATCH("Urban Area /Monitoring Zone",'2007-2020 Metadata'!$A$4:$S$4,0),FALSE)</f>
        <v>New Plymouth</v>
      </c>
      <c r="AC40" s="87" t="str">
        <f>VLOOKUP($B40,'2007-2020 Metadata'!$A$6:$A$214,1,FALSE)</f>
        <v>WAN001</v>
      </c>
      <c r="AD40" s="230" t="str">
        <f>VLOOKUP($AC40,'2007-2020 Metadata'!$A$6:$S$214,9,FALSE)</f>
        <v>New Plymouth</v>
      </c>
      <c r="AE40" s="248">
        <f>IF(ISBLANK(VLOOKUP($AC40,'2007-2020 Metadata'!$A$6:$S$214,19,FALSE)),"",VLOOKUP($AC40,'2007-2020 Metadata'!$A$6:$S$214,19,FALSE))</f>
        <v>3</v>
      </c>
      <c r="AF40" s="88" t="str">
        <f>VLOOKUP($B40,'2007-2020 Metadata'!$A$4:$S$214,MATCH("Site type",'2007-2020 Metadata'!$A$4:$S$4,0),FALSE)</f>
        <v>SH</v>
      </c>
      <c r="AG40" s="143">
        <f t="shared" si="11"/>
        <v>14.596858638743456</v>
      </c>
      <c r="AH40" s="143">
        <f t="shared" si="12"/>
        <v>24.793193717277486</v>
      </c>
      <c r="AI40" s="144">
        <f t="shared" si="13"/>
        <v>21.208376963350783</v>
      </c>
    </row>
    <row r="41" spans="2:35" ht="12" customHeight="1" x14ac:dyDescent="0.2">
      <c r="B41" s="71" t="s">
        <v>47</v>
      </c>
      <c r="C41" s="71"/>
      <c r="D41" s="72">
        <v>8.3717277486910984</v>
      </c>
      <c r="E41" s="72">
        <v>9.8743455497382193</v>
      </c>
      <c r="F41" s="72">
        <v>11.484293193717278</v>
      </c>
      <c r="G41" s="72">
        <v>15.670157068062826</v>
      </c>
      <c r="H41" s="85"/>
      <c r="I41" s="85"/>
      <c r="J41" s="72"/>
      <c r="K41" s="72">
        <v>11.806282722513089</v>
      </c>
      <c r="L41" s="85"/>
      <c r="M41" s="85"/>
      <c r="N41" s="85"/>
      <c r="O41" s="72">
        <v>12.450261780104711</v>
      </c>
      <c r="P41" s="74">
        <f t="shared" si="0"/>
        <v>11.609511343804536</v>
      </c>
      <c r="Q41" s="38">
        <f t="shared" si="1"/>
        <v>0.5</v>
      </c>
      <c r="R41" s="140">
        <f t="shared" si="2"/>
        <v>9.9101221640488646</v>
      </c>
      <c r="S41" s="24">
        <f t="shared" si="3"/>
        <v>1</v>
      </c>
      <c r="T41" s="140" t="str">
        <f t="shared" si="4"/>
        <v>-</v>
      </c>
      <c r="U41" s="9">
        <f t="shared" si="5"/>
        <v>0.33333333333333331</v>
      </c>
      <c r="V41" s="141" t="str">
        <f t="shared" si="6"/>
        <v>-</v>
      </c>
      <c r="W41" s="142">
        <f t="shared" si="7"/>
        <v>0.5</v>
      </c>
      <c r="X41" s="144">
        <f t="shared" si="8"/>
        <v>9.9101221640488646</v>
      </c>
      <c r="Y41" s="144" t="str">
        <f t="shared" si="9"/>
        <v/>
      </c>
      <c r="Z41" s="144" t="str">
        <f t="shared" si="10"/>
        <v/>
      </c>
      <c r="AA41" s="10"/>
      <c r="AB41" s="357" t="str">
        <f>VLOOKUP($B41,'2007-2020 Metadata'!$A$4:$S$214,MATCH("Urban Area /Monitoring Zone",'2007-2020 Metadata'!$A$4:$S$4,0),FALSE)</f>
        <v>Whanganui</v>
      </c>
      <c r="AC41" s="87" t="str">
        <f>VLOOKUP($B41,'2007-2020 Metadata'!$A$6:$A$214,1,FALSE)</f>
        <v>WAN002</v>
      </c>
      <c r="AD41" s="230" t="str">
        <f>VLOOKUP($AC41,'2007-2020 Metadata'!$A$6:$S$214,9,FALSE)</f>
        <v>Whanganui</v>
      </c>
      <c r="AE41" s="248">
        <f>IF(ISBLANK(VLOOKUP($AC41,'2007-2020 Metadata'!$A$6:$S$214,19,FALSE)),"",VLOOKUP($AC41,'2007-2020 Metadata'!$A$6:$S$214,19,FALSE))</f>
        <v>3</v>
      </c>
      <c r="AF41" s="88" t="str">
        <f>VLOOKUP($B41,'2007-2020 Metadata'!$A$4:$S$214,MATCH("Site type",'2007-2020 Metadata'!$A$4:$S$4,0),FALSE)</f>
        <v>SH</v>
      </c>
      <c r="AG41" s="143">
        <f t="shared" si="11"/>
        <v>8.3717277486910984</v>
      </c>
      <c r="AH41" s="143">
        <f t="shared" si="12"/>
        <v>15.670157068062826</v>
      </c>
      <c r="AI41" s="144" t="str">
        <f t="shared" si="13"/>
        <v xml:space="preserve"> </v>
      </c>
    </row>
    <row r="42" spans="2:35" ht="12" customHeight="1" x14ac:dyDescent="0.2">
      <c r="B42" s="71" t="s">
        <v>48</v>
      </c>
      <c r="C42" s="71"/>
      <c r="D42" s="72">
        <v>13.094240837696335</v>
      </c>
      <c r="E42" s="72">
        <v>15.992146596858639</v>
      </c>
      <c r="F42" s="72">
        <v>17.172774869109947</v>
      </c>
      <c r="G42" s="72">
        <v>21.89528795811518</v>
      </c>
      <c r="H42" s="72">
        <v>26.081151832460733</v>
      </c>
      <c r="I42" s="72">
        <v>28.013089005235603</v>
      </c>
      <c r="J42" s="72">
        <v>27.476439790575917</v>
      </c>
      <c r="K42" s="72">
        <v>21.036649214659686</v>
      </c>
      <c r="L42" s="72">
        <v>18.031413612565448</v>
      </c>
      <c r="M42" s="72">
        <v>15.777486910994762</v>
      </c>
      <c r="N42" s="72">
        <v>17.602094240837694</v>
      </c>
      <c r="O42" s="72">
        <v>8.9083769633507863</v>
      </c>
      <c r="P42" s="74">
        <f t="shared" si="0"/>
        <v>19.25676265270506</v>
      </c>
      <c r="Q42" s="38">
        <f t="shared" si="1"/>
        <v>1</v>
      </c>
      <c r="R42" s="140">
        <f t="shared" si="2"/>
        <v>15.419720767888307</v>
      </c>
      <c r="S42" s="24">
        <f t="shared" si="3"/>
        <v>1</v>
      </c>
      <c r="T42" s="140">
        <f t="shared" si="4"/>
        <v>22.181500872600349</v>
      </c>
      <c r="U42" s="9">
        <f t="shared" si="5"/>
        <v>1</v>
      </c>
      <c r="V42" s="141">
        <f t="shared" si="6"/>
        <v>19.25676265270506</v>
      </c>
      <c r="W42" s="142">
        <f t="shared" si="7"/>
        <v>1</v>
      </c>
      <c r="X42" s="144">
        <f t="shared" si="8"/>
        <v>15.419720767888307</v>
      </c>
      <c r="Y42" s="144">
        <f t="shared" si="9"/>
        <v>22.181500872600349</v>
      </c>
      <c r="Z42" s="144">
        <f t="shared" si="10"/>
        <v>19.25676265270506</v>
      </c>
      <c r="AA42" s="10"/>
      <c r="AB42" s="357" t="str">
        <f>VLOOKUP($B42,'2007-2020 Metadata'!$A$4:$S$214,MATCH("Urban Area /Monitoring Zone",'2007-2020 Metadata'!$A$4:$S$4,0),FALSE)</f>
        <v>Palmerston North</v>
      </c>
      <c r="AC42" s="87" t="str">
        <f>VLOOKUP($B42,'2007-2020 Metadata'!$A$6:$A$214,1,FALSE)</f>
        <v>WAN004</v>
      </c>
      <c r="AD42" s="230" t="str">
        <f>VLOOKUP($AC42,'2007-2020 Metadata'!$A$6:$S$214,9,FALSE)</f>
        <v>Palmerston North</v>
      </c>
      <c r="AE42" s="248">
        <f>IF(ISBLANK(VLOOKUP($AC42,'2007-2020 Metadata'!$A$6:$S$214,19,FALSE)),"",VLOOKUP($AC42,'2007-2020 Metadata'!$A$6:$S$214,19,FALSE))</f>
        <v>3</v>
      </c>
      <c r="AF42" s="88" t="str">
        <f>VLOOKUP($B42,'2007-2020 Metadata'!$A$4:$S$214,MATCH("Site type",'2007-2020 Metadata'!$A$4:$S$4,0),FALSE)</f>
        <v>SH</v>
      </c>
      <c r="AG42" s="143">
        <f t="shared" si="11"/>
        <v>8.9083769633507863</v>
      </c>
      <c r="AH42" s="143">
        <f t="shared" si="12"/>
        <v>28.013089005235603</v>
      </c>
      <c r="AI42" s="144">
        <f t="shared" si="13"/>
        <v>19.25676265270506</v>
      </c>
    </row>
    <row r="43" spans="2:35" ht="12" customHeight="1" x14ac:dyDescent="0.2">
      <c r="B43" s="71" t="s">
        <v>49</v>
      </c>
      <c r="C43" s="71"/>
      <c r="D43" s="72">
        <v>15.884816753926701</v>
      </c>
      <c r="E43" s="72">
        <v>19.963350785340314</v>
      </c>
      <c r="F43" s="72">
        <v>21.680628272251305</v>
      </c>
      <c r="G43" s="72">
        <v>25.007853403141361</v>
      </c>
      <c r="H43" s="72">
        <v>22.539267015706805</v>
      </c>
      <c r="I43" s="72">
        <v>28.657068062827225</v>
      </c>
      <c r="J43" s="72">
        <v>32.6282722513089</v>
      </c>
      <c r="K43" s="72">
        <v>24.471204188481675</v>
      </c>
      <c r="L43" s="72">
        <v>25.65183246073298</v>
      </c>
      <c r="M43" s="72">
        <v>16.636125654450261</v>
      </c>
      <c r="N43" s="72">
        <v>17.387434554973819</v>
      </c>
      <c r="O43" s="72">
        <v>15.026178010471202</v>
      </c>
      <c r="P43" s="74">
        <f t="shared" si="0"/>
        <v>22.127835951134383</v>
      </c>
      <c r="Q43" s="38">
        <f t="shared" si="1"/>
        <v>1</v>
      </c>
      <c r="R43" s="140">
        <f t="shared" si="2"/>
        <v>19.176265270506107</v>
      </c>
      <c r="S43" s="24">
        <f t="shared" si="3"/>
        <v>1</v>
      </c>
      <c r="T43" s="140">
        <f t="shared" si="4"/>
        <v>27.583769633507853</v>
      </c>
      <c r="U43" s="9">
        <f t="shared" si="5"/>
        <v>1</v>
      </c>
      <c r="V43" s="141">
        <f t="shared" si="6"/>
        <v>22.127835951134383</v>
      </c>
      <c r="W43" s="142">
        <f t="shared" si="7"/>
        <v>1</v>
      </c>
      <c r="X43" s="144">
        <f t="shared" si="8"/>
        <v>19.176265270506107</v>
      </c>
      <c r="Y43" s="144">
        <f t="shared" si="9"/>
        <v>22.771815008726001</v>
      </c>
      <c r="Z43" s="144">
        <f t="shared" si="10"/>
        <v>22.127835951134383</v>
      </c>
      <c r="AA43" s="10"/>
      <c r="AB43" s="357" t="str">
        <f>VLOOKUP($B43,'2007-2020 Metadata'!$A$4:$S$214,MATCH("Urban Area /Monitoring Zone",'2007-2020 Metadata'!$A$4:$S$4,0),FALSE)</f>
        <v>Lower Hutt</v>
      </c>
      <c r="AC43" s="87" t="str">
        <f>VLOOKUP($B43,'2007-2020 Metadata'!$A$6:$A$214,1,FALSE)</f>
        <v>WEL002</v>
      </c>
      <c r="AD43" s="230" t="str">
        <f>VLOOKUP($AC43,'2007-2020 Metadata'!$A$6:$S$214,9,FALSE)</f>
        <v>Lower Hutt</v>
      </c>
      <c r="AE43" s="248">
        <f>IF(ISBLANK(VLOOKUP($AC43,'2007-2020 Metadata'!$A$6:$S$214,19,FALSE)),"",VLOOKUP($AC43,'2007-2020 Metadata'!$A$6:$S$214,19,FALSE))</f>
        <v>3.2</v>
      </c>
      <c r="AF43" s="88" t="str">
        <f>VLOOKUP($B43,'2007-2020 Metadata'!$A$4:$S$214,MATCH("Site type",'2007-2020 Metadata'!$A$4:$S$4,0),FALSE)</f>
        <v>SH</v>
      </c>
      <c r="AG43" s="143">
        <f t="shared" si="11"/>
        <v>15.026178010471202</v>
      </c>
      <c r="AH43" s="143">
        <f t="shared" si="12"/>
        <v>32.6282722513089</v>
      </c>
      <c r="AI43" s="144">
        <f t="shared" si="13"/>
        <v>22.127835951134383</v>
      </c>
    </row>
    <row r="44" spans="2:35" ht="12" customHeight="1" x14ac:dyDescent="0.2">
      <c r="B44" s="71" t="s">
        <v>50</v>
      </c>
      <c r="C44" s="71"/>
      <c r="D44" s="72"/>
      <c r="E44" s="72"/>
      <c r="F44" s="72"/>
      <c r="G44" s="72"/>
      <c r="H44" s="72">
        <v>14.489528795811518</v>
      </c>
      <c r="I44" s="72">
        <v>21.89528795811518</v>
      </c>
      <c r="J44" s="72">
        <v>22.753926701570681</v>
      </c>
      <c r="K44" s="72">
        <v>16.528795811518325</v>
      </c>
      <c r="L44" s="72">
        <v>14.596858638743456</v>
      </c>
      <c r="M44" s="72">
        <v>8.0497382198952874</v>
      </c>
      <c r="N44" s="72">
        <v>10.625654450261781</v>
      </c>
      <c r="O44" s="72">
        <v>8.3717277486910984</v>
      </c>
      <c r="P44" s="74">
        <f t="shared" si="0"/>
        <v>14.663939790575915</v>
      </c>
      <c r="Q44" s="38">
        <f t="shared" si="1"/>
        <v>0.66666666666666663</v>
      </c>
      <c r="R44" s="140" t="str">
        <f t="shared" si="2"/>
        <v/>
      </c>
      <c r="S44" s="24">
        <f t="shared" si="3"/>
        <v>0</v>
      </c>
      <c r="T44" s="140">
        <f t="shared" si="4"/>
        <v>17.959860383944154</v>
      </c>
      <c r="U44" s="9">
        <f t="shared" si="5"/>
        <v>1</v>
      </c>
      <c r="V44" s="141" t="str">
        <f t="shared" si="6"/>
        <v>-</v>
      </c>
      <c r="W44" s="142">
        <f t="shared" si="7"/>
        <v>0.66666666666666663</v>
      </c>
      <c r="X44" s="144">
        <f t="shared" si="8"/>
        <v>19.176265270506107</v>
      </c>
      <c r="Y44" s="144">
        <f t="shared" si="9"/>
        <v>22.771815008726001</v>
      </c>
      <c r="Z44" s="144">
        <f t="shared" si="10"/>
        <v>22.127835951134383</v>
      </c>
      <c r="AA44" s="10"/>
      <c r="AB44" s="357" t="str">
        <f>VLOOKUP($B44,'2007-2020 Metadata'!$A$4:$S$214,MATCH("Urban Area /Monitoring Zone",'2007-2020 Metadata'!$A$4:$S$4,0),FALSE)</f>
        <v>Lower Hutt</v>
      </c>
      <c r="AC44" s="87" t="str">
        <f>VLOOKUP($B44,'2007-2020 Metadata'!$A$6:$A$214,1,FALSE)</f>
        <v>WEL003</v>
      </c>
      <c r="AD44" s="230" t="str">
        <f>VLOOKUP($AC44,'2007-2020 Metadata'!$A$6:$S$214,9,FALSE)</f>
        <v>Lower Hutt</v>
      </c>
      <c r="AE44" s="248">
        <f>IF(ISBLANK(VLOOKUP($AC44,'2007-2020 Metadata'!$A$6:$S$214,19,FALSE)),"",VLOOKUP($AC44,'2007-2020 Metadata'!$A$6:$S$214,19,FALSE))</f>
        <v>3.3</v>
      </c>
      <c r="AF44" s="88" t="str">
        <f>VLOOKUP($B44,'2007-2020 Metadata'!$A$4:$S$214,MATCH("Site type",'2007-2020 Metadata'!$A$4:$S$4,0),FALSE)</f>
        <v>SH</v>
      </c>
      <c r="AG44" s="143">
        <f t="shared" si="11"/>
        <v>8.0497382198952874</v>
      </c>
      <c r="AH44" s="143">
        <f t="shared" si="12"/>
        <v>22.753926701570681</v>
      </c>
      <c r="AI44" s="144" t="str">
        <f t="shared" si="13"/>
        <v xml:space="preserve"> </v>
      </c>
    </row>
    <row r="45" spans="2:35" ht="12" customHeight="1" x14ac:dyDescent="0.2">
      <c r="B45" s="71" t="s">
        <v>51</v>
      </c>
      <c r="C45" s="71"/>
      <c r="D45" s="72">
        <v>13.845549738219896</v>
      </c>
      <c r="E45" s="72">
        <v>14.167539267015705</v>
      </c>
      <c r="F45" s="72">
        <v>16.636125654450261</v>
      </c>
      <c r="G45" s="72">
        <v>22.109947643979059</v>
      </c>
      <c r="H45" s="72">
        <v>22.753926701570681</v>
      </c>
      <c r="I45" s="72">
        <v>21.573298429319372</v>
      </c>
      <c r="J45" s="72">
        <v>23.719895287958117</v>
      </c>
      <c r="K45" s="72">
        <v>22.002617801047119</v>
      </c>
      <c r="L45" s="72">
        <v>18.246073298429319</v>
      </c>
      <c r="M45" s="72">
        <v>15.026178010471202</v>
      </c>
      <c r="N45" s="72">
        <v>11.806282722513089</v>
      </c>
      <c r="O45" s="72">
        <v>12.557591623036647</v>
      </c>
      <c r="P45" s="74">
        <f t="shared" si="0"/>
        <v>17.870418848167535</v>
      </c>
      <c r="Q45" s="38">
        <f t="shared" si="1"/>
        <v>1</v>
      </c>
      <c r="R45" s="140">
        <f t="shared" si="2"/>
        <v>14.88307155322862</v>
      </c>
      <c r="S45" s="24">
        <f t="shared" si="3"/>
        <v>1</v>
      </c>
      <c r="T45" s="140">
        <f t="shared" si="4"/>
        <v>21.322862129144852</v>
      </c>
      <c r="U45" s="9">
        <f t="shared" si="5"/>
        <v>1</v>
      </c>
      <c r="V45" s="141">
        <f t="shared" si="6"/>
        <v>17.870418848167535</v>
      </c>
      <c r="W45" s="142">
        <f t="shared" si="7"/>
        <v>1</v>
      </c>
      <c r="X45" s="144">
        <f t="shared" si="8"/>
        <v>14.88307155322862</v>
      </c>
      <c r="Y45" s="144">
        <f t="shared" si="9"/>
        <v>21.322862129144852</v>
      </c>
      <c r="Z45" s="144">
        <f t="shared" si="10"/>
        <v>17.870418848167535</v>
      </c>
      <c r="AA45" s="10"/>
      <c r="AB45" s="357" t="str">
        <f>VLOOKUP($B45,'2007-2020 Metadata'!$A$4:$S$214,MATCH("Urban Area /Monitoring Zone",'2007-2020 Metadata'!$A$4:$S$4,0),FALSE)</f>
        <v xml:space="preserve">Kapiti </v>
      </c>
      <c r="AC45" s="87" t="str">
        <f>VLOOKUP($B45,'2007-2020 Metadata'!$A$6:$A$214,1,FALSE)</f>
        <v>WEL004</v>
      </c>
      <c r="AD45" s="230" t="str">
        <f>VLOOKUP($AC45,'2007-2020 Metadata'!$A$6:$S$214,9,FALSE)</f>
        <v>Kapiti Coast</v>
      </c>
      <c r="AE45" s="248">
        <f>IF(ISBLANK(VLOOKUP($AC45,'2007-2020 Metadata'!$A$6:$S$214,19,FALSE)),"",VLOOKUP($AC45,'2007-2020 Metadata'!$A$6:$S$214,19,FALSE))</f>
        <v>3.3</v>
      </c>
      <c r="AF45" s="88" t="str">
        <f>VLOOKUP($B45,'2007-2020 Metadata'!$A$4:$S$214,MATCH("Site type",'2007-2020 Metadata'!$A$4:$S$4,0),FALSE)</f>
        <v>SH</v>
      </c>
      <c r="AG45" s="143">
        <f t="shared" si="11"/>
        <v>11.806282722513089</v>
      </c>
      <c r="AH45" s="143">
        <f t="shared" si="12"/>
        <v>23.719895287958117</v>
      </c>
      <c r="AI45" s="144">
        <f t="shared" si="13"/>
        <v>17.870418848167535</v>
      </c>
    </row>
    <row r="46" spans="2:35" ht="12" customHeight="1" x14ac:dyDescent="0.2">
      <c r="B46" s="71" t="s">
        <v>52</v>
      </c>
      <c r="C46" s="71"/>
      <c r="D46" s="72"/>
      <c r="E46" s="72"/>
      <c r="F46" s="72">
        <v>22.4</v>
      </c>
      <c r="G46" s="72">
        <v>17.100000000000001</v>
      </c>
      <c r="H46" s="72">
        <v>23.827225130890049</v>
      </c>
      <c r="I46" s="72">
        <v>23.505235602094238</v>
      </c>
      <c r="J46" s="72">
        <v>24.471204188481675</v>
      </c>
      <c r="K46" s="72">
        <v>22.753926701570681</v>
      </c>
      <c r="L46" s="72">
        <v>20.285340314136125</v>
      </c>
      <c r="M46" s="72"/>
      <c r="N46" s="72">
        <v>14.060209424083768</v>
      </c>
      <c r="O46" s="72">
        <v>12.450261780104711</v>
      </c>
      <c r="P46" s="74">
        <f t="shared" si="0"/>
        <v>20.094822571262362</v>
      </c>
      <c r="Q46" s="38">
        <f t="shared" si="1"/>
        <v>0.75</v>
      </c>
      <c r="R46" s="140" t="str">
        <f t="shared" si="2"/>
        <v>-</v>
      </c>
      <c r="S46" s="24">
        <f t="shared" si="3"/>
        <v>0.33333333333333331</v>
      </c>
      <c r="T46" s="140">
        <f t="shared" si="4"/>
        <v>22.50349040139616</v>
      </c>
      <c r="U46" s="9">
        <f t="shared" si="5"/>
        <v>1</v>
      </c>
      <c r="V46" s="141">
        <f t="shared" si="6"/>
        <v>20.094822571262362</v>
      </c>
      <c r="W46" s="142">
        <f t="shared" si="7"/>
        <v>0.75</v>
      </c>
      <c r="X46" s="144" t="str">
        <f t="shared" si="8"/>
        <v/>
      </c>
      <c r="Y46" s="144">
        <f t="shared" si="9"/>
        <v>22.50349040139616</v>
      </c>
      <c r="Z46" s="144">
        <f t="shared" si="10"/>
        <v>20.094822571262362</v>
      </c>
      <c r="AA46" s="10"/>
      <c r="AB46" s="357" t="str">
        <f>VLOOKUP($B46,'2007-2020 Metadata'!$A$4:$S$214,MATCH("Urban Area /Monitoring Zone",'2007-2020 Metadata'!$A$4:$S$4,0),FALSE)</f>
        <v>Porirua</v>
      </c>
      <c r="AC46" s="87" t="str">
        <f>VLOOKUP($B46,'2007-2020 Metadata'!$A$6:$A$214,1,FALSE)</f>
        <v>WEL005</v>
      </c>
      <c r="AD46" s="230" t="str">
        <f>VLOOKUP($AC46,'2007-2020 Metadata'!$A$6:$S$214,9,FALSE)</f>
        <v>Porirua</v>
      </c>
      <c r="AE46" s="248">
        <f>IF(ISBLANK(VLOOKUP($AC46,'2007-2020 Metadata'!$A$6:$S$214,19,FALSE)),"",VLOOKUP($AC46,'2007-2020 Metadata'!$A$6:$S$214,19,FALSE))</f>
        <v>3.2</v>
      </c>
      <c r="AF46" s="88" t="str">
        <f>VLOOKUP($B46,'2007-2020 Metadata'!$A$4:$S$214,MATCH("Site type",'2007-2020 Metadata'!$A$4:$S$4,0),FALSE)</f>
        <v>SH</v>
      </c>
      <c r="AG46" s="143">
        <f t="shared" si="11"/>
        <v>12.450261780104711</v>
      </c>
      <c r="AH46" s="143">
        <f t="shared" si="12"/>
        <v>24.471204188481675</v>
      </c>
      <c r="AI46" s="144">
        <f t="shared" si="13"/>
        <v>20.094822571262362</v>
      </c>
    </row>
    <row r="47" spans="2:35" ht="12" customHeight="1" x14ac:dyDescent="0.2">
      <c r="B47" s="71" t="s">
        <v>53</v>
      </c>
      <c r="C47" s="71"/>
      <c r="D47" s="72"/>
      <c r="E47" s="72"/>
      <c r="F47" s="72">
        <v>13.6</v>
      </c>
      <c r="G47" s="72">
        <v>20.3</v>
      </c>
      <c r="H47" s="72">
        <v>17.387434554973819</v>
      </c>
      <c r="I47" s="72">
        <v>24.041884816753925</v>
      </c>
      <c r="J47" s="72">
        <v>30.159685863874348</v>
      </c>
      <c r="K47" s="72">
        <v>23.612565445026178</v>
      </c>
      <c r="L47" s="72">
        <v>16.421465968586386</v>
      </c>
      <c r="M47" s="72">
        <v>14.489528795811518</v>
      </c>
      <c r="N47" s="72">
        <v>12.986910994764397</v>
      </c>
      <c r="O47" s="72">
        <v>11.591623036649214</v>
      </c>
      <c r="P47" s="74">
        <f t="shared" si="0"/>
        <v>18.459109947643974</v>
      </c>
      <c r="Q47" s="38">
        <f t="shared" si="1"/>
        <v>0.83333333333333337</v>
      </c>
      <c r="R47" s="140" t="str">
        <f t="shared" si="2"/>
        <v>-</v>
      </c>
      <c r="S47" s="24">
        <f t="shared" si="3"/>
        <v>0.33333333333333331</v>
      </c>
      <c r="T47" s="140">
        <f t="shared" si="4"/>
        <v>23.397905759162303</v>
      </c>
      <c r="U47" s="9">
        <f t="shared" si="5"/>
        <v>1</v>
      </c>
      <c r="V47" s="141">
        <f t="shared" si="6"/>
        <v>18.459109947643974</v>
      </c>
      <c r="W47" s="142">
        <f t="shared" si="7"/>
        <v>0.83333333333333337</v>
      </c>
      <c r="X47" s="144">
        <f t="shared" si="8"/>
        <v>34.739092495637003</v>
      </c>
      <c r="Y47" s="144">
        <f t="shared" si="9"/>
        <v>33.862565445026171</v>
      </c>
      <c r="Z47" s="144">
        <f t="shared" si="10"/>
        <v>28.906692844677131</v>
      </c>
      <c r="AA47" s="10"/>
      <c r="AB47" s="357" t="str">
        <f>VLOOKUP($B47,'2007-2020 Metadata'!$A$4:$S$214,MATCH("Urban Area /Monitoring Zone",'2007-2020 Metadata'!$A$4:$S$4,0),FALSE)</f>
        <v>Wellington</v>
      </c>
      <c r="AC47" s="87" t="str">
        <f>VLOOKUP($B47,'2007-2020 Metadata'!$A$6:$A$214,1,FALSE)</f>
        <v>WEL007</v>
      </c>
      <c r="AD47" s="230" t="str">
        <f>VLOOKUP($AC47,'2007-2020 Metadata'!$A$6:$S$214,9,FALSE)</f>
        <v>Wellington</v>
      </c>
      <c r="AE47" s="248">
        <f>IF(ISBLANK(VLOOKUP($AC47,'2007-2020 Metadata'!$A$6:$S$214,19,FALSE)),"",VLOOKUP($AC47,'2007-2020 Metadata'!$A$6:$S$214,19,FALSE))</f>
        <v>1</v>
      </c>
      <c r="AF47" s="88" t="str">
        <f>VLOOKUP($B47,'2007-2020 Metadata'!$A$4:$S$214,MATCH("Site type",'2007-2020 Metadata'!$A$4:$S$4,0),FALSE)</f>
        <v>SH</v>
      </c>
      <c r="AG47" s="143">
        <f t="shared" si="11"/>
        <v>11.591623036649214</v>
      </c>
      <c r="AH47" s="143">
        <f t="shared" si="12"/>
        <v>30.159685863874348</v>
      </c>
      <c r="AI47" s="144">
        <f t="shared" si="13"/>
        <v>28.906692844677131</v>
      </c>
    </row>
    <row r="48" spans="2:35" ht="12" customHeight="1" x14ac:dyDescent="0.2">
      <c r="B48" s="71" t="s">
        <v>54</v>
      </c>
      <c r="C48" s="71"/>
      <c r="D48" s="72">
        <v>31.447643979057592</v>
      </c>
      <c r="E48" s="72">
        <v>31.232984293193716</v>
      </c>
      <c r="F48" s="72">
        <v>41.53664921465969</v>
      </c>
      <c r="G48" s="72">
        <v>46.473821989528794</v>
      </c>
      <c r="H48" s="72">
        <v>41.214659685863872</v>
      </c>
      <c r="I48" s="72">
        <v>54.416230366492151</v>
      </c>
      <c r="J48" s="72">
        <v>50.015706806282722</v>
      </c>
      <c r="K48" s="72">
        <v>47.117801047120416</v>
      </c>
      <c r="L48" s="72">
        <v>35.84816753926701</v>
      </c>
      <c r="M48" s="72">
        <v>37.350785340314133</v>
      </c>
      <c r="N48" s="72">
        <v>31.554973821989524</v>
      </c>
      <c r="O48" s="72">
        <v>24.041884816753925</v>
      </c>
      <c r="P48" s="74">
        <f t="shared" si="0"/>
        <v>39.354275741710289</v>
      </c>
      <c r="Q48" s="38">
        <f t="shared" si="1"/>
        <v>1</v>
      </c>
      <c r="R48" s="140">
        <f t="shared" si="2"/>
        <v>34.739092495637003</v>
      </c>
      <c r="S48" s="24">
        <f t="shared" si="3"/>
        <v>1</v>
      </c>
      <c r="T48" s="140">
        <f t="shared" si="4"/>
        <v>44.327225130890042</v>
      </c>
      <c r="U48" s="9">
        <f t="shared" si="5"/>
        <v>1</v>
      </c>
      <c r="V48" s="141">
        <f t="shared" si="6"/>
        <v>39.354275741710289</v>
      </c>
      <c r="W48" s="142">
        <f t="shared" si="7"/>
        <v>1</v>
      </c>
      <c r="X48" s="144">
        <f t="shared" si="8"/>
        <v>34.739092495637003</v>
      </c>
      <c r="Y48" s="144">
        <f t="shared" si="9"/>
        <v>33.862565445026171</v>
      </c>
      <c r="Z48" s="144">
        <f t="shared" si="10"/>
        <v>28.906692844677131</v>
      </c>
      <c r="AA48" s="10"/>
      <c r="AB48" s="357" t="str">
        <f>VLOOKUP($B48,'2007-2020 Metadata'!$A$4:$S$214,MATCH("Urban Area /Monitoring Zone",'2007-2020 Metadata'!$A$4:$S$4,0),FALSE)</f>
        <v>Wellington</v>
      </c>
      <c r="AC48" s="87" t="str">
        <f>VLOOKUP($B48,'2007-2020 Metadata'!$A$6:$A$214,1,FALSE)</f>
        <v>WEL008</v>
      </c>
      <c r="AD48" s="230" t="str">
        <f>VLOOKUP($AC48,'2007-2020 Metadata'!$A$6:$S$214,9,FALSE)</f>
        <v>Wellington</v>
      </c>
      <c r="AE48" s="248">
        <f>IF(ISBLANK(VLOOKUP($AC48,'2007-2020 Metadata'!$A$6:$S$214,19,FALSE)),"",VLOOKUP($AC48,'2007-2020 Metadata'!$A$6:$S$214,19,FALSE))</f>
        <v>3.1</v>
      </c>
      <c r="AF48" s="88" t="str">
        <f>VLOOKUP($B48,'2007-2020 Metadata'!$A$4:$S$214,MATCH("Site type",'2007-2020 Metadata'!$A$4:$S$4,0),FALSE)</f>
        <v>SH</v>
      </c>
      <c r="AG48" s="143">
        <f t="shared" si="11"/>
        <v>24.041884816753925</v>
      </c>
      <c r="AH48" s="143">
        <f t="shared" si="12"/>
        <v>54.416230366492151</v>
      </c>
      <c r="AI48" s="144">
        <f t="shared" si="13"/>
        <v>28.906692844677131</v>
      </c>
    </row>
    <row r="49" spans="2:35" ht="12" customHeight="1" x14ac:dyDescent="0.2">
      <c r="B49" s="71" t="s">
        <v>55</v>
      </c>
      <c r="C49" s="71"/>
      <c r="D49" s="72">
        <v>13.308900523560208</v>
      </c>
      <c r="E49" s="72">
        <v>12.772251308900524</v>
      </c>
      <c r="F49" s="72">
        <v>17.172774869109947</v>
      </c>
      <c r="G49" s="72">
        <v>23.719895287958117</v>
      </c>
      <c r="H49" s="72">
        <v>18.890052356020941</v>
      </c>
      <c r="I49" s="72">
        <v>25.866492146596858</v>
      </c>
      <c r="J49" s="72">
        <v>21.358638743455494</v>
      </c>
      <c r="K49" s="72">
        <v>16.421465968586386</v>
      </c>
      <c r="L49" s="72">
        <v>24.256544502617803</v>
      </c>
      <c r="M49" s="72">
        <v>13.845549738219896</v>
      </c>
      <c r="N49" s="72">
        <v>16.528795811518325</v>
      </c>
      <c r="O49" s="72">
        <v>15.562827225130889</v>
      </c>
      <c r="P49" s="74">
        <f t="shared" si="0"/>
        <v>18.308682373472948</v>
      </c>
      <c r="Q49" s="38">
        <f t="shared" si="1"/>
        <v>1</v>
      </c>
      <c r="R49" s="140">
        <f t="shared" si="2"/>
        <v>14.417975567190226</v>
      </c>
      <c r="S49" s="24">
        <f t="shared" si="3"/>
        <v>1</v>
      </c>
      <c r="T49" s="140">
        <f t="shared" si="4"/>
        <v>20.678883071553226</v>
      </c>
      <c r="U49" s="9">
        <f t="shared" si="5"/>
        <v>1</v>
      </c>
      <c r="V49" s="141">
        <f t="shared" si="6"/>
        <v>18.308682373472948</v>
      </c>
      <c r="W49" s="142">
        <f t="shared" si="7"/>
        <v>1</v>
      </c>
      <c r="X49" s="144">
        <f t="shared" si="8"/>
        <v>14.417975567190226</v>
      </c>
      <c r="Y49" s="144">
        <f t="shared" si="9"/>
        <v>20.32111692844677</v>
      </c>
      <c r="Z49" s="144">
        <f t="shared" si="10"/>
        <v>18.308682373472948</v>
      </c>
      <c r="AA49" s="10"/>
      <c r="AB49" s="357" t="str">
        <f>VLOOKUP($B49,'2007-2020 Metadata'!$A$4:$S$214,MATCH("Urban Area /Monitoring Zone",'2007-2020 Metadata'!$A$4:$S$4,0),FALSE)</f>
        <v>Nelson</v>
      </c>
      <c r="AC49" s="87" t="str">
        <f>VLOOKUP($B49,'2007-2020 Metadata'!$A$6:$A$214,1,FALSE)</f>
        <v>WEL009</v>
      </c>
      <c r="AD49" s="230" t="str">
        <f>VLOOKUP($AC49,'2007-2020 Metadata'!$A$6:$S$214,9,FALSE)</f>
        <v>Nelson</v>
      </c>
      <c r="AE49" s="248">
        <f>IF(ISBLANK(VLOOKUP($AC49,'2007-2020 Metadata'!$A$6:$S$214,19,FALSE)),"",VLOOKUP($AC49,'2007-2020 Metadata'!$A$6:$S$214,19,FALSE))</f>
        <v>3</v>
      </c>
      <c r="AF49" s="88" t="str">
        <f>VLOOKUP($B49,'2007-2020 Metadata'!$A$4:$S$214,MATCH("Site type",'2007-2020 Metadata'!$A$4:$S$4,0),FALSE)</f>
        <v>SH</v>
      </c>
      <c r="AG49" s="143">
        <f t="shared" si="11"/>
        <v>12.772251308900524</v>
      </c>
      <c r="AH49" s="143">
        <f t="shared" si="12"/>
        <v>25.866492146596858</v>
      </c>
      <c r="AI49" s="144">
        <f t="shared" si="13"/>
        <v>18.308682373472948</v>
      </c>
    </row>
    <row r="50" spans="2:35" ht="12" customHeight="1" x14ac:dyDescent="0.2">
      <c r="B50" s="71" t="s">
        <v>56</v>
      </c>
      <c r="C50" s="71"/>
      <c r="D50" s="72"/>
      <c r="E50" s="72"/>
      <c r="F50" s="72"/>
      <c r="G50" s="72"/>
      <c r="H50" s="72"/>
      <c r="I50" s="72">
        <v>23.075916230366492</v>
      </c>
      <c r="J50" s="72">
        <v>20.607329842931936</v>
      </c>
      <c r="K50" s="72">
        <v>16.958115183246072</v>
      </c>
      <c r="L50" s="72">
        <v>22.32460732984293</v>
      </c>
      <c r="M50" s="72">
        <v>14.811518324607329</v>
      </c>
      <c r="N50" s="72">
        <v>12.557591623036647</v>
      </c>
      <c r="O50" s="72">
        <v>10.732984293193718</v>
      </c>
      <c r="P50" s="74">
        <f t="shared" si="0"/>
        <v>17.295437546746449</v>
      </c>
      <c r="Q50" s="38">
        <f t="shared" si="1"/>
        <v>0.58333333333333337</v>
      </c>
      <c r="R50" s="140" t="str">
        <f t="shared" si="2"/>
        <v/>
      </c>
      <c r="S50" s="24">
        <f t="shared" si="3"/>
        <v>0</v>
      </c>
      <c r="T50" s="140">
        <f t="shared" si="4"/>
        <v>19.963350785340314</v>
      </c>
      <c r="U50" s="9">
        <f t="shared" si="5"/>
        <v>1</v>
      </c>
      <c r="V50" s="141" t="str">
        <f t="shared" si="6"/>
        <v>-</v>
      </c>
      <c r="W50" s="142">
        <f t="shared" si="7"/>
        <v>0.58333333333333337</v>
      </c>
      <c r="X50" s="144">
        <f t="shared" si="8"/>
        <v>14.417975567190226</v>
      </c>
      <c r="Y50" s="144">
        <f t="shared" si="9"/>
        <v>20.32111692844677</v>
      </c>
      <c r="Z50" s="144">
        <f t="shared" si="10"/>
        <v>18.308682373472948</v>
      </c>
      <c r="AA50" s="10"/>
      <c r="AB50" s="357" t="str">
        <f>VLOOKUP($B50,'2007-2020 Metadata'!$A$4:$S$214,MATCH("Urban Area /Monitoring Zone",'2007-2020 Metadata'!$A$4:$S$4,0),FALSE)</f>
        <v>Nelson</v>
      </c>
      <c r="AC50" s="87" t="str">
        <f>VLOOKUP($B50,'2007-2020 Metadata'!$A$6:$A$214,1,FALSE)</f>
        <v>WEL010</v>
      </c>
      <c r="AD50" s="230" t="str">
        <f>VLOOKUP($AC50,'2007-2020 Metadata'!$A$6:$S$214,9,FALSE)</f>
        <v>Nelson</v>
      </c>
      <c r="AE50" s="248">
        <f>IF(ISBLANK(VLOOKUP($AC50,'2007-2020 Metadata'!$A$6:$S$214,19,FALSE)),"",VLOOKUP($AC50,'2007-2020 Metadata'!$A$6:$S$214,19,FALSE))</f>
        <v>2.4</v>
      </c>
      <c r="AF50" s="88" t="str">
        <f>VLOOKUP($B50,'2007-2020 Metadata'!$A$4:$S$214,MATCH("Site type",'2007-2020 Metadata'!$A$4:$S$4,0),FALSE)</f>
        <v>SH</v>
      </c>
      <c r="AG50" s="143">
        <f t="shared" si="11"/>
        <v>10.732984293193718</v>
      </c>
      <c r="AH50" s="143">
        <f t="shared" si="12"/>
        <v>23.075916230366492</v>
      </c>
      <c r="AI50" s="144" t="str">
        <f t="shared" si="13"/>
        <v xml:space="preserve"> </v>
      </c>
    </row>
    <row r="51" spans="2:35" ht="12" customHeight="1" x14ac:dyDescent="0.2">
      <c r="B51" s="71" t="s">
        <v>57</v>
      </c>
      <c r="C51" s="71"/>
      <c r="D51" s="72"/>
      <c r="E51" s="72">
        <v>8.157068062827225</v>
      </c>
      <c r="F51" s="72">
        <v>11.913612565445025</v>
      </c>
      <c r="G51" s="72">
        <v>12.342931937172775</v>
      </c>
      <c r="H51" s="72">
        <v>15.240837696335078</v>
      </c>
      <c r="I51" s="72">
        <v>18.56806282722513</v>
      </c>
      <c r="J51" s="72">
        <v>12.664921465968586</v>
      </c>
      <c r="K51" s="72">
        <v>11.269633507853403</v>
      </c>
      <c r="L51" s="72">
        <v>13.738219895287958</v>
      </c>
      <c r="M51" s="72">
        <v>6.0104712041884811</v>
      </c>
      <c r="N51" s="72">
        <v>9.4450261780104707</v>
      </c>
      <c r="O51" s="72">
        <v>10.19633507853403</v>
      </c>
      <c r="P51" s="74">
        <f t="shared" si="0"/>
        <v>11.777010947168014</v>
      </c>
      <c r="Q51" s="38">
        <f t="shared" si="1"/>
        <v>0.91666666666666663</v>
      </c>
      <c r="R51" s="140">
        <f t="shared" si="2"/>
        <v>10.035340314136125</v>
      </c>
      <c r="S51" s="24">
        <f t="shared" si="3"/>
        <v>0.66666666666666663</v>
      </c>
      <c r="T51" s="140">
        <f t="shared" si="4"/>
        <v>12.557591623036648</v>
      </c>
      <c r="U51" s="9">
        <f t="shared" si="5"/>
        <v>1</v>
      </c>
      <c r="V51" s="141">
        <f t="shared" si="6"/>
        <v>11.777010947168014</v>
      </c>
      <c r="W51" s="142">
        <f t="shared" si="7"/>
        <v>0.91666666666666663</v>
      </c>
      <c r="X51" s="144">
        <f t="shared" si="8"/>
        <v>10.035340314136125</v>
      </c>
      <c r="Y51" s="144">
        <f t="shared" si="9"/>
        <v>12.557591623036648</v>
      </c>
      <c r="Z51" s="144">
        <f t="shared" si="10"/>
        <v>11.777010947168014</v>
      </c>
      <c r="AA51" s="10"/>
      <c r="AB51" s="357" t="str">
        <f>VLOOKUP($B51,'2007-2020 Metadata'!$A$4:$S$214,MATCH("Urban Area /Monitoring Zone",'2007-2020 Metadata'!$A$4:$S$4,0),FALSE)</f>
        <v>Nelson</v>
      </c>
      <c r="AC51" s="87" t="str">
        <f>VLOOKUP($B51,'2007-2020 Metadata'!$A$6:$A$214,1,FALSE)</f>
        <v>WEL011</v>
      </c>
      <c r="AD51" s="230" t="str">
        <f>VLOOKUP($AC51,'2007-2020 Metadata'!$A$6:$S$214,9,FALSE)</f>
        <v>Tasman</v>
      </c>
      <c r="AE51" s="248">
        <f>IF(ISBLANK(VLOOKUP($AC51,'2007-2020 Metadata'!$A$6:$S$214,19,FALSE)),"",VLOOKUP($AC51,'2007-2020 Metadata'!$A$6:$S$214,19,FALSE))</f>
        <v>2.4</v>
      </c>
      <c r="AF51" s="88" t="str">
        <f>VLOOKUP($B51,'2007-2020 Metadata'!$A$4:$S$214,MATCH("Site type",'2007-2020 Metadata'!$A$4:$S$4,0),FALSE)</f>
        <v>SH</v>
      </c>
      <c r="AG51" s="143">
        <f t="shared" si="11"/>
        <v>6.0104712041884811</v>
      </c>
      <c r="AH51" s="143">
        <f t="shared" si="12"/>
        <v>18.56806282722513</v>
      </c>
      <c r="AI51" s="144">
        <f t="shared" si="13"/>
        <v>11.777010947168014</v>
      </c>
    </row>
    <row r="52" spans="2:35" ht="12" customHeight="1" x14ac:dyDescent="0.2">
      <c r="B52" s="71" t="s">
        <v>58</v>
      </c>
      <c r="C52" s="71"/>
      <c r="D52" s="72">
        <v>8.2643979057591626</v>
      </c>
      <c r="E52" s="72">
        <v>9.1230366492146597</v>
      </c>
      <c r="F52" s="72">
        <v>12.020942408376962</v>
      </c>
      <c r="G52" s="72">
        <v>19.748691099476439</v>
      </c>
      <c r="H52" s="72">
        <v>15.777486910994762</v>
      </c>
      <c r="I52" s="72">
        <v>20.607329842931936</v>
      </c>
      <c r="J52" s="72">
        <v>16.743455497382197</v>
      </c>
      <c r="K52" s="72">
        <v>8.6937172774869094</v>
      </c>
      <c r="L52" s="72">
        <v>13.308900523560208</v>
      </c>
      <c r="M52" s="72">
        <v>9.7670157068062817</v>
      </c>
      <c r="N52" s="72">
        <v>7.2984293193717278</v>
      </c>
      <c r="O52" s="72">
        <v>6.5471204188481673</v>
      </c>
      <c r="P52" s="74">
        <f t="shared" si="0"/>
        <v>12.325043630017454</v>
      </c>
      <c r="Q52" s="38">
        <f t="shared" si="1"/>
        <v>1</v>
      </c>
      <c r="R52" s="140">
        <f t="shared" si="2"/>
        <v>9.802792321116927</v>
      </c>
      <c r="S52" s="24">
        <f t="shared" si="3"/>
        <v>1</v>
      </c>
      <c r="T52" s="140">
        <f t="shared" si="4"/>
        <v>12.915357766143103</v>
      </c>
      <c r="U52" s="9">
        <f t="shared" si="5"/>
        <v>1</v>
      </c>
      <c r="V52" s="141">
        <f t="shared" si="6"/>
        <v>12.325043630017454</v>
      </c>
      <c r="W52" s="142">
        <f t="shared" si="7"/>
        <v>1</v>
      </c>
      <c r="X52" s="144">
        <f t="shared" si="8"/>
        <v>9.802792321116927</v>
      </c>
      <c r="Y52" s="144">
        <f t="shared" si="9"/>
        <v>12.915357766143103</v>
      </c>
      <c r="Z52" s="144">
        <f t="shared" si="10"/>
        <v>12.325043630017454</v>
      </c>
      <c r="AA52" s="10"/>
      <c r="AB52" s="357" t="str">
        <f>VLOOKUP($B52,'2007-2020 Metadata'!$A$4:$S$214,MATCH("Urban Area /Monitoring Zone",'2007-2020 Metadata'!$A$4:$S$4,0),FALSE)</f>
        <v>Blenheim</v>
      </c>
      <c r="AC52" s="87" t="str">
        <f>VLOOKUP($B52,'2007-2020 Metadata'!$A$6:$A$214,1,FALSE)</f>
        <v>WEL012</v>
      </c>
      <c r="AD52" s="230" t="str">
        <f>VLOOKUP($AC52,'2007-2020 Metadata'!$A$6:$S$214,9,FALSE)</f>
        <v>Blenheim</v>
      </c>
      <c r="AE52" s="248">
        <f>IF(ISBLANK(VLOOKUP($AC52,'2007-2020 Metadata'!$A$6:$S$214,19,FALSE)),"",VLOOKUP($AC52,'2007-2020 Metadata'!$A$6:$S$214,19,FALSE))</f>
        <v>4.2</v>
      </c>
      <c r="AF52" s="88" t="str">
        <f>VLOOKUP($B52,'2007-2020 Metadata'!$A$4:$S$214,MATCH("Site type",'2007-2020 Metadata'!$A$4:$S$4,0),FALSE)</f>
        <v>SH</v>
      </c>
      <c r="AG52" s="143">
        <f t="shared" si="11"/>
        <v>6.5471204188481673</v>
      </c>
      <c r="AH52" s="143">
        <f t="shared" si="12"/>
        <v>20.607329842931936</v>
      </c>
      <c r="AI52" s="144">
        <f t="shared" si="13"/>
        <v>12.325043630017454</v>
      </c>
    </row>
    <row r="53" spans="2:35" ht="12" customHeight="1" x14ac:dyDescent="0.2">
      <c r="B53" s="71" t="s">
        <v>21</v>
      </c>
      <c r="C53" s="71"/>
      <c r="D53" s="72">
        <v>6.654450261780104</v>
      </c>
      <c r="E53" s="72">
        <v>9.5523560209424083</v>
      </c>
      <c r="F53" s="72">
        <v>7.5130890052356012</v>
      </c>
      <c r="G53" s="72">
        <v>14.38219895287958</v>
      </c>
      <c r="H53" s="72">
        <v>16.099476439790575</v>
      </c>
      <c r="I53" s="72">
        <v>14.274869109947645</v>
      </c>
      <c r="J53" s="72">
        <v>11.484293193717278</v>
      </c>
      <c r="K53" s="72">
        <v>12.450261780104711</v>
      </c>
      <c r="L53" s="72">
        <v>10.94764397905759</v>
      </c>
      <c r="M53" s="72">
        <v>9.4450261780104707</v>
      </c>
      <c r="N53" s="72">
        <v>9.0157068062827239</v>
      </c>
      <c r="O53" s="72">
        <v>8.2643979057591626</v>
      </c>
      <c r="P53" s="74">
        <f t="shared" si="0"/>
        <v>10.840314136125654</v>
      </c>
      <c r="Q53" s="38">
        <f t="shared" si="1"/>
        <v>1</v>
      </c>
      <c r="R53" s="140">
        <f t="shared" si="2"/>
        <v>7.9066317626527036</v>
      </c>
      <c r="S53" s="24">
        <f t="shared" si="3"/>
        <v>1</v>
      </c>
      <c r="T53" s="140">
        <f t="shared" si="4"/>
        <v>11.627399650959859</v>
      </c>
      <c r="U53" s="9">
        <f t="shared" si="5"/>
        <v>1</v>
      </c>
      <c r="V53" s="141">
        <f t="shared" si="6"/>
        <v>10.840314136125654</v>
      </c>
      <c r="W53" s="142">
        <f t="shared" si="7"/>
        <v>1</v>
      </c>
      <c r="X53" s="144">
        <f t="shared" si="8"/>
        <v>7.9066317626527036</v>
      </c>
      <c r="Y53" s="144">
        <f t="shared" si="9"/>
        <v>11.627399650959859</v>
      </c>
      <c r="Z53" s="144">
        <f t="shared" si="10"/>
        <v>10.840314136125654</v>
      </c>
      <c r="AA53" s="10"/>
      <c r="AB53" s="357" t="str">
        <f>VLOOKUP($B53,'2007-2020 Metadata'!$A$4:$S$214,MATCH("Urban Area /Monitoring Zone",'2007-2020 Metadata'!$A$4:$S$4,0),FALSE)</f>
        <v>Greymouth</v>
      </c>
      <c r="AC53" s="87" t="str">
        <f>VLOOKUP($B53,'2007-2020 Metadata'!$A$6:$A$214,1,FALSE)</f>
        <v>CHR001</v>
      </c>
      <c r="AD53" s="230" t="str">
        <f>VLOOKUP($AC53,'2007-2020 Metadata'!$A$6:$S$214,9,FALSE)</f>
        <v>Greymouth</v>
      </c>
      <c r="AE53" s="248">
        <f>IF(ISBLANK(VLOOKUP($AC53,'2007-2020 Metadata'!$A$6:$S$214,19,FALSE)),"",VLOOKUP($AC53,'2007-2020 Metadata'!$A$6:$S$214,19,FALSE))</f>
        <v>2.2999999999999998</v>
      </c>
      <c r="AF53" s="88" t="str">
        <f>VLOOKUP($B53,'2007-2020 Metadata'!$A$4:$S$214,MATCH("Site type",'2007-2020 Metadata'!$A$4:$S$4,0),FALSE)</f>
        <v>SH</v>
      </c>
      <c r="AG53" s="143">
        <f t="shared" si="11"/>
        <v>6.654450261780104</v>
      </c>
      <c r="AH53" s="143">
        <f t="shared" si="12"/>
        <v>16.099476439790575</v>
      </c>
      <c r="AI53" s="144">
        <f t="shared" si="13"/>
        <v>10.840314136125654</v>
      </c>
    </row>
    <row r="54" spans="2:35" ht="12" customHeight="1" x14ac:dyDescent="0.2">
      <c r="B54" s="71" t="s">
        <v>22</v>
      </c>
      <c r="C54" s="71"/>
      <c r="D54" s="72">
        <v>10.732984293193718</v>
      </c>
      <c r="E54" s="72">
        <v>21.89528795811518</v>
      </c>
      <c r="F54" s="72">
        <v>23.505235602094238</v>
      </c>
      <c r="G54" s="72">
        <v>21.358638743455494</v>
      </c>
      <c r="H54" s="72">
        <v>16.099476439790575</v>
      </c>
      <c r="I54" s="72">
        <v>24.578534031413611</v>
      </c>
      <c r="J54" s="72">
        <v>34.023560209424083</v>
      </c>
      <c r="K54" s="72">
        <v>24.14921465968586</v>
      </c>
      <c r="L54" s="72">
        <v>22.32460732984293</v>
      </c>
      <c r="M54" s="72">
        <v>22.002617801047119</v>
      </c>
      <c r="N54" s="72">
        <v>20.5</v>
      </c>
      <c r="O54" s="72">
        <v>11.269633507853403</v>
      </c>
      <c r="P54" s="74">
        <f t="shared" si="0"/>
        <v>21.036649214659686</v>
      </c>
      <c r="Q54" s="38">
        <f t="shared" si="1"/>
        <v>1</v>
      </c>
      <c r="R54" s="140">
        <f t="shared" si="2"/>
        <v>18.711169284467712</v>
      </c>
      <c r="S54" s="24">
        <f t="shared" si="3"/>
        <v>1</v>
      </c>
      <c r="T54" s="140">
        <f t="shared" si="4"/>
        <v>26.832460732984291</v>
      </c>
      <c r="U54" s="9">
        <f t="shared" si="5"/>
        <v>1</v>
      </c>
      <c r="V54" s="141">
        <f t="shared" si="6"/>
        <v>21.036649214659686</v>
      </c>
      <c r="W54" s="142">
        <f t="shared" si="7"/>
        <v>1</v>
      </c>
      <c r="X54" s="144">
        <f t="shared" si="8"/>
        <v>16.412521815008724</v>
      </c>
      <c r="Y54" s="144">
        <f t="shared" si="9"/>
        <v>23.961387434554972</v>
      </c>
      <c r="Z54" s="144">
        <f t="shared" si="10"/>
        <v>19.082351657940663</v>
      </c>
      <c r="AA54" s="10"/>
      <c r="AB54" s="357" t="str">
        <f>VLOOKUP($B54,'2007-2020 Metadata'!$A$4:$S$214,MATCH("Urban Area /Monitoring Zone",'2007-2020 Metadata'!$A$4:$S$4,0),FALSE)</f>
        <v>Christchurch</v>
      </c>
      <c r="AC54" s="87" t="str">
        <f>VLOOKUP($B54,'2007-2020 Metadata'!$A$6:$A$214,1,FALSE)</f>
        <v>CHR002</v>
      </c>
      <c r="AD54" s="230" t="str">
        <f>VLOOKUP($AC54,'2007-2020 Metadata'!$A$6:$S$214,9,FALSE)</f>
        <v>Christchurch</v>
      </c>
      <c r="AE54" s="248">
        <f>IF(ISBLANK(VLOOKUP($AC54,'2007-2020 Metadata'!$A$6:$S$214,19,FALSE)),"",VLOOKUP($AC54,'2007-2020 Metadata'!$A$6:$S$214,19,FALSE))</f>
        <v>3.2</v>
      </c>
      <c r="AF54" s="88" t="str">
        <f>VLOOKUP($B54,'2007-2020 Metadata'!$A$4:$S$214,MATCH("Site type",'2007-2020 Metadata'!$A$4:$S$4,0),FALSE)</f>
        <v>SH</v>
      </c>
      <c r="AG54" s="143">
        <f t="shared" si="11"/>
        <v>10.732984293193718</v>
      </c>
      <c r="AH54" s="143">
        <f t="shared" si="12"/>
        <v>34.023560209424083</v>
      </c>
      <c r="AI54" s="144">
        <f t="shared" si="13"/>
        <v>19.082351657940663</v>
      </c>
    </row>
    <row r="55" spans="2:35" ht="12" customHeight="1" x14ac:dyDescent="0.2">
      <c r="B55" s="71" t="s">
        <v>23</v>
      </c>
      <c r="C55" s="71"/>
      <c r="D55" s="72">
        <v>15.884816753926701</v>
      </c>
      <c r="E55" s="72">
        <v>19.319371727748692</v>
      </c>
      <c r="F55" s="72">
        <v>19.534031413612563</v>
      </c>
      <c r="G55" s="72">
        <v>25.65183246073298</v>
      </c>
      <c r="H55" s="72">
        <v>28.44240837696335</v>
      </c>
      <c r="I55" s="72">
        <v>37.672774869109951</v>
      </c>
      <c r="J55" s="72">
        <v>42.395287958115176</v>
      </c>
      <c r="K55" s="72">
        <v>28.227748691099478</v>
      </c>
      <c r="L55" s="72">
        <v>20.178010471204185</v>
      </c>
      <c r="M55" s="72">
        <v>9.9816753926701569</v>
      </c>
      <c r="N55" s="72">
        <v>12.235602094240837</v>
      </c>
      <c r="O55" s="72">
        <v>8.479057591623036</v>
      </c>
      <c r="P55" s="74">
        <f t="shared" si="0"/>
        <v>22.333551483420589</v>
      </c>
      <c r="Q55" s="38">
        <f t="shared" si="1"/>
        <v>1</v>
      </c>
      <c r="R55" s="140">
        <f t="shared" si="2"/>
        <v>18.246073298429319</v>
      </c>
      <c r="S55" s="24">
        <f t="shared" si="3"/>
        <v>1</v>
      </c>
      <c r="T55" s="140">
        <f t="shared" si="4"/>
        <v>30.26701570680628</v>
      </c>
      <c r="U55" s="9">
        <f t="shared" si="5"/>
        <v>1</v>
      </c>
      <c r="V55" s="141">
        <f t="shared" si="6"/>
        <v>22.333551483420589</v>
      </c>
      <c r="W55" s="142">
        <f t="shared" si="7"/>
        <v>1</v>
      </c>
      <c r="X55" s="144">
        <f t="shared" si="8"/>
        <v>16.412521815008724</v>
      </c>
      <c r="Y55" s="144">
        <f t="shared" si="9"/>
        <v>23.961387434554972</v>
      </c>
      <c r="Z55" s="144">
        <f t="shared" si="10"/>
        <v>19.082351657940663</v>
      </c>
      <c r="AA55" s="10"/>
      <c r="AB55" s="357" t="str">
        <f>VLOOKUP($B55,'2007-2020 Metadata'!$A$4:$S$214,MATCH("Urban Area /Monitoring Zone",'2007-2020 Metadata'!$A$4:$S$4,0),FALSE)</f>
        <v>Christchurch</v>
      </c>
      <c r="AC55" s="87" t="str">
        <f>VLOOKUP($B55,'2007-2020 Metadata'!$A$6:$A$214,1,FALSE)</f>
        <v>CHR003</v>
      </c>
      <c r="AD55" s="230" t="str">
        <f>VLOOKUP($AC55,'2007-2020 Metadata'!$A$6:$S$214,9,FALSE)</f>
        <v>Christchurch</v>
      </c>
      <c r="AE55" s="248">
        <f>IF(ISBLANK(VLOOKUP($AC55,'2007-2020 Metadata'!$A$6:$S$214,19,FALSE)),"",VLOOKUP($AC55,'2007-2020 Metadata'!$A$6:$S$214,19,FALSE))</f>
        <v>3.3</v>
      </c>
      <c r="AF55" s="88" t="str">
        <f>VLOOKUP($B55,'2007-2020 Metadata'!$A$4:$S$214,MATCH("Site type",'2007-2020 Metadata'!$A$4:$S$4,0),FALSE)</f>
        <v>SH</v>
      </c>
      <c r="AG55" s="143">
        <f t="shared" si="11"/>
        <v>8.479057591623036</v>
      </c>
      <c r="AH55" s="143">
        <f t="shared" si="12"/>
        <v>42.395287958115176</v>
      </c>
      <c r="AI55" s="144">
        <f t="shared" si="13"/>
        <v>19.082351657940663</v>
      </c>
    </row>
    <row r="56" spans="2:35" ht="12" customHeight="1" x14ac:dyDescent="0.2">
      <c r="B56" s="71" t="s">
        <v>24</v>
      </c>
      <c r="C56" s="71"/>
      <c r="D56" s="72">
        <v>7.1910994764397902</v>
      </c>
      <c r="E56" s="72">
        <v>8.9083769633507863</v>
      </c>
      <c r="F56" s="72">
        <v>11.698952879581151</v>
      </c>
      <c r="G56" s="72">
        <v>14.060209424083768</v>
      </c>
      <c r="H56" s="72">
        <v>17.816753926701573</v>
      </c>
      <c r="I56" s="72">
        <v>20.5</v>
      </c>
      <c r="J56" s="72">
        <v>18.031413612565448</v>
      </c>
      <c r="K56" s="72">
        <v>15.455497382198953</v>
      </c>
      <c r="L56" s="72">
        <v>13.308900523560208</v>
      </c>
      <c r="M56" s="72">
        <v>8.9083769633507863</v>
      </c>
      <c r="N56" s="72">
        <v>6.332460732984293</v>
      </c>
      <c r="O56" s="72">
        <v>5.3664921465968591</v>
      </c>
      <c r="P56" s="74">
        <f t="shared" si="0"/>
        <v>12.298211169284469</v>
      </c>
      <c r="Q56" s="38">
        <f t="shared" si="1"/>
        <v>1</v>
      </c>
      <c r="R56" s="140">
        <f t="shared" si="2"/>
        <v>9.2661431064572426</v>
      </c>
      <c r="S56" s="24">
        <f t="shared" si="3"/>
        <v>1</v>
      </c>
      <c r="T56" s="140">
        <f t="shared" si="4"/>
        <v>15.598603839441537</v>
      </c>
      <c r="U56" s="9">
        <f t="shared" si="5"/>
        <v>1</v>
      </c>
      <c r="V56" s="141">
        <f t="shared" si="6"/>
        <v>12.298211169284469</v>
      </c>
      <c r="W56" s="142">
        <f t="shared" si="7"/>
        <v>1</v>
      </c>
      <c r="X56" s="144">
        <f t="shared" si="8"/>
        <v>16.412521815008724</v>
      </c>
      <c r="Y56" s="144">
        <f t="shared" si="9"/>
        <v>23.961387434554972</v>
      </c>
      <c r="Z56" s="144">
        <f t="shared" si="10"/>
        <v>19.082351657940663</v>
      </c>
      <c r="AA56" s="10"/>
      <c r="AB56" s="357" t="str">
        <f>VLOOKUP($B56,'2007-2020 Metadata'!$A$4:$S$214,MATCH("Urban Area /Monitoring Zone",'2007-2020 Metadata'!$A$4:$S$4,0),FALSE)</f>
        <v>Christchurch</v>
      </c>
      <c r="AC56" s="87" t="str">
        <f>VLOOKUP($B56,'2007-2020 Metadata'!$A$6:$A$214,1,FALSE)</f>
        <v>CHR004</v>
      </c>
      <c r="AD56" s="230" t="str">
        <f>VLOOKUP($AC56,'2007-2020 Metadata'!$A$6:$S$214,9,FALSE)</f>
        <v>Christchurch</v>
      </c>
      <c r="AE56" s="248">
        <f>IF(ISBLANK(VLOOKUP($AC56,'2007-2020 Metadata'!$A$6:$S$214,19,FALSE)),"",VLOOKUP($AC56,'2007-2020 Metadata'!$A$6:$S$214,19,FALSE))</f>
        <v>3.1</v>
      </c>
      <c r="AF56" s="88" t="str">
        <f>VLOOKUP($B56,'2007-2020 Metadata'!$A$4:$S$214,MATCH("Site type",'2007-2020 Metadata'!$A$4:$S$4,0),FALSE)</f>
        <v>Background</v>
      </c>
      <c r="AG56" s="143">
        <f t="shared" si="11"/>
        <v>5.3664921465968591</v>
      </c>
      <c r="AH56" s="143">
        <f t="shared" si="12"/>
        <v>20.5</v>
      </c>
      <c r="AI56" s="144">
        <f t="shared" si="13"/>
        <v>19.082351657940663</v>
      </c>
    </row>
    <row r="57" spans="2:35" ht="12" customHeight="1" x14ac:dyDescent="0.2">
      <c r="B57" s="71" t="s">
        <v>25</v>
      </c>
      <c r="C57" s="71"/>
      <c r="D57" s="72">
        <v>18.890052356020941</v>
      </c>
      <c r="E57" s="72">
        <v>19.856020942408374</v>
      </c>
      <c r="F57" s="72">
        <v>19.534031413612563</v>
      </c>
      <c r="G57" s="72">
        <v>24.793193717277486</v>
      </c>
      <c r="H57" s="72">
        <v>28.871727748691097</v>
      </c>
      <c r="I57" s="72">
        <v>26.617801047120416</v>
      </c>
      <c r="J57" s="72">
        <v>32.6282722513089</v>
      </c>
      <c r="K57" s="72">
        <v>16.31413612565445</v>
      </c>
      <c r="L57" s="72">
        <v>20.5</v>
      </c>
      <c r="M57" s="72">
        <v>18.997382198952881</v>
      </c>
      <c r="N57" s="72">
        <v>9.5523560209424083</v>
      </c>
      <c r="O57" s="72">
        <v>11.37696335078534</v>
      </c>
      <c r="P57" s="74">
        <f t="shared" si="0"/>
        <v>20.660994764397902</v>
      </c>
      <c r="Q57" s="38">
        <f t="shared" si="1"/>
        <v>1</v>
      </c>
      <c r="R57" s="140">
        <f t="shared" si="2"/>
        <v>19.426701570680624</v>
      </c>
      <c r="S57" s="24">
        <f t="shared" si="3"/>
        <v>1</v>
      </c>
      <c r="T57" s="140">
        <f t="shared" si="4"/>
        <v>23.147469458987786</v>
      </c>
      <c r="U57" s="9">
        <f t="shared" si="5"/>
        <v>1</v>
      </c>
      <c r="V57" s="141">
        <f t="shared" si="6"/>
        <v>20.660994764397902</v>
      </c>
      <c r="W57" s="142">
        <f t="shared" si="7"/>
        <v>1</v>
      </c>
      <c r="X57" s="144">
        <f t="shared" si="8"/>
        <v>16.412521815008724</v>
      </c>
      <c r="Y57" s="144">
        <f t="shared" si="9"/>
        <v>23.961387434554972</v>
      </c>
      <c r="Z57" s="144">
        <f t="shared" si="10"/>
        <v>19.082351657940663</v>
      </c>
      <c r="AA57" s="10"/>
      <c r="AB57" s="357" t="str">
        <f>VLOOKUP($B57,'2007-2020 Metadata'!$A$4:$S$214,MATCH("Urban Area /Monitoring Zone",'2007-2020 Metadata'!$A$4:$S$4,0),FALSE)</f>
        <v>Christchurch</v>
      </c>
      <c r="AC57" s="87" t="str">
        <f>VLOOKUP($B57,'2007-2020 Metadata'!$A$6:$A$214,1,FALSE)</f>
        <v>CHR006</v>
      </c>
      <c r="AD57" s="230" t="str">
        <f>VLOOKUP($AC57,'2007-2020 Metadata'!$A$6:$S$214,9,FALSE)</f>
        <v>Christchurch</v>
      </c>
      <c r="AE57" s="248">
        <f>IF(ISBLANK(VLOOKUP($AC57,'2007-2020 Metadata'!$A$6:$S$214,19,FALSE)),"",VLOOKUP($AC57,'2007-2020 Metadata'!$A$6:$S$214,19,FALSE))</f>
        <v>3.4</v>
      </c>
      <c r="AF57" s="88" t="str">
        <f>VLOOKUP($B57,'2007-2020 Metadata'!$A$4:$S$214,MATCH("Site type",'2007-2020 Metadata'!$A$4:$S$4,0),FALSE)</f>
        <v>SH</v>
      </c>
      <c r="AG57" s="143">
        <f t="shared" si="11"/>
        <v>9.5523560209424083</v>
      </c>
      <c r="AH57" s="143">
        <f t="shared" si="12"/>
        <v>32.6282722513089</v>
      </c>
      <c r="AI57" s="144">
        <f t="shared" si="13"/>
        <v>19.082351657940663</v>
      </c>
    </row>
    <row r="58" spans="2:35" ht="12" customHeight="1" x14ac:dyDescent="0.2">
      <c r="B58" s="71" t="s">
        <v>26</v>
      </c>
      <c r="C58" s="71"/>
      <c r="D58" s="72">
        <v>14.274869109947645</v>
      </c>
      <c r="E58" s="72">
        <v>15.455497382198953</v>
      </c>
      <c r="F58" s="72">
        <v>19.534031413612563</v>
      </c>
      <c r="G58" s="72">
        <v>24.578534031413611</v>
      </c>
      <c r="H58" s="72">
        <v>33.594240837696333</v>
      </c>
      <c r="I58" s="72">
        <v>20.714659685863875</v>
      </c>
      <c r="J58" s="72">
        <v>27.154450261780102</v>
      </c>
      <c r="K58" s="72">
        <v>20.178010471204185</v>
      </c>
      <c r="L58" s="72">
        <v>22.539267015706805</v>
      </c>
      <c r="M58" s="72">
        <v>16.31413612565445</v>
      </c>
      <c r="N58" s="72">
        <v>15.884816753926701</v>
      </c>
      <c r="O58" s="72">
        <v>13.738219895287958</v>
      </c>
      <c r="P58" s="74">
        <f t="shared" si="0"/>
        <v>20.330061082024432</v>
      </c>
      <c r="Q58" s="38">
        <f t="shared" si="1"/>
        <v>1</v>
      </c>
      <c r="R58" s="140">
        <f t="shared" si="2"/>
        <v>16.421465968586386</v>
      </c>
      <c r="S58" s="24">
        <f t="shared" si="3"/>
        <v>1</v>
      </c>
      <c r="T58" s="140">
        <f t="shared" si="4"/>
        <v>23.290575916230363</v>
      </c>
      <c r="U58" s="9">
        <f t="shared" si="5"/>
        <v>1</v>
      </c>
      <c r="V58" s="141">
        <f t="shared" si="6"/>
        <v>20.330061082024432</v>
      </c>
      <c r="W58" s="142">
        <f t="shared" si="7"/>
        <v>1</v>
      </c>
      <c r="X58" s="144">
        <f t="shared" si="8"/>
        <v>16.421465968586386</v>
      </c>
      <c r="Y58" s="144">
        <f t="shared" si="9"/>
        <v>15.324316463059917</v>
      </c>
      <c r="Z58" s="144">
        <f t="shared" si="10"/>
        <v>13.735238510762072</v>
      </c>
      <c r="AA58" s="10"/>
      <c r="AB58" s="357" t="str">
        <f>VLOOKUP($B58,'2007-2020 Metadata'!$A$4:$S$214,MATCH("Urban Area /Monitoring Zone",'2007-2020 Metadata'!$A$4:$S$4,0),FALSE)</f>
        <v>Dunedin</v>
      </c>
      <c r="AC58" s="87" t="str">
        <f>VLOOKUP($B58,'2007-2020 Metadata'!$A$6:$A$214,1,FALSE)</f>
        <v>DUN001</v>
      </c>
      <c r="AD58" s="230" t="str">
        <f>VLOOKUP($AC58,'2007-2020 Metadata'!$A$6:$S$214,9,FALSE)</f>
        <v>Dunedin</v>
      </c>
      <c r="AE58" s="248">
        <f>IF(ISBLANK(VLOOKUP($AC58,'2007-2020 Metadata'!$A$6:$S$214,19,FALSE)),"",VLOOKUP($AC58,'2007-2020 Metadata'!$A$6:$S$214,19,FALSE))</f>
        <v>3</v>
      </c>
      <c r="AF58" s="88" t="str">
        <f>VLOOKUP($B58,'2007-2020 Metadata'!$A$4:$S$214,MATCH("Site type",'2007-2020 Metadata'!$A$4:$S$4,0),FALSE)</f>
        <v>SH</v>
      </c>
      <c r="AG58" s="143">
        <f t="shared" si="11"/>
        <v>13.738219895287958</v>
      </c>
      <c r="AH58" s="143">
        <f t="shared" si="12"/>
        <v>33.594240837696333</v>
      </c>
      <c r="AI58" s="144">
        <f t="shared" si="13"/>
        <v>13.735238510762072</v>
      </c>
    </row>
    <row r="59" spans="2:35" ht="12" customHeight="1" x14ac:dyDescent="0.2">
      <c r="B59" s="71" t="s">
        <v>27</v>
      </c>
      <c r="C59" s="71"/>
      <c r="D59" s="72"/>
      <c r="E59" s="72"/>
      <c r="F59" s="72">
        <v>10.732984293193718</v>
      </c>
      <c r="G59" s="72">
        <v>15.348167539267017</v>
      </c>
      <c r="H59" s="72">
        <v>16.850785340314136</v>
      </c>
      <c r="I59" s="72">
        <v>10.625654450261781</v>
      </c>
      <c r="J59" s="72">
        <v>17.816753926701573</v>
      </c>
      <c r="K59" s="72">
        <v>10.840314136125652</v>
      </c>
      <c r="L59" s="72">
        <v>13.308900523560208</v>
      </c>
      <c r="M59" s="72">
        <v>10.94764397905759</v>
      </c>
      <c r="N59" s="72">
        <v>10.089005235602093</v>
      </c>
      <c r="O59" s="72">
        <v>8.3717277486910984</v>
      </c>
      <c r="P59" s="74">
        <f t="shared" si="0"/>
        <v>12.493193717277487</v>
      </c>
      <c r="Q59" s="38">
        <f t="shared" si="1"/>
        <v>0.83333333333333337</v>
      </c>
      <c r="R59" s="140" t="str">
        <f t="shared" si="2"/>
        <v>-</v>
      </c>
      <c r="S59" s="24">
        <f t="shared" si="3"/>
        <v>0.33333333333333331</v>
      </c>
      <c r="T59" s="140">
        <f t="shared" si="4"/>
        <v>13.988656195462477</v>
      </c>
      <c r="U59" s="9">
        <f t="shared" si="5"/>
        <v>1</v>
      </c>
      <c r="V59" s="141">
        <f t="shared" si="6"/>
        <v>12.493193717277487</v>
      </c>
      <c r="W59" s="142">
        <f t="shared" si="7"/>
        <v>0.83333333333333337</v>
      </c>
      <c r="X59" s="144">
        <f t="shared" si="8"/>
        <v>16.421465968586386</v>
      </c>
      <c r="Y59" s="144">
        <f t="shared" si="9"/>
        <v>15.324316463059917</v>
      </c>
      <c r="Z59" s="144">
        <f t="shared" si="10"/>
        <v>13.735238510762072</v>
      </c>
      <c r="AA59" s="10"/>
      <c r="AB59" s="357" t="str">
        <f>VLOOKUP($B59,'2007-2020 Metadata'!$A$4:$S$214,MATCH("Urban Area /Monitoring Zone",'2007-2020 Metadata'!$A$4:$S$4,0),FALSE)</f>
        <v>Dunedin</v>
      </c>
      <c r="AC59" s="87" t="str">
        <f>VLOOKUP($B59,'2007-2020 Metadata'!$A$6:$A$214,1,FALSE)</f>
        <v>DUN002</v>
      </c>
      <c r="AD59" s="230" t="str">
        <f>VLOOKUP($AC59,'2007-2020 Metadata'!$A$6:$S$214,9,FALSE)</f>
        <v>Dunedin</v>
      </c>
      <c r="AE59" s="248">
        <f>IF(ISBLANK(VLOOKUP($AC59,'2007-2020 Metadata'!$A$6:$S$214,19,FALSE)),"",VLOOKUP($AC59,'2007-2020 Metadata'!$A$6:$S$214,19,FALSE))</f>
        <v>3</v>
      </c>
      <c r="AF59" s="88" t="str">
        <f>VLOOKUP($B59,'2007-2020 Metadata'!$A$4:$S$214,MATCH("Site type",'2007-2020 Metadata'!$A$4:$S$4,0),FALSE)</f>
        <v>SH</v>
      </c>
      <c r="AG59" s="143">
        <f t="shared" si="11"/>
        <v>8.3717277486910984</v>
      </c>
      <c r="AH59" s="143">
        <f t="shared" si="12"/>
        <v>17.816753926701573</v>
      </c>
      <c r="AI59" s="144">
        <f t="shared" si="13"/>
        <v>13.735238510762072</v>
      </c>
    </row>
    <row r="60" spans="2:35" ht="12" customHeight="1" x14ac:dyDescent="0.2">
      <c r="B60" s="71" t="s">
        <v>28</v>
      </c>
      <c r="C60" s="71"/>
      <c r="D60" s="72"/>
      <c r="E60" s="72"/>
      <c r="F60" s="72">
        <v>6.9764397905759159</v>
      </c>
      <c r="G60" s="72">
        <v>11.37696335078534</v>
      </c>
      <c r="H60" s="72">
        <v>10.840314136125652</v>
      </c>
      <c r="I60" s="72">
        <v>9.8743455497382193</v>
      </c>
      <c r="J60" s="72">
        <v>9.4450261780104707</v>
      </c>
      <c r="K60" s="72">
        <v>6.4397905759162306</v>
      </c>
      <c r="L60" s="72">
        <v>10.19633507853403</v>
      </c>
      <c r="M60" s="72">
        <v>6.0104712041884811</v>
      </c>
      <c r="N60" s="72">
        <v>7.0837696335078526</v>
      </c>
      <c r="O60" s="72">
        <v>5.5811518324607325</v>
      </c>
      <c r="P60" s="74">
        <f t="shared" si="0"/>
        <v>8.3824607329842937</v>
      </c>
      <c r="Q60" s="38">
        <f t="shared" si="1"/>
        <v>0.83333333333333337</v>
      </c>
      <c r="R60" s="140" t="str">
        <f t="shared" si="2"/>
        <v>-</v>
      </c>
      <c r="S60" s="24">
        <f t="shared" si="3"/>
        <v>0.33333333333333331</v>
      </c>
      <c r="T60" s="140">
        <f t="shared" si="4"/>
        <v>8.6937172774869111</v>
      </c>
      <c r="U60" s="9">
        <f t="shared" si="5"/>
        <v>1</v>
      </c>
      <c r="V60" s="141">
        <f t="shared" si="6"/>
        <v>8.3824607329842937</v>
      </c>
      <c r="W60" s="142">
        <f t="shared" si="7"/>
        <v>0.83333333333333337</v>
      </c>
      <c r="X60" s="144">
        <f t="shared" si="8"/>
        <v>16.421465968586386</v>
      </c>
      <c r="Y60" s="144">
        <f t="shared" si="9"/>
        <v>15.324316463059917</v>
      </c>
      <c r="Z60" s="144">
        <f t="shared" si="10"/>
        <v>13.735238510762072</v>
      </c>
      <c r="AA60" s="10"/>
      <c r="AB60" s="357" t="str">
        <f>VLOOKUP($B60,'2007-2020 Metadata'!$A$4:$S$214,MATCH("Urban Area /Monitoring Zone",'2007-2020 Metadata'!$A$4:$S$4,0),FALSE)</f>
        <v>Dunedin</v>
      </c>
      <c r="AC60" s="87" t="str">
        <f>VLOOKUP($B60,'2007-2020 Metadata'!$A$6:$A$214,1,FALSE)</f>
        <v>DUN003</v>
      </c>
      <c r="AD60" s="230" t="str">
        <f>VLOOKUP($AC60,'2007-2020 Metadata'!$A$6:$S$214,9,FALSE)</f>
        <v>Dunedin</v>
      </c>
      <c r="AE60" s="248">
        <f>IF(ISBLANK(VLOOKUP($AC60,'2007-2020 Metadata'!$A$6:$S$214,19,FALSE)),"",VLOOKUP($AC60,'2007-2020 Metadata'!$A$6:$S$214,19,FALSE))</f>
        <v>3</v>
      </c>
      <c r="AF60" s="88" t="str">
        <f>VLOOKUP($B60,'2007-2020 Metadata'!$A$4:$S$214,MATCH("Site type",'2007-2020 Metadata'!$A$4:$S$4,0),FALSE)</f>
        <v>Local</v>
      </c>
      <c r="AG60" s="143">
        <f t="shared" si="11"/>
        <v>5.5811518324607325</v>
      </c>
      <c r="AH60" s="143">
        <f t="shared" si="12"/>
        <v>11.37696335078534</v>
      </c>
      <c r="AI60" s="144">
        <f t="shared" si="13"/>
        <v>13.735238510762072</v>
      </c>
    </row>
    <row r="61" spans="2:35" ht="12" customHeight="1" x14ac:dyDescent="0.2">
      <c r="B61" s="71" t="s">
        <v>29</v>
      </c>
      <c r="C61" s="71"/>
      <c r="D61" s="72">
        <v>10.94764397905759</v>
      </c>
      <c r="E61" s="72">
        <v>11.698952879581151</v>
      </c>
      <c r="F61" s="72">
        <v>16.850785340314136</v>
      </c>
      <c r="G61" s="72">
        <v>18.782722513089006</v>
      </c>
      <c r="H61" s="72">
        <v>22.753926701570681</v>
      </c>
      <c r="I61" s="72"/>
      <c r="J61" s="72">
        <v>13.201570680628272</v>
      </c>
      <c r="K61" s="72">
        <v>16.636125654450261</v>
      </c>
      <c r="L61" s="72">
        <v>19.534031413612563</v>
      </c>
      <c r="M61" s="72">
        <v>11.37696335078534</v>
      </c>
      <c r="N61" s="72">
        <v>10.732984293193718</v>
      </c>
      <c r="O61" s="72">
        <v>12.020942408376962</v>
      </c>
      <c r="P61" s="74">
        <f t="shared" si="0"/>
        <v>14.957877201332696</v>
      </c>
      <c r="Q61" s="38">
        <f t="shared" si="1"/>
        <v>0.91666666666666663</v>
      </c>
      <c r="R61" s="140">
        <f t="shared" si="2"/>
        <v>13.165794066317625</v>
      </c>
      <c r="S61" s="24">
        <f t="shared" si="3"/>
        <v>1</v>
      </c>
      <c r="T61" s="140">
        <f t="shared" si="4"/>
        <v>16.457242582897035</v>
      </c>
      <c r="U61" s="9">
        <f t="shared" si="5"/>
        <v>1</v>
      </c>
      <c r="V61" s="141">
        <f t="shared" si="6"/>
        <v>14.957877201332696</v>
      </c>
      <c r="W61" s="142">
        <f t="shared" si="7"/>
        <v>0.91666666666666663</v>
      </c>
      <c r="X61" s="144">
        <f t="shared" si="8"/>
        <v>13.165794066317625</v>
      </c>
      <c r="Y61" s="144">
        <f t="shared" si="9"/>
        <v>16.457242582897035</v>
      </c>
      <c r="Z61" s="144">
        <f t="shared" si="10"/>
        <v>14.957877201332696</v>
      </c>
      <c r="AA61" s="10"/>
      <c r="AB61" s="357" t="str">
        <f>VLOOKUP($B61,'2007-2020 Metadata'!$A$4:$S$214,MATCH("Urban Area /Monitoring Zone",'2007-2020 Metadata'!$A$4:$S$4,0),FALSE)</f>
        <v>Queenstown</v>
      </c>
      <c r="AC61" s="87" t="str">
        <f>VLOOKUP($B61,'2007-2020 Metadata'!$A$6:$A$214,1,FALSE)</f>
        <v>DUN004</v>
      </c>
      <c r="AD61" s="230" t="str">
        <f>VLOOKUP($AC61,'2007-2020 Metadata'!$A$6:$S$214,9,FALSE)</f>
        <v>Queenstown</v>
      </c>
      <c r="AE61" s="248">
        <f>IF(ISBLANK(VLOOKUP($AC61,'2007-2020 Metadata'!$A$6:$S$214,19,FALSE)),"",VLOOKUP($AC61,'2007-2020 Metadata'!$A$6:$S$214,19,FALSE))</f>
        <v>3</v>
      </c>
      <c r="AF61" s="88" t="str">
        <f>VLOOKUP($B61,'2007-2020 Metadata'!$A$4:$S$214,MATCH("Site type",'2007-2020 Metadata'!$A$4:$S$4,0),FALSE)</f>
        <v>SH</v>
      </c>
      <c r="AG61" s="143">
        <f t="shared" si="11"/>
        <v>10.732984293193718</v>
      </c>
      <c r="AH61" s="143">
        <f t="shared" si="12"/>
        <v>22.753926701570681</v>
      </c>
      <c r="AI61" s="144">
        <f t="shared" si="13"/>
        <v>14.957877201332696</v>
      </c>
    </row>
    <row r="62" spans="2:35" ht="12" customHeight="1" x14ac:dyDescent="0.2">
      <c r="B62" s="75" t="s">
        <v>30</v>
      </c>
      <c r="C62" s="71"/>
      <c r="D62" s="72">
        <v>16.31413612565445</v>
      </c>
      <c r="E62" s="72">
        <v>18.246073298429319</v>
      </c>
      <c r="F62" s="72">
        <v>22.217277486910994</v>
      </c>
      <c r="G62" s="72">
        <v>24.363874345549736</v>
      </c>
      <c r="H62" s="72">
        <v>29.301047120418847</v>
      </c>
      <c r="I62" s="72">
        <v>35.096858638743456</v>
      </c>
      <c r="J62" s="72"/>
      <c r="K62" s="72">
        <v>34.452879581151826</v>
      </c>
      <c r="L62" s="72">
        <v>29.515706806282722</v>
      </c>
      <c r="M62" s="72">
        <v>22.431937172774866</v>
      </c>
      <c r="N62" s="72">
        <v>25.866492146596858</v>
      </c>
      <c r="O62" s="72">
        <v>18.13874345549738</v>
      </c>
      <c r="P62" s="74">
        <f t="shared" si="0"/>
        <v>25.08591147072822</v>
      </c>
      <c r="Q62" s="38">
        <f t="shared" si="1"/>
        <v>0.91666666666666663</v>
      </c>
      <c r="R62" s="140">
        <f t="shared" si="2"/>
        <v>18.925828970331587</v>
      </c>
      <c r="S62" s="24">
        <f t="shared" si="3"/>
        <v>1</v>
      </c>
      <c r="T62" s="140">
        <f t="shared" si="4"/>
        <v>31.984293193717274</v>
      </c>
      <c r="U62" s="9">
        <f t="shared" si="5"/>
        <v>0.66666666666666663</v>
      </c>
      <c r="V62" s="141">
        <f t="shared" si="6"/>
        <v>25.08591147072822</v>
      </c>
      <c r="W62" s="142">
        <f t="shared" si="7"/>
        <v>0.91666666666666663</v>
      </c>
      <c r="X62" s="144">
        <f t="shared" si="8"/>
        <v>18.925828970331587</v>
      </c>
      <c r="Y62" s="144">
        <f t="shared" si="9"/>
        <v>31.984293193717274</v>
      </c>
      <c r="Z62" s="144">
        <f t="shared" si="10"/>
        <v>25.08591147072822</v>
      </c>
      <c r="AA62" s="10"/>
      <c r="AB62" s="357" t="str">
        <f>VLOOKUP($B62,'2007-2020 Metadata'!$A$4:$S$214,MATCH("Urban Area /Monitoring Zone",'2007-2020 Metadata'!$A$4:$S$4,0),FALSE)</f>
        <v>Invercargill</v>
      </c>
      <c r="AC62" s="87" t="str">
        <f>VLOOKUP($B62,'2007-2020 Metadata'!$A$6:$A$214,1,FALSE)</f>
        <v>DUN005</v>
      </c>
      <c r="AD62" s="230" t="str">
        <f>VLOOKUP($AC62,'2007-2020 Metadata'!$A$6:$S$214,9,FALSE)</f>
        <v>Invercargill</v>
      </c>
      <c r="AE62" s="248">
        <f>IF(ISBLANK(VLOOKUP($AC62,'2007-2020 Metadata'!$A$6:$S$214,19,FALSE)),"",VLOOKUP($AC62,'2007-2020 Metadata'!$A$6:$S$214,19,FALSE))</f>
        <v>3</v>
      </c>
      <c r="AF62" s="88" t="str">
        <f>VLOOKUP($B62,'2007-2020 Metadata'!$A$4:$S$214,MATCH("Site type",'2007-2020 Metadata'!$A$4:$S$4,0),FALSE)</f>
        <v>SH</v>
      </c>
      <c r="AG62" s="143">
        <f t="shared" si="11"/>
        <v>16.31413612565445</v>
      </c>
      <c r="AH62" s="143">
        <f t="shared" si="12"/>
        <v>35.096858638743456</v>
      </c>
      <c r="AI62" s="144">
        <f t="shared" si="13"/>
        <v>25.08591147072822</v>
      </c>
    </row>
    <row r="63" spans="2:35" ht="12" customHeight="1" thickBot="1" x14ac:dyDescent="0.25">
      <c r="B63" s="76"/>
      <c r="C63" s="77"/>
      <c r="D63" s="78"/>
      <c r="E63" s="79"/>
      <c r="F63" s="79"/>
      <c r="G63" s="79"/>
      <c r="H63" s="80"/>
      <c r="I63" s="80"/>
      <c r="J63" s="80"/>
      <c r="K63" s="80"/>
      <c r="L63" s="80"/>
      <c r="M63" s="80"/>
      <c r="N63" s="80"/>
      <c r="O63" s="80"/>
      <c r="P63" s="80"/>
      <c r="Q63" s="81"/>
      <c r="R63" s="145"/>
      <c r="S63" s="102"/>
      <c r="T63" s="145"/>
      <c r="U63" s="146"/>
      <c r="V63" s="147"/>
      <c r="W63" s="148"/>
      <c r="X63" s="148"/>
      <c r="Y63" s="148"/>
      <c r="Z63" s="148"/>
      <c r="AA63" s="10"/>
      <c r="AB63" s="101"/>
      <c r="AC63" s="90"/>
      <c r="AD63" s="90"/>
      <c r="AE63" s="90"/>
      <c r="AF63" s="92"/>
      <c r="AG63" s="91"/>
      <c r="AH63" s="91"/>
      <c r="AI63" s="92"/>
    </row>
    <row r="64" spans="2:35" ht="12" customHeight="1" thickTop="1" x14ac:dyDescent="0.2">
      <c r="B64" s="55"/>
      <c r="V64" s="55"/>
      <c r="W64" s="55"/>
      <c r="X64" s="55"/>
      <c r="Y64" s="55"/>
      <c r="Z64" s="143"/>
      <c r="AA64" s="10"/>
      <c r="AC64" s="45"/>
      <c r="AG64" s="86"/>
      <c r="AH64" s="86"/>
    </row>
    <row r="65" spans="2:34" ht="12" customHeight="1" x14ac:dyDescent="0.2">
      <c r="B65" s="55"/>
      <c r="D65" s="46" t="s">
        <v>455</v>
      </c>
      <c r="E65" s="31"/>
      <c r="V65" s="55"/>
      <c r="W65" s="55"/>
      <c r="X65" s="55"/>
      <c r="Y65" s="55"/>
      <c r="Z65" s="143"/>
      <c r="AA65" s="10"/>
      <c r="AC65" s="45"/>
      <c r="AG65" s="86"/>
      <c r="AH65" s="86"/>
    </row>
    <row r="66" spans="2:34" ht="12" customHeight="1" x14ac:dyDescent="0.2">
      <c r="B66" s="55"/>
      <c r="D66" s="321"/>
      <c r="E66" s="301" t="s">
        <v>456</v>
      </c>
      <c r="V66" s="55"/>
      <c r="W66" s="55"/>
      <c r="X66" s="55"/>
      <c r="Y66" s="55"/>
      <c r="Z66" s="55"/>
      <c r="AA66" s="10"/>
      <c r="AC66" s="45"/>
      <c r="AG66" s="86"/>
      <c r="AH66" s="86"/>
    </row>
    <row r="67" spans="2:34" ht="12" customHeight="1" x14ac:dyDescent="0.2">
      <c r="B67" s="55"/>
      <c r="D67" s="371"/>
      <c r="E67" s="301" t="s">
        <v>1085</v>
      </c>
      <c r="V67" s="55"/>
      <c r="W67" s="55"/>
      <c r="X67" s="55"/>
      <c r="Y67" s="55"/>
      <c r="Z67" s="55"/>
      <c r="AA67" s="10"/>
      <c r="AC67" s="45"/>
      <c r="AG67" s="86"/>
      <c r="AH67" s="86"/>
    </row>
    <row r="68" spans="2:34" ht="12" customHeight="1" x14ac:dyDescent="0.2">
      <c r="B68" s="55"/>
      <c r="D68" s="47"/>
      <c r="E68" s="31" t="s">
        <v>469</v>
      </c>
      <c r="V68" s="55"/>
      <c r="W68" s="55"/>
      <c r="X68" s="55"/>
      <c r="Y68" s="55"/>
      <c r="Z68" s="55"/>
      <c r="AA68" s="10"/>
      <c r="AC68" s="45"/>
      <c r="AG68" s="86"/>
      <c r="AH68" s="86"/>
    </row>
    <row r="69" spans="2:34" ht="12" customHeight="1" x14ac:dyDescent="0.2">
      <c r="B69" s="82"/>
      <c r="D69" s="48"/>
      <c r="E69" s="31" t="s">
        <v>457</v>
      </c>
      <c r="G69" s="10" t="s">
        <v>1073</v>
      </c>
      <c r="V69" s="55"/>
      <c r="W69" s="55"/>
      <c r="X69" s="55"/>
      <c r="Y69" s="55"/>
      <c r="Z69" s="55"/>
      <c r="AA69" s="10"/>
      <c r="AC69" s="45"/>
      <c r="AG69" s="86"/>
      <c r="AH69" s="86"/>
    </row>
    <row r="70" spans="2:34" ht="12" customHeight="1" x14ac:dyDescent="0.2">
      <c r="D70" s="49"/>
      <c r="E70" s="31" t="s">
        <v>458</v>
      </c>
      <c r="V70" s="55"/>
      <c r="W70" s="55"/>
      <c r="X70" s="55"/>
      <c r="Y70" s="55"/>
      <c r="Z70" s="55"/>
      <c r="AA70" s="10"/>
      <c r="AC70" s="45"/>
      <c r="AG70" s="86"/>
      <c r="AH70" s="86"/>
    </row>
    <row r="71" spans="2:34" ht="12" customHeight="1" x14ac:dyDescent="0.2">
      <c r="D71" s="176"/>
      <c r="E71" s="112" t="s">
        <v>510</v>
      </c>
      <c r="H71" s="10" t="s">
        <v>1083</v>
      </c>
      <c r="V71" s="55"/>
      <c r="W71" s="55"/>
      <c r="X71" s="55"/>
      <c r="Y71" s="55"/>
      <c r="Z71" s="55"/>
      <c r="AA71" s="10"/>
      <c r="AC71" s="45"/>
      <c r="AG71" s="86"/>
      <c r="AH71" s="86"/>
    </row>
    <row r="72" spans="2:34" ht="12" customHeight="1" x14ac:dyDescent="0.2">
      <c r="D72" s="372"/>
      <c r="E72" s="10" t="s">
        <v>1086</v>
      </c>
      <c r="I72" s="10" t="s">
        <v>1082</v>
      </c>
      <c r="V72" s="55"/>
      <c r="W72" s="55"/>
      <c r="X72" s="55"/>
      <c r="Y72" s="55"/>
      <c r="Z72" s="55"/>
      <c r="AA72" s="10"/>
      <c r="AC72" s="45"/>
      <c r="AG72" s="86"/>
      <c r="AH72" s="86"/>
    </row>
    <row r="73" spans="2:34" ht="12" customHeight="1" x14ac:dyDescent="0.2">
      <c r="F73" s="13"/>
      <c r="G73" s="13" t="s">
        <v>1074</v>
      </c>
      <c r="H73" s="13" t="s">
        <v>1076</v>
      </c>
      <c r="I73" s="13"/>
      <c r="J73" s="13"/>
      <c r="K73" s="13"/>
      <c r="L73" s="13"/>
      <c r="M73" s="13"/>
      <c r="N73" s="13"/>
      <c r="O73" s="13"/>
      <c r="V73" s="55"/>
      <c r="W73" s="55"/>
      <c r="X73" s="55"/>
      <c r="Y73" s="55"/>
      <c r="Z73" s="55"/>
      <c r="AA73" s="10"/>
      <c r="AC73" s="45"/>
      <c r="AG73" s="86"/>
      <c r="AH73" s="86"/>
    </row>
    <row r="74" spans="2:34" ht="12" customHeight="1" x14ac:dyDescent="0.2">
      <c r="G74" s="10" t="s">
        <v>1080</v>
      </c>
      <c r="H74" s="10" t="s">
        <v>1076</v>
      </c>
      <c r="J74" s="10" t="s">
        <v>1084</v>
      </c>
      <c r="V74" s="55"/>
      <c r="W74" s="55"/>
      <c r="X74" s="55"/>
      <c r="Y74" s="55"/>
      <c r="Z74" s="55"/>
      <c r="AA74" s="10"/>
      <c r="AC74" s="45"/>
      <c r="AG74" s="86"/>
      <c r="AH74" s="86"/>
    </row>
    <row r="75" spans="2:34" ht="12" customHeight="1" x14ac:dyDescent="0.2">
      <c r="G75" s="10" t="s">
        <v>1079</v>
      </c>
      <c r="H75" s="10" t="s">
        <v>1078</v>
      </c>
      <c r="I75" s="10" t="s">
        <v>1075</v>
      </c>
      <c r="V75" s="55"/>
      <c r="W75" s="55"/>
      <c r="X75" s="55"/>
      <c r="Y75" s="55"/>
      <c r="Z75" s="55"/>
      <c r="AA75" s="10"/>
      <c r="AC75" s="45"/>
      <c r="AG75" s="86"/>
      <c r="AH75" s="86"/>
    </row>
    <row r="76" spans="2:34" ht="12" customHeight="1" x14ac:dyDescent="0.2">
      <c r="H76" s="10" t="s">
        <v>1077</v>
      </c>
      <c r="I76" s="10" t="s">
        <v>1081</v>
      </c>
      <c r="V76" s="55"/>
      <c r="W76" s="55"/>
      <c r="X76" s="55"/>
      <c r="Y76" s="55"/>
      <c r="Z76" s="55"/>
      <c r="AA76" s="10"/>
      <c r="AC76" s="45"/>
      <c r="AG76" s="86"/>
      <c r="AH76" s="86"/>
    </row>
    <row r="77" spans="2:34" ht="12" customHeight="1" x14ac:dyDescent="0.2">
      <c r="H77" s="10" t="s">
        <v>1075</v>
      </c>
      <c r="I77" s="10" t="s">
        <v>1076</v>
      </c>
      <c r="V77" s="55"/>
      <c r="W77" s="55"/>
      <c r="X77" s="55"/>
      <c r="Y77" s="55"/>
      <c r="Z77" s="55"/>
      <c r="AA77" s="10"/>
      <c r="AC77" s="45"/>
      <c r="AG77" s="86"/>
      <c r="AH77" s="86"/>
    </row>
    <row r="78" spans="2:34" ht="12" customHeight="1" x14ac:dyDescent="0.2">
      <c r="V78" s="55"/>
      <c r="W78" s="55"/>
      <c r="X78" s="55"/>
      <c r="Y78" s="55"/>
      <c r="Z78" s="55"/>
      <c r="AA78" s="10"/>
      <c r="AC78" s="45"/>
      <c r="AG78" s="86"/>
      <c r="AH78" s="86"/>
    </row>
    <row r="79" spans="2:34" ht="12" customHeight="1" x14ac:dyDescent="0.2">
      <c r="V79" s="55"/>
      <c r="W79" s="55"/>
      <c r="X79" s="55"/>
      <c r="Y79" s="55"/>
      <c r="Z79" s="55"/>
      <c r="AA79" s="10"/>
      <c r="AC79" s="45"/>
      <c r="AG79" s="86"/>
      <c r="AH79" s="86"/>
    </row>
    <row r="80" spans="2:34" ht="12" customHeight="1" x14ac:dyDescent="0.2">
      <c r="V80" s="55"/>
      <c r="W80" s="55"/>
      <c r="X80" s="55"/>
      <c r="Y80" s="55"/>
      <c r="Z80" s="55"/>
      <c r="AA80" s="10"/>
      <c r="AC80" s="45"/>
      <c r="AG80" s="86"/>
      <c r="AH80" s="86"/>
    </row>
    <row r="81" spans="22:34" ht="12" customHeight="1" x14ac:dyDescent="0.2">
      <c r="V81" s="55"/>
      <c r="W81" s="55"/>
      <c r="X81" s="55"/>
      <c r="Y81" s="55"/>
      <c r="Z81" s="55"/>
      <c r="AA81" s="10"/>
      <c r="AC81" s="45"/>
      <c r="AG81" s="86"/>
      <c r="AH81" s="86"/>
    </row>
    <row r="82" spans="22:34" ht="12" customHeight="1" x14ac:dyDescent="0.2">
      <c r="V82" s="55"/>
      <c r="W82" s="55"/>
      <c r="X82" s="55"/>
      <c r="Y82" s="55"/>
      <c r="Z82" s="55"/>
      <c r="AA82" s="10"/>
      <c r="AC82" s="45"/>
      <c r="AG82" s="86"/>
      <c r="AH82" s="86"/>
    </row>
    <row r="83" spans="22:34" ht="12" customHeight="1" x14ac:dyDescent="0.2">
      <c r="V83" s="55"/>
      <c r="W83" s="55"/>
      <c r="X83" s="55"/>
      <c r="Y83" s="55"/>
      <c r="Z83" s="55"/>
      <c r="AA83" s="10"/>
      <c r="AC83" s="45"/>
      <c r="AG83" s="86"/>
      <c r="AH83" s="86"/>
    </row>
    <row r="84" spans="22:34" ht="12" customHeight="1" x14ac:dyDescent="0.2">
      <c r="V84" s="55"/>
      <c r="W84" s="55"/>
      <c r="X84" s="55"/>
      <c r="Y84" s="55"/>
      <c r="Z84" s="55"/>
      <c r="AA84" s="10"/>
      <c r="AC84" s="45"/>
      <c r="AG84" s="86"/>
      <c r="AH84" s="86"/>
    </row>
    <row r="85" spans="22:34" ht="12" customHeight="1" x14ac:dyDescent="0.2">
      <c r="V85" s="55"/>
      <c r="W85" s="55"/>
      <c r="X85" s="55"/>
      <c r="Y85" s="55"/>
      <c r="Z85" s="55"/>
      <c r="AA85" s="10"/>
      <c r="AC85" s="45"/>
      <c r="AG85" s="86"/>
      <c r="AH85" s="86"/>
    </row>
    <row r="86" spans="22:34" ht="12" customHeight="1" x14ac:dyDescent="0.2">
      <c r="V86" s="55"/>
      <c r="W86" s="55"/>
      <c r="X86" s="55"/>
      <c r="Y86" s="55"/>
      <c r="Z86" s="55"/>
      <c r="AA86" s="10"/>
      <c r="AC86" s="45"/>
      <c r="AG86" s="86"/>
      <c r="AH86" s="86"/>
    </row>
    <row r="87" spans="22:34" ht="12" customHeight="1" x14ac:dyDescent="0.2">
      <c r="V87" s="55"/>
      <c r="W87" s="55"/>
      <c r="X87" s="55"/>
      <c r="Y87" s="55"/>
      <c r="Z87" s="55"/>
      <c r="AA87" s="10"/>
      <c r="AC87" s="45"/>
      <c r="AG87" s="86"/>
      <c r="AH87" s="86"/>
    </row>
    <row r="88" spans="22:34" ht="12" customHeight="1" x14ac:dyDescent="0.2">
      <c r="V88" s="55"/>
      <c r="W88" s="55"/>
      <c r="X88" s="55"/>
      <c r="Y88" s="55"/>
      <c r="Z88" s="55"/>
      <c r="AA88" s="10"/>
      <c r="AC88" s="45"/>
      <c r="AG88" s="86"/>
      <c r="AH88" s="86"/>
    </row>
    <row r="89" spans="22:34" ht="12" customHeight="1" x14ac:dyDescent="0.2">
      <c r="V89" s="55"/>
      <c r="W89" s="55"/>
      <c r="X89" s="55"/>
      <c r="Y89" s="55"/>
      <c r="Z89" s="55"/>
      <c r="AA89" s="10"/>
      <c r="AC89" s="45"/>
    </row>
    <row r="90" spans="22:34" ht="12" customHeight="1" x14ac:dyDescent="0.2">
      <c r="V90" s="55"/>
      <c r="W90" s="55"/>
      <c r="X90" s="55"/>
      <c r="Y90" s="55"/>
      <c r="Z90" s="55"/>
      <c r="AA90" s="10"/>
      <c r="AC90" s="45"/>
    </row>
    <row r="91" spans="22:34" ht="12" customHeight="1" x14ac:dyDescent="0.2">
      <c r="V91" s="55"/>
      <c r="W91" s="55"/>
      <c r="X91" s="55"/>
      <c r="Y91" s="55"/>
      <c r="Z91" s="55"/>
      <c r="AA91" s="10"/>
      <c r="AC91" s="45"/>
    </row>
    <row r="92" spans="22:34" ht="12" customHeight="1" x14ac:dyDescent="0.2">
      <c r="V92" s="55"/>
      <c r="W92" s="55"/>
      <c r="X92" s="55"/>
      <c r="Y92" s="55"/>
      <c r="Z92" s="55"/>
      <c r="AA92" s="10"/>
    </row>
    <row r="93" spans="22:34" ht="12" customHeight="1" x14ac:dyDescent="0.2">
      <c r="V93" s="55"/>
      <c r="W93" s="55"/>
      <c r="X93" s="55"/>
      <c r="Y93" s="55"/>
      <c r="Z93" s="55"/>
      <c r="AA93" s="10"/>
    </row>
    <row r="94" spans="22:34" ht="12" customHeight="1" x14ac:dyDescent="0.2">
      <c r="V94" s="55"/>
      <c r="W94" s="55"/>
      <c r="X94" s="55"/>
      <c r="Y94" s="55"/>
      <c r="Z94" s="55"/>
      <c r="AA94" s="10"/>
    </row>
    <row r="95" spans="22:34" ht="12" customHeight="1" x14ac:dyDescent="0.2">
      <c r="V95" s="55"/>
      <c r="W95" s="55"/>
      <c r="X95" s="55"/>
      <c r="Y95" s="55"/>
      <c r="Z95" s="55"/>
      <c r="AA95" s="10"/>
    </row>
    <row r="96" spans="22:34" ht="12" customHeight="1" x14ac:dyDescent="0.2">
      <c r="V96" s="55"/>
      <c r="W96" s="55"/>
      <c r="X96" s="55"/>
      <c r="Y96" s="55"/>
      <c r="Z96" s="55"/>
      <c r="AA96" s="10"/>
    </row>
    <row r="97" spans="22:27" ht="12" customHeight="1" x14ac:dyDescent="0.2">
      <c r="V97" s="55"/>
      <c r="W97" s="55"/>
      <c r="X97" s="55"/>
      <c r="Y97" s="55"/>
      <c r="Z97" s="55"/>
      <c r="AA97" s="10"/>
    </row>
    <row r="98" spans="22:27" ht="12" customHeight="1" x14ac:dyDescent="0.2">
      <c r="V98" s="55"/>
      <c r="W98" s="55"/>
      <c r="X98" s="55"/>
      <c r="Y98" s="55"/>
      <c r="Z98" s="55"/>
      <c r="AA98" s="10"/>
    </row>
    <row r="99" spans="22:27" ht="12" customHeight="1" x14ac:dyDescent="0.2">
      <c r="V99" s="55"/>
      <c r="W99" s="55"/>
      <c r="X99" s="55"/>
      <c r="Y99" s="55"/>
      <c r="Z99" s="55"/>
      <c r="AA99" s="10"/>
    </row>
    <row r="100" spans="22:27" ht="12" customHeight="1" x14ac:dyDescent="0.2">
      <c r="V100" s="55"/>
      <c r="W100" s="55"/>
      <c r="X100" s="55"/>
      <c r="Y100" s="55"/>
      <c r="Z100" s="55"/>
      <c r="AA100" s="10"/>
    </row>
    <row r="101" spans="22:27" ht="12" customHeight="1" x14ac:dyDescent="0.2">
      <c r="V101" s="55"/>
      <c r="W101" s="55"/>
      <c r="X101" s="55"/>
      <c r="Y101" s="55"/>
      <c r="Z101" s="55"/>
      <c r="AA101" s="10"/>
    </row>
    <row r="102" spans="22:27" ht="12" customHeight="1" x14ac:dyDescent="0.2">
      <c r="V102" s="55"/>
      <c r="W102" s="55"/>
      <c r="X102" s="55"/>
      <c r="Y102" s="55"/>
      <c r="Z102" s="55"/>
      <c r="AA102" s="10"/>
    </row>
    <row r="103" spans="22:27" ht="12" customHeight="1" x14ac:dyDescent="0.2">
      <c r="V103" s="55"/>
      <c r="W103" s="55"/>
      <c r="X103" s="55"/>
      <c r="Y103" s="55"/>
      <c r="Z103" s="55"/>
      <c r="AA103" s="10"/>
    </row>
    <row r="104" spans="22:27" ht="12" customHeight="1" x14ac:dyDescent="0.2">
      <c r="V104" s="55"/>
      <c r="W104" s="55"/>
      <c r="X104" s="55"/>
      <c r="Y104" s="55"/>
      <c r="Z104" s="55"/>
      <c r="AA104" s="10"/>
    </row>
    <row r="105" spans="22:27" ht="12" customHeight="1" x14ac:dyDescent="0.2">
      <c r="V105" s="55"/>
      <c r="W105" s="55"/>
      <c r="X105" s="55"/>
      <c r="Y105" s="55"/>
      <c r="Z105" s="55"/>
      <c r="AA105" s="10"/>
    </row>
    <row r="106" spans="22:27" ht="12" customHeight="1" x14ac:dyDescent="0.2">
      <c r="V106" s="55"/>
      <c r="W106" s="55"/>
      <c r="X106" s="55"/>
      <c r="Y106" s="55"/>
      <c r="Z106" s="55"/>
      <c r="AA106" s="10"/>
    </row>
    <row r="107" spans="22:27" ht="12" customHeight="1" x14ac:dyDescent="0.2">
      <c r="AA107" s="10"/>
    </row>
    <row r="108" spans="22:27" ht="12" customHeight="1" x14ac:dyDescent="0.2">
      <c r="AA108" s="10"/>
    </row>
    <row r="109" spans="22:27" ht="12" customHeight="1" x14ac:dyDescent="0.2">
      <c r="AA109" s="10"/>
    </row>
    <row r="110" spans="22:27" ht="12" customHeight="1" x14ac:dyDescent="0.2">
      <c r="AA110" s="10"/>
    </row>
    <row r="111" spans="22:27" ht="12" customHeight="1" x14ac:dyDescent="0.2">
      <c r="AA111" s="10"/>
    </row>
    <row r="112" spans="22:27" ht="12" customHeight="1" x14ac:dyDescent="0.2">
      <c r="AA112" s="10"/>
    </row>
    <row r="113" spans="27:27" ht="12" customHeight="1" x14ac:dyDescent="0.2">
      <c r="AA113" s="10"/>
    </row>
    <row r="114" spans="27:27" ht="12" customHeight="1" x14ac:dyDescent="0.2">
      <c r="AA114" s="10"/>
    </row>
    <row r="115" spans="27:27" ht="12" customHeight="1" x14ac:dyDescent="0.2">
      <c r="AA115" s="10"/>
    </row>
    <row r="116" spans="27:27" ht="12" customHeight="1" x14ac:dyDescent="0.2">
      <c r="AA116" s="10"/>
    </row>
    <row r="117" spans="27:27" ht="12" customHeight="1" x14ac:dyDescent="0.2">
      <c r="AA117" s="10"/>
    </row>
    <row r="118" spans="27:27" ht="12" customHeight="1" x14ac:dyDescent="0.2">
      <c r="AA118" s="10"/>
    </row>
    <row r="119" spans="27:27" ht="12" customHeight="1" x14ac:dyDescent="0.2">
      <c r="AA119" s="10"/>
    </row>
    <row r="120" spans="27:27" ht="12" customHeight="1" x14ac:dyDescent="0.2">
      <c r="AA120" s="10"/>
    </row>
    <row r="121" spans="27:27" ht="12" customHeight="1" x14ac:dyDescent="0.2">
      <c r="AA121" s="10"/>
    </row>
    <row r="122" spans="27:27" ht="12" customHeight="1" x14ac:dyDescent="0.2">
      <c r="AA122" s="10"/>
    </row>
    <row r="123" spans="27:27" ht="12" customHeight="1" x14ac:dyDescent="0.2">
      <c r="AA123" s="10"/>
    </row>
    <row r="124" spans="27:27" ht="12" customHeight="1" x14ac:dyDescent="0.2">
      <c r="AA124" s="10"/>
    </row>
    <row r="125" spans="27:27" ht="12" customHeight="1" x14ac:dyDescent="0.2">
      <c r="AA125" s="10"/>
    </row>
    <row r="126" spans="27:27" ht="12" customHeight="1" x14ac:dyDescent="0.2">
      <c r="AA126" s="10"/>
    </row>
    <row r="127" spans="27:27" ht="12" customHeight="1" x14ac:dyDescent="0.2">
      <c r="AA127" s="10"/>
    </row>
    <row r="128" spans="27:27" ht="12" customHeight="1" x14ac:dyDescent="0.2">
      <c r="AA128" s="10"/>
    </row>
    <row r="129" spans="27:27" ht="12" customHeight="1" x14ac:dyDescent="0.2">
      <c r="AA129" s="10"/>
    </row>
    <row r="130" spans="27:27" ht="12" customHeight="1" x14ac:dyDescent="0.2">
      <c r="AA130" s="10"/>
    </row>
    <row r="131" spans="27:27" ht="12" customHeight="1" x14ac:dyDescent="0.2">
      <c r="AA131" s="10"/>
    </row>
    <row r="132" spans="27:27" ht="12" customHeight="1" x14ac:dyDescent="0.2">
      <c r="AA132" s="10"/>
    </row>
    <row r="133" spans="27:27" ht="12" customHeight="1" x14ac:dyDescent="0.2">
      <c r="AA133" s="10"/>
    </row>
    <row r="134" spans="27:27" ht="12" customHeight="1" x14ac:dyDescent="0.2">
      <c r="AA134" s="10"/>
    </row>
    <row r="135" spans="27:27" ht="12" customHeight="1" x14ac:dyDescent="0.2">
      <c r="AA135" s="10"/>
    </row>
    <row r="136" spans="27:27" ht="12" customHeight="1" x14ac:dyDescent="0.2">
      <c r="AA136" s="10"/>
    </row>
    <row r="137" spans="27:27" ht="12" customHeight="1" x14ac:dyDescent="0.2">
      <c r="AA137" s="10"/>
    </row>
    <row r="138" spans="27:27" ht="12" customHeight="1" x14ac:dyDescent="0.2">
      <c r="AA138" s="10"/>
    </row>
    <row r="139" spans="27:27" ht="12" customHeight="1" x14ac:dyDescent="0.2">
      <c r="AA139" s="10"/>
    </row>
    <row r="140" spans="27:27" ht="12" customHeight="1" x14ac:dyDescent="0.2">
      <c r="AA140" s="10"/>
    </row>
    <row r="141" spans="27:27" ht="12" customHeight="1" x14ac:dyDescent="0.2">
      <c r="AA141" s="10"/>
    </row>
    <row r="142" spans="27:27" ht="12" customHeight="1" x14ac:dyDescent="0.2">
      <c r="AA142" s="10"/>
    </row>
    <row r="143" spans="27:27" ht="12" customHeight="1" x14ac:dyDescent="0.2">
      <c r="AA143" s="10"/>
    </row>
    <row r="144" spans="27:27" ht="12" customHeight="1" x14ac:dyDescent="0.2">
      <c r="AA144" s="10"/>
    </row>
    <row r="145" spans="22:27" ht="12" customHeight="1" x14ac:dyDescent="0.2">
      <c r="AA145" s="10"/>
    </row>
    <row r="146" spans="22:27" ht="12" customHeight="1" x14ac:dyDescent="0.2">
      <c r="AA146" s="10"/>
    </row>
    <row r="147" spans="22:27" ht="12" customHeight="1" x14ac:dyDescent="0.2">
      <c r="AA147" s="10"/>
    </row>
    <row r="148" spans="22:27" ht="12" customHeight="1" x14ac:dyDescent="0.2">
      <c r="AA148" s="10"/>
    </row>
    <row r="149" spans="22:27" ht="12" customHeight="1" x14ac:dyDescent="0.2">
      <c r="AA149" s="10"/>
    </row>
    <row r="150" spans="22:27" ht="12" customHeight="1" x14ac:dyDescent="0.2">
      <c r="AA150" s="10"/>
    </row>
    <row r="151" spans="22:27" ht="12" customHeight="1" x14ac:dyDescent="0.2">
      <c r="AA151" s="10"/>
    </row>
    <row r="152" spans="22:27" ht="12" customHeight="1" x14ac:dyDescent="0.2">
      <c r="AA152" s="10"/>
    </row>
    <row r="153" spans="22:27" ht="12" customHeight="1" x14ac:dyDescent="0.2">
      <c r="AA153" s="10"/>
    </row>
    <row r="154" spans="22:27" ht="12" customHeight="1" x14ac:dyDescent="0.2">
      <c r="AA154" s="10"/>
    </row>
    <row r="155" spans="22:27" ht="12" customHeight="1" x14ac:dyDescent="0.2">
      <c r="AA155" s="10"/>
    </row>
    <row r="156" spans="22:27" ht="12" customHeight="1" x14ac:dyDescent="0.2">
      <c r="AA156" s="10"/>
    </row>
    <row r="157" spans="22:27" ht="12" customHeight="1" x14ac:dyDescent="0.2">
      <c r="AA157" s="45"/>
    </row>
    <row r="158" spans="22:27" ht="12" customHeight="1" x14ac:dyDescent="0.2">
      <c r="V158" s="45"/>
      <c r="W158" s="45"/>
      <c r="X158" s="45"/>
      <c r="Y158" s="45"/>
      <c r="AA158" s="45"/>
    </row>
    <row r="159" spans="22:27" ht="12" customHeight="1" x14ac:dyDescent="0.2">
      <c r="V159" s="45"/>
      <c r="W159" s="45"/>
      <c r="X159" s="45"/>
      <c r="Y159" s="45"/>
      <c r="AA159" s="45"/>
    </row>
    <row r="160" spans="22:27" ht="12" customHeight="1" x14ac:dyDescent="0.2">
      <c r="V160" s="45"/>
      <c r="W160" s="45"/>
      <c r="X160" s="45"/>
      <c r="Y160" s="45"/>
      <c r="AA160" s="45"/>
    </row>
    <row r="161" spans="22:27" ht="12" customHeight="1" x14ac:dyDescent="0.2">
      <c r="V161" s="45"/>
      <c r="W161" s="45"/>
      <c r="X161" s="45"/>
      <c r="Y161" s="45"/>
      <c r="AA161" s="45"/>
    </row>
    <row r="162" spans="22:27" ht="12" customHeight="1" x14ac:dyDescent="0.2">
      <c r="V162" s="45"/>
      <c r="W162" s="45"/>
      <c r="X162" s="45"/>
      <c r="Y162" s="45"/>
      <c r="AA162" s="45"/>
    </row>
    <row r="163" spans="22:27" ht="12" customHeight="1" x14ac:dyDescent="0.2">
      <c r="V163" s="45"/>
      <c r="W163" s="45"/>
      <c r="X163" s="45"/>
      <c r="Y163" s="45"/>
      <c r="AA163" s="45"/>
    </row>
    <row r="164" spans="22:27" ht="12" customHeight="1" x14ac:dyDescent="0.2">
      <c r="V164" s="45"/>
      <c r="W164" s="45"/>
      <c r="X164" s="45"/>
      <c r="Y164" s="45"/>
      <c r="AA164" s="45"/>
    </row>
    <row r="165" spans="22:27" ht="12" customHeight="1" x14ac:dyDescent="0.2">
      <c r="V165" s="45"/>
      <c r="W165" s="45"/>
      <c r="X165" s="45"/>
      <c r="Y165" s="45"/>
      <c r="AA165" s="45"/>
    </row>
    <row r="166" spans="22:27" ht="12" customHeight="1" x14ac:dyDescent="0.2">
      <c r="V166" s="45"/>
      <c r="W166" s="45"/>
      <c r="X166" s="45"/>
      <c r="Y166" s="45"/>
      <c r="AA166" s="45"/>
    </row>
    <row r="167" spans="22:27" ht="12" customHeight="1" x14ac:dyDescent="0.2">
      <c r="V167" s="45"/>
      <c r="W167" s="45"/>
      <c r="X167" s="45"/>
      <c r="Y167" s="45"/>
      <c r="AA167" s="45"/>
    </row>
    <row r="168" spans="22:27" ht="12" customHeight="1" x14ac:dyDescent="0.2">
      <c r="V168" s="45"/>
      <c r="W168" s="45"/>
      <c r="X168" s="45"/>
      <c r="Y168" s="45"/>
      <c r="AA168" s="45"/>
    </row>
    <row r="169" spans="22:27" ht="12" customHeight="1" x14ac:dyDescent="0.2">
      <c r="V169" s="45"/>
      <c r="W169" s="45"/>
      <c r="X169" s="45"/>
      <c r="Y169" s="45"/>
      <c r="AA169" s="45"/>
    </row>
    <row r="170" spans="22:27" ht="12" customHeight="1" x14ac:dyDescent="0.2">
      <c r="V170" s="45"/>
      <c r="W170" s="45"/>
      <c r="X170" s="45"/>
      <c r="Y170" s="45"/>
      <c r="AA170" s="45"/>
    </row>
    <row r="171" spans="22:27" ht="12" customHeight="1" x14ac:dyDescent="0.2">
      <c r="V171" s="45"/>
      <c r="W171" s="45"/>
      <c r="X171" s="45"/>
      <c r="Y171" s="45"/>
      <c r="AA171" s="45"/>
    </row>
    <row r="172" spans="22:27" ht="12" customHeight="1" x14ac:dyDescent="0.2">
      <c r="V172" s="45"/>
      <c r="W172" s="45"/>
      <c r="X172" s="45"/>
      <c r="Y172" s="45"/>
      <c r="AA172" s="45"/>
    </row>
    <row r="173" spans="22:27" ht="12" customHeight="1" x14ac:dyDescent="0.2">
      <c r="V173" s="45"/>
      <c r="W173" s="45"/>
      <c r="X173" s="45"/>
      <c r="Y173" s="45"/>
      <c r="AA173" s="45"/>
    </row>
    <row r="174" spans="22:27" ht="12" customHeight="1" x14ac:dyDescent="0.2">
      <c r="V174" s="45"/>
      <c r="W174" s="45"/>
      <c r="X174" s="45"/>
      <c r="Y174" s="45"/>
      <c r="AA174" s="45"/>
    </row>
    <row r="175" spans="22:27" ht="12" customHeight="1" x14ac:dyDescent="0.2">
      <c r="V175" s="45"/>
      <c r="W175" s="45"/>
      <c r="X175" s="45"/>
      <c r="Y175" s="45"/>
      <c r="AA175" s="45"/>
    </row>
    <row r="176" spans="22:27" ht="12" customHeight="1" x14ac:dyDescent="0.2">
      <c r="V176" s="45"/>
      <c r="W176" s="45"/>
      <c r="X176" s="45"/>
      <c r="Y176" s="45"/>
      <c r="AA176" s="45"/>
    </row>
    <row r="177" spans="22:27" ht="12" customHeight="1" x14ac:dyDescent="0.2">
      <c r="V177" s="45"/>
      <c r="W177" s="45"/>
      <c r="X177" s="45"/>
      <c r="Y177" s="45"/>
      <c r="AA177" s="45"/>
    </row>
    <row r="178" spans="22:27" ht="12" customHeight="1" x14ac:dyDescent="0.2">
      <c r="V178" s="45"/>
      <c r="W178" s="45"/>
      <c r="X178" s="45"/>
      <c r="Y178" s="45"/>
      <c r="AA178" s="45"/>
    </row>
    <row r="179" spans="22:27" ht="12" customHeight="1" x14ac:dyDescent="0.2">
      <c r="V179" s="45"/>
      <c r="W179" s="45"/>
      <c r="X179" s="45"/>
      <c r="Y179" s="45"/>
      <c r="AA179" s="45"/>
    </row>
    <row r="180" spans="22:27" ht="12" customHeight="1" x14ac:dyDescent="0.2">
      <c r="AA180" s="45"/>
    </row>
    <row r="181" spans="22:27" ht="12" customHeight="1" x14ac:dyDescent="0.2">
      <c r="AA181" s="45"/>
    </row>
    <row r="182" spans="22:27" ht="12" customHeight="1" x14ac:dyDescent="0.2">
      <c r="AA182" s="45"/>
    </row>
    <row r="183" spans="22:27" ht="12" customHeight="1" x14ac:dyDescent="0.2">
      <c r="AA183" s="45"/>
    </row>
    <row r="184" spans="22:27" ht="12" customHeight="1" x14ac:dyDescent="0.2">
      <c r="AA184" s="45"/>
    </row>
    <row r="185" spans="22:27" ht="12" customHeight="1" x14ac:dyDescent="0.2">
      <c r="AA185" s="45"/>
    </row>
    <row r="186" spans="22:27" ht="12" customHeight="1" x14ac:dyDescent="0.2"/>
    <row r="187" spans="22:27" ht="12" customHeight="1" x14ac:dyDescent="0.2"/>
    <row r="188" spans="22:27" ht="12" customHeight="1" x14ac:dyDescent="0.2"/>
    <row r="189" spans="22:27" ht="12" customHeight="1" x14ac:dyDescent="0.2"/>
    <row r="190" spans="22:27" ht="12" customHeight="1" x14ac:dyDescent="0.2"/>
    <row r="191" spans="22:27" ht="12" customHeight="1" x14ac:dyDescent="0.2"/>
    <row r="192" spans="22:27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spans="28:35" ht="12" customHeight="1" x14ac:dyDescent="0.2"/>
    <row r="210" spans="28:35" ht="12" customHeight="1" x14ac:dyDescent="0.2"/>
    <row r="211" spans="28:35" ht="12" customHeight="1" x14ac:dyDescent="0.2">
      <c r="AB211" s="50"/>
      <c r="AC211" s="50"/>
      <c r="AF211" s="50"/>
      <c r="AG211" s="50"/>
      <c r="AH211" s="50"/>
      <c r="AI211" s="50"/>
    </row>
    <row r="212" spans="28:35" ht="12" customHeight="1" x14ac:dyDescent="0.2">
      <c r="AB212" s="50"/>
      <c r="AC212" s="50"/>
      <c r="AF212" s="50"/>
      <c r="AG212" s="50"/>
      <c r="AH212" s="50"/>
      <c r="AI212" s="50"/>
    </row>
    <row r="213" spans="28:35" ht="12" customHeight="1" x14ac:dyDescent="0.2">
      <c r="AB213" s="50"/>
      <c r="AC213" s="50"/>
      <c r="AF213" s="50"/>
      <c r="AG213" s="50"/>
      <c r="AH213" s="50"/>
      <c r="AI213" s="50"/>
    </row>
    <row r="214" spans="28:35" ht="12" customHeight="1" x14ac:dyDescent="0.2">
      <c r="AB214" s="50"/>
      <c r="AC214" s="50"/>
      <c r="AF214" s="50"/>
      <c r="AG214" s="50"/>
      <c r="AH214" s="50"/>
      <c r="AI214" s="50"/>
    </row>
    <row r="215" spans="28:35" ht="12" customHeight="1" x14ac:dyDescent="0.2">
      <c r="AB215" s="50"/>
      <c r="AC215" s="50"/>
      <c r="AD215" s="247"/>
      <c r="AE215" s="247"/>
      <c r="AF215" s="50"/>
      <c r="AG215" s="50"/>
      <c r="AH215" s="50"/>
      <c r="AI215" s="50"/>
    </row>
    <row r="216" spans="28:35" ht="12" customHeight="1" x14ac:dyDescent="0.2">
      <c r="AB216" s="50"/>
      <c r="AC216" s="50"/>
      <c r="AD216" s="247"/>
      <c r="AE216" s="247"/>
      <c r="AF216" s="50"/>
      <c r="AG216" s="50"/>
      <c r="AH216" s="50"/>
      <c r="AI216" s="50"/>
    </row>
    <row r="217" spans="28:35" ht="12" customHeight="1" x14ac:dyDescent="0.2">
      <c r="AB217" s="50"/>
      <c r="AC217" s="50"/>
      <c r="AD217" s="247"/>
      <c r="AE217" s="247"/>
      <c r="AF217" s="50"/>
      <c r="AG217" s="50"/>
      <c r="AH217" s="50"/>
      <c r="AI217" s="50"/>
    </row>
    <row r="218" spans="28:35" ht="12" customHeight="1" x14ac:dyDescent="0.2">
      <c r="AB218" s="50"/>
      <c r="AC218" s="50"/>
      <c r="AD218" s="247"/>
      <c r="AE218" s="247"/>
      <c r="AF218" s="50"/>
      <c r="AG218" s="50"/>
      <c r="AH218" s="50"/>
      <c r="AI218" s="50"/>
    </row>
    <row r="219" spans="28:35" ht="12" customHeight="1" x14ac:dyDescent="0.2">
      <c r="AB219" s="50"/>
      <c r="AC219" s="50"/>
      <c r="AD219" s="247"/>
      <c r="AE219" s="247"/>
      <c r="AF219" s="50"/>
      <c r="AG219" s="50"/>
      <c r="AH219" s="50"/>
      <c r="AI219" s="50"/>
    </row>
    <row r="220" spans="28:35" ht="12" customHeight="1" x14ac:dyDescent="0.2">
      <c r="AB220" s="50"/>
      <c r="AC220" s="50"/>
      <c r="AD220" s="247"/>
      <c r="AE220" s="247"/>
      <c r="AF220" s="50"/>
      <c r="AG220" s="50"/>
      <c r="AH220" s="50"/>
      <c r="AI220" s="50"/>
    </row>
    <row r="221" spans="28:35" ht="12" customHeight="1" x14ac:dyDescent="0.2">
      <c r="AB221" s="50"/>
      <c r="AC221" s="50"/>
      <c r="AD221" s="247"/>
      <c r="AE221" s="247"/>
      <c r="AF221" s="50"/>
      <c r="AG221" s="50"/>
      <c r="AH221" s="50"/>
      <c r="AI221" s="50"/>
    </row>
    <row r="222" spans="28:35" ht="12" customHeight="1" x14ac:dyDescent="0.2">
      <c r="AB222" s="50"/>
      <c r="AC222" s="50"/>
      <c r="AD222" s="247"/>
      <c r="AE222" s="247"/>
      <c r="AF222" s="50"/>
      <c r="AG222" s="50"/>
      <c r="AH222" s="50"/>
      <c r="AI222" s="50"/>
    </row>
    <row r="223" spans="28:35" ht="12" customHeight="1" x14ac:dyDescent="0.2">
      <c r="AB223" s="50"/>
      <c r="AC223" s="50"/>
      <c r="AD223" s="247"/>
      <c r="AE223" s="247"/>
      <c r="AF223" s="50"/>
      <c r="AG223" s="50"/>
      <c r="AH223" s="50"/>
      <c r="AI223" s="50"/>
    </row>
    <row r="224" spans="28:35" ht="12" customHeight="1" x14ac:dyDescent="0.2">
      <c r="AB224" s="50"/>
      <c r="AC224" s="50"/>
      <c r="AD224" s="247"/>
      <c r="AE224" s="247"/>
      <c r="AF224" s="50"/>
      <c r="AG224" s="50"/>
      <c r="AH224" s="50"/>
      <c r="AI224" s="50"/>
    </row>
    <row r="225" spans="26:35" ht="12" customHeight="1" x14ac:dyDescent="0.2">
      <c r="AB225" s="50"/>
      <c r="AC225" s="50"/>
      <c r="AD225" s="247"/>
      <c r="AE225" s="247"/>
      <c r="AF225" s="50"/>
      <c r="AG225" s="50"/>
      <c r="AH225" s="50"/>
      <c r="AI225" s="50"/>
    </row>
    <row r="226" spans="26:35" ht="12" customHeight="1" x14ac:dyDescent="0.2">
      <c r="AB226" s="50"/>
      <c r="AC226" s="50"/>
      <c r="AD226" s="247"/>
      <c r="AE226" s="247"/>
      <c r="AF226" s="50"/>
      <c r="AG226" s="50"/>
      <c r="AH226" s="50"/>
      <c r="AI226" s="50"/>
    </row>
    <row r="227" spans="26:35" ht="12" customHeight="1" x14ac:dyDescent="0.2">
      <c r="AB227" s="50"/>
      <c r="AC227" s="50"/>
      <c r="AD227" s="247"/>
      <c r="AE227" s="247"/>
      <c r="AF227" s="50"/>
      <c r="AG227" s="50"/>
      <c r="AH227" s="50"/>
      <c r="AI227" s="50"/>
    </row>
    <row r="228" spans="26:35" ht="12" customHeight="1" x14ac:dyDescent="0.2">
      <c r="AB228" s="50"/>
      <c r="AC228" s="50"/>
      <c r="AD228" s="247"/>
      <c r="AE228" s="247"/>
      <c r="AF228" s="50"/>
      <c r="AG228" s="50"/>
      <c r="AH228" s="50"/>
      <c r="AI228" s="50"/>
    </row>
    <row r="229" spans="26:35" ht="12" customHeight="1" x14ac:dyDescent="0.2">
      <c r="AB229" s="50"/>
      <c r="AC229" s="50"/>
      <c r="AD229" s="247"/>
      <c r="AE229" s="247"/>
      <c r="AF229" s="50"/>
      <c r="AG229" s="50"/>
      <c r="AH229" s="50"/>
      <c r="AI229" s="50"/>
    </row>
    <row r="230" spans="26:35" ht="12" customHeight="1" x14ac:dyDescent="0.2">
      <c r="AB230" s="50"/>
      <c r="AC230" s="50"/>
      <c r="AD230" s="247"/>
      <c r="AE230" s="247"/>
      <c r="AF230" s="50"/>
      <c r="AG230" s="50"/>
      <c r="AH230" s="50"/>
      <c r="AI230" s="50"/>
    </row>
    <row r="231" spans="26:35" ht="12" customHeight="1" x14ac:dyDescent="0.2">
      <c r="AB231" s="50"/>
      <c r="AC231" s="50"/>
      <c r="AD231" s="247"/>
      <c r="AE231" s="247"/>
      <c r="AF231" s="50"/>
      <c r="AG231" s="50"/>
      <c r="AH231" s="50"/>
      <c r="AI231" s="50"/>
    </row>
    <row r="232" spans="26:35" ht="12" customHeight="1" x14ac:dyDescent="0.2">
      <c r="AB232" s="50"/>
      <c r="AC232" s="50"/>
      <c r="AD232" s="247"/>
      <c r="AE232" s="247"/>
      <c r="AF232" s="50"/>
      <c r="AG232" s="50"/>
      <c r="AH232" s="50"/>
      <c r="AI232" s="50"/>
    </row>
    <row r="233" spans="26:35" ht="12" customHeight="1" x14ac:dyDescent="0.2">
      <c r="AB233" s="50"/>
      <c r="AC233" s="50"/>
      <c r="AD233" s="247"/>
      <c r="AE233" s="247"/>
      <c r="AF233" s="50"/>
      <c r="AG233" s="50"/>
      <c r="AH233" s="50"/>
      <c r="AI233" s="50"/>
    </row>
    <row r="234" spans="26:35" ht="12" customHeight="1" x14ac:dyDescent="0.2">
      <c r="AB234" s="50"/>
      <c r="AC234" s="50"/>
      <c r="AD234" s="247"/>
      <c r="AE234" s="247"/>
      <c r="AF234" s="50"/>
      <c r="AG234" s="50"/>
      <c r="AH234" s="50"/>
      <c r="AI234" s="50"/>
    </row>
    <row r="235" spans="26:35" ht="12" customHeight="1" x14ac:dyDescent="0.2">
      <c r="AB235" s="50"/>
      <c r="AC235" s="50"/>
      <c r="AD235" s="247"/>
      <c r="AE235" s="247"/>
      <c r="AF235" s="50"/>
      <c r="AG235" s="50"/>
      <c r="AH235" s="50"/>
      <c r="AI235" s="50"/>
    </row>
    <row r="236" spans="26:35" ht="12" customHeight="1" x14ac:dyDescent="0.2">
      <c r="AB236" s="50"/>
      <c r="AC236" s="50"/>
      <c r="AD236" s="247"/>
      <c r="AE236" s="247"/>
      <c r="AF236" s="50"/>
      <c r="AG236" s="50"/>
      <c r="AH236" s="50"/>
      <c r="AI236" s="50"/>
    </row>
    <row r="237" spans="26:35" ht="12" customHeight="1" x14ac:dyDescent="0.2">
      <c r="Z237" s="50"/>
      <c r="AB237" s="50"/>
      <c r="AC237" s="50"/>
      <c r="AD237" s="247"/>
      <c r="AE237" s="247"/>
      <c r="AF237" s="50"/>
      <c r="AG237" s="50"/>
      <c r="AH237" s="50"/>
      <c r="AI237" s="50"/>
    </row>
    <row r="238" spans="26:35" ht="12" customHeight="1" x14ac:dyDescent="0.2">
      <c r="Z238" s="50"/>
      <c r="AB238" s="50"/>
      <c r="AC238" s="50"/>
      <c r="AD238" s="247"/>
      <c r="AE238" s="247"/>
      <c r="AF238" s="50"/>
      <c r="AG238" s="50"/>
      <c r="AH238" s="50"/>
      <c r="AI238" s="50"/>
    </row>
    <row r="239" spans="26:35" ht="12" customHeight="1" x14ac:dyDescent="0.2">
      <c r="Z239" s="50"/>
      <c r="AB239" s="50"/>
      <c r="AC239" s="50"/>
      <c r="AD239" s="247"/>
      <c r="AE239" s="247"/>
      <c r="AF239" s="50"/>
      <c r="AG239" s="50"/>
      <c r="AH239" s="50"/>
      <c r="AI239" s="50"/>
    </row>
    <row r="240" spans="26:35" ht="12" customHeight="1" x14ac:dyDescent="0.2">
      <c r="Z240" s="50"/>
      <c r="AB240" s="50"/>
      <c r="AC240" s="50"/>
      <c r="AD240" s="247"/>
      <c r="AE240" s="247"/>
      <c r="AF240" s="50"/>
      <c r="AG240" s="50"/>
      <c r="AH240" s="50"/>
      <c r="AI240" s="50"/>
    </row>
    <row r="241" spans="26:35" ht="12" customHeight="1" x14ac:dyDescent="0.2">
      <c r="Z241" s="50"/>
      <c r="AB241" s="50"/>
      <c r="AC241" s="50"/>
      <c r="AD241" s="247"/>
      <c r="AE241" s="247"/>
      <c r="AF241" s="50"/>
      <c r="AG241" s="50"/>
      <c r="AH241" s="50"/>
      <c r="AI241" s="50"/>
    </row>
    <row r="242" spans="26:35" ht="12" customHeight="1" x14ac:dyDescent="0.2">
      <c r="Z242" s="50"/>
      <c r="AB242" s="50"/>
      <c r="AC242" s="50"/>
      <c r="AD242" s="247"/>
      <c r="AE242" s="247"/>
      <c r="AF242" s="50"/>
      <c r="AG242" s="50"/>
      <c r="AH242" s="50"/>
      <c r="AI242" s="50"/>
    </row>
    <row r="243" spans="26:35" ht="12" customHeight="1" x14ac:dyDescent="0.2">
      <c r="Z243" s="50"/>
      <c r="AB243" s="50"/>
      <c r="AC243" s="50"/>
      <c r="AD243" s="247"/>
      <c r="AE243" s="247"/>
      <c r="AF243" s="50"/>
      <c r="AG243" s="50"/>
      <c r="AH243" s="50"/>
      <c r="AI243" s="50"/>
    </row>
    <row r="244" spans="26:35" ht="12" customHeight="1" x14ac:dyDescent="0.2">
      <c r="Z244" s="50"/>
      <c r="AB244" s="50"/>
      <c r="AC244" s="50"/>
      <c r="AD244" s="247"/>
      <c r="AE244" s="247"/>
      <c r="AF244" s="50"/>
      <c r="AG244" s="50"/>
      <c r="AH244" s="50"/>
      <c r="AI244" s="50"/>
    </row>
    <row r="245" spans="26:35" ht="12" customHeight="1" x14ac:dyDescent="0.2">
      <c r="Z245" s="50"/>
      <c r="AB245" s="50"/>
      <c r="AC245" s="50"/>
      <c r="AD245" s="247"/>
      <c r="AE245" s="247"/>
      <c r="AF245" s="50"/>
      <c r="AG245" s="50"/>
      <c r="AH245" s="50"/>
      <c r="AI245" s="50"/>
    </row>
    <row r="246" spans="26:35" ht="12" customHeight="1" x14ac:dyDescent="0.2">
      <c r="Z246" s="50"/>
      <c r="AB246" s="50"/>
      <c r="AC246" s="50"/>
      <c r="AD246" s="247"/>
      <c r="AE246" s="247"/>
      <c r="AF246" s="50"/>
      <c r="AG246" s="50"/>
      <c r="AH246" s="50"/>
      <c r="AI246" s="50"/>
    </row>
    <row r="247" spans="26:35" ht="12" customHeight="1" x14ac:dyDescent="0.2">
      <c r="Z247" s="50"/>
      <c r="AB247" s="50"/>
      <c r="AC247" s="50"/>
      <c r="AD247" s="247"/>
      <c r="AE247" s="247"/>
      <c r="AF247" s="50"/>
      <c r="AG247" s="50"/>
      <c r="AH247" s="50"/>
      <c r="AI247" s="50"/>
    </row>
    <row r="248" spans="26:35" ht="12" customHeight="1" x14ac:dyDescent="0.2">
      <c r="Z248" s="50"/>
      <c r="AB248" s="50"/>
      <c r="AC248" s="50"/>
      <c r="AD248" s="247"/>
      <c r="AE248" s="247"/>
      <c r="AF248" s="50"/>
      <c r="AG248" s="50"/>
      <c r="AH248" s="50"/>
      <c r="AI248" s="50"/>
    </row>
    <row r="249" spans="26:35" ht="12" customHeight="1" x14ac:dyDescent="0.2">
      <c r="Z249" s="50"/>
      <c r="AB249" s="50"/>
      <c r="AC249" s="50"/>
      <c r="AD249" s="247"/>
      <c r="AE249" s="247"/>
      <c r="AF249" s="50"/>
      <c r="AG249" s="50"/>
      <c r="AH249" s="50"/>
      <c r="AI249" s="50"/>
    </row>
    <row r="250" spans="26:35" ht="12" customHeight="1" x14ac:dyDescent="0.2">
      <c r="Z250" s="50"/>
      <c r="AB250" s="50"/>
      <c r="AC250" s="50"/>
      <c r="AD250" s="247"/>
      <c r="AE250" s="247"/>
      <c r="AF250" s="50"/>
      <c r="AG250" s="50"/>
      <c r="AH250" s="50"/>
      <c r="AI250" s="50"/>
    </row>
    <row r="251" spans="26:35" x14ac:dyDescent="0.2">
      <c r="Z251" s="50"/>
      <c r="AB251" s="50"/>
      <c r="AC251" s="50"/>
      <c r="AD251" s="247"/>
      <c r="AE251" s="247"/>
      <c r="AF251" s="50"/>
      <c r="AG251" s="50"/>
      <c r="AH251" s="50"/>
      <c r="AI251" s="50"/>
    </row>
    <row r="252" spans="26:35" x14ac:dyDescent="0.2">
      <c r="Z252" s="50"/>
      <c r="AB252" s="50"/>
      <c r="AC252" s="50"/>
      <c r="AD252" s="247"/>
      <c r="AE252" s="247"/>
      <c r="AF252" s="50"/>
      <c r="AG252" s="50"/>
      <c r="AH252" s="50"/>
      <c r="AI252" s="50"/>
    </row>
    <row r="253" spans="26:35" x14ac:dyDescent="0.2">
      <c r="Z253" s="50"/>
      <c r="AB253" s="50"/>
      <c r="AC253" s="50"/>
      <c r="AD253" s="247"/>
      <c r="AE253" s="247"/>
      <c r="AF253" s="50"/>
      <c r="AG253" s="50"/>
      <c r="AH253" s="50"/>
      <c r="AI253" s="50"/>
    </row>
    <row r="254" spans="26:35" x14ac:dyDescent="0.2">
      <c r="Z254" s="50"/>
      <c r="AB254" s="50"/>
      <c r="AC254" s="50"/>
      <c r="AD254" s="247"/>
      <c r="AE254" s="247"/>
      <c r="AF254" s="50"/>
      <c r="AG254" s="50"/>
      <c r="AH254" s="50"/>
      <c r="AI254" s="50"/>
    </row>
    <row r="255" spans="26:35" x14ac:dyDescent="0.2">
      <c r="Z255" s="50"/>
      <c r="AB255" s="50"/>
      <c r="AC255" s="50"/>
      <c r="AD255" s="247"/>
      <c r="AE255" s="247"/>
      <c r="AF255" s="50"/>
      <c r="AG255" s="50"/>
      <c r="AH255" s="50"/>
      <c r="AI255" s="50"/>
    </row>
    <row r="256" spans="26:35" x14ac:dyDescent="0.2">
      <c r="Z256" s="50"/>
      <c r="AB256" s="50"/>
      <c r="AC256" s="50"/>
      <c r="AD256" s="247"/>
      <c r="AE256" s="247"/>
      <c r="AF256" s="50"/>
      <c r="AG256" s="50"/>
      <c r="AH256" s="50"/>
      <c r="AI256" s="50"/>
    </row>
    <row r="257" spans="26:35" x14ac:dyDescent="0.2">
      <c r="Z257" s="50"/>
      <c r="AB257" s="50"/>
      <c r="AC257" s="50"/>
      <c r="AD257" s="247"/>
      <c r="AE257" s="247"/>
      <c r="AF257" s="50"/>
      <c r="AG257" s="50"/>
      <c r="AH257" s="50"/>
      <c r="AI257" s="50"/>
    </row>
    <row r="258" spans="26:35" x14ac:dyDescent="0.2">
      <c r="Z258" s="50"/>
      <c r="AB258" s="50"/>
      <c r="AC258" s="50"/>
      <c r="AD258" s="247"/>
      <c r="AE258" s="247"/>
      <c r="AF258" s="50"/>
      <c r="AG258" s="50"/>
      <c r="AH258" s="50"/>
      <c r="AI258" s="50"/>
    </row>
    <row r="259" spans="26:35" x14ac:dyDescent="0.2">
      <c r="Z259" s="50"/>
      <c r="AB259" s="50"/>
      <c r="AC259" s="50"/>
      <c r="AD259" s="247"/>
      <c r="AE259" s="247"/>
      <c r="AF259" s="50"/>
      <c r="AG259" s="50"/>
      <c r="AH259" s="50"/>
      <c r="AI259" s="50"/>
    </row>
    <row r="260" spans="26:35" x14ac:dyDescent="0.2">
      <c r="Z260" s="50"/>
      <c r="AB260" s="50"/>
      <c r="AC260" s="50"/>
      <c r="AD260" s="247"/>
      <c r="AE260" s="247"/>
      <c r="AF260" s="50"/>
      <c r="AG260" s="50"/>
      <c r="AH260" s="50"/>
      <c r="AI260" s="50"/>
    </row>
    <row r="261" spans="26:35" x14ac:dyDescent="0.2">
      <c r="Z261" s="50"/>
      <c r="AB261" s="50"/>
      <c r="AC261" s="50"/>
      <c r="AD261" s="247"/>
      <c r="AE261" s="247"/>
      <c r="AF261" s="50"/>
      <c r="AG261" s="50"/>
      <c r="AH261" s="50"/>
      <c r="AI261" s="50"/>
    </row>
    <row r="262" spans="26:35" x14ac:dyDescent="0.2">
      <c r="Z262" s="50"/>
      <c r="AB262" s="50"/>
      <c r="AC262" s="50"/>
      <c r="AD262" s="247"/>
      <c r="AE262" s="247"/>
      <c r="AF262" s="50"/>
      <c r="AG262" s="50"/>
      <c r="AH262" s="50"/>
      <c r="AI262" s="50"/>
    </row>
    <row r="263" spans="26:35" x14ac:dyDescent="0.2">
      <c r="Z263" s="50"/>
      <c r="AB263" s="50"/>
      <c r="AC263" s="50"/>
      <c r="AD263" s="247"/>
      <c r="AE263" s="247"/>
      <c r="AF263" s="50"/>
      <c r="AG263" s="50"/>
      <c r="AH263" s="50"/>
      <c r="AI263" s="50"/>
    </row>
    <row r="264" spans="26:35" x14ac:dyDescent="0.2">
      <c r="Z264" s="50"/>
      <c r="AB264" s="50"/>
      <c r="AC264" s="50"/>
      <c r="AD264" s="247"/>
      <c r="AE264" s="247"/>
      <c r="AF264" s="50"/>
      <c r="AG264" s="50"/>
      <c r="AH264" s="50"/>
      <c r="AI264" s="50"/>
    </row>
    <row r="265" spans="26:35" x14ac:dyDescent="0.2">
      <c r="Z265" s="50"/>
      <c r="AB265" s="50"/>
      <c r="AC265" s="50"/>
      <c r="AD265" s="247"/>
      <c r="AE265" s="247"/>
      <c r="AF265" s="50"/>
      <c r="AG265" s="50"/>
      <c r="AH265" s="50"/>
      <c r="AI265" s="50"/>
    </row>
    <row r="266" spans="26:35" x14ac:dyDescent="0.2">
      <c r="Z266" s="50"/>
      <c r="AB266" s="50"/>
      <c r="AC266" s="50"/>
      <c r="AD266" s="247"/>
      <c r="AE266" s="247"/>
      <c r="AF266" s="50"/>
      <c r="AG266" s="50"/>
      <c r="AH266" s="50"/>
      <c r="AI266" s="50"/>
    </row>
    <row r="267" spans="26:35" x14ac:dyDescent="0.2">
      <c r="Z267" s="50"/>
      <c r="AB267" s="50"/>
      <c r="AC267" s="50"/>
      <c r="AD267" s="247"/>
      <c r="AE267" s="247"/>
      <c r="AF267" s="50"/>
      <c r="AG267" s="50"/>
      <c r="AH267" s="50"/>
      <c r="AI267" s="50"/>
    </row>
    <row r="268" spans="26:35" x14ac:dyDescent="0.2">
      <c r="Z268" s="50"/>
      <c r="AB268" s="50"/>
      <c r="AC268" s="50"/>
      <c r="AD268" s="247"/>
      <c r="AE268" s="247"/>
      <c r="AF268" s="50"/>
      <c r="AG268" s="50"/>
      <c r="AH268" s="50"/>
      <c r="AI268" s="50"/>
    </row>
    <row r="269" spans="26:35" x14ac:dyDescent="0.2">
      <c r="Z269" s="50"/>
      <c r="AB269" s="50"/>
      <c r="AC269" s="50"/>
      <c r="AD269" s="247"/>
      <c r="AE269" s="247"/>
      <c r="AF269" s="50"/>
      <c r="AG269" s="50"/>
      <c r="AH269" s="50"/>
      <c r="AI269" s="50"/>
    </row>
    <row r="270" spans="26:35" x14ac:dyDescent="0.2">
      <c r="Z270" s="50"/>
      <c r="AB270" s="50"/>
      <c r="AC270" s="50"/>
      <c r="AD270" s="247"/>
      <c r="AE270" s="247"/>
      <c r="AF270" s="50"/>
      <c r="AG270" s="50"/>
      <c r="AH270" s="50"/>
      <c r="AI270" s="50"/>
    </row>
    <row r="271" spans="26:35" x14ac:dyDescent="0.2">
      <c r="Z271" s="50"/>
      <c r="AB271" s="50"/>
      <c r="AC271" s="50"/>
      <c r="AD271" s="247"/>
      <c r="AE271" s="247"/>
      <c r="AF271" s="50"/>
      <c r="AG271" s="50"/>
      <c r="AH271" s="50"/>
      <c r="AI271" s="50"/>
    </row>
    <row r="272" spans="26:35" x14ac:dyDescent="0.2">
      <c r="Z272" s="50"/>
      <c r="AB272" s="50"/>
      <c r="AC272" s="50"/>
      <c r="AD272" s="247"/>
      <c r="AE272" s="247"/>
      <c r="AF272" s="50"/>
      <c r="AG272" s="50"/>
      <c r="AH272" s="50"/>
      <c r="AI272" s="50"/>
    </row>
    <row r="273" spans="26:35" x14ac:dyDescent="0.2">
      <c r="Z273" s="50"/>
      <c r="AB273" s="50"/>
      <c r="AC273" s="50"/>
      <c r="AD273" s="247"/>
      <c r="AE273" s="247"/>
      <c r="AF273" s="50"/>
      <c r="AG273" s="50"/>
      <c r="AH273" s="50"/>
      <c r="AI273" s="50"/>
    </row>
    <row r="274" spans="26:35" x14ac:dyDescent="0.2">
      <c r="Z274" s="50"/>
      <c r="AB274" s="50"/>
      <c r="AC274" s="50"/>
      <c r="AD274" s="247"/>
      <c r="AE274" s="247"/>
      <c r="AF274" s="50"/>
      <c r="AG274" s="50"/>
      <c r="AH274" s="50"/>
      <c r="AI274" s="50"/>
    </row>
    <row r="275" spans="26:35" x14ac:dyDescent="0.2">
      <c r="Z275" s="50"/>
      <c r="AB275" s="50"/>
      <c r="AC275" s="50"/>
      <c r="AD275" s="247"/>
      <c r="AE275" s="247"/>
      <c r="AF275" s="50"/>
      <c r="AG275" s="50"/>
      <c r="AH275" s="50"/>
      <c r="AI275" s="50"/>
    </row>
    <row r="276" spans="26:35" x14ac:dyDescent="0.2">
      <c r="Z276" s="50"/>
      <c r="AB276" s="50"/>
      <c r="AC276" s="50"/>
      <c r="AD276" s="247"/>
      <c r="AE276" s="247"/>
      <c r="AF276" s="50"/>
      <c r="AG276" s="50"/>
      <c r="AH276" s="50"/>
      <c r="AI276" s="50"/>
    </row>
    <row r="277" spans="26:35" x14ac:dyDescent="0.2">
      <c r="Z277" s="50"/>
      <c r="AB277" s="50"/>
      <c r="AC277" s="50"/>
      <c r="AD277" s="247"/>
      <c r="AE277" s="247"/>
      <c r="AF277" s="50"/>
      <c r="AG277" s="50"/>
      <c r="AH277" s="50"/>
      <c r="AI277" s="50"/>
    </row>
    <row r="278" spans="26:35" x14ac:dyDescent="0.2">
      <c r="Z278" s="50"/>
      <c r="AB278" s="50"/>
      <c r="AC278" s="50"/>
      <c r="AD278" s="247"/>
      <c r="AE278" s="247"/>
      <c r="AF278" s="50"/>
      <c r="AG278" s="50"/>
      <c r="AH278" s="50"/>
      <c r="AI278" s="50"/>
    </row>
    <row r="279" spans="26:35" x14ac:dyDescent="0.2">
      <c r="Z279" s="50"/>
      <c r="AB279" s="50"/>
      <c r="AC279" s="50"/>
      <c r="AD279" s="247"/>
      <c r="AE279" s="247"/>
      <c r="AF279" s="50"/>
      <c r="AG279" s="50"/>
      <c r="AH279" s="50"/>
      <c r="AI279" s="50"/>
    </row>
    <row r="280" spans="26:35" x14ac:dyDescent="0.2">
      <c r="Z280" s="50"/>
      <c r="AB280" s="50"/>
      <c r="AC280" s="50"/>
      <c r="AD280" s="247"/>
      <c r="AE280" s="247"/>
      <c r="AF280" s="50"/>
      <c r="AG280" s="50"/>
      <c r="AH280" s="50"/>
      <c r="AI280" s="50"/>
    </row>
    <row r="281" spans="26:35" x14ac:dyDescent="0.2">
      <c r="Z281" s="50"/>
      <c r="AB281" s="50"/>
      <c r="AC281" s="50"/>
      <c r="AD281" s="247"/>
      <c r="AE281" s="247"/>
      <c r="AF281" s="50"/>
      <c r="AG281" s="50"/>
      <c r="AH281" s="50"/>
      <c r="AI281" s="50"/>
    </row>
    <row r="282" spans="26:35" x14ac:dyDescent="0.2">
      <c r="Z282" s="50"/>
      <c r="AB282" s="50"/>
      <c r="AC282" s="50"/>
      <c r="AD282" s="247"/>
      <c r="AE282" s="247"/>
      <c r="AF282" s="50"/>
      <c r="AG282" s="50"/>
      <c r="AH282" s="50"/>
      <c r="AI282" s="50"/>
    </row>
    <row r="283" spans="26:35" x14ac:dyDescent="0.2">
      <c r="Z283" s="50"/>
      <c r="AB283" s="50"/>
      <c r="AC283" s="50"/>
      <c r="AD283" s="247"/>
      <c r="AE283" s="247"/>
      <c r="AF283" s="50"/>
      <c r="AG283" s="50"/>
      <c r="AH283" s="50"/>
      <c r="AI283" s="50"/>
    </row>
    <row r="284" spans="26:35" x14ac:dyDescent="0.2">
      <c r="Z284" s="50"/>
      <c r="AB284" s="50"/>
      <c r="AC284" s="50"/>
      <c r="AD284" s="247"/>
      <c r="AE284" s="247"/>
      <c r="AF284" s="50"/>
      <c r="AG284" s="50"/>
      <c r="AH284" s="50"/>
      <c r="AI284" s="50"/>
    </row>
    <row r="285" spans="26:35" x14ac:dyDescent="0.2">
      <c r="Z285" s="50"/>
      <c r="AB285" s="50"/>
      <c r="AC285" s="50"/>
      <c r="AD285" s="247"/>
      <c r="AE285" s="247"/>
      <c r="AF285" s="50"/>
      <c r="AG285" s="50"/>
      <c r="AH285" s="50"/>
      <c r="AI285" s="50"/>
    </row>
    <row r="286" spans="26:35" x14ac:dyDescent="0.2">
      <c r="Z286" s="50"/>
      <c r="AB286" s="50"/>
      <c r="AC286" s="50"/>
      <c r="AD286" s="247"/>
      <c r="AE286" s="247"/>
      <c r="AF286" s="50"/>
      <c r="AG286" s="50"/>
      <c r="AH286" s="50"/>
      <c r="AI286" s="50"/>
    </row>
    <row r="287" spans="26:35" x14ac:dyDescent="0.2">
      <c r="Z287" s="50"/>
      <c r="AB287" s="50"/>
      <c r="AC287" s="50"/>
      <c r="AD287" s="247"/>
      <c r="AE287" s="247"/>
      <c r="AF287" s="50"/>
      <c r="AG287" s="50"/>
      <c r="AH287" s="50"/>
      <c r="AI287" s="50"/>
    </row>
    <row r="288" spans="26:35" x14ac:dyDescent="0.2">
      <c r="Z288" s="50"/>
      <c r="AB288" s="50"/>
      <c r="AC288" s="50"/>
      <c r="AD288" s="247"/>
      <c r="AE288" s="247"/>
      <c r="AF288" s="50"/>
      <c r="AG288" s="50"/>
      <c r="AH288" s="50"/>
      <c r="AI288" s="50"/>
    </row>
    <row r="289" spans="26:35" x14ac:dyDescent="0.2">
      <c r="Z289" s="50"/>
      <c r="AB289" s="50"/>
      <c r="AC289" s="50"/>
      <c r="AD289" s="247"/>
      <c r="AE289" s="247"/>
      <c r="AF289" s="50"/>
      <c r="AG289" s="50"/>
      <c r="AH289" s="50"/>
      <c r="AI289" s="50"/>
    </row>
    <row r="290" spans="26:35" x14ac:dyDescent="0.2">
      <c r="Z290" s="50"/>
      <c r="AB290" s="50"/>
      <c r="AC290" s="50"/>
      <c r="AD290" s="247"/>
      <c r="AE290" s="247"/>
      <c r="AF290" s="50"/>
      <c r="AG290" s="50"/>
      <c r="AH290" s="50"/>
      <c r="AI290" s="50"/>
    </row>
    <row r="291" spans="26:35" x14ac:dyDescent="0.2">
      <c r="Z291" s="50"/>
      <c r="AB291" s="50"/>
      <c r="AC291" s="50"/>
      <c r="AD291" s="247"/>
      <c r="AE291" s="247"/>
      <c r="AF291" s="50"/>
      <c r="AG291" s="50"/>
      <c r="AH291" s="50"/>
      <c r="AI291" s="50"/>
    </row>
    <row r="292" spans="26:35" x14ac:dyDescent="0.2">
      <c r="Z292" s="50"/>
      <c r="AB292" s="50"/>
      <c r="AC292" s="50"/>
      <c r="AD292" s="247"/>
      <c r="AE292" s="247"/>
      <c r="AF292" s="50"/>
      <c r="AG292" s="50"/>
      <c r="AH292" s="50"/>
      <c r="AI292" s="50"/>
    </row>
    <row r="293" spans="26:35" x14ac:dyDescent="0.2">
      <c r="Z293" s="50"/>
      <c r="AB293" s="50"/>
      <c r="AC293" s="50"/>
      <c r="AD293" s="247"/>
      <c r="AE293" s="247"/>
      <c r="AF293" s="50"/>
      <c r="AG293" s="50"/>
      <c r="AH293" s="50"/>
      <c r="AI293" s="50"/>
    </row>
    <row r="294" spans="26:35" x14ac:dyDescent="0.2">
      <c r="Z294" s="50"/>
      <c r="AB294" s="50"/>
      <c r="AC294" s="50"/>
      <c r="AD294" s="247"/>
      <c r="AE294" s="247"/>
      <c r="AF294" s="50"/>
      <c r="AG294" s="50"/>
      <c r="AH294" s="50"/>
      <c r="AI294" s="50"/>
    </row>
    <row r="295" spans="26:35" x14ac:dyDescent="0.2">
      <c r="Z295" s="50"/>
      <c r="AB295" s="50"/>
      <c r="AC295" s="50"/>
      <c r="AD295" s="247"/>
      <c r="AE295" s="247"/>
      <c r="AF295" s="50"/>
      <c r="AG295" s="50"/>
      <c r="AH295" s="50"/>
      <c r="AI295" s="50"/>
    </row>
    <row r="296" spans="26:35" x14ac:dyDescent="0.2">
      <c r="Z296" s="50"/>
      <c r="AB296" s="50"/>
      <c r="AC296" s="50"/>
      <c r="AD296" s="247"/>
      <c r="AE296" s="247"/>
      <c r="AF296" s="50"/>
      <c r="AG296" s="50"/>
      <c r="AH296" s="50"/>
      <c r="AI296" s="50"/>
    </row>
    <row r="297" spans="26:35" x14ac:dyDescent="0.2">
      <c r="Z297" s="50"/>
      <c r="AB297" s="50"/>
      <c r="AC297" s="50"/>
      <c r="AD297" s="247"/>
      <c r="AE297" s="247"/>
      <c r="AF297" s="50"/>
      <c r="AG297" s="50"/>
      <c r="AH297" s="50"/>
      <c r="AI297" s="50"/>
    </row>
    <row r="298" spans="26:35" x14ac:dyDescent="0.2">
      <c r="Z298" s="50"/>
      <c r="AB298" s="50"/>
      <c r="AC298" s="50"/>
      <c r="AD298" s="247"/>
      <c r="AE298" s="247"/>
      <c r="AF298" s="50"/>
      <c r="AG298" s="50"/>
      <c r="AH298" s="50"/>
      <c r="AI298" s="50"/>
    </row>
    <row r="299" spans="26:35" x14ac:dyDescent="0.2">
      <c r="Z299" s="50"/>
      <c r="AB299" s="50"/>
      <c r="AC299" s="50"/>
      <c r="AD299" s="247"/>
      <c r="AE299" s="247"/>
      <c r="AF299" s="50"/>
      <c r="AG299" s="50"/>
      <c r="AH299" s="50"/>
      <c r="AI299" s="50"/>
    </row>
    <row r="300" spans="26:35" x14ac:dyDescent="0.2">
      <c r="Z300" s="50"/>
      <c r="AB300" s="50"/>
      <c r="AC300" s="50"/>
      <c r="AD300" s="247"/>
      <c r="AE300" s="247"/>
      <c r="AF300" s="50"/>
      <c r="AG300" s="50"/>
      <c r="AH300" s="50"/>
      <c r="AI300" s="50"/>
    </row>
    <row r="301" spans="26:35" x14ac:dyDescent="0.2">
      <c r="Z301" s="50"/>
      <c r="AB301" s="50"/>
      <c r="AC301" s="50"/>
      <c r="AD301" s="247"/>
      <c r="AE301" s="247"/>
      <c r="AF301" s="50"/>
      <c r="AG301" s="50"/>
      <c r="AH301" s="50"/>
      <c r="AI301" s="50"/>
    </row>
    <row r="302" spans="26:35" x14ac:dyDescent="0.2">
      <c r="Z302" s="50"/>
      <c r="AB302" s="50"/>
      <c r="AC302" s="50"/>
      <c r="AD302" s="247"/>
      <c r="AE302" s="247"/>
      <c r="AF302" s="50"/>
      <c r="AG302" s="50"/>
      <c r="AH302" s="50"/>
      <c r="AI302" s="50"/>
    </row>
    <row r="303" spans="26:35" x14ac:dyDescent="0.2">
      <c r="Z303" s="50"/>
      <c r="AB303" s="50"/>
      <c r="AC303" s="50"/>
      <c r="AD303" s="247"/>
      <c r="AE303" s="247"/>
      <c r="AF303" s="50"/>
      <c r="AG303" s="50"/>
      <c r="AH303" s="50"/>
      <c r="AI303" s="50"/>
    </row>
    <row r="304" spans="26:35" x14ac:dyDescent="0.2">
      <c r="Z304" s="50"/>
      <c r="AB304" s="50"/>
      <c r="AC304" s="50"/>
      <c r="AD304" s="247"/>
      <c r="AE304" s="247"/>
      <c r="AF304" s="50"/>
      <c r="AG304" s="50"/>
      <c r="AH304" s="50"/>
      <c r="AI304" s="50"/>
    </row>
    <row r="305" spans="26:35" x14ac:dyDescent="0.2">
      <c r="Z305" s="50"/>
      <c r="AA305" s="50"/>
      <c r="AB305" s="50"/>
      <c r="AC305" s="50"/>
      <c r="AD305" s="247"/>
      <c r="AE305" s="247"/>
      <c r="AF305" s="50"/>
      <c r="AG305" s="50"/>
      <c r="AH305" s="50"/>
      <c r="AI305" s="50"/>
    </row>
    <row r="306" spans="26:35" x14ac:dyDescent="0.2">
      <c r="Z306" s="50"/>
      <c r="AA306" s="50"/>
      <c r="AB306" s="50"/>
      <c r="AC306" s="50"/>
      <c r="AD306" s="247"/>
      <c r="AE306" s="247"/>
      <c r="AF306" s="50"/>
      <c r="AG306" s="50"/>
      <c r="AH306" s="50"/>
      <c r="AI306" s="50"/>
    </row>
    <row r="307" spans="26:35" x14ac:dyDescent="0.2">
      <c r="Z307" s="50"/>
      <c r="AA307" s="50"/>
      <c r="AB307" s="50"/>
      <c r="AC307" s="50"/>
      <c r="AD307" s="247"/>
      <c r="AE307" s="247"/>
      <c r="AF307" s="50"/>
      <c r="AG307" s="50"/>
      <c r="AH307" s="50"/>
      <c r="AI307" s="50"/>
    </row>
    <row r="308" spans="26:35" x14ac:dyDescent="0.2">
      <c r="Z308" s="50"/>
      <c r="AA308" s="50"/>
      <c r="AB308" s="50"/>
      <c r="AC308" s="50"/>
      <c r="AD308" s="247"/>
      <c r="AE308" s="247"/>
      <c r="AF308" s="50"/>
      <c r="AG308" s="50"/>
      <c r="AH308" s="50"/>
      <c r="AI308" s="50"/>
    </row>
    <row r="309" spans="26:35" x14ac:dyDescent="0.2">
      <c r="Z309" s="50"/>
      <c r="AA309" s="50"/>
      <c r="AB309" s="50"/>
      <c r="AC309" s="50"/>
      <c r="AD309" s="247"/>
      <c r="AE309" s="247"/>
      <c r="AF309" s="50"/>
      <c r="AG309" s="50"/>
      <c r="AH309" s="50"/>
      <c r="AI309" s="50"/>
    </row>
    <row r="310" spans="26:35" x14ac:dyDescent="0.2">
      <c r="Z310" s="50"/>
      <c r="AA310" s="50"/>
      <c r="AB310" s="50"/>
      <c r="AC310" s="50"/>
      <c r="AD310" s="247"/>
      <c r="AE310" s="247"/>
      <c r="AF310" s="50"/>
      <c r="AG310" s="50"/>
      <c r="AH310" s="50"/>
      <c r="AI310" s="50"/>
    </row>
    <row r="311" spans="26:35" x14ac:dyDescent="0.2">
      <c r="Z311" s="50"/>
      <c r="AA311" s="50"/>
      <c r="AB311" s="50"/>
      <c r="AC311" s="50"/>
      <c r="AD311" s="247"/>
      <c r="AE311" s="247"/>
      <c r="AF311" s="50"/>
      <c r="AG311" s="50"/>
      <c r="AH311" s="50"/>
      <c r="AI311" s="50"/>
    </row>
    <row r="312" spans="26:35" x14ac:dyDescent="0.2">
      <c r="Z312" s="50"/>
      <c r="AA312" s="50"/>
      <c r="AB312" s="50"/>
      <c r="AC312" s="50"/>
      <c r="AD312" s="247"/>
      <c r="AE312" s="247"/>
      <c r="AF312" s="50"/>
      <c r="AG312" s="50"/>
      <c r="AH312" s="50"/>
      <c r="AI312" s="50"/>
    </row>
    <row r="313" spans="26:35" x14ac:dyDescent="0.2">
      <c r="Z313" s="50"/>
      <c r="AA313" s="50"/>
      <c r="AB313" s="50"/>
      <c r="AC313" s="50"/>
      <c r="AD313" s="247"/>
      <c r="AE313" s="247"/>
      <c r="AF313" s="50"/>
      <c r="AG313" s="50"/>
      <c r="AH313" s="50"/>
      <c r="AI313" s="50"/>
    </row>
    <row r="314" spans="26:35" x14ac:dyDescent="0.2">
      <c r="Z314" s="50"/>
      <c r="AA314" s="50"/>
      <c r="AB314" s="50"/>
      <c r="AC314" s="50"/>
      <c r="AD314" s="247"/>
      <c r="AE314" s="247"/>
      <c r="AF314" s="50"/>
      <c r="AG314" s="50"/>
      <c r="AH314" s="50"/>
      <c r="AI314" s="50"/>
    </row>
    <row r="315" spans="26:35" x14ac:dyDescent="0.2">
      <c r="Z315" s="50"/>
      <c r="AA315" s="50"/>
      <c r="AB315" s="50"/>
      <c r="AC315" s="50"/>
      <c r="AD315" s="247"/>
      <c r="AE315" s="247"/>
      <c r="AF315" s="50"/>
      <c r="AG315" s="50"/>
      <c r="AH315" s="50"/>
      <c r="AI315" s="50"/>
    </row>
    <row r="316" spans="26:35" x14ac:dyDescent="0.2">
      <c r="Z316" s="50"/>
      <c r="AA316" s="50"/>
      <c r="AB316" s="50"/>
      <c r="AC316" s="50"/>
      <c r="AD316" s="247"/>
      <c r="AE316" s="247"/>
      <c r="AF316" s="50"/>
      <c r="AG316" s="50"/>
      <c r="AH316" s="50"/>
      <c r="AI316" s="50"/>
    </row>
    <row r="317" spans="26:35" x14ac:dyDescent="0.2">
      <c r="Z317" s="50"/>
      <c r="AA317" s="50"/>
      <c r="AB317" s="50"/>
      <c r="AC317" s="50"/>
      <c r="AD317" s="247"/>
      <c r="AE317" s="247"/>
      <c r="AF317" s="50"/>
      <c r="AG317" s="50"/>
      <c r="AH317" s="50"/>
      <c r="AI317" s="50"/>
    </row>
    <row r="318" spans="26:35" x14ac:dyDescent="0.2">
      <c r="Z318" s="50"/>
      <c r="AA318" s="50"/>
      <c r="AB318" s="50"/>
      <c r="AC318" s="50"/>
      <c r="AD318" s="247"/>
      <c r="AE318" s="247"/>
      <c r="AF318" s="50"/>
      <c r="AG318" s="50"/>
      <c r="AH318" s="50"/>
      <c r="AI318" s="50"/>
    </row>
    <row r="319" spans="26:35" x14ac:dyDescent="0.2">
      <c r="Z319" s="50"/>
      <c r="AA319" s="50"/>
      <c r="AB319" s="50"/>
      <c r="AC319" s="50"/>
      <c r="AD319" s="247"/>
      <c r="AE319" s="247"/>
      <c r="AF319" s="50"/>
      <c r="AG319" s="50"/>
      <c r="AH319" s="50"/>
      <c r="AI319" s="50"/>
    </row>
    <row r="320" spans="26:35" x14ac:dyDescent="0.2">
      <c r="Z320" s="50"/>
      <c r="AA320" s="50"/>
      <c r="AB320" s="50"/>
      <c r="AC320" s="50"/>
      <c r="AD320" s="247"/>
      <c r="AE320" s="247"/>
      <c r="AF320" s="50"/>
      <c r="AG320" s="50"/>
      <c r="AH320" s="50"/>
      <c r="AI320" s="50"/>
    </row>
    <row r="321" spans="22:31" x14ac:dyDescent="0.2">
      <c r="Z321" s="50"/>
      <c r="AA321" s="50"/>
      <c r="AD321" s="247"/>
      <c r="AE321" s="247"/>
    </row>
    <row r="322" spans="22:31" x14ac:dyDescent="0.2">
      <c r="Z322" s="50"/>
      <c r="AA322" s="50"/>
      <c r="AD322" s="247"/>
      <c r="AE322" s="247"/>
    </row>
    <row r="323" spans="22:31" x14ac:dyDescent="0.2">
      <c r="Z323" s="50"/>
      <c r="AA323" s="50"/>
      <c r="AD323" s="247"/>
      <c r="AE323" s="247"/>
    </row>
    <row r="324" spans="22:31" x14ac:dyDescent="0.2">
      <c r="Z324" s="50"/>
      <c r="AA324" s="50"/>
      <c r="AD324" s="247"/>
      <c r="AE324" s="247"/>
    </row>
    <row r="325" spans="22:31" x14ac:dyDescent="0.2">
      <c r="Z325" s="50"/>
      <c r="AA325" s="50"/>
    </row>
    <row r="326" spans="22:31" x14ac:dyDescent="0.2">
      <c r="Z326" s="50"/>
      <c r="AA326" s="50"/>
    </row>
    <row r="327" spans="22:31" x14ac:dyDescent="0.2">
      <c r="V327" s="20"/>
      <c r="W327" s="20"/>
      <c r="X327" s="20"/>
      <c r="Y327" s="20"/>
      <c r="Z327" s="50"/>
      <c r="AA327" s="50"/>
    </row>
    <row r="328" spans="22:31" x14ac:dyDescent="0.2">
      <c r="V328" s="20"/>
      <c r="W328" s="20"/>
      <c r="X328" s="20"/>
      <c r="Y328" s="20"/>
      <c r="Z328" s="50"/>
      <c r="AA328" s="50"/>
    </row>
    <row r="329" spans="22:31" x14ac:dyDescent="0.2">
      <c r="V329" s="20"/>
      <c r="W329" s="20"/>
      <c r="X329" s="20"/>
      <c r="Y329" s="20"/>
      <c r="Z329" s="50"/>
      <c r="AA329" s="50"/>
    </row>
    <row r="330" spans="22:31" x14ac:dyDescent="0.2">
      <c r="V330" s="20"/>
      <c r="W330" s="20"/>
      <c r="X330" s="20"/>
      <c r="Y330" s="20"/>
      <c r="Z330" s="50"/>
      <c r="AA330" s="50"/>
    </row>
    <row r="331" spans="22:31" x14ac:dyDescent="0.2">
      <c r="V331" s="20"/>
      <c r="W331" s="20"/>
      <c r="X331" s="20"/>
      <c r="Y331" s="20"/>
      <c r="Z331" s="50"/>
      <c r="AA331" s="50"/>
    </row>
    <row r="332" spans="22:31" x14ac:dyDescent="0.2">
      <c r="V332" s="20"/>
      <c r="W332" s="20"/>
      <c r="X332" s="20"/>
      <c r="Y332" s="20"/>
      <c r="Z332" s="50"/>
      <c r="AA332" s="50"/>
    </row>
    <row r="333" spans="22:31" x14ac:dyDescent="0.2">
      <c r="V333" s="20"/>
      <c r="W333" s="20"/>
      <c r="X333" s="20"/>
      <c r="Y333" s="20"/>
      <c r="Z333" s="50"/>
      <c r="AA333" s="50"/>
    </row>
    <row r="334" spans="22:31" x14ac:dyDescent="0.2">
      <c r="V334" s="20"/>
      <c r="W334" s="20"/>
      <c r="X334" s="20"/>
      <c r="Y334" s="20"/>
      <c r="Z334" s="50"/>
      <c r="AA334" s="50"/>
    </row>
    <row r="335" spans="22:31" x14ac:dyDescent="0.2">
      <c r="V335" s="20"/>
      <c r="W335" s="20"/>
      <c r="X335" s="20"/>
      <c r="Y335" s="20"/>
      <c r="Z335" s="50"/>
      <c r="AA335" s="50"/>
    </row>
    <row r="336" spans="22:31" x14ac:dyDescent="0.2">
      <c r="V336" s="20"/>
      <c r="W336" s="20"/>
      <c r="X336" s="20"/>
      <c r="Y336" s="20"/>
      <c r="Z336" s="50"/>
      <c r="AA336" s="50"/>
    </row>
    <row r="337" spans="22:27" x14ac:dyDescent="0.2">
      <c r="V337" s="20"/>
      <c r="W337" s="20"/>
      <c r="X337" s="20"/>
      <c r="Y337" s="20"/>
      <c r="Z337" s="50"/>
      <c r="AA337" s="50"/>
    </row>
    <row r="338" spans="22:27" x14ac:dyDescent="0.2">
      <c r="V338" s="20"/>
      <c r="W338" s="20"/>
      <c r="X338" s="20"/>
      <c r="Y338" s="20"/>
      <c r="Z338" s="50"/>
      <c r="AA338" s="50"/>
    </row>
    <row r="339" spans="22:27" x14ac:dyDescent="0.2">
      <c r="V339" s="20"/>
      <c r="W339" s="20"/>
      <c r="X339" s="20"/>
      <c r="Y339" s="20"/>
      <c r="Z339" s="50"/>
      <c r="AA339" s="50"/>
    </row>
    <row r="340" spans="22:27" x14ac:dyDescent="0.2">
      <c r="V340" s="20"/>
      <c r="W340" s="20"/>
      <c r="X340" s="20"/>
      <c r="Y340" s="20"/>
      <c r="Z340" s="50"/>
      <c r="AA340" s="50"/>
    </row>
    <row r="341" spans="22:27" x14ac:dyDescent="0.2">
      <c r="V341" s="20"/>
      <c r="W341" s="20"/>
      <c r="X341" s="20"/>
      <c r="Y341" s="20"/>
      <c r="Z341" s="50"/>
      <c r="AA341" s="50"/>
    </row>
    <row r="342" spans="22:27" x14ac:dyDescent="0.2">
      <c r="V342" s="20"/>
      <c r="W342" s="20"/>
      <c r="X342" s="20"/>
      <c r="Y342" s="20"/>
      <c r="Z342" s="50"/>
      <c r="AA342" s="50"/>
    </row>
    <row r="343" spans="22:27" x14ac:dyDescent="0.2">
      <c r="V343" s="20"/>
      <c r="W343" s="20"/>
      <c r="X343" s="20"/>
      <c r="Y343" s="20"/>
      <c r="Z343" s="50"/>
      <c r="AA343" s="50"/>
    </row>
    <row r="344" spans="22:27" x14ac:dyDescent="0.2">
      <c r="V344" s="20"/>
      <c r="W344" s="20"/>
      <c r="X344" s="20"/>
      <c r="Y344" s="20"/>
      <c r="Z344" s="50"/>
      <c r="AA344" s="50"/>
    </row>
    <row r="345" spans="22:27" x14ac:dyDescent="0.2">
      <c r="V345" s="20"/>
      <c r="W345" s="20"/>
      <c r="X345" s="20"/>
      <c r="Y345" s="20"/>
      <c r="Z345" s="50"/>
      <c r="AA345" s="50"/>
    </row>
    <row r="346" spans="22:27" x14ac:dyDescent="0.2">
      <c r="V346" s="20"/>
      <c r="W346" s="20"/>
      <c r="X346" s="20"/>
      <c r="Y346" s="20"/>
      <c r="Z346" s="50"/>
      <c r="AA346" s="50"/>
    </row>
    <row r="347" spans="22:27" x14ac:dyDescent="0.2">
      <c r="V347" s="20"/>
      <c r="W347" s="20"/>
      <c r="X347" s="20"/>
      <c r="Y347" s="20"/>
      <c r="AA347" s="50"/>
    </row>
    <row r="348" spans="22:27" x14ac:dyDescent="0.2">
      <c r="V348" s="20"/>
      <c r="W348" s="20"/>
      <c r="X348" s="20"/>
      <c r="Y348" s="20"/>
      <c r="AA348" s="50"/>
    </row>
    <row r="349" spans="22:27" x14ac:dyDescent="0.2">
      <c r="V349" s="20"/>
      <c r="W349" s="20"/>
      <c r="X349" s="20"/>
      <c r="Y349" s="20"/>
      <c r="AA349" s="50"/>
    </row>
    <row r="350" spans="22:27" x14ac:dyDescent="0.2">
      <c r="V350" s="20"/>
      <c r="W350" s="20"/>
      <c r="X350" s="20"/>
      <c r="Y350" s="20"/>
      <c r="AA350" s="50"/>
    </row>
    <row r="351" spans="22:27" x14ac:dyDescent="0.2">
      <c r="V351" s="20"/>
      <c r="W351" s="20"/>
      <c r="X351" s="20"/>
      <c r="Y351" s="20"/>
      <c r="AA351" s="50"/>
    </row>
    <row r="352" spans="22:27" x14ac:dyDescent="0.2">
      <c r="V352" s="20"/>
      <c r="W352" s="20"/>
      <c r="X352" s="20"/>
      <c r="Y352" s="20"/>
      <c r="AA352" s="50"/>
    </row>
    <row r="353" spans="22:27" x14ac:dyDescent="0.2">
      <c r="V353" s="20"/>
      <c r="W353" s="20"/>
      <c r="X353" s="20"/>
      <c r="Y353" s="20"/>
      <c r="AA353" s="50"/>
    </row>
    <row r="354" spans="22:27" x14ac:dyDescent="0.2">
      <c r="V354" s="20"/>
      <c r="W354" s="20"/>
      <c r="X354" s="20"/>
      <c r="Y354" s="20"/>
      <c r="AA354" s="50"/>
    </row>
    <row r="355" spans="22:27" x14ac:dyDescent="0.2">
      <c r="V355" s="20"/>
      <c r="W355" s="20"/>
      <c r="X355" s="20"/>
      <c r="Y355" s="20"/>
      <c r="AA355" s="50"/>
    </row>
    <row r="356" spans="22:27" x14ac:dyDescent="0.2">
      <c r="V356" s="20"/>
      <c r="W356" s="20"/>
      <c r="X356" s="20"/>
      <c r="Y356" s="20"/>
      <c r="AA356" s="50"/>
    </row>
    <row r="357" spans="22:27" x14ac:dyDescent="0.2">
      <c r="V357" s="20"/>
      <c r="W357" s="20"/>
      <c r="X357" s="20"/>
      <c r="Y357" s="20"/>
      <c r="AA357" s="50"/>
    </row>
    <row r="358" spans="22:27" x14ac:dyDescent="0.2">
      <c r="V358" s="20"/>
      <c r="W358" s="20"/>
      <c r="X358" s="20"/>
      <c r="Y358" s="20"/>
      <c r="AA358" s="50"/>
    </row>
    <row r="359" spans="22:27" x14ac:dyDescent="0.2">
      <c r="V359" s="20"/>
      <c r="W359" s="20"/>
      <c r="X359" s="20"/>
      <c r="Y359" s="20"/>
      <c r="AA359" s="50"/>
    </row>
    <row r="360" spans="22:27" x14ac:dyDescent="0.2">
      <c r="V360" s="20"/>
      <c r="W360" s="20"/>
      <c r="X360" s="20"/>
      <c r="Y360" s="20"/>
      <c r="AA360" s="50"/>
    </row>
    <row r="361" spans="22:27" x14ac:dyDescent="0.2">
      <c r="V361" s="20"/>
      <c r="W361" s="20"/>
      <c r="X361" s="20"/>
      <c r="Y361" s="20"/>
      <c r="AA361" s="50"/>
    </row>
    <row r="362" spans="22:27" x14ac:dyDescent="0.2">
      <c r="V362" s="20"/>
      <c r="W362" s="20"/>
      <c r="X362" s="20"/>
      <c r="Y362" s="20"/>
      <c r="AA362" s="50"/>
    </row>
    <row r="363" spans="22:27" x14ac:dyDescent="0.2">
      <c r="V363" s="20"/>
      <c r="W363" s="20"/>
      <c r="X363" s="20"/>
      <c r="Y363" s="20"/>
      <c r="AA363" s="50"/>
    </row>
    <row r="364" spans="22:27" x14ac:dyDescent="0.2">
      <c r="V364" s="20"/>
      <c r="W364" s="20"/>
      <c r="X364" s="20"/>
      <c r="Y364" s="20"/>
      <c r="AA364" s="50"/>
    </row>
    <row r="365" spans="22:27" x14ac:dyDescent="0.2">
      <c r="V365" s="20"/>
      <c r="W365" s="20"/>
      <c r="X365" s="20"/>
      <c r="Y365" s="20"/>
      <c r="AA365" s="50"/>
    </row>
    <row r="366" spans="22:27" x14ac:dyDescent="0.2">
      <c r="V366" s="20"/>
      <c r="W366" s="20"/>
      <c r="X366" s="20"/>
      <c r="Y366" s="20"/>
      <c r="AA366" s="50"/>
    </row>
    <row r="367" spans="22:27" x14ac:dyDescent="0.2">
      <c r="V367" s="20"/>
      <c r="W367" s="20"/>
      <c r="X367" s="20"/>
      <c r="Y367" s="20"/>
      <c r="AA367" s="50"/>
    </row>
    <row r="368" spans="22:27" x14ac:dyDescent="0.2">
      <c r="V368" s="20"/>
      <c r="W368" s="20"/>
      <c r="X368" s="20"/>
      <c r="Y368" s="20"/>
      <c r="AA368" s="50"/>
    </row>
    <row r="369" spans="22:27" x14ac:dyDescent="0.2">
      <c r="V369" s="20"/>
      <c r="W369" s="20"/>
      <c r="X369" s="20"/>
      <c r="Y369" s="20"/>
      <c r="AA369" s="50"/>
    </row>
    <row r="370" spans="22:27" x14ac:dyDescent="0.2">
      <c r="V370" s="20"/>
      <c r="W370" s="20"/>
      <c r="X370" s="20"/>
      <c r="Y370" s="20"/>
      <c r="AA370" s="50"/>
    </row>
    <row r="371" spans="22:27" x14ac:dyDescent="0.2">
      <c r="V371" s="20"/>
      <c r="W371" s="20"/>
      <c r="X371" s="20"/>
      <c r="Y371" s="20"/>
      <c r="AA371" s="50"/>
    </row>
    <row r="372" spans="22:27" x14ac:dyDescent="0.2">
      <c r="V372" s="20"/>
      <c r="W372" s="20"/>
      <c r="X372" s="20"/>
      <c r="Y372" s="20"/>
      <c r="AA372" s="50"/>
    </row>
    <row r="373" spans="22:27" x14ac:dyDescent="0.2">
      <c r="V373" s="20"/>
      <c r="W373" s="20"/>
      <c r="X373" s="20"/>
      <c r="Y373" s="20"/>
      <c r="AA373" s="50"/>
    </row>
    <row r="374" spans="22:27" x14ac:dyDescent="0.2">
      <c r="V374" s="20"/>
      <c r="W374" s="20"/>
      <c r="X374" s="20"/>
      <c r="Y374" s="20"/>
      <c r="AA374" s="50"/>
    </row>
    <row r="375" spans="22:27" x14ac:dyDescent="0.2">
      <c r="V375" s="20"/>
      <c r="W375" s="20"/>
      <c r="X375" s="20"/>
      <c r="Y375" s="20"/>
      <c r="AA375" s="50"/>
    </row>
    <row r="376" spans="22:27" x14ac:dyDescent="0.2">
      <c r="V376" s="20"/>
      <c r="W376" s="20"/>
      <c r="X376" s="20"/>
      <c r="Y376" s="20"/>
      <c r="AA376" s="50"/>
    </row>
    <row r="377" spans="22:27" x14ac:dyDescent="0.2">
      <c r="V377" s="20"/>
      <c r="W377" s="20"/>
      <c r="X377" s="20"/>
      <c r="Y377" s="20"/>
      <c r="AA377" s="50"/>
    </row>
    <row r="378" spans="22:27" x14ac:dyDescent="0.2">
      <c r="V378" s="20"/>
      <c r="W378" s="20"/>
      <c r="X378" s="20"/>
      <c r="Y378" s="20"/>
      <c r="AA378" s="50"/>
    </row>
    <row r="379" spans="22:27" x14ac:dyDescent="0.2">
      <c r="V379" s="20"/>
      <c r="W379" s="20"/>
      <c r="X379" s="20"/>
      <c r="Y379" s="20"/>
      <c r="AA379" s="50"/>
    </row>
    <row r="380" spans="22:27" x14ac:dyDescent="0.2">
      <c r="V380" s="20"/>
      <c r="W380" s="20"/>
      <c r="X380" s="20"/>
      <c r="Y380" s="20"/>
      <c r="AA380" s="50"/>
    </row>
    <row r="381" spans="22:27" x14ac:dyDescent="0.2">
      <c r="V381" s="20"/>
      <c r="W381" s="20"/>
      <c r="X381" s="20"/>
      <c r="Y381" s="20"/>
      <c r="AA381" s="50"/>
    </row>
    <row r="382" spans="22:27" x14ac:dyDescent="0.2">
      <c r="V382" s="20"/>
      <c r="W382" s="20"/>
      <c r="X382" s="20"/>
      <c r="Y382" s="20"/>
      <c r="AA382" s="50"/>
    </row>
    <row r="383" spans="22:27" x14ac:dyDescent="0.2">
      <c r="V383" s="20"/>
      <c r="W383" s="20"/>
      <c r="X383" s="20"/>
      <c r="Y383" s="20"/>
      <c r="AA383" s="50"/>
    </row>
    <row r="384" spans="22:27" x14ac:dyDescent="0.2">
      <c r="V384" s="20"/>
      <c r="W384" s="20"/>
      <c r="X384" s="20"/>
      <c r="Y384" s="20"/>
      <c r="AA384" s="50"/>
    </row>
    <row r="385" spans="22:27" x14ac:dyDescent="0.2">
      <c r="V385" s="20"/>
      <c r="W385" s="20"/>
      <c r="X385" s="20"/>
      <c r="Y385" s="20"/>
      <c r="AA385" s="50"/>
    </row>
    <row r="386" spans="22:27" x14ac:dyDescent="0.2">
      <c r="V386" s="20"/>
      <c r="W386" s="20"/>
      <c r="X386" s="20"/>
      <c r="Y386" s="20"/>
      <c r="AA386" s="50"/>
    </row>
    <row r="387" spans="22:27" x14ac:dyDescent="0.2">
      <c r="V387" s="20"/>
      <c r="W387" s="20"/>
      <c r="X387" s="20"/>
      <c r="Y387" s="20"/>
      <c r="AA387" s="50"/>
    </row>
    <row r="388" spans="22:27" x14ac:dyDescent="0.2">
      <c r="V388" s="20"/>
      <c r="W388" s="20"/>
      <c r="X388" s="20"/>
      <c r="Y388" s="20"/>
      <c r="AA388" s="50"/>
    </row>
    <row r="389" spans="22:27" x14ac:dyDescent="0.2">
      <c r="V389" s="20"/>
      <c r="W389" s="20"/>
      <c r="X389" s="20"/>
      <c r="Y389" s="20"/>
      <c r="AA389" s="50"/>
    </row>
    <row r="390" spans="22:27" x14ac:dyDescent="0.2">
      <c r="V390" s="20"/>
      <c r="W390" s="20"/>
      <c r="X390" s="20"/>
      <c r="Y390" s="20"/>
      <c r="AA390" s="50"/>
    </row>
    <row r="391" spans="22:27" x14ac:dyDescent="0.2">
      <c r="V391" s="20"/>
      <c r="W391" s="20"/>
      <c r="X391" s="20"/>
      <c r="Y391" s="20"/>
      <c r="AA391" s="50"/>
    </row>
    <row r="392" spans="22:27" x14ac:dyDescent="0.2">
      <c r="V392" s="20"/>
      <c r="W392" s="20"/>
      <c r="X392" s="20"/>
      <c r="Y392" s="20"/>
      <c r="AA392" s="50"/>
    </row>
    <row r="393" spans="22:27" x14ac:dyDescent="0.2">
      <c r="V393" s="20"/>
      <c r="W393" s="20"/>
      <c r="X393" s="20"/>
      <c r="Y393" s="20"/>
      <c r="AA393" s="50"/>
    </row>
    <row r="394" spans="22:27" x14ac:dyDescent="0.2">
      <c r="V394" s="20"/>
      <c r="W394" s="20"/>
      <c r="X394" s="20"/>
      <c r="Y394" s="20"/>
      <c r="AA394" s="50"/>
    </row>
    <row r="395" spans="22:27" x14ac:dyDescent="0.2">
      <c r="V395" s="20"/>
      <c r="W395" s="20"/>
      <c r="X395" s="20"/>
      <c r="Y395" s="20"/>
      <c r="AA395" s="50"/>
    </row>
    <row r="396" spans="22:27" x14ac:dyDescent="0.2">
      <c r="V396" s="20"/>
      <c r="W396" s="20"/>
      <c r="X396" s="20"/>
      <c r="Y396" s="20"/>
      <c r="AA396" s="50"/>
    </row>
    <row r="397" spans="22:27" x14ac:dyDescent="0.2">
      <c r="V397" s="20"/>
      <c r="W397" s="20"/>
      <c r="X397" s="20"/>
      <c r="Y397" s="20"/>
      <c r="AA397" s="50"/>
    </row>
    <row r="398" spans="22:27" x14ac:dyDescent="0.2">
      <c r="V398" s="20"/>
      <c r="W398" s="20"/>
      <c r="X398" s="20"/>
      <c r="Y398" s="20"/>
      <c r="AA398" s="50"/>
    </row>
    <row r="399" spans="22:27" x14ac:dyDescent="0.2">
      <c r="V399" s="20"/>
      <c r="W399" s="20"/>
      <c r="X399" s="20"/>
      <c r="Y399" s="20"/>
      <c r="AA399" s="50"/>
    </row>
    <row r="400" spans="22:27" x14ac:dyDescent="0.2">
      <c r="V400" s="20"/>
      <c r="W400" s="20"/>
      <c r="X400" s="20"/>
      <c r="Y400" s="20"/>
      <c r="AA400" s="50"/>
    </row>
    <row r="401" spans="22:27" x14ac:dyDescent="0.2">
      <c r="V401" s="20"/>
      <c r="W401" s="20"/>
      <c r="X401" s="20"/>
      <c r="Y401" s="20"/>
      <c r="AA401" s="50"/>
    </row>
    <row r="402" spans="22:27" x14ac:dyDescent="0.2">
      <c r="V402" s="20"/>
      <c r="W402" s="20"/>
      <c r="X402" s="20"/>
      <c r="Y402" s="20"/>
      <c r="AA402" s="50"/>
    </row>
    <row r="403" spans="22:27" x14ac:dyDescent="0.2">
      <c r="V403" s="20"/>
      <c r="W403" s="20"/>
      <c r="X403" s="20"/>
      <c r="Y403" s="20"/>
      <c r="AA403" s="50"/>
    </row>
    <row r="404" spans="22:27" x14ac:dyDescent="0.2">
      <c r="V404" s="20"/>
      <c r="W404" s="20"/>
      <c r="X404" s="20"/>
      <c r="Y404" s="20"/>
      <c r="AA404" s="50"/>
    </row>
    <row r="405" spans="22:27" x14ac:dyDescent="0.2">
      <c r="V405" s="20"/>
      <c r="W405" s="20"/>
      <c r="X405" s="20"/>
      <c r="Y405" s="20"/>
      <c r="AA405" s="50"/>
    </row>
    <row r="406" spans="22:27" x14ac:dyDescent="0.2">
      <c r="V406" s="20"/>
      <c r="W406" s="20"/>
      <c r="X406" s="20"/>
      <c r="Y406" s="20"/>
      <c r="AA406" s="50"/>
    </row>
    <row r="407" spans="22:27" x14ac:dyDescent="0.2">
      <c r="V407" s="20"/>
      <c r="W407" s="20"/>
      <c r="X407" s="20"/>
      <c r="Y407" s="20"/>
      <c r="AA407" s="50"/>
    </row>
    <row r="408" spans="22:27" x14ac:dyDescent="0.2">
      <c r="V408" s="20"/>
      <c r="W408" s="20"/>
      <c r="X408" s="20"/>
      <c r="Y408" s="20"/>
      <c r="AA408" s="50"/>
    </row>
    <row r="409" spans="22:27" x14ac:dyDescent="0.2">
      <c r="V409" s="20"/>
      <c r="W409" s="20"/>
      <c r="X409" s="20"/>
      <c r="Y409" s="20"/>
      <c r="AA409" s="50"/>
    </row>
    <row r="410" spans="22:27" x14ac:dyDescent="0.2">
      <c r="V410" s="20"/>
      <c r="W410" s="20"/>
      <c r="X410" s="20"/>
      <c r="Y410" s="20"/>
      <c r="AA410" s="50"/>
    </row>
    <row r="411" spans="22:27" x14ac:dyDescent="0.2">
      <c r="V411" s="20"/>
      <c r="W411" s="20"/>
      <c r="X411" s="20"/>
      <c r="Y411" s="20"/>
      <c r="AA411" s="50"/>
    </row>
    <row r="412" spans="22:27" x14ac:dyDescent="0.2">
      <c r="V412" s="20"/>
      <c r="W412" s="20"/>
      <c r="X412" s="20"/>
      <c r="Y412" s="20"/>
      <c r="AA412" s="50"/>
    </row>
    <row r="413" spans="22:27" x14ac:dyDescent="0.2">
      <c r="V413" s="20"/>
      <c r="W413" s="20"/>
      <c r="X413" s="20"/>
      <c r="Y413" s="20"/>
      <c r="AA413" s="50"/>
    </row>
    <row r="414" spans="22:27" x14ac:dyDescent="0.2">
      <c r="V414" s="20"/>
      <c r="W414" s="20"/>
      <c r="X414" s="20"/>
      <c r="Y414" s="20"/>
      <c r="AA414" s="50"/>
    </row>
    <row r="415" spans="22:27" x14ac:dyDescent="0.2">
      <c r="V415" s="20"/>
      <c r="W415" s="20"/>
      <c r="X415" s="20"/>
      <c r="Y415" s="20"/>
    </row>
    <row r="416" spans="22:27" x14ac:dyDescent="0.2">
      <c r="V416" s="20"/>
      <c r="W416" s="20"/>
      <c r="X416" s="20"/>
      <c r="Y416" s="20"/>
    </row>
    <row r="417" spans="22:25" x14ac:dyDescent="0.2">
      <c r="V417" s="20"/>
      <c r="W417" s="20"/>
      <c r="X417" s="20"/>
      <c r="Y417" s="20"/>
    </row>
    <row r="418" spans="22:25" x14ac:dyDescent="0.2">
      <c r="V418" s="20"/>
      <c r="W418" s="20"/>
      <c r="X418" s="20"/>
      <c r="Y418" s="20"/>
    </row>
    <row r="419" spans="22:25" x14ac:dyDescent="0.2">
      <c r="V419" s="20"/>
      <c r="W419" s="20"/>
      <c r="X419" s="20"/>
      <c r="Y419" s="20"/>
    </row>
    <row r="420" spans="22:25" x14ac:dyDescent="0.2">
      <c r="V420" s="20"/>
      <c r="W420" s="20"/>
      <c r="X420" s="20"/>
      <c r="Y420" s="20"/>
    </row>
    <row r="421" spans="22:25" x14ac:dyDescent="0.2">
      <c r="V421" s="20"/>
      <c r="W421" s="20"/>
      <c r="X421" s="20"/>
      <c r="Y421" s="20"/>
    </row>
    <row r="422" spans="22:25" x14ac:dyDescent="0.2">
      <c r="V422" s="20"/>
      <c r="W422" s="20"/>
      <c r="X422" s="20"/>
      <c r="Y422" s="20"/>
    </row>
    <row r="423" spans="22:25" x14ac:dyDescent="0.2">
      <c r="V423" s="20"/>
      <c r="W423" s="20"/>
      <c r="X423" s="20"/>
      <c r="Y423" s="20"/>
    </row>
    <row r="424" spans="22:25" x14ac:dyDescent="0.2">
      <c r="V424" s="20"/>
      <c r="W424" s="20"/>
      <c r="X424" s="20"/>
      <c r="Y424" s="20"/>
    </row>
    <row r="425" spans="22:25" x14ac:dyDescent="0.2">
      <c r="V425" s="20"/>
      <c r="W425" s="20"/>
      <c r="X425" s="20"/>
      <c r="Y425" s="20"/>
    </row>
    <row r="426" spans="22:25" x14ac:dyDescent="0.2">
      <c r="V426" s="20"/>
      <c r="W426" s="20"/>
      <c r="X426" s="20"/>
      <c r="Y426" s="20"/>
    </row>
    <row r="427" spans="22:25" x14ac:dyDescent="0.2">
      <c r="V427" s="20"/>
      <c r="W427" s="20"/>
      <c r="X427" s="20"/>
      <c r="Y427" s="20"/>
    </row>
    <row r="428" spans="22:25" x14ac:dyDescent="0.2">
      <c r="V428" s="20"/>
      <c r="W428" s="20"/>
      <c r="X428" s="20"/>
      <c r="Y428" s="20"/>
    </row>
    <row r="429" spans="22:25" x14ac:dyDescent="0.2">
      <c r="V429" s="20"/>
      <c r="W429" s="20"/>
      <c r="X429" s="20"/>
      <c r="Y429" s="20"/>
    </row>
    <row r="430" spans="22:25" x14ac:dyDescent="0.2">
      <c r="V430" s="20"/>
      <c r="W430" s="20"/>
      <c r="X430" s="20"/>
      <c r="Y430" s="20"/>
    </row>
    <row r="431" spans="22:25" x14ac:dyDescent="0.2">
      <c r="V431" s="20"/>
      <c r="W431" s="20"/>
      <c r="X431" s="20"/>
      <c r="Y431" s="20"/>
    </row>
    <row r="432" spans="22:25" x14ac:dyDescent="0.2">
      <c r="V432" s="20"/>
      <c r="W432" s="20"/>
      <c r="X432" s="20"/>
      <c r="Y432" s="20"/>
    </row>
    <row r="433" spans="22:25" x14ac:dyDescent="0.2">
      <c r="V433" s="20"/>
      <c r="W433" s="20"/>
      <c r="X433" s="20"/>
      <c r="Y433" s="20"/>
    </row>
    <row r="434" spans="22:25" x14ac:dyDescent="0.2">
      <c r="V434" s="20"/>
      <c r="W434" s="20"/>
      <c r="X434" s="20"/>
      <c r="Y434" s="20"/>
    </row>
    <row r="435" spans="22:25" x14ac:dyDescent="0.2">
      <c r="V435" s="20"/>
      <c r="W435" s="20"/>
      <c r="X435" s="20"/>
      <c r="Y435" s="20"/>
    </row>
    <row r="436" spans="22:25" x14ac:dyDescent="0.2">
      <c r="V436" s="20"/>
      <c r="W436" s="20"/>
      <c r="X436" s="20"/>
      <c r="Y436" s="20"/>
    </row>
  </sheetData>
  <mergeCells count="10">
    <mergeCell ref="Z5:Z6"/>
    <mergeCell ref="W5:W6"/>
    <mergeCell ref="U5:U6"/>
    <mergeCell ref="B1:Q1"/>
    <mergeCell ref="B2:Q2"/>
    <mergeCell ref="B3:Q3"/>
    <mergeCell ref="D5:P5"/>
    <mergeCell ref="Q5:Q6"/>
    <mergeCell ref="S5:S6"/>
    <mergeCell ref="X4:Z4"/>
  </mergeCells>
  <phoneticPr fontId="0" type="noConversion"/>
  <conditionalFormatting sqref="H42:I63 G40:G63 L42:P63 H29:H31 H33:H40 J29:K63 L29:M40 D7:F25 N27:N40 I27:I40 G27:G36 O27:P41 H27 J27:M27 G7:P24 D27:F63 G26:P26">
    <cfRule type="cellIs" dxfId="4" priority="5" stopIfTrue="1" operator="greaterThan">
      <formula>30</formula>
    </cfRule>
    <cfRule type="cellIs" dxfId="3" priority="6" stopIfTrue="1" operator="between">
      <formula>0.1</formula>
      <formula>10</formula>
    </cfRule>
    <cfRule type="cellIs" dxfId="2" priority="7" stopIfTrue="1" operator="lessThan">
      <formula>0.1</formula>
    </cfRule>
  </conditionalFormatting>
  <conditionalFormatting sqref="Q7:Q62 S7:S62 U7:U62 W7:W62">
    <cfRule type="cellIs" dxfId="1" priority="1" stopIfTrue="1" operator="lessThan">
      <formula>0.5</formula>
    </cfRule>
    <cfRule type="cellIs" dxfId="0" priority="2" stopIfTrue="1" operator="lessThan">
      <formula>0.75</formula>
    </cfRule>
  </conditionalFormatting>
  <printOptions horizontalCentered="1"/>
  <pageMargins left="0.27" right="0.74803149606299213" top="0.65" bottom="0.67" header="0.51181102362204722" footer="0.51181102362204722"/>
  <pageSetup paperSize="9" scale="49" fitToHeight="2" orientation="landscape" horizontalDpi="4294967293" r:id="rId1"/>
  <headerFooter alignWithMargins="0"/>
  <ignoredErrors>
    <ignoredError sqref="S27:U62 S7:U25" formulaRange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50EB3-7BA0-4759-BC8E-0925266A8FDC}">
  <sheetPr>
    <pageSetUpPr fitToPage="1"/>
  </sheetPr>
  <dimension ref="B1:AI431"/>
  <sheetViews>
    <sheetView zoomScale="130" zoomScaleNormal="130" workbookViewId="0">
      <pane xSplit="2" ySplit="6" topLeftCell="C7" activePane="bottomRight" state="frozen"/>
      <selection activeCell="J145" sqref="J145"/>
      <selection pane="topRight" activeCell="J145" sqref="J145"/>
      <selection pane="bottomLeft" activeCell="J145" sqref="J145"/>
      <selection pane="bottomRight" activeCell="A5" sqref="A5"/>
    </sheetView>
  </sheetViews>
  <sheetFormatPr defaultColWidth="10.140625" defaultRowHeight="10.5" x14ac:dyDescent="0.15"/>
  <cols>
    <col min="1" max="1" width="10.140625" style="312" customWidth="1"/>
    <col min="2" max="2" width="12.140625" style="327" customWidth="1"/>
    <col min="3" max="3" width="16.42578125" style="312" customWidth="1"/>
    <col min="4" max="4" width="14.85546875" style="312" customWidth="1"/>
    <col min="5" max="5" width="15" style="312" customWidth="1"/>
    <col min="6" max="6" width="14.5703125" style="312" customWidth="1"/>
    <col min="7" max="7" width="15.140625" style="312" customWidth="1"/>
    <col min="8" max="8" width="14.5703125" style="312" customWidth="1"/>
    <col min="9" max="9" width="14" style="312" customWidth="1"/>
    <col min="10" max="10" width="15" style="312" customWidth="1"/>
    <col min="11" max="11" width="14.85546875" style="312" customWidth="1"/>
    <col min="12" max="12" width="14.5703125" style="312" customWidth="1"/>
    <col min="13" max="14" width="15.140625" style="312" customWidth="1"/>
    <col min="15" max="17" width="17.5703125" style="326" customWidth="1"/>
    <col min="18" max="27" width="10.140625" style="312"/>
    <col min="28" max="28" width="20.140625" style="312" bestFit="1" customWidth="1"/>
    <col min="29" max="29" width="10.140625" style="312"/>
    <col min="30" max="30" width="16.7109375" style="312" bestFit="1" customWidth="1"/>
    <col min="31" max="16384" width="10.140625" style="312"/>
  </cols>
  <sheetData>
    <row r="1" spans="2:35" s="301" customFormat="1" ht="18" customHeight="1" thickTop="1" x14ac:dyDescent="0.15">
      <c r="B1" s="407" t="s">
        <v>448</v>
      </c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9"/>
    </row>
    <row r="2" spans="2:35" s="301" customFormat="1" ht="18" customHeight="1" x14ac:dyDescent="0.15">
      <c r="B2" s="410" t="s">
        <v>449</v>
      </c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12"/>
    </row>
    <row r="3" spans="2:35" s="301" customFormat="1" ht="18" customHeight="1" thickBot="1" x14ac:dyDescent="0.2">
      <c r="B3" s="413" t="s">
        <v>1089</v>
      </c>
      <c r="C3" s="414"/>
      <c r="D3" s="414"/>
      <c r="E3" s="414"/>
      <c r="F3" s="414"/>
      <c r="G3" s="414"/>
      <c r="H3" s="414"/>
      <c r="I3" s="414"/>
      <c r="J3" s="414"/>
      <c r="K3" s="414"/>
      <c r="L3" s="414"/>
      <c r="M3" s="414"/>
      <c r="N3" s="414"/>
      <c r="O3" s="414"/>
      <c r="P3" s="414"/>
      <c r="Q3" s="415"/>
    </row>
    <row r="4" spans="2:35" s="301" customFormat="1" ht="12" thickTop="1" thickBot="1" x14ac:dyDescent="0.2">
      <c r="B4" s="302"/>
      <c r="O4" s="303"/>
      <c r="P4" s="303"/>
      <c r="Q4" s="303"/>
      <c r="R4" s="204" t="s">
        <v>497</v>
      </c>
      <c r="S4" s="204"/>
      <c r="T4" s="204" t="s">
        <v>498</v>
      </c>
      <c r="U4" s="205"/>
      <c r="V4" s="205"/>
      <c r="W4" s="205"/>
      <c r="X4" s="416" t="s">
        <v>508</v>
      </c>
      <c r="Y4" s="416"/>
      <c r="Z4" s="416"/>
      <c r="AA4" s="105"/>
      <c r="AB4" s="31"/>
      <c r="AC4" s="31"/>
      <c r="AD4" s="206"/>
      <c r="AE4" s="206"/>
      <c r="AF4" s="31"/>
      <c r="AG4" s="31"/>
      <c r="AH4" s="31"/>
      <c r="AI4" s="31"/>
    </row>
    <row r="5" spans="2:35" s="301" customFormat="1" ht="11.45" customHeight="1" thickTop="1" thickBot="1" x14ac:dyDescent="0.2">
      <c r="B5" s="373"/>
      <c r="C5" s="417" t="s">
        <v>451</v>
      </c>
      <c r="D5" s="417"/>
      <c r="E5" s="417"/>
      <c r="F5" s="417"/>
      <c r="G5" s="417"/>
      <c r="H5" s="417"/>
      <c r="I5" s="417"/>
      <c r="J5" s="417"/>
      <c r="K5" s="417"/>
      <c r="L5" s="417"/>
      <c r="M5" s="417"/>
      <c r="N5" s="417"/>
      <c r="O5" s="417"/>
      <c r="P5" s="418"/>
      <c r="Q5" s="419" t="s">
        <v>452</v>
      </c>
      <c r="R5" s="214" t="s">
        <v>461</v>
      </c>
      <c r="S5" s="421" t="s">
        <v>452</v>
      </c>
      <c r="T5" s="214" t="s">
        <v>460</v>
      </c>
      <c r="U5" s="421" t="s">
        <v>452</v>
      </c>
      <c r="V5" s="215" t="s">
        <v>494</v>
      </c>
      <c r="W5" s="421" t="s">
        <v>452</v>
      </c>
      <c r="X5" s="214" t="s">
        <v>461</v>
      </c>
      <c r="Y5" s="214" t="s">
        <v>460</v>
      </c>
      <c r="Z5" s="421" t="s">
        <v>509</v>
      </c>
      <c r="AA5" s="107"/>
      <c r="AB5" s="95"/>
      <c r="AC5" s="96"/>
      <c r="AD5" s="96"/>
      <c r="AE5" s="96"/>
      <c r="AF5" s="96"/>
      <c r="AG5" s="96"/>
      <c r="AH5" s="96"/>
      <c r="AI5" s="97"/>
    </row>
    <row r="6" spans="2:35" s="301" customFormat="1" ht="14.25" customHeight="1" thickTop="1" x14ac:dyDescent="0.15">
      <c r="B6" s="305" t="s">
        <v>453</v>
      </c>
      <c r="C6" s="306">
        <v>43831</v>
      </c>
      <c r="D6" s="306">
        <v>43862</v>
      </c>
      <c r="E6" s="306">
        <v>43891</v>
      </c>
      <c r="F6" s="306">
        <v>43922</v>
      </c>
      <c r="G6" s="306">
        <v>43952</v>
      </c>
      <c r="H6" s="306">
        <v>43983</v>
      </c>
      <c r="I6" s="306">
        <v>44013</v>
      </c>
      <c r="J6" s="306">
        <v>44044</v>
      </c>
      <c r="K6" s="306">
        <v>44075</v>
      </c>
      <c r="L6" s="306">
        <v>44105</v>
      </c>
      <c r="M6" s="306">
        <v>44136</v>
      </c>
      <c r="N6" s="306">
        <v>44166</v>
      </c>
      <c r="O6" s="307" t="s">
        <v>454</v>
      </c>
      <c r="P6" s="307" t="s">
        <v>484</v>
      </c>
      <c r="Q6" s="420"/>
      <c r="R6" s="219" t="s">
        <v>454</v>
      </c>
      <c r="S6" s="422"/>
      <c r="T6" s="219" t="s">
        <v>454</v>
      </c>
      <c r="U6" s="422"/>
      <c r="V6" s="220" t="s">
        <v>454</v>
      </c>
      <c r="W6" s="422"/>
      <c r="X6" s="219" t="s">
        <v>454</v>
      </c>
      <c r="Y6" s="219" t="s">
        <v>454</v>
      </c>
      <c r="Z6" s="422"/>
      <c r="AA6" s="31"/>
      <c r="AB6" s="98" t="s">
        <v>166</v>
      </c>
      <c r="AC6" s="34" t="s">
        <v>476</v>
      </c>
      <c r="AD6" s="34" t="s">
        <v>1087</v>
      </c>
      <c r="AE6" s="34" t="s">
        <v>563</v>
      </c>
      <c r="AF6" s="34" t="s">
        <v>472</v>
      </c>
      <c r="AG6" s="34" t="s">
        <v>474</v>
      </c>
      <c r="AH6" s="34" t="s">
        <v>473</v>
      </c>
      <c r="AI6" s="99" t="s">
        <v>475</v>
      </c>
    </row>
    <row r="7" spans="2:35" ht="12" customHeight="1" x14ac:dyDescent="0.15">
      <c r="B7" s="308" t="s">
        <v>1101</v>
      </c>
      <c r="C7" s="309">
        <v>9.1</v>
      </c>
      <c r="D7" s="309">
        <v>13.6</v>
      </c>
      <c r="E7" s="309"/>
      <c r="F7" s="309"/>
      <c r="G7" s="309"/>
      <c r="H7" s="309">
        <v>15.5</v>
      </c>
      <c r="I7" s="309">
        <v>12.5</v>
      </c>
      <c r="J7" s="309">
        <v>11.7</v>
      </c>
      <c r="K7" s="309">
        <v>12.1</v>
      </c>
      <c r="L7" s="309">
        <v>12.1</v>
      </c>
      <c r="M7" s="309">
        <v>10.8</v>
      </c>
      <c r="N7" s="309">
        <v>8.4</v>
      </c>
      <c r="O7" s="310">
        <f t="shared" ref="O7:O70" si="0">(AVERAGE(C7:N7))</f>
        <v>11.755555555555555</v>
      </c>
      <c r="P7" s="310">
        <f t="shared" ref="P7:P70" si="1">IFERROR((STDEVP(C7:N7)/O7)*100,"")</f>
        <v>17.350675810862761</v>
      </c>
      <c r="Q7" s="311">
        <f t="shared" ref="Q7:Q70" si="2">COUNT(C7:N7)/COUNT($C$6:$N$6)</f>
        <v>0.75</v>
      </c>
      <c r="R7" s="225">
        <f>IF($S7=0%,"",IF($S7&gt;66%,AVERAGE($C7:$E7),"-"))</f>
        <v>11.35</v>
      </c>
      <c r="S7" s="226">
        <f>COUNT(C7:E7)/3</f>
        <v>0.66666666666666663</v>
      </c>
      <c r="T7" s="225">
        <f>IF($U7=0%,"",IF($U7&gt;66%,AVERAGE($I7:$K7),"-"))</f>
        <v>12.1</v>
      </c>
      <c r="U7" s="226">
        <f>COUNT(I7:K7)/3</f>
        <v>1</v>
      </c>
      <c r="V7" s="227">
        <f>IF(AND(($S7&gt;33%),($U7&gt;33%),($W7&gt;=75%)),AVERAGE($C7:$N7),"-")</f>
        <v>11.755555555555555</v>
      </c>
      <c r="W7" s="228">
        <f>Q7</f>
        <v>0.75</v>
      </c>
      <c r="X7" s="354">
        <f>IF(VLOOKUP($B7,$AC$6:$AI$180,3,FALSE)="",$R7,IF(ISERROR(AVERAGEIF($AD$6:$AD$180,VLOOKUP($B7,$AC$6:$AI$180,2,FALSE),$R$6:$R$180)),"",AVERAGEIF($AD$6:$AD$180,VLOOKUP($B7,$AC$6:$AI$180,2,FALSE),$R$6:$R$180)))</f>
        <v>11.35</v>
      </c>
      <c r="Y7" s="354">
        <f>IF(VLOOKUP($B7,$AC$6:$AI$180,3,FALSE)="",$T7,IF(ISERROR(AVERAGEIF($AD$6:$AD$180,VLOOKUP($B7,$AC$6:$AI$180,2,FALSE),$T$6:$T$180)),"",AVERAGEIF($AD$6:$AD$180,VLOOKUP($B7,$AC$6:$AI$180,2,FALSE),$T$6:$T$180)))</f>
        <v>12.1</v>
      </c>
      <c r="Z7" s="354">
        <f>IF(VLOOKUP($B7,$AC$6:$AI$180,3,FALSE)="",$V7,IF(ISERROR(AVERAGEIF($AD$6:$AD$180,VLOOKUP($B7,$AC$6:$AI$180,2,FALSE),$V$6:$V$180)),"",AVERAGEIF($AD$6:$AD$180,VLOOKUP($B7,$AC$6:$AI$180,2,FALSE),$V$6:$V$180)))</f>
        <v>11.755555555555555</v>
      </c>
      <c r="AA7" s="205"/>
      <c r="AB7" s="357">
        <f>VLOOKUP($B7,'2007-2020 Metadata'!$A$4:$S$214,MATCH("Urban Area /Monitoring Zone",'2007-2020 Metadata'!$A$4:$S$4,0),FALSE)</f>
        <v>0</v>
      </c>
      <c r="AC7" s="229" t="str">
        <f>VLOOKUP(B7,'2007-2020 Metadata'!$A$6:$A$214,1,FALSE)</f>
        <v>AUC004b</v>
      </c>
      <c r="AD7" s="356">
        <f>VLOOKUP($AC7,'2007-2020 Metadata'!$A$6:$S$214,9,FALSE)</f>
        <v>0</v>
      </c>
      <c r="AE7" s="356" t="str">
        <f>IF(ISBLANK(VLOOKUP($AC7,'2007-2020 Metadata'!$A$6:$S$214,19,FALSE)),"",VLOOKUP($AC7,'2007-2020 Metadata'!$A$6:$S$214,19,FALSE))</f>
        <v/>
      </c>
      <c r="AF7" s="355">
        <f>VLOOKUP($B7,'2007-2020 Metadata'!$A$4:$S$214,MATCH("Site type",'2007-2020 Metadata'!$A$4:$S$4,0),FALSE)</f>
        <v>0</v>
      </c>
      <c r="AG7" s="364">
        <f>MIN(C7:N7)</f>
        <v>8.4</v>
      </c>
      <c r="AH7" s="364">
        <f>MAX(C7:N7)</f>
        <v>15.5</v>
      </c>
      <c r="AI7" s="354">
        <f>IF(W7&gt;=75%,Z7," ")</f>
        <v>11.755555555555555</v>
      </c>
    </row>
    <row r="8" spans="2:35" ht="12" customHeight="1" x14ac:dyDescent="0.15">
      <c r="B8" s="313" t="s">
        <v>4</v>
      </c>
      <c r="C8" s="309">
        <v>24.4</v>
      </c>
      <c r="D8" s="309">
        <v>26.5</v>
      </c>
      <c r="E8" s="309"/>
      <c r="F8" s="309"/>
      <c r="G8" s="309"/>
      <c r="H8" s="309">
        <v>37.9</v>
      </c>
      <c r="I8" s="309">
        <v>31</v>
      </c>
      <c r="J8" s="309"/>
      <c r="K8" s="309">
        <v>19.5</v>
      </c>
      <c r="L8" s="309">
        <v>19.100000000000001</v>
      </c>
      <c r="M8" s="309">
        <v>16</v>
      </c>
      <c r="N8" s="309">
        <v>11.7</v>
      </c>
      <c r="O8" s="310">
        <f t="shared" si="0"/>
        <v>23.262499999999999</v>
      </c>
      <c r="P8" s="310">
        <f t="shared" si="1"/>
        <v>34.11424651373558</v>
      </c>
      <c r="Q8" s="311">
        <f t="shared" si="2"/>
        <v>0.66666666666666663</v>
      </c>
      <c r="R8" s="225">
        <f>IF($S8=0%,"",IF($S8&gt;66%,AVERAGE($C8:$E8),"-"))</f>
        <v>25.45</v>
      </c>
      <c r="S8" s="226">
        <f t="shared" ref="S8:S71" si="3">COUNT(C8:E8)/3</f>
        <v>0.66666666666666663</v>
      </c>
      <c r="T8" s="225">
        <f>IF($U8=0%,"",IF($U8&gt;66%,AVERAGE($I8:$K8),"-"))</f>
        <v>25.25</v>
      </c>
      <c r="U8" s="226">
        <f>COUNT(I8:K8)/3</f>
        <v>0.66666666666666663</v>
      </c>
      <c r="V8" s="227" t="str">
        <f>IF(AND(($S8&gt;33%),($U8&gt;33%),($W8&gt;=75%)),AVERAGE($C8:$N8),"-")</f>
        <v>-</v>
      </c>
      <c r="W8" s="228">
        <f t="shared" ref="W8:W71" si="4">Q8</f>
        <v>0.66666666666666663</v>
      </c>
      <c r="X8" s="354">
        <f>IF(VLOOKUP($B8,$AC$6:$AI$180,3,FALSE)="",$R8,IF(ISERROR(AVERAGEIF($AD$6:$AD$180,VLOOKUP($B8,$AC$6:$AI$180,2,FALSE),$R$6:$R$180)),"",AVERAGEIF($AD$6:$AD$180,VLOOKUP($B8,$AC$6:$AI$180,2,FALSE),$R$6:$R$180)))</f>
        <v>17.065151515151513</v>
      </c>
      <c r="Y8" s="354">
        <f>IF(VLOOKUP($B8,$AC$6:$AI$180,3,FALSE)="",$T8,IF(ISERROR(AVERAGEIF($AD$6:$AD$180,VLOOKUP($B8,$AC$6:$AI$180,2,FALSE),$T$6:$T$180)),"",AVERAGEIF($AD$6:$AD$180,VLOOKUP($B8,$AC$6:$AI$180,2,FALSE),$T$6:$T$180)))</f>
        <v>22.604545454545452</v>
      </c>
      <c r="Z8" s="354">
        <f>IF(VLOOKUP($B8,$AC$6:$AI$180,3,FALSE)="",$V8,IF(ISERROR(AVERAGEIF($AD$6:$AD$180,VLOOKUP($B8,$AC$6:$AI$180,2,FALSE),$V$6:$V$180)),"",AVERAGEIF($AD$6:$AD$180,VLOOKUP($B8,$AC$6:$AI$180,2,FALSE),$V$6:$V$180)))</f>
        <v>19.290722222222222</v>
      </c>
      <c r="AA8" s="205"/>
      <c r="AB8" s="357" t="str">
        <f>VLOOKUP($B8,'2007-2020 Metadata'!$A$4:$S$214,MATCH("Urban Area /Monitoring Zone",'2007-2020 Metadata'!$A$4:$S$4,0),FALSE)</f>
        <v>Auckland - Northern</v>
      </c>
      <c r="AC8" s="229" t="str">
        <f>VLOOKUP(B8,'2007-2020 Metadata'!$A$6:$A$214,1,FALSE)</f>
        <v>AUC005</v>
      </c>
      <c r="AD8" s="356" t="str">
        <f>VLOOKUP($AC8,'2007-2020 Metadata'!$A$6:$S$214,9,FALSE)</f>
        <v xml:space="preserve">North Shore </v>
      </c>
      <c r="AE8" s="356">
        <f>IF(ISBLANK(VLOOKUP($AC8,'2007-2020 Metadata'!$A$6:$S$214,19,FALSE)),"",VLOOKUP($AC8,'2007-2020 Metadata'!$A$6:$S$214,19,FALSE))</f>
        <v>2.1</v>
      </c>
      <c r="AF8" s="355" t="str">
        <f>VLOOKUP($B8,'2007-2020 Metadata'!$A$4:$S$214,MATCH("Site type",'2007-2020 Metadata'!$A$4:$S$4,0),FALSE)</f>
        <v>Local</v>
      </c>
      <c r="AG8" s="364">
        <f t="shared" ref="AG8:AG71" si="5">MIN(C8:N8)</f>
        <v>11.7</v>
      </c>
      <c r="AH8" s="364">
        <f t="shared" ref="AH8:AH71" si="6">MAX(C8:N8)</f>
        <v>37.9</v>
      </c>
      <c r="AI8" s="354" t="str">
        <f t="shared" ref="AI8:AI71" si="7">IF(W8&gt;=75%,Z8," ")</f>
        <v xml:space="preserve"> </v>
      </c>
    </row>
    <row r="9" spans="2:35" ht="12" customHeight="1" x14ac:dyDescent="0.15">
      <c r="B9" s="313" t="s">
        <v>6</v>
      </c>
      <c r="C9" s="309">
        <v>14</v>
      </c>
      <c r="D9" s="309">
        <v>24.4</v>
      </c>
      <c r="E9" s="309"/>
      <c r="F9" s="309"/>
      <c r="G9" s="309"/>
      <c r="H9" s="309">
        <v>29.2</v>
      </c>
      <c r="I9" s="309">
        <v>25.8</v>
      </c>
      <c r="J9" s="309">
        <v>19</v>
      </c>
      <c r="K9" s="309">
        <v>15.4</v>
      </c>
      <c r="L9" s="309">
        <v>24.2</v>
      </c>
      <c r="M9" s="309">
        <v>14.4</v>
      </c>
      <c r="N9" s="309">
        <v>12.5</v>
      </c>
      <c r="O9" s="310">
        <f t="shared" si="0"/>
        <v>19.87777777777778</v>
      </c>
      <c r="P9" s="310">
        <f t="shared" si="1"/>
        <v>29.089297518874368</v>
      </c>
      <c r="Q9" s="311">
        <f t="shared" si="2"/>
        <v>0.75</v>
      </c>
      <c r="R9" s="225">
        <f>IF($S9=0%,"",IF($S9&gt;66%,AVERAGE($C9:$E9),"-"))</f>
        <v>19.2</v>
      </c>
      <c r="S9" s="226">
        <f t="shared" si="3"/>
        <v>0.66666666666666663</v>
      </c>
      <c r="T9" s="225">
        <f>IF($U9=0%,"",IF($U9&gt;66%,AVERAGE($I9:$K9),"-"))</f>
        <v>20.066666666666666</v>
      </c>
      <c r="U9" s="226">
        <f t="shared" ref="U9:U72" si="8">COUNT(I9:K9)/3</f>
        <v>1</v>
      </c>
      <c r="V9" s="227">
        <f>IF(AND(($S9&gt;33%),($U9&gt;33%),($W9&gt;=75%)),AVERAGE($C9:$N9),"-")</f>
        <v>19.87777777777778</v>
      </c>
      <c r="W9" s="228">
        <f t="shared" si="4"/>
        <v>0.75</v>
      </c>
      <c r="X9" s="354">
        <f t="shared" ref="X9:X72" si="9">IF(VLOOKUP($B9,$AC$6:$AI$180,3,FALSE)="",$R9,IF(ISERROR(AVERAGEIF($AD$6:$AD$180,VLOOKUP($B9,$AC$6:$AI$180,2,FALSE),$R$6:$R$180)),"",AVERAGEIF($AD$6:$AD$180,VLOOKUP($B9,$AC$6:$AI$180,2,FALSE),$R$6:$R$180)))</f>
        <v>17.065151515151513</v>
      </c>
      <c r="Y9" s="354">
        <f t="shared" ref="Y9:Y72" si="10">IF(VLOOKUP($B9,$AC$6:$AI$180,3,FALSE)="",$T9,IF(ISERROR(AVERAGEIF($AD$6:$AD$180,VLOOKUP($B9,$AC$6:$AI$180,2,FALSE),$T$6:$T$180)),"",AVERAGEIF($AD$6:$AD$180,VLOOKUP($B9,$AC$6:$AI$180,2,FALSE),$T$6:$T$180)))</f>
        <v>22.604545454545452</v>
      </c>
      <c r="Z9" s="354">
        <f t="shared" ref="Z9:Z72" si="11">IF(VLOOKUP($B9,$AC$6:$AI$180,3,FALSE)="",$V9,IF(ISERROR(AVERAGEIF($AD$6:$AD$180,VLOOKUP($B9,$AC$6:$AI$180,2,FALSE),$V$6:$V$180)),"",AVERAGEIF($AD$6:$AD$180,VLOOKUP($B9,$AC$6:$AI$180,2,FALSE),$V$6:$V$180)))</f>
        <v>19.290722222222222</v>
      </c>
      <c r="AA9" s="205"/>
      <c r="AB9" s="357" t="str">
        <f>VLOOKUP($B9,'2007-2020 Metadata'!$A$4:$S$214,MATCH("Urban Area /Monitoring Zone",'2007-2020 Metadata'!$A$4:$S$4,0),FALSE)</f>
        <v>Auckland - Northern</v>
      </c>
      <c r="AC9" s="229" t="str">
        <f>VLOOKUP(B9,'2007-2020 Metadata'!$A$6:$A$214,1,FALSE)</f>
        <v>AUC007</v>
      </c>
      <c r="AD9" s="356" t="str">
        <f>VLOOKUP($AC9,'2007-2020 Metadata'!$A$6:$S$214,9,FALSE)</f>
        <v xml:space="preserve">North Shore </v>
      </c>
      <c r="AE9" s="356">
        <f>IF(ISBLANK(VLOOKUP($AC9,'2007-2020 Metadata'!$A$6:$S$214,19,FALSE)),"",VLOOKUP($AC9,'2007-2020 Metadata'!$A$6:$S$214,19,FALSE))</f>
        <v>3</v>
      </c>
      <c r="AF9" s="355" t="str">
        <f>VLOOKUP($B9,'2007-2020 Metadata'!$A$4:$S$214,MATCH("Site type",'2007-2020 Metadata'!$A$4:$S$4,0),FALSE)</f>
        <v>SH</v>
      </c>
      <c r="AG9" s="364">
        <f t="shared" si="5"/>
        <v>12.5</v>
      </c>
      <c r="AH9" s="364">
        <f t="shared" si="6"/>
        <v>29.2</v>
      </c>
      <c r="AI9" s="354">
        <f t="shared" si="7"/>
        <v>19.290722222222222</v>
      </c>
    </row>
    <row r="10" spans="2:35" ht="12" customHeight="1" x14ac:dyDescent="0.15">
      <c r="B10" s="313" t="s">
        <v>7</v>
      </c>
      <c r="C10" s="309">
        <v>11.4</v>
      </c>
      <c r="D10" s="309">
        <v>22.7</v>
      </c>
      <c r="E10" s="309"/>
      <c r="F10" s="309"/>
      <c r="G10" s="309"/>
      <c r="H10" s="309">
        <v>37.200000000000003</v>
      </c>
      <c r="I10" s="309">
        <v>34.4</v>
      </c>
      <c r="J10" s="309">
        <v>21.3</v>
      </c>
      <c r="K10" s="309">
        <v>16.399999999999999</v>
      </c>
      <c r="L10" s="309">
        <v>27.9</v>
      </c>
      <c r="M10" s="309">
        <v>15.6</v>
      </c>
      <c r="N10" s="309">
        <v>10.4</v>
      </c>
      <c r="O10" s="310">
        <f t="shared" si="0"/>
        <v>21.922222222222224</v>
      </c>
      <c r="P10" s="310">
        <f t="shared" si="1"/>
        <v>41.356536239754718</v>
      </c>
      <c r="Q10" s="311">
        <f t="shared" si="2"/>
        <v>0.75</v>
      </c>
      <c r="R10" s="225">
        <f t="shared" ref="R10:R73" si="12">IF($S10=0%,"",IF($S10&gt;66%,AVERAGE($C10:$E10),"-"))</f>
        <v>17.05</v>
      </c>
      <c r="S10" s="226">
        <f t="shared" si="3"/>
        <v>0.66666666666666663</v>
      </c>
      <c r="T10" s="225">
        <f t="shared" ref="T10:T73" si="13">IF($U10=0%,"",IF($U10&gt;66%,AVERAGE($I10:$K10),"-"))</f>
        <v>24.033333333333331</v>
      </c>
      <c r="U10" s="226">
        <f t="shared" si="8"/>
        <v>1</v>
      </c>
      <c r="V10" s="227">
        <f t="shared" ref="V10:V73" si="14">IF(AND(($S10&gt;33%),($U10&gt;33%),($W10&gt;=75%)),AVERAGE($C10:$N10),"-")</f>
        <v>21.922222222222224</v>
      </c>
      <c r="W10" s="228">
        <f t="shared" si="4"/>
        <v>0.75</v>
      </c>
      <c r="X10" s="354">
        <f t="shared" si="9"/>
        <v>18.774999999999999</v>
      </c>
      <c r="Y10" s="354">
        <f t="shared" si="10"/>
        <v>25.806666666666665</v>
      </c>
      <c r="Z10" s="354">
        <f t="shared" si="11"/>
        <v>21.554865319865321</v>
      </c>
      <c r="AA10" s="205"/>
      <c r="AB10" s="357" t="str">
        <f>VLOOKUP($B10,'2007-2020 Metadata'!$A$4:$S$214,MATCH("Urban Area /Monitoring Zone",'2007-2020 Metadata'!$A$4:$S$4,0),FALSE)</f>
        <v>Auckland - Central</v>
      </c>
      <c r="AC10" s="229" t="str">
        <f>VLOOKUP(B10,'2007-2020 Metadata'!$A$6:$A$214,1,FALSE)</f>
        <v>AUC008</v>
      </c>
      <c r="AD10" s="356" t="str">
        <f>VLOOKUP($AC10,'2007-2020 Metadata'!$A$6:$S$214,9,FALSE)</f>
        <v>Auckland</v>
      </c>
      <c r="AE10" s="356">
        <f>IF(ISBLANK(VLOOKUP($AC10,'2007-2020 Metadata'!$A$6:$S$214,19,FALSE)),"",VLOOKUP($AC10,'2007-2020 Metadata'!$A$6:$S$214,19,FALSE))</f>
        <v>3</v>
      </c>
      <c r="AF10" s="355" t="str">
        <f>VLOOKUP($B10,'2007-2020 Metadata'!$A$4:$S$214,MATCH("Site type",'2007-2020 Metadata'!$A$4:$S$4,0),FALSE)</f>
        <v>SH</v>
      </c>
      <c r="AG10" s="364">
        <f t="shared" si="5"/>
        <v>10.4</v>
      </c>
      <c r="AH10" s="364">
        <f t="shared" si="6"/>
        <v>37.200000000000003</v>
      </c>
      <c r="AI10" s="354">
        <f t="shared" si="7"/>
        <v>21.554865319865321</v>
      </c>
    </row>
    <row r="11" spans="2:35" ht="12" customHeight="1" x14ac:dyDescent="0.15">
      <c r="B11" s="313" t="s">
        <v>1103</v>
      </c>
      <c r="C11" s="309">
        <v>34.1</v>
      </c>
      <c r="D11" s="309">
        <v>30.5</v>
      </c>
      <c r="E11" s="309"/>
      <c r="F11" s="309"/>
      <c r="G11" s="309"/>
      <c r="H11" s="309">
        <v>42.1</v>
      </c>
      <c r="I11" s="309"/>
      <c r="J11" s="309">
        <v>47.9</v>
      </c>
      <c r="K11" s="309">
        <v>44.9</v>
      </c>
      <c r="L11" s="309">
        <v>36</v>
      </c>
      <c r="M11" s="309"/>
      <c r="N11" s="309">
        <v>56.9</v>
      </c>
      <c r="O11" s="310">
        <f t="shared" si="0"/>
        <v>41.771428571428565</v>
      </c>
      <c r="P11" s="310">
        <f t="shared" si="1"/>
        <v>20.142274299458183</v>
      </c>
      <c r="Q11" s="311">
        <f t="shared" si="2"/>
        <v>0.58333333333333337</v>
      </c>
      <c r="R11" s="225">
        <f t="shared" si="12"/>
        <v>32.299999999999997</v>
      </c>
      <c r="S11" s="226">
        <f t="shared" si="3"/>
        <v>0.66666666666666663</v>
      </c>
      <c r="T11" s="225">
        <f t="shared" si="13"/>
        <v>46.4</v>
      </c>
      <c r="U11" s="226">
        <f t="shared" si="8"/>
        <v>0.66666666666666663</v>
      </c>
      <c r="V11" s="227" t="str">
        <f t="shared" si="14"/>
        <v>-</v>
      </c>
      <c r="W11" s="228">
        <f t="shared" si="4"/>
        <v>0.58333333333333337</v>
      </c>
      <c r="X11" s="354">
        <f t="shared" si="9"/>
        <v>32.299999999999997</v>
      </c>
      <c r="Y11" s="354">
        <f t="shared" si="10"/>
        <v>46.4</v>
      </c>
      <c r="Z11" s="354" t="str">
        <f t="shared" si="11"/>
        <v>-</v>
      </c>
      <c r="AA11" s="205"/>
      <c r="AB11" s="357">
        <f>VLOOKUP($B11,'2007-2020 Metadata'!$A$4:$S$214,MATCH("Urban Area /Monitoring Zone",'2007-2020 Metadata'!$A$4:$S$4,0),FALSE)</f>
        <v>0</v>
      </c>
      <c r="AC11" s="229" t="str">
        <f>VLOOKUP(B11,'2007-2020 Metadata'!$A$6:$A$214,1,FALSE)</f>
        <v>AUC009c</v>
      </c>
      <c r="AD11" s="356">
        <f>VLOOKUP($AC11,'2007-2020 Metadata'!$A$6:$S$214,9,FALSE)</f>
        <v>0</v>
      </c>
      <c r="AE11" s="356" t="str">
        <f>IF(ISBLANK(VLOOKUP($AC11,'2007-2020 Metadata'!$A$6:$S$214,19,FALSE)),"",VLOOKUP($AC11,'2007-2020 Metadata'!$A$6:$S$214,19,FALSE))</f>
        <v/>
      </c>
      <c r="AF11" s="355">
        <f>VLOOKUP($B11,'2007-2020 Metadata'!$A$4:$S$214,MATCH("Site type",'2007-2020 Metadata'!$A$4:$S$4,0),FALSE)</f>
        <v>0</v>
      </c>
      <c r="AG11" s="364">
        <f t="shared" si="5"/>
        <v>30.5</v>
      </c>
      <c r="AH11" s="364">
        <f t="shared" si="6"/>
        <v>56.9</v>
      </c>
      <c r="AI11" s="354" t="str">
        <f t="shared" si="7"/>
        <v xml:space="preserve"> </v>
      </c>
    </row>
    <row r="12" spans="2:35" ht="12" customHeight="1" x14ac:dyDescent="0.15">
      <c r="B12" s="313" t="s">
        <v>9</v>
      </c>
      <c r="C12" s="309">
        <v>27.3</v>
      </c>
      <c r="D12" s="309">
        <v>22</v>
      </c>
      <c r="E12" s="309"/>
      <c r="F12" s="309"/>
      <c r="G12" s="309"/>
      <c r="H12" s="309">
        <v>33.6</v>
      </c>
      <c r="I12" s="309">
        <v>32.5</v>
      </c>
      <c r="J12" s="309">
        <v>32.6</v>
      </c>
      <c r="K12" s="309">
        <v>30.4</v>
      </c>
      <c r="L12" s="309">
        <v>20.8</v>
      </c>
      <c r="M12" s="309"/>
      <c r="N12" s="309">
        <v>39.1</v>
      </c>
      <c r="O12" s="310">
        <f t="shared" si="0"/>
        <v>29.787500000000001</v>
      </c>
      <c r="P12" s="310">
        <f t="shared" si="1"/>
        <v>19.303718364780813</v>
      </c>
      <c r="Q12" s="311">
        <f t="shared" si="2"/>
        <v>0.66666666666666663</v>
      </c>
      <c r="R12" s="225">
        <f t="shared" si="12"/>
        <v>24.65</v>
      </c>
      <c r="S12" s="226">
        <f t="shared" si="3"/>
        <v>0.66666666666666663</v>
      </c>
      <c r="T12" s="225">
        <f t="shared" si="13"/>
        <v>31.833333333333332</v>
      </c>
      <c r="U12" s="226">
        <f t="shared" si="8"/>
        <v>1</v>
      </c>
      <c r="V12" s="227" t="str">
        <f t="shared" si="14"/>
        <v>-</v>
      </c>
      <c r="W12" s="228">
        <f t="shared" si="4"/>
        <v>0.66666666666666663</v>
      </c>
      <c r="X12" s="354">
        <f t="shared" si="9"/>
        <v>18.774999999999999</v>
      </c>
      <c r="Y12" s="354">
        <f t="shared" si="10"/>
        <v>25.806666666666665</v>
      </c>
      <c r="Z12" s="354">
        <f t="shared" si="11"/>
        <v>21.554865319865321</v>
      </c>
      <c r="AA12" s="205"/>
      <c r="AB12" s="357" t="str">
        <f>VLOOKUP($B12,'2007-2020 Metadata'!$A$4:$S$214,MATCH("Urban Area /Monitoring Zone",'2007-2020 Metadata'!$A$4:$S$4,0),FALSE)</f>
        <v>Auckland - Central</v>
      </c>
      <c r="AC12" s="229" t="str">
        <f>VLOOKUP(B12,'2007-2020 Metadata'!$A$6:$A$214,1,FALSE)</f>
        <v>AUC011</v>
      </c>
      <c r="AD12" s="356" t="str">
        <f>VLOOKUP($AC12,'2007-2020 Metadata'!$A$6:$S$214,9,FALSE)</f>
        <v>Auckland</v>
      </c>
      <c r="AE12" s="356">
        <f>IF(ISBLANK(VLOOKUP($AC12,'2007-2020 Metadata'!$A$6:$S$214,19,FALSE)),"",VLOOKUP($AC12,'2007-2020 Metadata'!$A$6:$S$214,19,FALSE))</f>
        <v>3</v>
      </c>
      <c r="AF12" s="355" t="str">
        <f>VLOOKUP($B12,'2007-2020 Metadata'!$A$4:$S$214,MATCH("Site type",'2007-2020 Metadata'!$A$4:$S$4,0),FALSE)</f>
        <v>SH</v>
      </c>
      <c r="AG12" s="364">
        <f t="shared" si="5"/>
        <v>20.8</v>
      </c>
      <c r="AH12" s="364">
        <f t="shared" si="6"/>
        <v>39.1</v>
      </c>
      <c r="AI12" s="354" t="str">
        <f t="shared" si="7"/>
        <v xml:space="preserve"> </v>
      </c>
    </row>
    <row r="13" spans="2:35" ht="12" customHeight="1" x14ac:dyDescent="0.15">
      <c r="B13" s="313" t="s">
        <v>10</v>
      </c>
      <c r="C13" s="309">
        <v>22.7</v>
      </c>
      <c r="D13" s="309">
        <v>21.7</v>
      </c>
      <c r="E13" s="309">
        <v>17.3</v>
      </c>
      <c r="F13" s="309">
        <v>17.3</v>
      </c>
      <c r="G13" s="309">
        <v>34.700000000000003</v>
      </c>
      <c r="H13" s="309">
        <v>29.1</v>
      </c>
      <c r="I13" s="309">
        <v>32.1</v>
      </c>
      <c r="J13" s="309">
        <v>27.4</v>
      </c>
      <c r="K13" s="309">
        <v>27.2</v>
      </c>
      <c r="L13" s="309">
        <v>18.100000000000001</v>
      </c>
      <c r="M13" s="309">
        <v>23.5</v>
      </c>
      <c r="N13" s="309">
        <v>14</v>
      </c>
      <c r="O13" s="310">
        <f t="shared" si="0"/>
        <v>23.758333333333336</v>
      </c>
      <c r="P13" s="310">
        <f t="shared" si="1"/>
        <v>26.032360297756441</v>
      </c>
      <c r="Q13" s="311">
        <f t="shared" si="2"/>
        <v>1</v>
      </c>
      <c r="R13" s="251">
        <f t="shared" si="12"/>
        <v>20.566666666666666</v>
      </c>
      <c r="S13" s="252">
        <f t="shared" si="3"/>
        <v>1</v>
      </c>
      <c r="T13" s="251">
        <f t="shared" si="13"/>
        <v>28.900000000000002</v>
      </c>
      <c r="U13" s="252">
        <f t="shared" si="8"/>
        <v>1</v>
      </c>
      <c r="V13" s="253">
        <f t="shared" si="14"/>
        <v>23.758333333333336</v>
      </c>
      <c r="W13" s="252">
        <f t="shared" si="4"/>
        <v>1</v>
      </c>
      <c r="X13" s="359">
        <f t="shared" si="9"/>
        <v>18.774999999999999</v>
      </c>
      <c r="Y13" s="359">
        <f t="shared" si="10"/>
        <v>25.806666666666665</v>
      </c>
      <c r="Z13" s="359">
        <f t="shared" si="11"/>
        <v>21.554865319865321</v>
      </c>
      <c r="AA13" s="366"/>
      <c r="AB13" s="357" t="str">
        <f>VLOOKUP($B13,'2007-2020 Metadata'!$A$4:$S$214,MATCH("Urban Area /Monitoring Zone",'2007-2020 Metadata'!$A$4:$S$4,0),FALSE)</f>
        <v>Auckland - Central</v>
      </c>
      <c r="AC13" s="255" t="str">
        <f>VLOOKUP(B13,'2007-2020 Metadata'!$A$6:$A$214,1,FALSE)</f>
        <v>AUC013</v>
      </c>
      <c r="AD13" s="361" t="str">
        <f>VLOOKUP($AC13,'2007-2020 Metadata'!$A$6:$S$214,9,FALSE)</f>
        <v>Auckland</v>
      </c>
      <c r="AE13" s="361">
        <f>IF(ISBLANK(VLOOKUP($AC13,'2007-2020 Metadata'!$A$6:$S$214,19,FALSE)),"",VLOOKUP($AC13,'2007-2020 Metadata'!$A$6:$S$214,19,FALSE))</f>
        <v>4</v>
      </c>
      <c r="AF13" s="360" t="str">
        <f>VLOOKUP($B13,'2007-2020 Metadata'!$A$4:$S$214,MATCH("Site type",'2007-2020 Metadata'!$A$4:$S$4,0),FALSE)</f>
        <v>SH</v>
      </c>
      <c r="AG13" s="365">
        <f>MIN(AVERAGE($C$13:$C$15),AVERAGE($D$13:$D$15),AVERAGE($E$13:$E$15),AVERAGE($F$13:$F$15),AVERAGE($G$13:$G$15),AVERAGE($H$13:$H$15),AVERAGE($I$13:$I$15),AVERAGE($J$13:$J$15),AVERAGE($K$13:$K$15),AVERAGE($L$13:$L$15),AVERAGE($N$13:$N$15))</f>
        <v>14.6</v>
      </c>
      <c r="AH13" s="365">
        <f>MAX(AVERAGE($C$13:$C$15),AVERAGE($D$13:$D$15),AVERAGE($E$13:$E$15),AVERAGE($F$13:$F$15),AVERAGE($G$13:$G$15),AVERAGE($H$13:$H$15),AVERAGE($I$13:$I$15),AVERAGE($J$13:$J$15),AVERAGE($K$13:$K$15),AVERAGE($L$13:$L$15),AVERAGE($N$13:$N$15))</f>
        <v>35.75</v>
      </c>
      <c r="AI13" s="359">
        <f t="shared" si="7"/>
        <v>21.554865319865321</v>
      </c>
    </row>
    <row r="14" spans="2:35" ht="12" customHeight="1" x14ac:dyDescent="0.15">
      <c r="B14" s="313" t="s">
        <v>11</v>
      </c>
      <c r="C14" s="309">
        <v>22.1</v>
      </c>
      <c r="D14" s="309">
        <v>23.2</v>
      </c>
      <c r="E14" s="309">
        <v>18.3</v>
      </c>
      <c r="F14" s="309">
        <v>18.3</v>
      </c>
      <c r="G14" s="309">
        <v>36.799999999999997</v>
      </c>
      <c r="H14" s="309">
        <v>28.6</v>
      </c>
      <c r="I14" s="309">
        <v>32.9</v>
      </c>
      <c r="J14" s="309">
        <v>30.5</v>
      </c>
      <c r="K14" s="309">
        <v>27.2</v>
      </c>
      <c r="L14" s="309">
        <v>17.2</v>
      </c>
      <c r="M14" s="309">
        <v>16</v>
      </c>
      <c r="N14" s="309">
        <v>14.3</v>
      </c>
      <c r="O14" s="310">
        <f t="shared" si="0"/>
        <v>23.783333333333331</v>
      </c>
      <c r="P14" s="310">
        <f t="shared" si="1"/>
        <v>29.474808401783896</v>
      </c>
      <c r="Q14" s="311">
        <f t="shared" si="2"/>
        <v>1</v>
      </c>
      <c r="R14" s="251">
        <f t="shared" si="12"/>
        <v>21.2</v>
      </c>
      <c r="S14" s="252">
        <f t="shared" si="3"/>
        <v>1</v>
      </c>
      <c r="T14" s="251">
        <f t="shared" si="13"/>
        <v>30.2</v>
      </c>
      <c r="U14" s="252">
        <f t="shared" si="8"/>
        <v>1</v>
      </c>
      <c r="V14" s="253">
        <f t="shared" si="14"/>
        <v>23.783333333333331</v>
      </c>
      <c r="W14" s="252">
        <f t="shared" si="4"/>
        <v>1</v>
      </c>
      <c r="X14" s="359">
        <f t="shared" si="9"/>
        <v>18.774999999999999</v>
      </c>
      <c r="Y14" s="359">
        <f t="shared" si="10"/>
        <v>25.806666666666665</v>
      </c>
      <c r="Z14" s="359">
        <f t="shared" si="11"/>
        <v>21.554865319865321</v>
      </c>
      <c r="AA14" s="366"/>
      <c r="AB14" s="357" t="str">
        <f>VLOOKUP($B14,'2007-2020 Metadata'!$A$4:$S$214,MATCH("Urban Area /Monitoring Zone",'2007-2020 Metadata'!$A$4:$S$4,0),FALSE)</f>
        <v>Auckland - Central</v>
      </c>
      <c r="AC14" s="255" t="str">
        <f>VLOOKUP(B14,'2007-2020 Metadata'!$A$6:$A$214,1,FALSE)</f>
        <v>AUC014</v>
      </c>
      <c r="AD14" s="361" t="str">
        <f>VLOOKUP($AC14,'2007-2020 Metadata'!$A$6:$S$214,9,FALSE)</f>
        <v>Auckland</v>
      </c>
      <c r="AE14" s="361">
        <f>IF(ISBLANK(VLOOKUP($AC14,'2007-2020 Metadata'!$A$6:$S$214,19,FALSE)),"",VLOOKUP($AC14,'2007-2020 Metadata'!$A$6:$S$214,19,FALSE))</f>
        <v>4</v>
      </c>
      <c r="AF14" s="360" t="str">
        <f>VLOOKUP($B14,'2007-2020 Metadata'!$A$4:$S$214,MATCH("Site type",'2007-2020 Metadata'!$A$4:$S$4,0),FALSE)</f>
        <v>SH</v>
      </c>
      <c r="AG14" s="365">
        <f t="shared" ref="AG14:AG15" si="15">MIN(AVERAGE($C$13:$C$15),AVERAGE($D$13:$D$15),AVERAGE($E$13:$E$15),AVERAGE($F$13:$F$15),AVERAGE($G$13:$G$15),AVERAGE($H$13:$H$15),AVERAGE($I$13:$I$15),AVERAGE($J$13:$J$15),AVERAGE($K$13:$K$15),AVERAGE($L$13:$L$15),AVERAGE($N$13:$N$15))</f>
        <v>14.6</v>
      </c>
      <c r="AH14" s="365">
        <f t="shared" ref="AH14:AH15" si="16">MAX(AVERAGE($C$13:$C$15),AVERAGE($D$13:$D$15),AVERAGE($E$13:$E$15),AVERAGE($F$13:$F$15),AVERAGE($G$13:$G$15),AVERAGE($H$13:$H$15),AVERAGE($I$13:$I$15),AVERAGE($J$13:$J$15),AVERAGE($K$13:$K$15),AVERAGE($L$13:$L$15),AVERAGE($N$13:$N$15))</f>
        <v>35.75</v>
      </c>
      <c r="AI14" s="359">
        <f t="shared" si="7"/>
        <v>21.554865319865321</v>
      </c>
    </row>
    <row r="15" spans="2:35" ht="12" customHeight="1" x14ac:dyDescent="0.15">
      <c r="B15" s="313" t="s">
        <v>12</v>
      </c>
      <c r="C15" s="309">
        <v>19.899999999999999</v>
      </c>
      <c r="D15" s="309">
        <v>24.2</v>
      </c>
      <c r="E15" s="309">
        <v>18.399999999999999</v>
      </c>
      <c r="F15" s="309">
        <v>18.399999999999999</v>
      </c>
      <c r="G15" s="309"/>
      <c r="H15" s="309">
        <v>26.8</v>
      </c>
      <c r="I15" s="309">
        <v>29.5</v>
      </c>
      <c r="J15" s="309">
        <v>26.4</v>
      </c>
      <c r="K15" s="309">
        <v>25</v>
      </c>
      <c r="L15" s="309">
        <v>16.899999999999999</v>
      </c>
      <c r="M15" s="309">
        <v>22.6</v>
      </c>
      <c r="N15" s="309">
        <v>15.5</v>
      </c>
      <c r="O15" s="310">
        <f t="shared" si="0"/>
        <v>22.145454545454545</v>
      </c>
      <c r="P15" s="310">
        <f t="shared" si="1"/>
        <v>19.786705638741065</v>
      </c>
      <c r="Q15" s="311">
        <f t="shared" si="2"/>
        <v>0.91666666666666663</v>
      </c>
      <c r="R15" s="251">
        <f t="shared" si="12"/>
        <v>20.833333333333332</v>
      </c>
      <c r="S15" s="252">
        <f t="shared" si="3"/>
        <v>1</v>
      </c>
      <c r="T15" s="251">
        <f t="shared" si="13"/>
        <v>26.966666666666669</v>
      </c>
      <c r="U15" s="252">
        <f t="shared" si="8"/>
        <v>1</v>
      </c>
      <c r="V15" s="253">
        <f t="shared" si="14"/>
        <v>22.145454545454545</v>
      </c>
      <c r="W15" s="252">
        <f t="shared" si="4"/>
        <v>0.91666666666666663</v>
      </c>
      <c r="X15" s="359">
        <f t="shared" si="9"/>
        <v>18.774999999999999</v>
      </c>
      <c r="Y15" s="359">
        <f t="shared" si="10"/>
        <v>25.806666666666665</v>
      </c>
      <c r="Z15" s="359">
        <f t="shared" si="11"/>
        <v>21.554865319865321</v>
      </c>
      <c r="AA15" s="366"/>
      <c r="AB15" s="357" t="str">
        <f>VLOOKUP($B15,'2007-2020 Metadata'!$A$4:$S$214,MATCH("Urban Area /Monitoring Zone",'2007-2020 Metadata'!$A$4:$S$4,0),FALSE)</f>
        <v>Auckland - Central</v>
      </c>
      <c r="AC15" s="255" t="str">
        <f>VLOOKUP(B15,'2007-2020 Metadata'!$A$6:$A$214,1,FALSE)</f>
        <v>AUC015</v>
      </c>
      <c r="AD15" s="361" t="str">
        <f>VLOOKUP($AC15,'2007-2020 Metadata'!$A$6:$S$214,9,FALSE)</f>
        <v>Auckland</v>
      </c>
      <c r="AE15" s="361">
        <f>IF(ISBLANK(VLOOKUP($AC15,'2007-2020 Metadata'!$A$6:$S$214,19,FALSE)),"",VLOOKUP($AC15,'2007-2020 Metadata'!$A$6:$S$214,19,FALSE))</f>
        <v>4</v>
      </c>
      <c r="AF15" s="360" t="str">
        <f>VLOOKUP($B15,'2007-2020 Metadata'!$A$4:$S$214,MATCH("Site type",'2007-2020 Metadata'!$A$4:$S$4,0),FALSE)</f>
        <v>SH</v>
      </c>
      <c r="AG15" s="365">
        <f t="shared" si="15"/>
        <v>14.6</v>
      </c>
      <c r="AH15" s="365">
        <f t="shared" si="16"/>
        <v>35.75</v>
      </c>
      <c r="AI15" s="359">
        <f t="shared" si="7"/>
        <v>21.554865319865321</v>
      </c>
    </row>
    <row r="16" spans="2:35" ht="12" customHeight="1" x14ac:dyDescent="0.15">
      <c r="B16" s="313" t="s">
        <v>992</v>
      </c>
      <c r="C16" s="309">
        <v>21.2</v>
      </c>
      <c r="D16" s="309">
        <v>23</v>
      </c>
      <c r="E16" s="309"/>
      <c r="F16" s="309"/>
      <c r="G16" s="309"/>
      <c r="H16" s="309">
        <v>27.2</v>
      </c>
      <c r="I16" s="309">
        <v>28.4</v>
      </c>
      <c r="J16" s="309">
        <v>32.4</v>
      </c>
      <c r="K16" s="309">
        <v>31.6</v>
      </c>
      <c r="L16" s="309">
        <v>19.3</v>
      </c>
      <c r="M16" s="309">
        <v>20.3</v>
      </c>
      <c r="N16" s="309">
        <v>17.600000000000001</v>
      </c>
      <c r="O16" s="310">
        <f t="shared" si="0"/>
        <v>24.555555555555557</v>
      </c>
      <c r="P16" s="310">
        <f t="shared" si="1"/>
        <v>21.06139207735205</v>
      </c>
      <c r="Q16" s="311">
        <f t="shared" si="2"/>
        <v>0.75</v>
      </c>
      <c r="R16" s="225">
        <f t="shared" si="12"/>
        <v>22.1</v>
      </c>
      <c r="S16" s="226">
        <f t="shared" si="3"/>
        <v>0.66666666666666663</v>
      </c>
      <c r="T16" s="225">
        <f t="shared" si="13"/>
        <v>30.8</v>
      </c>
      <c r="U16" s="226">
        <f t="shared" si="8"/>
        <v>1</v>
      </c>
      <c r="V16" s="227">
        <f t="shared" si="14"/>
        <v>24.555555555555557</v>
      </c>
      <c r="W16" s="228">
        <f t="shared" si="4"/>
        <v>0.75</v>
      </c>
      <c r="X16" s="354">
        <f t="shared" si="9"/>
        <v>22.1</v>
      </c>
      <c r="Y16" s="354">
        <f t="shared" si="10"/>
        <v>30.8</v>
      </c>
      <c r="Z16" s="354">
        <f t="shared" si="11"/>
        <v>24.555555555555557</v>
      </c>
      <c r="AA16" s="205"/>
      <c r="AB16" s="357">
        <f>VLOOKUP($B16,'2007-2020 Metadata'!$A$4:$S$214,MATCH("Urban Area /Monitoring Zone",'2007-2020 Metadata'!$A$4:$S$4,0),FALSE)</f>
        <v>0</v>
      </c>
      <c r="AC16" s="229" t="str">
        <f>VLOOKUP(B16,'2007-2020 Metadata'!$A$6:$A$214,1,FALSE)</f>
        <v>AUC018a</v>
      </c>
      <c r="AD16" s="356">
        <f>VLOOKUP($AC16,'2007-2020 Metadata'!$A$6:$S$214,9,FALSE)</f>
        <v>0</v>
      </c>
      <c r="AE16" s="356" t="str">
        <f>IF(ISBLANK(VLOOKUP($AC16,'2007-2020 Metadata'!$A$6:$S$214,19,FALSE)),"",VLOOKUP($AC16,'2007-2020 Metadata'!$A$6:$S$214,19,FALSE))</f>
        <v/>
      </c>
      <c r="AF16" s="355" t="str">
        <f>VLOOKUP($B16,'2007-2020 Metadata'!$A$4:$S$214,MATCH("Site type",'2007-2020 Metadata'!$A$4:$S$4,0),FALSE)</f>
        <v>SH</v>
      </c>
      <c r="AG16" s="364">
        <f t="shared" si="5"/>
        <v>17.600000000000001</v>
      </c>
      <c r="AH16" s="364">
        <f t="shared" si="6"/>
        <v>32.4</v>
      </c>
      <c r="AI16" s="354">
        <f t="shared" si="7"/>
        <v>24.555555555555557</v>
      </c>
    </row>
    <row r="17" spans="2:35" ht="12" customHeight="1" x14ac:dyDescent="0.15">
      <c r="B17" s="313" t="s">
        <v>14</v>
      </c>
      <c r="C17" s="309">
        <v>11.1</v>
      </c>
      <c r="D17" s="309">
        <v>19.2</v>
      </c>
      <c r="E17" s="309"/>
      <c r="F17" s="309"/>
      <c r="G17" s="309"/>
      <c r="H17" s="309"/>
      <c r="I17" s="309">
        <v>29.8</v>
      </c>
      <c r="J17" s="309">
        <v>24.1</v>
      </c>
      <c r="K17" s="309">
        <v>20.7</v>
      </c>
      <c r="L17" s="309">
        <v>20.7</v>
      </c>
      <c r="M17" s="309">
        <v>15.3</v>
      </c>
      <c r="N17" s="309">
        <v>11.5</v>
      </c>
      <c r="O17" s="310">
        <f t="shared" si="0"/>
        <v>19.05</v>
      </c>
      <c r="P17" s="310">
        <f t="shared" si="1"/>
        <v>31.099870327766123</v>
      </c>
      <c r="Q17" s="311">
        <f t="shared" si="2"/>
        <v>0.66666666666666663</v>
      </c>
      <c r="R17" s="225">
        <f t="shared" si="12"/>
        <v>15.149999999999999</v>
      </c>
      <c r="S17" s="226">
        <f t="shared" si="3"/>
        <v>0.66666666666666663</v>
      </c>
      <c r="T17" s="225">
        <f t="shared" si="13"/>
        <v>24.866666666666671</v>
      </c>
      <c r="U17" s="226">
        <f t="shared" si="8"/>
        <v>1</v>
      </c>
      <c r="V17" s="227" t="str">
        <f t="shared" si="14"/>
        <v>-</v>
      </c>
      <c r="W17" s="228">
        <f t="shared" si="4"/>
        <v>0.66666666666666663</v>
      </c>
      <c r="X17" s="354">
        <f t="shared" si="9"/>
        <v>15.52222222222222</v>
      </c>
      <c r="Y17" s="354">
        <f t="shared" si="10"/>
        <v>22.020833333333332</v>
      </c>
      <c r="Z17" s="354">
        <f t="shared" si="11"/>
        <v>17.961111111111112</v>
      </c>
      <c r="AA17" s="205"/>
      <c r="AB17" s="357" t="str">
        <f>VLOOKUP($B17,'2007-2020 Metadata'!$A$4:$S$214,MATCH("Urban Area /Monitoring Zone",'2007-2020 Metadata'!$A$4:$S$4,0),FALSE)</f>
        <v xml:space="preserve">Auckland - Southern </v>
      </c>
      <c r="AC17" s="229" t="str">
        <f>VLOOKUP(B17,'2007-2020 Metadata'!$A$6:$A$214,1,FALSE)</f>
        <v>AUC019</v>
      </c>
      <c r="AD17" s="356" t="str">
        <f>VLOOKUP($AC17,'2007-2020 Metadata'!$A$6:$S$214,9,FALSE)</f>
        <v>Manukau</v>
      </c>
      <c r="AE17" s="356">
        <f>IF(ISBLANK(VLOOKUP($AC17,'2007-2020 Metadata'!$A$6:$S$214,19,FALSE)),"",VLOOKUP($AC17,'2007-2020 Metadata'!$A$6:$S$214,19,FALSE))</f>
        <v>2</v>
      </c>
      <c r="AF17" s="355" t="str">
        <f>VLOOKUP($B17,'2007-2020 Metadata'!$A$4:$S$214,MATCH("Site type",'2007-2020 Metadata'!$A$4:$S$4,0),FALSE)</f>
        <v>SH</v>
      </c>
      <c r="AG17" s="364">
        <f t="shared" si="5"/>
        <v>11.1</v>
      </c>
      <c r="AH17" s="364">
        <f t="shared" si="6"/>
        <v>29.8</v>
      </c>
      <c r="AI17" s="354" t="str">
        <f t="shared" si="7"/>
        <v xml:space="preserve"> </v>
      </c>
    </row>
    <row r="18" spans="2:35" ht="12" customHeight="1" x14ac:dyDescent="0.15">
      <c r="B18" s="313" t="s">
        <v>993</v>
      </c>
      <c r="C18" s="309">
        <v>10.1</v>
      </c>
      <c r="D18" s="309">
        <v>11.8</v>
      </c>
      <c r="E18" s="309"/>
      <c r="F18" s="309"/>
      <c r="G18" s="309"/>
      <c r="H18" s="309">
        <v>17.2</v>
      </c>
      <c r="I18" s="309">
        <v>15.8</v>
      </c>
      <c r="J18" s="309">
        <v>14.8</v>
      </c>
      <c r="K18" s="309">
        <v>14</v>
      </c>
      <c r="L18" s="309">
        <v>10.4</v>
      </c>
      <c r="M18" s="309">
        <v>10.6</v>
      </c>
      <c r="N18" s="309">
        <v>7.1</v>
      </c>
      <c r="O18" s="310">
        <f t="shared" si="0"/>
        <v>12.422222222222221</v>
      </c>
      <c r="P18" s="310">
        <f t="shared" si="1"/>
        <v>24.578135168305341</v>
      </c>
      <c r="Q18" s="311">
        <f t="shared" si="2"/>
        <v>0.75</v>
      </c>
      <c r="R18" s="225">
        <f t="shared" si="12"/>
        <v>10.95</v>
      </c>
      <c r="S18" s="226">
        <f t="shared" si="3"/>
        <v>0.66666666666666663</v>
      </c>
      <c r="T18" s="225">
        <f t="shared" si="13"/>
        <v>14.866666666666667</v>
      </c>
      <c r="U18" s="226">
        <f t="shared" si="8"/>
        <v>1</v>
      </c>
      <c r="V18" s="227">
        <f t="shared" si="14"/>
        <v>12.422222222222221</v>
      </c>
      <c r="W18" s="228">
        <f t="shared" si="4"/>
        <v>0.75</v>
      </c>
      <c r="X18" s="354">
        <f t="shared" si="9"/>
        <v>10.95</v>
      </c>
      <c r="Y18" s="354">
        <f t="shared" si="10"/>
        <v>14.866666666666667</v>
      </c>
      <c r="Z18" s="354">
        <f t="shared" si="11"/>
        <v>12.422222222222221</v>
      </c>
      <c r="AA18" s="205"/>
      <c r="AB18" s="357">
        <f>VLOOKUP($B18,'2007-2020 Metadata'!$A$4:$S$214,MATCH("Urban Area /Monitoring Zone",'2007-2020 Metadata'!$A$4:$S$4,0),FALSE)</f>
        <v>0</v>
      </c>
      <c r="AC18" s="229" t="str">
        <f>VLOOKUP(B18,'2007-2020 Metadata'!$A$6:$A$214,1,FALSE)</f>
        <v>AUC020a</v>
      </c>
      <c r="AD18" s="356">
        <f>VLOOKUP($AC18,'2007-2020 Metadata'!$A$6:$S$214,9,FALSE)</f>
        <v>0</v>
      </c>
      <c r="AE18" s="356" t="str">
        <f>IF(ISBLANK(VLOOKUP($AC18,'2007-2020 Metadata'!$A$6:$S$214,19,FALSE)),"",VLOOKUP($AC18,'2007-2020 Metadata'!$A$6:$S$214,19,FALSE))</f>
        <v/>
      </c>
      <c r="AF18" s="355" t="str">
        <f>VLOOKUP($B18,'2007-2020 Metadata'!$A$4:$S$214,MATCH("Site type",'2007-2020 Metadata'!$A$4:$S$4,0),FALSE)</f>
        <v>SH</v>
      </c>
      <c r="AG18" s="364">
        <f t="shared" si="5"/>
        <v>7.1</v>
      </c>
      <c r="AH18" s="364">
        <f t="shared" si="6"/>
        <v>17.2</v>
      </c>
      <c r="AI18" s="354">
        <f t="shared" si="7"/>
        <v>12.422222222222221</v>
      </c>
    </row>
    <row r="19" spans="2:35" ht="12" customHeight="1" x14ac:dyDescent="0.15">
      <c r="B19" s="313" t="s">
        <v>1007</v>
      </c>
      <c r="C19" s="309">
        <v>8.6999999999999993</v>
      </c>
      <c r="D19" s="309">
        <v>16.8</v>
      </c>
      <c r="E19" s="309"/>
      <c r="F19" s="309"/>
      <c r="G19" s="309"/>
      <c r="H19" s="309">
        <v>26.8</v>
      </c>
      <c r="I19" s="309">
        <v>23.4</v>
      </c>
      <c r="J19" s="309">
        <v>18.7</v>
      </c>
      <c r="K19" s="309">
        <v>15</v>
      </c>
      <c r="L19" s="309">
        <v>18.5</v>
      </c>
      <c r="M19" s="309">
        <v>11.4</v>
      </c>
      <c r="N19" s="309">
        <v>8.3000000000000007</v>
      </c>
      <c r="O19" s="310">
        <f t="shared" si="0"/>
        <v>16.399999999999999</v>
      </c>
      <c r="P19" s="310">
        <f t="shared" si="1"/>
        <v>36.29514517975565</v>
      </c>
      <c r="Q19" s="311">
        <f t="shared" si="2"/>
        <v>0.75</v>
      </c>
      <c r="R19" s="225">
        <f t="shared" si="12"/>
        <v>12.75</v>
      </c>
      <c r="S19" s="226">
        <f t="shared" si="3"/>
        <v>0.66666666666666663</v>
      </c>
      <c r="T19" s="225">
        <f t="shared" si="13"/>
        <v>19.033333333333331</v>
      </c>
      <c r="U19" s="226">
        <f t="shared" si="8"/>
        <v>1</v>
      </c>
      <c r="V19" s="227">
        <f t="shared" si="14"/>
        <v>16.399999999999999</v>
      </c>
      <c r="W19" s="228">
        <f t="shared" si="4"/>
        <v>0.75</v>
      </c>
      <c r="X19" s="354">
        <f t="shared" si="9"/>
        <v>12.75</v>
      </c>
      <c r="Y19" s="354">
        <f t="shared" si="10"/>
        <v>19.033333333333331</v>
      </c>
      <c r="Z19" s="354">
        <f t="shared" si="11"/>
        <v>16.399999999999999</v>
      </c>
      <c r="AA19" s="205"/>
      <c r="AB19" s="357">
        <f>VLOOKUP($B19,'2007-2020 Metadata'!$A$4:$S$214,MATCH("Urban Area /Monitoring Zone",'2007-2020 Metadata'!$A$4:$S$4,0),FALSE)</f>
        <v>0</v>
      </c>
      <c r="AC19" s="229" t="str">
        <f>VLOOKUP(B19,'2007-2020 Metadata'!$A$6:$A$214,1,FALSE)</f>
        <v>AUC021b</v>
      </c>
      <c r="AD19" s="356">
        <f>VLOOKUP($AC19,'2007-2020 Metadata'!$A$6:$S$214,9,FALSE)</f>
        <v>0</v>
      </c>
      <c r="AE19" s="356" t="str">
        <f>IF(ISBLANK(VLOOKUP($AC19,'2007-2020 Metadata'!$A$6:$S$214,19,FALSE)),"",VLOOKUP($AC19,'2007-2020 Metadata'!$A$6:$S$214,19,FALSE))</f>
        <v/>
      </c>
      <c r="AF19" s="355" t="str">
        <f>VLOOKUP($B19,'2007-2020 Metadata'!$A$4:$S$214,MATCH("Site type",'2007-2020 Metadata'!$A$4:$S$4,0),FALSE)</f>
        <v>Background</v>
      </c>
      <c r="AG19" s="364">
        <f t="shared" si="5"/>
        <v>8.3000000000000007</v>
      </c>
      <c r="AH19" s="364">
        <f t="shared" si="6"/>
        <v>26.8</v>
      </c>
      <c r="AI19" s="354">
        <f t="shared" si="7"/>
        <v>16.399999999999999</v>
      </c>
    </row>
    <row r="20" spans="2:35" ht="12" customHeight="1" x14ac:dyDescent="0.15">
      <c r="B20" s="313" t="s">
        <v>996</v>
      </c>
      <c r="C20" s="309">
        <v>15.3</v>
      </c>
      <c r="D20" s="309">
        <v>19.600000000000001</v>
      </c>
      <c r="E20" s="309"/>
      <c r="F20" s="309"/>
      <c r="G20" s="309"/>
      <c r="H20" s="309">
        <v>24.8</v>
      </c>
      <c r="I20" s="309">
        <v>29.5</v>
      </c>
      <c r="J20" s="309">
        <v>22.6</v>
      </c>
      <c r="K20" s="309">
        <v>18.100000000000001</v>
      </c>
      <c r="L20" s="309">
        <v>19.2</v>
      </c>
      <c r="M20" s="309">
        <v>16.100000000000001</v>
      </c>
      <c r="N20" s="309">
        <v>11.4</v>
      </c>
      <c r="O20" s="310">
        <f t="shared" si="0"/>
        <v>19.62222222222222</v>
      </c>
      <c r="P20" s="310">
        <f t="shared" si="1"/>
        <v>26.010116366070729</v>
      </c>
      <c r="Q20" s="311">
        <f t="shared" si="2"/>
        <v>0.75</v>
      </c>
      <c r="R20" s="225">
        <f t="shared" si="12"/>
        <v>17.450000000000003</v>
      </c>
      <c r="S20" s="226">
        <f t="shared" si="3"/>
        <v>0.66666666666666663</v>
      </c>
      <c r="T20" s="225">
        <f t="shared" si="13"/>
        <v>23.400000000000002</v>
      </c>
      <c r="U20" s="226">
        <f t="shared" si="8"/>
        <v>1</v>
      </c>
      <c r="V20" s="227">
        <f t="shared" si="14"/>
        <v>19.62222222222222</v>
      </c>
      <c r="W20" s="228">
        <f t="shared" si="4"/>
        <v>0.75</v>
      </c>
      <c r="X20" s="354">
        <f t="shared" si="9"/>
        <v>17.450000000000003</v>
      </c>
      <c r="Y20" s="354">
        <f t="shared" si="10"/>
        <v>23.400000000000002</v>
      </c>
      <c r="Z20" s="354">
        <f t="shared" si="11"/>
        <v>19.62222222222222</v>
      </c>
      <c r="AA20" s="205"/>
      <c r="AB20" s="357">
        <f>VLOOKUP($B20,'2007-2020 Metadata'!$A$4:$S$214,MATCH("Urban Area /Monitoring Zone",'2007-2020 Metadata'!$A$4:$S$4,0),FALSE)</f>
        <v>0</v>
      </c>
      <c r="AC20" s="229" t="str">
        <f>VLOOKUP(B20,'2007-2020 Metadata'!$A$6:$A$214,1,FALSE)</f>
        <v>AUC022a</v>
      </c>
      <c r="AD20" s="356">
        <f>VLOOKUP($AC20,'2007-2020 Metadata'!$A$6:$S$214,9,FALSE)</f>
        <v>0</v>
      </c>
      <c r="AE20" s="356" t="str">
        <f>IF(ISBLANK(VLOOKUP($AC20,'2007-2020 Metadata'!$A$6:$S$214,19,FALSE)),"",VLOOKUP($AC20,'2007-2020 Metadata'!$A$6:$S$214,19,FALSE))</f>
        <v/>
      </c>
      <c r="AF20" s="355" t="str">
        <f>VLOOKUP($B20,'2007-2020 Metadata'!$A$4:$S$214,MATCH("Site type",'2007-2020 Metadata'!$A$4:$S$4,0),FALSE)</f>
        <v>SH</v>
      </c>
      <c r="AG20" s="364">
        <f t="shared" si="5"/>
        <v>11.4</v>
      </c>
      <c r="AH20" s="364">
        <f t="shared" si="6"/>
        <v>29.5</v>
      </c>
      <c r="AI20" s="354">
        <f t="shared" si="7"/>
        <v>19.62222222222222</v>
      </c>
    </row>
    <row r="21" spans="2:35" ht="12" customHeight="1" x14ac:dyDescent="0.15">
      <c r="B21" s="313" t="s">
        <v>18</v>
      </c>
      <c r="C21" s="309">
        <v>7.7</v>
      </c>
      <c r="D21" s="309">
        <v>15</v>
      </c>
      <c r="E21" s="309"/>
      <c r="F21" s="309"/>
      <c r="G21" s="309"/>
      <c r="H21" s="309">
        <v>27</v>
      </c>
      <c r="I21" s="309">
        <v>26.4</v>
      </c>
      <c r="J21" s="309">
        <v>17.899999999999999</v>
      </c>
      <c r="K21" s="309">
        <v>14.1</v>
      </c>
      <c r="L21" s="309">
        <v>18.2</v>
      </c>
      <c r="M21" s="309">
        <v>11.6</v>
      </c>
      <c r="N21" s="309">
        <v>8.3000000000000007</v>
      </c>
      <c r="O21" s="310">
        <f t="shared" si="0"/>
        <v>16.244444444444447</v>
      </c>
      <c r="P21" s="310">
        <f t="shared" si="1"/>
        <v>40.483000703030541</v>
      </c>
      <c r="Q21" s="311">
        <f t="shared" si="2"/>
        <v>0.75</v>
      </c>
      <c r="R21" s="225">
        <f t="shared" si="12"/>
        <v>11.35</v>
      </c>
      <c r="S21" s="226">
        <f t="shared" si="3"/>
        <v>0.66666666666666663</v>
      </c>
      <c r="T21" s="225">
        <f t="shared" si="13"/>
        <v>19.466666666666665</v>
      </c>
      <c r="U21" s="226">
        <f t="shared" si="8"/>
        <v>1</v>
      </c>
      <c r="V21" s="227">
        <f t="shared" si="14"/>
        <v>16.244444444444447</v>
      </c>
      <c r="W21" s="228">
        <f t="shared" si="4"/>
        <v>0.75</v>
      </c>
      <c r="X21" s="354">
        <f t="shared" si="9"/>
        <v>18.774999999999999</v>
      </c>
      <c r="Y21" s="354">
        <f t="shared" si="10"/>
        <v>25.806666666666665</v>
      </c>
      <c r="Z21" s="354">
        <f t="shared" si="11"/>
        <v>21.554865319865321</v>
      </c>
      <c r="AA21" s="205"/>
      <c r="AB21" s="357" t="str">
        <f>VLOOKUP($B21,'2007-2020 Metadata'!$A$4:$S$214,MATCH("Urban Area /Monitoring Zone",'2007-2020 Metadata'!$A$4:$S$4,0),FALSE)</f>
        <v>Auckland - Central</v>
      </c>
      <c r="AC21" s="229" t="str">
        <f>VLOOKUP(B21,'2007-2020 Metadata'!$A$6:$A$214,1,FALSE)</f>
        <v>AUC025</v>
      </c>
      <c r="AD21" s="356" t="str">
        <f>VLOOKUP($AC21,'2007-2020 Metadata'!$A$6:$S$214,9,FALSE)</f>
        <v>Auckland</v>
      </c>
      <c r="AE21" s="356">
        <f>IF(ISBLANK(VLOOKUP($AC21,'2007-2020 Metadata'!$A$6:$S$214,19,FALSE)),"",VLOOKUP($AC21,'2007-2020 Metadata'!$A$6:$S$214,19,FALSE))</f>
        <v>3</v>
      </c>
      <c r="AF21" s="355" t="str">
        <f>VLOOKUP($B21,'2007-2020 Metadata'!$A$4:$S$214,MATCH("Site type",'2007-2020 Metadata'!$A$4:$S$4,0),FALSE)</f>
        <v>SH</v>
      </c>
      <c r="AG21" s="364">
        <f t="shared" si="5"/>
        <v>7.7</v>
      </c>
      <c r="AH21" s="364">
        <f t="shared" si="6"/>
        <v>27</v>
      </c>
      <c r="AI21" s="354">
        <f t="shared" si="7"/>
        <v>21.554865319865321</v>
      </c>
    </row>
    <row r="22" spans="2:35" ht="12" customHeight="1" x14ac:dyDescent="0.15">
      <c r="B22" s="313" t="s">
        <v>19</v>
      </c>
      <c r="C22" s="309">
        <v>9.3000000000000007</v>
      </c>
      <c r="D22" s="309"/>
      <c r="E22" s="309"/>
      <c r="F22" s="309"/>
      <c r="G22" s="309"/>
      <c r="H22" s="309">
        <v>30.5</v>
      </c>
      <c r="I22" s="309">
        <v>28.3</v>
      </c>
      <c r="J22" s="309">
        <v>18.899999999999999</v>
      </c>
      <c r="K22" s="309">
        <v>13.9</v>
      </c>
      <c r="L22" s="309">
        <v>23.6</v>
      </c>
      <c r="M22" s="309">
        <v>12.1</v>
      </c>
      <c r="N22" s="309">
        <v>10.7</v>
      </c>
      <c r="O22" s="310">
        <f>(AVERAGE(C22:N22))</f>
        <v>18.412499999999998</v>
      </c>
      <c r="P22" s="310">
        <f t="shared" si="1"/>
        <v>41.794225844389494</v>
      </c>
      <c r="Q22" s="311">
        <f t="shared" si="2"/>
        <v>0.66666666666666663</v>
      </c>
      <c r="R22" s="225" t="str">
        <f t="shared" si="12"/>
        <v>-</v>
      </c>
      <c r="S22" s="226">
        <f t="shared" si="3"/>
        <v>0.33333333333333331</v>
      </c>
      <c r="T22" s="225">
        <f t="shared" si="13"/>
        <v>20.366666666666667</v>
      </c>
      <c r="U22" s="226">
        <f t="shared" si="8"/>
        <v>1</v>
      </c>
      <c r="V22" s="227" t="str">
        <f t="shared" si="14"/>
        <v>-</v>
      </c>
      <c r="W22" s="228">
        <f t="shared" si="4"/>
        <v>0.66666666666666663</v>
      </c>
      <c r="X22" s="354">
        <f t="shared" si="9"/>
        <v>15.52222222222222</v>
      </c>
      <c r="Y22" s="354">
        <f t="shared" si="10"/>
        <v>22.020833333333332</v>
      </c>
      <c r="Z22" s="354">
        <f t="shared" si="11"/>
        <v>17.961111111111112</v>
      </c>
      <c r="AA22" s="205"/>
      <c r="AB22" s="357" t="str">
        <f>VLOOKUP($B22,'2007-2020 Metadata'!$A$4:$S$214,MATCH("Urban Area /Monitoring Zone",'2007-2020 Metadata'!$A$4:$S$4,0),FALSE)</f>
        <v xml:space="preserve">Auckland - Southern </v>
      </c>
      <c r="AC22" s="229" t="str">
        <f>VLOOKUP(B22,'2007-2020 Metadata'!$A$6:$A$214,1,FALSE)</f>
        <v>AUC026</v>
      </c>
      <c r="AD22" s="356" t="str">
        <f>VLOOKUP($AC22,'2007-2020 Metadata'!$A$6:$S$214,9,FALSE)</f>
        <v>Manukau</v>
      </c>
      <c r="AE22" s="356">
        <f>IF(ISBLANK(VLOOKUP($AC22,'2007-2020 Metadata'!$A$6:$S$214,19,FALSE)),"",VLOOKUP($AC22,'2007-2020 Metadata'!$A$6:$S$214,19,FALSE))</f>
        <v>3</v>
      </c>
      <c r="AF22" s="355" t="str">
        <f>VLOOKUP($B22,'2007-2020 Metadata'!$A$4:$S$214,MATCH("Site type",'2007-2020 Metadata'!$A$4:$S$4,0),FALSE)</f>
        <v>SH</v>
      </c>
      <c r="AG22" s="364">
        <f t="shared" si="5"/>
        <v>9.3000000000000007</v>
      </c>
      <c r="AH22" s="364">
        <f t="shared" si="6"/>
        <v>30.5</v>
      </c>
      <c r="AI22" s="354" t="str">
        <f t="shared" si="7"/>
        <v xml:space="preserve"> </v>
      </c>
    </row>
    <row r="23" spans="2:35" ht="12" customHeight="1" x14ac:dyDescent="0.15">
      <c r="B23" s="313" t="s">
        <v>1105</v>
      </c>
      <c r="C23" s="309">
        <v>13.9</v>
      </c>
      <c r="D23" s="309">
        <v>21.8</v>
      </c>
      <c r="E23" s="309"/>
      <c r="F23" s="309"/>
      <c r="G23" s="309"/>
      <c r="H23" s="309"/>
      <c r="I23" s="309">
        <v>27.4</v>
      </c>
      <c r="J23" s="309">
        <v>25.3</v>
      </c>
      <c r="K23" s="309">
        <v>20.5</v>
      </c>
      <c r="L23" s="309">
        <v>14.9</v>
      </c>
      <c r="M23" s="309">
        <v>18.600000000000001</v>
      </c>
      <c r="N23" s="309"/>
      <c r="O23" s="310">
        <f t="shared" si="0"/>
        <v>20.342857142857145</v>
      </c>
      <c r="P23" s="310">
        <f t="shared" si="1"/>
        <v>22.808227695278564</v>
      </c>
      <c r="Q23" s="311">
        <f t="shared" si="2"/>
        <v>0.58333333333333337</v>
      </c>
      <c r="R23" s="225">
        <f t="shared" si="12"/>
        <v>17.850000000000001</v>
      </c>
      <c r="S23" s="226">
        <f t="shared" si="3"/>
        <v>0.66666666666666663</v>
      </c>
      <c r="T23" s="225">
        <f t="shared" si="13"/>
        <v>24.400000000000002</v>
      </c>
      <c r="U23" s="226">
        <f t="shared" si="8"/>
        <v>1</v>
      </c>
      <c r="V23" s="227" t="str">
        <f t="shared" si="14"/>
        <v>-</v>
      </c>
      <c r="W23" s="228">
        <f t="shared" si="4"/>
        <v>0.58333333333333337</v>
      </c>
      <c r="X23" s="354">
        <f t="shared" si="9"/>
        <v>17.850000000000001</v>
      </c>
      <c r="Y23" s="354">
        <f t="shared" si="10"/>
        <v>24.400000000000002</v>
      </c>
      <c r="Z23" s="354" t="str">
        <f t="shared" si="11"/>
        <v>-</v>
      </c>
      <c r="AA23" s="205"/>
      <c r="AB23" s="357">
        <f>VLOOKUP($B23,'2007-2020 Metadata'!$A$4:$S$214,MATCH("Urban Area /Monitoring Zone",'2007-2020 Metadata'!$A$4:$S$4,0),FALSE)</f>
        <v>0</v>
      </c>
      <c r="AC23" s="229" t="str">
        <f>VLOOKUP(B23,'2007-2020 Metadata'!$A$6:$A$214,1,FALSE)</f>
        <v>AUC027b</v>
      </c>
      <c r="AD23" s="356">
        <f>VLOOKUP($AC23,'2007-2020 Metadata'!$A$6:$S$214,9,FALSE)</f>
        <v>0</v>
      </c>
      <c r="AE23" s="356" t="str">
        <f>IF(ISBLANK(VLOOKUP($AC23,'2007-2020 Metadata'!$A$6:$S$214,19,FALSE)),"",VLOOKUP($AC23,'2007-2020 Metadata'!$A$6:$S$214,19,FALSE))</f>
        <v/>
      </c>
      <c r="AF23" s="355">
        <f>VLOOKUP($B23,'2007-2020 Metadata'!$A$4:$S$214,MATCH("Site type",'2007-2020 Metadata'!$A$4:$S$4,0),FALSE)</f>
        <v>0</v>
      </c>
      <c r="AG23" s="364">
        <f t="shared" si="5"/>
        <v>13.9</v>
      </c>
      <c r="AH23" s="364">
        <f t="shared" si="6"/>
        <v>27.4</v>
      </c>
      <c r="AI23" s="354" t="str">
        <f t="shared" si="7"/>
        <v xml:space="preserve"> </v>
      </c>
    </row>
    <row r="24" spans="2:35" ht="12" customHeight="1" x14ac:dyDescent="0.15">
      <c r="B24" s="313" t="s">
        <v>1107</v>
      </c>
      <c r="C24" s="309">
        <v>7.7</v>
      </c>
      <c r="D24" s="309">
        <v>10.7</v>
      </c>
      <c r="E24" s="309"/>
      <c r="F24" s="309"/>
      <c r="G24" s="309"/>
      <c r="H24" s="309">
        <v>21.5</v>
      </c>
      <c r="I24" s="309">
        <v>17.100000000000001</v>
      </c>
      <c r="J24" s="309">
        <v>15.2</v>
      </c>
      <c r="K24" s="309">
        <v>15.1</v>
      </c>
      <c r="L24" s="309">
        <v>15.1</v>
      </c>
      <c r="M24" s="309">
        <v>11.8</v>
      </c>
      <c r="N24" s="309">
        <v>7.8</v>
      </c>
      <c r="O24" s="310">
        <f t="shared" si="0"/>
        <v>13.555555555555554</v>
      </c>
      <c r="P24" s="310">
        <f t="shared" si="1"/>
        <v>31.279057976303882</v>
      </c>
      <c r="Q24" s="311">
        <f t="shared" si="2"/>
        <v>0.75</v>
      </c>
      <c r="R24" s="225">
        <f t="shared" si="12"/>
        <v>9.1999999999999993</v>
      </c>
      <c r="S24" s="226">
        <f t="shared" si="3"/>
        <v>0.66666666666666663</v>
      </c>
      <c r="T24" s="225">
        <f t="shared" si="13"/>
        <v>15.799999999999999</v>
      </c>
      <c r="U24" s="226">
        <f t="shared" si="8"/>
        <v>1</v>
      </c>
      <c r="V24" s="227">
        <f t="shared" si="14"/>
        <v>13.555555555555554</v>
      </c>
      <c r="W24" s="228">
        <f t="shared" si="4"/>
        <v>0.75</v>
      </c>
      <c r="X24" s="354">
        <f t="shared" si="9"/>
        <v>9.1999999999999993</v>
      </c>
      <c r="Y24" s="354">
        <f t="shared" si="10"/>
        <v>15.799999999999999</v>
      </c>
      <c r="Z24" s="354">
        <f t="shared" si="11"/>
        <v>13.555555555555554</v>
      </c>
      <c r="AA24" s="205"/>
      <c r="AB24" s="357">
        <f>VLOOKUP($B24,'2007-2020 Metadata'!$A$4:$S$214,MATCH("Urban Area /Monitoring Zone",'2007-2020 Metadata'!$A$4:$S$4,0),FALSE)</f>
        <v>0</v>
      </c>
      <c r="AC24" s="229" t="str">
        <f>VLOOKUP(B24,'2007-2020 Metadata'!$A$6:$A$214,1,FALSE)</f>
        <v>AUC039b</v>
      </c>
      <c r="AD24" s="356">
        <f>VLOOKUP($AC24,'2007-2020 Metadata'!$A$6:$S$214,9,FALSE)</f>
        <v>0</v>
      </c>
      <c r="AE24" s="356" t="str">
        <f>IF(ISBLANK(VLOOKUP($AC24,'2007-2020 Metadata'!$A$6:$S$214,19,FALSE)),"",VLOOKUP($AC24,'2007-2020 Metadata'!$A$6:$S$214,19,FALSE))</f>
        <v/>
      </c>
      <c r="AF24" s="355">
        <f>VLOOKUP($B24,'2007-2020 Metadata'!$A$4:$S$214,MATCH("Site type",'2007-2020 Metadata'!$A$4:$S$4,0),FALSE)</f>
        <v>0</v>
      </c>
      <c r="AG24" s="364">
        <f t="shared" si="5"/>
        <v>7.7</v>
      </c>
      <c r="AH24" s="364">
        <f t="shared" si="6"/>
        <v>21.5</v>
      </c>
      <c r="AI24" s="354">
        <f t="shared" si="7"/>
        <v>13.555555555555554</v>
      </c>
    </row>
    <row r="25" spans="2:35" ht="12" customHeight="1" x14ac:dyDescent="0.15">
      <c r="B25" s="313" t="s">
        <v>61</v>
      </c>
      <c r="C25" s="309">
        <v>12.8</v>
      </c>
      <c r="D25" s="309">
        <v>14.2</v>
      </c>
      <c r="E25" s="309"/>
      <c r="F25" s="309"/>
      <c r="G25" s="309"/>
      <c r="H25" s="309">
        <v>21.6</v>
      </c>
      <c r="I25" s="309">
        <v>19.3</v>
      </c>
      <c r="J25" s="309">
        <v>18.2</v>
      </c>
      <c r="K25" s="309">
        <v>17.5</v>
      </c>
      <c r="L25" s="309">
        <v>15.9</v>
      </c>
      <c r="M25" s="309">
        <v>11</v>
      </c>
      <c r="N25" s="309">
        <v>9.6</v>
      </c>
      <c r="O25" s="310">
        <f t="shared" si="0"/>
        <v>15.566666666666666</v>
      </c>
      <c r="P25" s="310">
        <f t="shared" si="1"/>
        <v>24.141035501269897</v>
      </c>
      <c r="Q25" s="311">
        <f t="shared" si="2"/>
        <v>0.75</v>
      </c>
      <c r="R25" s="225">
        <f t="shared" si="12"/>
        <v>13.5</v>
      </c>
      <c r="S25" s="226">
        <f t="shared" si="3"/>
        <v>0.66666666666666663</v>
      </c>
      <c r="T25" s="225">
        <f t="shared" si="13"/>
        <v>18.333333333333332</v>
      </c>
      <c r="U25" s="226">
        <f t="shared" si="8"/>
        <v>1</v>
      </c>
      <c r="V25" s="227">
        <f t="shared" si="14"/>
        <v>15.566666666666666</v>
      </c>
      <c r="W25" s="228">
        <f t="shared" si="4"/>
        <v>0.75</v>
      </c>
      <c r="X25" s="354">
        <f t="shared" si="9"/>
        <v>17.065151515151513</v>
      </c>
      <c r="Y25" s="354">
        <f t="shared" si="10"/>
        <v>22.604545454545452</v>
      </c>
      <c r="Z25" s="354">
        <f t="shared" si="11"/>
        <v>19.290722222222222</v>
      </c>
      <c r="AA25" s="205"/>
      <c r="AB25" s="357" t="str">
        <f>VLOOKUP($B25,'2007-2020 Metadata'!$A$4:$S$214,MATCH("Urban Area /Monitoring Zone",'2007-2020 Metadata'!$A$4:$S$4,0),FALSE)</f>
        <v>Auckland - Northern</v>
      </c>
      <c r="AC25" s="229" t="str">
        <f>VLOOKUP(B25,'2007-2020 Metadata'!$A$6:$A$214,1,FALSE)</f>
        <v>AUC040</v>
      </c>
      <c r="AD25" s="356" t="str">
        <f>VLOOKUP($AC25,'2007-2020 Metadata'!$A$6:$S$214,9,FALSE)</f>
        <v xml:space="preserve">North Shore </v>
      </c>
      <c r="AE25" s="356">
        <f>IF(ISBLANK(VLOOKUP($AC25,'2007-2020 Metadata'!$A$6:$S$214,19,FALSE)),"",VLOOKUP($AC25,'2007-2020 Metadata'!$A$6:$S$214,19,FALSE))</f>
        <v>2.5</v>
      </c>
      <c r="AF25" s="355" t="str">
        <f>VLOOKUP($B25,'2007-2020 Metadata'!$A$4:$S$214,MATCH("Site type",'2007-2020 Metadata'!$A$4:$S$4,0),FALSE)</f>
        <v>SH</v>
      </c>
      <c r="AG25" s="364">
        <f t="shared" si="5"/>
        <v>9.6</v>
      </c>
      <c r="AH25" s="364">
        <f t="shared" si="6"/>
        <v>21.6</v>
      </c>
      <c r="AI25" s="354">
        <f t="shared" si="7"/>
        <v>19.290722222222222</v>
      </c>
    </row>
    <row r="26" spans="2:35" ht="12" customHeight="1" x14ac:dyDescent="0.15">
      <c r="B26" s="313" t="s">
        <v>62</v>
      </c>
      <c r="C26" s="309">
        <v>9.6999999999999993</v>
      </c>
      <c r="D26" s="309">
        <v>19.600000000000001</v>
      </c>
      <c r="E26" s="309"/>
      <c r="F26" s="309"/>
      <c r="G26" s="309"/>
      <c r="H26" s="309">
        <v>26</v>
      </c>
      <c r="I26" s="309">
        <v>23.8</v>
      </c>
      <c r="J26" s="309">
        <v>14.7</v>
      </c>
      <c r="K26" s="309">
        <v>15</v>
      </c>
      <c r="L26" s="309">
        <v>23</v>
      </c>
      <c r="M26" s="309">
        <v>12.9</v>
      </c>
      <c r="N26" s="309">
        <v>8.9</v>
      </c>
      <c r="O26" s="310">
        <f t="shared" si="0"/>
        <v>17.06666666666667</v>
      </c>
      <c r="P26" s="310">
        <f t="shared" si="1"/>
        <v>34.662328986685907</v>
      </c>
      <c r="Q26" s="311">
        <f t="shared" si="2"/>
        <v>0.75</v>
      </c>
      <c r="R26" s="225">
        <f t="shared" si="12"/>
        <v>14.65</v>
      </c>
      <c r="S26" s="226">
        <f t="shared" si="3"/>
        <v>0.66666666666666663</v>
      </c>
      <c r="T26" s="225">
        <f t="shared" si="13"/>
        <v>17.833333333333332</v>
      </c>
      <c r="U26" s="226">
        <f t="shared" si="8"/>
        <v>1</v>
      </c>
      <c r="V26" s="227">
        <f t="shared" si="14"/>
        <v>17.06666666666667</v>
      </c>
      <c r="W26" s="228">
        <f t="shared" si="4"/>
        <v>0.75</v>
      </c>
      <c r="X26" s="354">
        <f t="shared" si="9"/>
        <v>17.065151515151513</v>
      </c>
      <c r="Y26" s="354">
        <f t="shared" si="10"/>
        <v>22.604545454545452</v>
      </c>
      <c r="Z26" s="354">
        <f t="shared" si="11"/>
        <v>19.290722222222222</v>
      </c>
      <c r="AA26" s="205"/>
      <c r="AB26" s="357" t="str">
        <f>VLOOKUP($B26,'2007-2020 Metadata'!$A$4:$S$214,MATCH("Urban Area /Monitoring Zone",'2007-2020 Metadata'!$A$4:$S$4,0),FALSE)</f>
        <v>Auckland - Northern</v>
      </c>
      <c r="AC26" s="229" t="str">
        <f>VLOOKUP(B26,'2007-2020 Metadata'!$A$6:$A$214,1,FALSE)</f>
        <v>AUC041</v>
      </c>
      <c r="AD26" s="356" t="str">
        <f>VLOOKUP($AC26,'2007-2020 Metadata'!$A$6:$S$214,9,FALSE)</f>
        <v xml:space="preserve">North Shore </v>
      </c>
      <c r="AE26" s="356">
        <f>IF(ISBLANK(VLOOKUP($AC26,'2007-2020 Metadata'!$A$6:$S$214,19,FALSE)),"",VLOOKUP($AC26,'2007-2020 Metadata'!$A$6:$S$214,19,FALSE))</f>
        <v>3</v>
      </c>
      <c r="AF26" s="355" t="str">
        <f>VLOOKUP($B26,'2007-2020 Metadata'!$A$4:$S$214,MATCH("Site type",'2007-2020 Metadata'!$A$4:$S$4,0),FALSE)</f>
        <v>Local</v>
      </c>
      <c r="AG26" s="364">
        <f t="shared" si="5"/>
        <v>8.9</v>
      </c>
      <c r="AH26" s="364">
        <f t="shared" si="6"/>
        <v>26</v>
      </c>
      <c r="AI26" s="354">
        <f t="shared" si="7"/>
        <v>19.290722222222222</v>
      </c>
    </row>
    <row r="27" spans="2:35" ht="12" customHeight="1" x14ac:dyDescent="0.15">
      <c r="B27" s="313" t="s">
        <v>63</v>
      </c>
      <c r="C27" s="309">
        <v>18</v>
      </c>
      <c r="D27" s="309">
        <v>22.1</v>
      </c>
      <c r="E27" s="309">
        <v>15.5</v>
      </c>
      <c r="F27" s="309">
        <v>15.5</v>
      </c>
      <c r="G27" s="309">
        <v>29.2</v>
      </c>
      <c r="H27" s="309">
        <v>28.6</v>
      </c>
      <c r="I27" s="309">
        <v>27.7</v>
      </c>
      <c r="J27" s="309">
        <v>23.7</v>
      </c>
      <c r="K27" s="309">
        <v>20.2</v>
      </c>
      <c r="L27" s="309">
        <v>16.100000000000001</v>
      </c>
      <c r="M27" s="309">
        <v>19.899999999999999</v>
      </c>
      <c r="N27" s="309">
        <v>14.1</v>
      </c>
      <c r="O27" s="310">
        <f t="shared" si="0"/>
        <v>20.883333333333329</v>
      </c>
      <c r="P27" s="310">
        <f t="shared" si="1"/>
        <v>24.773939413335722</v>
      </c>
      <c r="Q27" s="311">
        <f t="shared" si="2"/>
        <v>1</v>
      </c>
      <c r="R27" s="225">
        <f t="shared" si="12"/>
        <v>18.533333333333335</v>
      </c>
      <c r="S27" s="226">
        <f t="shared" si="3"/>
        <v>1</v>
      </c>
      <c r="T27" s="225">
        <f t="shared" si="13"/>
        <v>23.866666666666664</v>
      </c>
      <c r="U27" s="226">
        <f t="shared" si="8"/>
        <v>1</v>
      </c>
      <c r="V27" s="227">
        <f t="shared" si="14"/>
        <v>20.883333333333329</v>
      </c>
      <c r="W27" s="228">
        <f t="shared" si="4"/>
        <v>1</v>
      </c>
      <c r="X27" s="354">
        <f t="shared" si="9"/>
        <v>17.065151515151513</v>
      </c>
      <c r="Y27" s="354">
        <f t="shared" si="10"/>
        <v>22.604545454545452</v>
      </c>
      <c r="Z27" s="354">
        <f t="shared" si="11"/>
        <v>19.290722222222222</v>
      </c>
      <c r="AA27" s="205"/>
      <c r="AB27" s="357" t="str">
        <f>VLOOKUP($B27,'2007-2020 Metadata'!$A$4:$S$214,MATCH("Urban Area /Monitoring Zone",'2007-2020 Metadata'!$A$4:$S$4,0),FALSE)</f>
        <v>Auckland - Northern</v>
      </c>
      <c r="AC27" s="229" t="str">
        <f>VLOOKUP(B27,'2007-2020 Metadata'!$A$6:$A$214,1,FALSE)</f>
        <v>AUC042</v>
      </c>
      <c r="AD27" s="356" t="str">
        <f>VLOOKUP($AC27,'2007-2020 Metadata'!$A$6:$S$214,9,FALSE)</f>
        <v xml:space="preserve">North Shore </v>
      </c>
      <c r="AE27" s="356">
        <f>IF(ISBLANK(VLOOKUP($AC27,'2007-2020 Metadata'!$A$6:$S$214,19,FALSE)),"",VLOOKUP($AC27,'2007-2020 Metadata'!$A$6:$S$214,19,FALSE))</f>
        <v>3</v>
      </c>
      <c r="AF27" s="355" t="str">
        <f>VLOOKUP($B27,'2007-2020 Metadata'!$A$4:$S$214,MATCH("Site type",'2007-2020 Metadata'!$A$4:$S$4,0),FALSE)</f>
        <v>Local</v>
      </c>
      <c r="AG27" s="364">
        <f t="shared" si="5"/>
        <v>14.1</v>
      </c>
      <c r="AH27" s="364">
        <f t="shared" si="6"/>
        <v>29.2</v>
      </c>
      <c r="AI27" s="354">
        <f t="shared" si="7"/>
        <v>19.290722222222222</v>
      </c>
    </row>
    <row r="28" spans="2:35" ht="12" customHeight="1" x14ac:dyDescent="0.15">
      <c r="B28" s="313" t="s">
        <v>64</v>
      </c>
      <c r="C28" s="309">
        <v>17.399999999999999</v>
      </c>
      <c r="D28" s="309">
        <v>18.5</v>
      </c>
      <c r="E28" s="309">
        <v>14.9</v>
      </c>
      <c r="F28" s="309">
        <v>14.9</v>
      </c>
      <c r="G28" s="309">
        <v>26.7</v>
      </c>
      <c r="H28" s="309">
        <v>26.3</v>
      </c>
      <c r="I28" s="309">
        <v>25.9</v>
      </c>
      <c r="J28" s="309">
        <v>27.8</v>
      </c>
      <c r="K28" s="309">
        <v>24.8</v>
      </c>
      <c r="L28" s="309">
        <v>14.5</v>
      </c>
      <c r="M28" s="309">
        <v>19.100000000000001</v>
      </c>
      <c r="N28" s="309">
        <v>13.2</v>
      </c>
      <c r="O28" s="310">
        <f t="shared" si="0"/>
        <v>20.333333333333332</v>
      </c>
      <c r="P28" s="310">
        <f t="shared" si="1"/>
        <v>26.188492521594586</v>
      </c>
      <c r="Q28" s="311">
        <f t="shared" si="2"/>
        <v>1</v>
      </c>
      <c r="R28" s="251">
        <f t="shared" si="12"/>
        <v>16.933333333333334</v>
      </c>
      <c r="S28" s="252">
        <f t="shared" si="3"/>
        <v>1</v>
      </c>
      <c r="T28" s="251">
        <f t="shared" si="13"/>
        <v>26.166666666666668</v>
      </c>
      <c r="U28" s="252">
        <f t="shared" si="8"/>
        <v>1</v>
      </c>
      <c r="V28" s="253">
        <f t="shared" si="14"/>
        <v>20.333333333333332</v>
      </c>
      <c r="W28" s="252">
        <f t="shared" si="4"/>
        <v>1</v>
      </c>
      <c r="X28" s="359">
        <f t="shared" si="9"/>
        <v>17.065151515151513</v>
      </c>
      <c r="Y28" s="359">
        <f t="shared" si="10"/>
        <v>22.604545454545452</v>
      </c>
      <c r="Z28" s="359">
        <f t="shared" si="11"/>
        <v>19.290722222222222</v>
      </c>
      <c r="AA28" s="366"/>
      <c r="AB28" s="357" t="str">
        <f>VLOOKUP($B28,'2007-2020 Metadata'!$A$4:$S$214,MATCH("Urban Area /Monitoring Zone",'2007-2020 Metadata'!$A$4:$S$4,0),FALSE)</f>
        <v>Auckland - Northern</v>
      </c>
      <c r="AC28" s="255" t="str">
        <f>VLOOKUP(B28,'2007-2020 Metadata'!$A$6:$A$214,1,FALSE)</f>
        <v>AUC043</v>
      </c>
      <c r="AD28" s="361" t="str">
        <f>VLOOKUP($AC28,'2007-2020 Metadata'!$A$6:$S$214,9,FALSE)</f>
        <v xml:space="preserve">North Shore </v>
      </c>
      <c r="AE28" s="361">
        <f>IF(ISBLANK(VLOOKUP($AC28,'2007-2020 Metadata'!$A$6:$S$214,19,FALSE)),"",VLOOKUP($AC28,'2007-2020 Metadata'!$A$6:$S$214,19,FALSE))</f>
        <v>3</v>
      </c>
      <c r="AF28" s="360" t="str">
        <f>VLOOKUP($B28,'2007-2020 Metadata'!$A$4:$S$214,MATCH("Site type",'2007-2020 Metadata'!$A$4:$S$4,0),FALSE)</f>
        <v>SH</v>
      </c>
      <c r="AG28" s="365">
        <f>MIN(AVERAGE($C$28:$C$30),AVERAGE($E$28:$E$30),AVERAGE($F$28:$F$30),AVERAGE($G$28:$G$30),AVERAGE($H$28:$H$30),AVERAGE($I$28:$I$30),AVERAGE($J$28:$J$30),AVERAGE($K$28:$K$30),AVERAGE($L$28:$L$30),AVERAGE($M$28:$M$30),AVERAGE($N$28:$N$30))</f>
        <v>12</v>
      </c>
      <c r="AH28" s="365">
        <f>MAX(AVERAGE($C$28:$C$30),AVERAGE($E$28:$E$30),AVERAGE($F$28:$F$30),AVERAGE($G$28:$G$30),AVERAGE($H$28:$H$30),AVERAGE($I$28:$I$30),AVERAGE($J$28:$J$30),AVERAGE($K$28:$K$30),AVERAGE($L$28:$L$30),AVERAGE($M$28:$M$30),AVERAGE($N$28:$N$30))</f>
        <v>27.033333333333331</v>
      </c>
      <c r="AI28" s="359">
        <f t="shared" si="7"/>
        <v>19.290722222222222</v>
      </c>
    </row>
    <row r="29" spans="2:35" ht="12" customHeight="1" x14ac:dyDescent="0.15">
      <c r="B29" s="313" t="s">
        <v>65</v>
      </c>
      <c r="C29" s="309">
        <v>16.399999999999999</v>
      </c>
      <c r="D29" s="309">
        <v>13.3</v>
      </c>
      <c r="E29" s="309">
        <v>14.7</v>
      </c>
      <c r="F29" s="309">
        <v>14.7</v>
      </c>
      <c r="G29" s="309">
        <v>28.4</v>
      </c>
      <c r="H29" s="309">
        <v>25.3</v>
      </c>
      <c r="I29" s="309">
        <v>24.8</v>
      </c>
      <c r="J29" s="309">
        <v>26.9</v>
      </c>
      <c r="K29" s="309">
        <v>20.5</v>
      </c>
      <c r="L29" s="309">
        <v>17.2</v>
      </c>
      <c r="M29" s="309">
        <v>20.100000000000001</v>
      </c>
      <c r="N29" s="309">
        <v>10.8</v>
      </c>
      <c r="O29" s="310">
        <f t="shared" si="0"/>
        <v>19.425000000000001</v>
      </c>
      <c r="P29" s="310">
        <f t="shared" si="1"/>
        <v>28.666828181772324</v>
      </c>
      <c r="Q29" s="311">
        <f t="shared" si="2"/>
        <v>1</v>
      </c>
      <c r="R29" s="251">
        <f t="shared" si="12"/>
        <v>14.799999999999999</v>
      </c>
      <c r="S29" s="252">
        <f t="shared" si="3"/>
        <v>1</v>
      </c>
      <c r="T29" s="251">
        <f t="shared" si="13"/>
        <v>24.066666666666666</v>
      </c>
      <c r="U29" s="252">
        <f t="shared" si="8"/>
        <v>1</v>
      </c>
      <c r="V29" s="253">
        <f t="shared" si="14"/>
        <v>19.425000000000001</v>
      </c>
      <c r="W29" s="252">
        <f t="shared" si="4"/>
        <v>1</v>
      </c>
      <c r="X29" s="359">
        <f t="shared" si="9"/>
        <v>17.065151515151513</v>
      </c>
      <c r="Y29" s="359">
        <f t="shared" si="10"/>
        <v>22.604545454545452</v>
      </c>
      <c r="Z29" s="359">
        <f t="shared" si="11"/>
        <v>19.290722222222222</v>
      </c>
      <c r="AA29" s="366"/>
      <c r="AB29" s="357" t="str">
        <f>VLOOKUP($B29,'2007-2020 Metadata'!$A$4:$S$214,MATCH("Urban Area /Monitoring Zone",'2007-2020 Metadata'!$A$4:$S$4,0),FALSE)</f>
        <v>Auckland - Northern</v>
      </c>
      <c r="AC29" s="255" t="str">
        <f>VLOOKUP(B29,'2007-2020 Metadata'!$A$6:$A$214,1,FALSE)</f>
        <v>AUC044</v>
      </c>
      <c r="AD29" s="361" t="str">
        <f>VLOOKUP($AC29,'2007-2020 Metadata'!$A$6:$S$214,9,FALSE)</f>
        <v xml:space="preserve">North Shore </v>
      </c>
      <c r="AE29" s="361">
        <f>IF(ISBLANK(VLOOKUP($AC29,'2007-2020 Metadata'!$A$6:$S$214,19,FALSE)),"",VLOOKUP($AC29,'2007-2020 Metadata'!$A$6:$S$214,19,FALSE))</f>
        <v>3</v>
      </c>
      <c r="AF29" s="360" t="str">
        <f>VLOOKUP($B29,'2007-2020 Metadata'!$A$4:$S$214,MATCH("Site type",'2007-2020 Metadata'!$A$4:$S$4,0),FALSE)</f>
        <v>SH</v>
      </c>
      <c r="AG29" s="365">
        <f t="shared" ref="AG29:AG30" si="17">MIN(AVERAGE($C$28:$C$30),AVERAGE($E$28:$E$30),AVERAGE($F$28:$F$30),AVERAGE($G$28:$G$30),AVERAGE($H$28:$H$30),AVERAGE($I$28:$I$30),AVERAGE($J$28:$J$30),AVERAGE($K$28:$K$30),AVERAGE($L$28:$L$30),AVERAGE($M$28:$M$30),AVERAGE($N$28:$N$30))</f>
        <v>12</v>
      </c>
      <c r="AH29" s="365">
        <f t="shared" ref="AH29:AH30" si="18">MAX(AVERAGE($C$28:$C$30),AVERAGE($E$28:$E$30),AVERAGE($F$28:$F$30),AVERAGE($G$28:$G$30),AVERAGE($H$28:$H$30),AVERAGE($I$28:$I$30),AVERAGE($J$28:$J$30),AVERAGE($K$28:$K$30),AVERAGE($L$28:$L$30),AVERAGE($M$28:$M$30),AVERAGE($N$28:$N$30))</f>
        <v>27.033333333333331</v>
      </c>
      <c r="AI29" s="359">
        <f t="shared" si="7"/>
        <v>19.290722222222222</v>
      </c>
    </row>
    <row r="30" spans="2:35" ht="12" customHeight="1" x14ac:dyDescent="0.15">
      <c r="B30" s="313" t="s">
        <v>66</v>
      </c>
      <c r="C30" s="309">
        <v>17.3</v>
      </c>
      <c r="D30" s="309">
        <v>17.2</v>
      </c>
      <c r="E30" s="309">
        <v>14.3</v>
      </c>
      <c r="F30" s="309">
        <v>14.3</v>
      </c>
      <c r="G30" s="309">
        <v>26</v>
      </c>
      <c r="H30" s="309">
        <v>27.2</v>
      </c>
      <c r="I30" s="309">
        <v>27.4</v>
      </c>
      <c r="J30" s="309">
        <v>25.6</v>
      </c>
      <c r="K30" s="309">
        <v>22.9</v>
      </c>
      <c r="L30" s="309">
        <v>16.899999999999999</v>
      </c>
      <c r="M30" s="309">
        <v>19.8</v>
      </c>
      <c r="N30" s="309">
        <v>12</v>
      </c>
      <c r="O30" s="310">
        <f t="shared" si="0"/>
        <v>20.074999999999999</v>
      </c>
      <c r="P30" s="310">
        <f t="shared" si="1"/>
        <v>26.361119504289736</v>
      </c>
      <c r="Q30" s="311">
        <f t="shared" si="2"/>
        <v>1</v>
      </c>
      <c r="R30" s="251">
        <f t="shared" si="12"/>
        <v>16.266666666666666</v>
      </c>
      <c r="S30" s="252">
        <f t="shared" si="3"/>
        <v>1</v>
      </c>
      <c r="T30" s="251">
        <f t="shared" si="13"/>
        <v>25.3</v>
      </c>
      <c r="U30" s="252">
        <f t="shared" si="8"/>
        <v>1</v>
      </c>
      <c r="V30" s="253">
        <f t="shared" si="14"/>
        <v>20.074999999999999</v>
      </c>
      <c r="W30" s="252">
        <f t="shared" si="4"/>
        <v>1</v>
      </c>
      <c r="X30" s="359">
        <f t="shared" si="9"/>
        <v>17.065151515151513</v>
      </c>
      <c r="Y30" s="359">
        <f t="shared" si="10"/>
        <v>22.604545454545452</v>
      </c>
      <c r="Z30" s="359">
        <f t="shared" si="11"/>
        <v>19.290722222222222</v>
      </c>
      <c r="AA30" s="366"/>
      <c r="AB30" s="357" t="str">
        <f>VLOOKUP($B30,'2007-2020 Metadata'!$A$4:$S$214,MATCH("Urban Area /Monitoring Zone",'2007-2020 Metadata'!$A$4:$S$4,0),FALSE)</f>
        <v>Auckland - Northern</v>
      </c>
      <c r="AC30" s="255" t="str">
        <f>VLOOKUP(B30,'2007-2020 Metadata'!$A$6:$A$214,1,FALSE)</f>
        <v>AUC045</v>
      </c>
      <c r="AD30" s="361" t="str">
        <f>VLOOKUP($AC30,'2007-2020 Metadata'!$A$6:$S$214,9,FALSE)</f>
        <v xml:space="preserve">North Shore </v>
      </c>
      <c r="AE30" s="361">
        <f>IF(ISBLANK(VLOOKUP($AC30,'2007-2020 Metadata'!$A$6:$S$214,19,FALSE)),"",VLOOKUP($AC30,'2007-2020 Metadata'!$A$6:$S$214,19,FALSE))</f>
        <v>3</v>
      </c>
      <c r="AF30" s="360" t="str">
        <f>VLOOKUP($B30,'2007-2020 Metadata'!$A$4:$S$214,MATCH("Site type",'2007-2020 Metadata'!$A$4:$S$4,0),FALSE)</f>
        <v>SH</v>
      </c>
      <c r="AG30" s="365">
        <f t="shared" si="17"/>
        <v>12</v>
      </c>
      <c r="AH30" s="365">
        <f t="shared" si="18"/>
        <v>27.033333333333331</v>
      </c>
      <c r="AI30" s="359">
        <f t="shared" si="7"/>
        <v>19.290722222222222</v>
      </c>
    </row>
    <row r="31" spans="2:35" ht="12" customHeight="1" x14ac:dyDescent="0.15">
      <c r="B31" s="313" t="s">
        <v>67</v>
      </c>
      <c r="C31" s="309">
        <v>20.3</v>
      </c>
      <c r="D31" s="309">
        <v>19.7</v>
      </c>
      <c r="E31" s="309"/>
      <c r="F31" s="309"/>
      <c r="G31" s="309">
        <v>26.5</v>
      </c>
      <c r="H31" s="309">
        <v>23.7</v>
      </c>
      <c r="I31" s="309">
        <v>26.8</v>
      </c>
      <c r="J31" s="309">
        <v>20.7</v>
      </c>
      <c r="K31" s="309">
        <v>26.5</v>
      </c>
      <c r="L31" s="309">
        <v>24.4</v>
      </c>
      <c r="M31" s="309">
        <v>19.8</v>
      </c>
      <c r="N31" s="309">
        <v>14.2</v>
      </c>
      <c r="O31" s="310">
        <f t="shared" si="0"/>
        <v>22.259999999999998</v>
      </c>
      <c r="P31" s="310">
        <f t="shared" si="1"/>
        <v>17.22772882552535</v>
      </c>
      <c r="Q31" s="311">
        <f t="shared" si="2"/>
        <v>0.83333333333333337</v>
      </c>
      <c r="R31" s="225">
        <f t="shared" si="12"/>
        <v>20</v>
      </c>
      <c r="S31" s="226">
        <f t="shared" si="3"/>
        <v>0.66666666666666663</v>
      </c>
      <c r="T31" s="225">
        <f t="shared" si="13"/>
        <v>24.666666666666668</v>
      </c>
      <c r="U31" s="226">
        <f t="shared" si="8"/>
        <v>1</v>
      </c>
      <c r="V31" s="227">
        <f t="shared" si="14"/>
        <v>22.259999999999998</v>
      </c>
      <c r="W31" s="228">
        <f t="shared" si="4"/>
        <v>0.83333333333333337</v>
      </c>
      <c r="X31" s="354">
        <f t="shared" si="9"/>
        <v>17.065151515151513</v>
      </c>
      <c r="Y31" s="354">
        <f t="shared" si="10"/>
        <v>22.604545454545452</v>
      </c>
      <c r="Z31" s="354">
        <f t="shared" si="11"/>
        <v>19.290722222222222</v>
      </c>
      <c r="AA31" s="205"/>
      <c r="AB31" s="357" t="str">
        <f>VLOOKUP($B31,'2007-2020 Metadata'!$A$4:$S$214,MATCH("Urban Area /Monitoring Zone",'2007-2020 Metadata'!$A$4:$S$4,0),FALSE)</f>
        <v>Auckland - Northern</v>
      </c>
      <c r="AC31" s="229" t="str">
        <f>VLOOKUP(B31,'2007-2020 Metadata'!$A$6:$A$214,1,FALSE)</f>
        <v>AUC046</v>
      </c>
      <c r="AD31" s="356" t="str">
        <f>VLOOKUP($AC31,'2007-2020 Metadata'!$A$6:$S$214,9,FALSE)</f>
        <v xml:space="preserve">North Shore </v>
      </c>
      <c r="AE31" s="356">
        <f>IF(ISBLANK(VLOOKUP($AC31,'2007-2020 Metadata'!$A$6:$S$214,19,FALSE)),"",VLOOKUP($AC31,'2007-2020 Metadata'!$A$6:$S$214,19,FALSE))</f>
        <v>3</v>
      </c>
      <c r="AF31" s="355" t="str">
        <f>VLOOKUP($B31,'2007-2020 Metadata'!$A$4:$S$214,MATCH("Site type",'2007-2020 Metadata'!$A$4:$S$4,0),FALSE)</f>
        <v>Local</v>
      </c>
      <c r="AG31" s="364">
        <f t="shared" si="5"/>
        <v>14.2</v>
      </c>
      <c r="AH31" s="364">
        <f t="shared" si="6"/>
        <v>26.8</v>
      </c>
      <c r="AI31" s="354">
        <f t="shared" si="7"/>
        <v>19.290722222222222</v>
      </c>
    </row>
    <row r="32" spans="2:35" ht="12" customHeight="1" x14ac:dyDescent="0.15">
      <c r="B32" s="313" t="s">
        <v>68</v>
      </c>
      <c r="C32" s="309">
        <v>6.2</v>
      </c>
      <c r="D32" s="309">
        <v>7.3</v>
      </c>
      <c r="E32" s="309">
        <v>6.7</v>
      </c>
      <c r="F32" s="309">
        <v>6.7</v>
      </c>
      <c r="G32" s="309">
        <v>13.5</v>
      </c>
      <c r="H32" s="309">
        <v>12.2</v>
      </c>
      <c r="I32" s="309">
        <v>11.8</v>
      </c>
      <c r="J32" s="309">
        <v>10.7</v>
      </c>
      <c r="K32" s="309">
        <v>7.8</v>
      </c>
      <c r="L32" s="309">
        <v>6.5</v>
      </c>
      <c r="M32" s="309">
        <v>6.9</v>
      </c>
      <c r="N32" s="309">
        <v>9.4</v>
      </c>
      <c r="O32" s="310">
        <f t="shared" si="0"/>
        <v>8.8083333333333336</v>
      </c>
      <c r="P32" s="310">
        <f t="shared" si="1"/>
        <v>28.258798213850074</v>
      </c>
      <c r="Q32" s="311">
        <f t="shared" si="2"/>
        <v>1</v>
      </c>
      <c r="R32" s="225">
        <f t="shared" si="12"/>
        <v>6.7333333333333334</v>
      </c>
      <c r="S32" s="226">
        <f t="shared" si="3"/>
        <v>1</v>
      </c>
      <c r="T32" s="225">
        <f t="shared" si="13"/>
        <v>10.1</v>
      </c>
      <c r="U32" s="226">
        <f t="shared" si="8"/>
        <v>1</v>
      </c>
      <c r="V32" s="227">
        <f t="shared" si="14"/>
        <v>8.8083333333333336</v>
      </c>
      <c r="W32" s="228">
        <f t="shared" si="4"/>
        <v>1</v>
      </c>
      <c r="X32" s="354">
        <f t="shared" si="9"/>
        <v>17.065151515151513</v>
      </c>
      <c r="Y32" s="354">
        <f t="shared" si="10"/>
        <v>22.604545454545452</v>
      </c>
      <c r="Z32" s="354">
        <f t="shared" si="11"/>
        <v>19.290722222222222</v>
      </c>
      <c r="AA32" s="205"/>
      <c r="AB32" s="357" t="str">
        <f>VLOOKUP($B32,'2007-2020 Metadata'!$A$4:$S$214,MATCH("Urban Area /Monitoring Zone",'2007-2020 Metadata'!$A$4:$S$4,0),FALSE)</f>
        <v>Auckland - Northern</v>
      </c>
      <c r="AC32" s="229" t="str">
        <f>VLOOKUP(B32,'2007-2020 Metadata'!$A$6:$A$214,1,FALSE)</f>
        <v>AUC047</v>
      </c>
      <c r="AD32" s="356" t="str">
        <f>VLOOKUP($AC32,'2007-2020 Metadata'!$A$6:$S$214,9,FALSE)</f>
        <v xml:space="preserve">North Shore </v>
      </c>
      <c r="AE32" s="356">
        <f>IF(ISBLANK(VLOOKUP($AC32,'2007-2020 Metadata'!$A$6:$S$214,19,FALSE)),"",VLOOKUP($AC32,'2007-2020 Metadata'!$A$6:$S$214,19,FALSE))</f>
        <v>3</v>
      </c>
      <c r="AF32" s="355" t="str">
        <f>VLOOKUP($B32,'2007-2020 Metadata'!$A$4:$S$214,MATCH("Site type",'2007-2020 Metadata'!$A$4:$S$4,0),FALSE)</f>
        <v>Background</v>
      </c>
      <c r="AG32" s="364">
        <f t="shared" si="5"/>
        <v>6.2</v>
      </c>
      <c r="AH32" s="364">
        <f t="shared" si="6"/>
        <v>13.5</v>
      </c>
      <c r="AI32" s="354">
        <f t="shared" si="7"/>
        <v>19.290722222222222</v>
      </c>
    </row>
    <row r="33" spans="2:35" ht="12" customHeight="1" x14ac:dyDescent="0.15">
      <c r="B33" s="313" t="s">
        <v>1109</v>
      </c>
      <c r="C33" s="309">
        <v>12.3</v>
      </c>
      <c r="D33" s="309">
        <v>18.100000000000001</v>
      </c>
      <c r="E33" s="309"/>
      <c r="F33" s="309"/>
      <c r="G33" s="309"/>
      <c r="H33" s="309">
        <v>30.4</v>
      </c>
      <c r="I33" s="309">
        <v>24.6</v>
      </c>
      <c r="J33" s="309">
        <v>20.399999999999999</v>
      </c>
      <c r="K33" s="309">
        <v>22.2</v>
      </c>
      <c r="L33" s="309">
        <v>15.8</v>
      </c>
      <c r="M33" s="309">
        <v>17.7</v>
      </c>
      <c r="N33" s="309"/>
      <c r="O33" s="310">
        <f t="shared" si="0"/>
        <v>20.1875</v>
      </c>
      <c r="P33" s="310">
        <f t="shared" si="1"/>
        <v>25.968939853437334</v>
      </c>
      <c r="Q33" s="311">
        <f t="shared" si="2"/>
        <v>0.66666666666666663</v>
      </c>
      <c r="R33" s="225">
        <f t="shared" si="12"/>
        <v>15.200000000000001</v>
      </c>
      <c r="S33" s="226">
        <f t="shared" si="3"/>
        <v>0.66666666666666663</v>
      </c>
      <c r="T33" s="225">
        <f t="shared" si="13"/>
        <v>22.400000000000002</v>
      </c>
      <c r="U33" s="226">
        <f t="shared" si="8"/>
        <v>1</v>
      </c>
      <c r="V33" s="227" t="str">
        <f t="shared" si="14"/>
        <v>-</v>
      </c>
      <c r="W33" s="228">
        <f t="shared" si="4"/>
        <v>0.66666666666666663</v>
      </c>
      <c r="X33" s="354">
        <f t="shared" si="9"/>
        <v>15.200000000000001</v>
      </c>
      <c r="Y33" s="354">
        <f t="shared" si="10"/>
        <v>22.400000000000002</v>
      </c>
      <c r="Z33" s="354" t="str">
        <f t="shared" si="11"/>
        <v>-</v>
      </c>
      <c r="AA33" s="205"/>
      <c r="AB33" s="357">
        <f>VLOOKUP($B33,'2007-2020 Metadata'!$A$4:$S$214,MATCH("Urban Area /Monitoring Zone",'2007-2020 Metadata'!$A$4:$S$4,0),FALSE)</f>
        <v>0</v>
      </c>
      <c r="AC33" s="229" t="str">
        <f>VLOOKUP(B33,'2007-2020 Metadata'!$A$6:$A$214,1,FALSE)</f>
        <v>AUC049c</v>
      </c>
      <c r="AD33" s="356">
        <f>VLOOKUP($AC33,'2007-2020 Metadata'!$A$6:$S$214,9,FALSE)</f>
        <v>0</v>
      </c>
      <c r="AE33" s="356" t="str">
        <f>IF(ISBLANK(VLOOKUP($AC33,'2007-2020 Metadata'!$A$6:$S$214,19,FALSE)),"",VLOOKUP($AC33,'2007-2020 Metadata'!$A$6:$S$214,19,FALSE))</f>
        <v/>
      </c>
      <c r="AF33" s="355">
        <f>VLOOKUP($B33,'2007-2020 Metadata'!$A$4:$S$214,MATCH("Site type",'2007-2020 Metadata'!$A$4:$S$4,0),FALSE)</f>
        <v>0</v>
      </c>
      <c r="AG33" s="364">
        <f t="shared" si="5"/>
        <v>12.3</v>
      </c>
      <c r="AH33" s="364">
        <f t="shared" si="6"/>
        <v>30.4</v>
      </c>
      <c r="AI33" s="354" t="str">
        <f t="shared" si="7"/>
        <v xml:space="preserve"> </v>
      </c>
    </row>
    <row r="34" spans="2:35" ht="12" customHeight="1" x14ac:dyDescent="0.15">
      <c r="B34" s="313" t="s">
        <v>1116</v>
      </c>
      <c r="C34" s="309">
        <v>23.7</v>
      </c>
      <c r="D34" s="309">
        <v>24.3</v>
      </c>
      <c r="E34" s="309">
        <v>14.9</v>
      </c>
      <c r="F34" s="309">
        <v>14.9</v>
      </c>
      <c r="G34" s="309">
        <v>29.3</v>
      </c>
      <c r="H34" s="309">
        <v>30.4</v>
      </c>
      <c r="I34" s="309">
        <v>26.7</v>
      </c>
      <c r="J34" s="309">
        <v>28.4</v>
      </c>
      <c r="K34" s="309">
        <v>29.6</v>
      </c>
      <c r="L34" s="309">
        <v>20</v>
      </c>
      <c r="M34" s="309">
        <v>22.6</v>
      </c>
      <c r="N34" s="309">
        <v>17.2</v>
      </c>
      <c r="O34" s="310">
        <f t="shared" si="0"/>
        <v>23.5</v>
      </c>
      <c r="P34" s="310">
        <f t="shared" si="1"/>
        <v>23.114257503859619</v>
      </c>
      <c r="Q34" s="311">
        <f t="shared" si="2"/>
        <v>1</v>
      </c>
      <c r="R34" s="225">
        <f t="shared" si="12"/>
        <v>20.966666666666665</v>
      </c>
      <c r="S34" s="226">
        <f t="shared" si="3"/>
        <v>1</v>
      </c>
      <c r="T34" s="225">
        <f t="shared" si="13"/>
        <v>28.233333333333331</v>
      </c>
      <c r="U34" s="226">
        <f t="shared" si="8"/>
        <v>1</v>
      </c>
      <c r="V34" s="227">
        <f t="shared" si="14"/>
        <v>23.5</v>
      </c>
      <c r="W34" s="228">
        <f t="shared" si="4"/>
        <v>1</v>
      </c>
      <c r="X34" s="354">
        <f t="shared" si="9"/>
        <v>20.966666666666665</v>
      </c>
      <c r="Y34" s="354">
        <f t="shared" si="10"/>
        <v>28.233333333333331</v>
      </c>
      <c r="Z34" s="354">
        <f t="shared" si="11"/>
        <v>23.5</v>
      </c>
      <c r="AA34" s="205"/>
      <c r="AB34" s="357">
        <f>VLOOKUP($B34,'2007-2020 Metadata'!$A$4:$S$214,MATCH("Urban Area /Monitoring Zone",'2007-2020 Metadata'!$A$4:$S$4,0),FALSE)</f>
        <v>0</v>
      </c>
      <c r="AC34" s="229" t="str">
        <f>VLOOKUP(B34,'2007-2020 Metadata'!$A$6:$A$214,1,FALSE)</f>
        <v>AUC050c</v>
      </c>
      <c r="AD34" s="356">
        <f>VLOOKUP($AC34,'2007-2020 Metadata'!$A$6:$S$214,9,FALSE)</f>
        <v>0</v>
      </c>
      <c r="AE34" s="356" t="str">
        <f>IF(ISBLANK(VLOOKUP($AC34,'2007-2020 Metadata'!$A$6:$S$214,19,FALSE)),"",VLOOKUP($AC34,'2007-2020 Metadata'!$A$6:$S$214,19,FALSE))</f>
        <v/>
      </c>
      <c r="AF34" s="355">
        <f>VLOOKUP($B34,'2007-2020 Metadata'!$A$4:$S$214,MATCH("Site type",'2007-2020 Metadata'!$A$4:$S$4,0),FALSE)</f>
        <v>0</v>
      </c>
      <c r="AG34" s="364">
        <f t="shared" si="5"/>
        <v>14.9</v>
      </c>
      <c r="AH34" s="364">
        <f t="shared" si="6"/>
        <v>30.4</v>
      </c>
      <c r="AI34" s="354">
        <f t="shared" si="7"/>
        <v>23.5</v>
      </c>
    </row>
    <row r="35" spans="2:35" ht="12" customHeight="1" x14ac:dyDescent="0.15">
      <c r="B35" s="313" t="s">
        <v>1118</v>
      </c>
      <c r="C35" s="309">
        <v>12.7</v>
      </c>
      <c r="D35" s="309">
        <v>14</v>
      </c>
      <c r="E35" s="309"/>
      <c r="F35" s="309"/>
      <c r="G35" s="309"/>
      <c r="H35" s="309"/>
      <c r="I35" s="309">
        <v>20.8</v>
      </c>
      <c r="J35" s="309">
        <v>22.8</v>
      </c>
      <c r="K35" s="309">
        <v>20.5</v>
      </c>
      <c r="L35" s="309">
        <v>12.8</v>
      </c>
      <c r="M35" s="309">
        <v>14.6</v>
      </c>
      <c r="N35" s="309"/>
      <c r="O35" s="310">
        <f t="shared" si="0"/>
        <v>16.885714285714283</v>
      </c>
      <c r="P35" s="310">
        <f t="shared" si="1"/>
        <v>23.596327172172739</v>
      </c>
      <c r="Q35" s="311">
        <f t="shared" si="2"/>
        <v>0.58333333333333337</v>
      </c>
      <c r="R35" s="225">
        <f t="shared" si="12"/>
        <v>13.35</v>
      </c>
      <c r="S35" s="226">
        <f t="shared" si="3"/>
        <v>0.66666666666666663</v>
      </c>
      <c r="T35" s="225">
        <f t="shared" si="13"/>
        <v>21.366666666666664</v>
      </c>
      <c r="U35" s="226">
        <f t="shared" si="8"/>
        <v>1</v>
      </c>
      <c r="V35" s="227" t="str">
        <f t="shared" si="14"/>
        <v>-</v>
      </c>
      <c r="W35" s="228">
        <f t="shared" si="4"/>
        <v>0.58333333333333337</v>
      </c>
      <c r="X35" s="354">
        <f t="shared" si="9"/>
        <v>13.35</v>
      </c>
      <c r="Y35" s="354">
        <f t="shared" si="10"/>
        <v>21.366666666666664</v>
      </c>
      <c r="Z35" s="354" t="str">
        <f t="shared" si="11"/>
        <v>-</v>
      </c>
      <c r="AA35" s="205"/>
      <c r="AB35" s="357">
        <f>VLOOKUP($B35,'2007-2020 Metadata'!$A$4:$S$214,MATCH("Urban Area /Monitoring Zone",'2007-2020 Metadata'!$A$4:$S$4,0),FALSE)</f>
        <v>0</v>
      </c>
      <c r="AC35" s="229" t="str">
        <f>VLOOKUP(B35,'2007-2020 Metadata'!$A$6:$A$214,1,FALSE)</f>
        <v>AUC051b</v>
      </c>
      <c r="AD35" s="356">
        <f>VLOOKUP($AC35,'2007-2020 Metadata'!$A$6:$S$214,9,FALSE)</f>
        <v>0</v>
      </c>
      <c r="AE35" s="356" t="str">
        <f>IF(ISBLANK(VLOOKUP($AC35,'2007-2020 Metadata'!$A$6:$S$214,19,FALSE)),"",VLOOKUP($AC35,'2007-2020 Metadata'!$A$6:$S$214,19,FALSE))</f>
        <v/>
      </c>
      <c r="AF35" s="355">
        <f>VLOOKUP($B35,'2007-2020 Metadata'!$A$4:$S$214,MATCH("Site type",'2007-2020 Metadata'!$A$4:$S$4,0),FALSE)</f>
        <v>0</v>
      </c>
      <c r="AG35" s="364">
        <f t="shared" si="5"/>
        <v>12.7</v>
      </c>
      <c r="AH35" s="364">
        <f t="shared" si="6"/>
        <v>22.8</v>
      </c>
      <c r="AI35" s="354" t="str">
        <f t="shared" si="7"/>
        <v xml:space="preserve"> </v>
      </c>
    </row>
    <row r="36" spans="2:35" ht="12" customHeight="1" x14ac:dyDescent="0.15">
      <c r="B36" s="313" t="s">
        <v>73</v>
      </c>
      <c r="C36" s="309">
        <v>10.1</v>
      </c>
      <c r="D36" s="309">
        <v>13.5</v>
      </c>
      <c r="E36" s="309">
        <v>9.6999999999999993</v>
      </c>
      <c r="F36" s="309">
        <v>9.6999999999999993</v>
      </c>
      <c r="G36" s="309">
        <v>18.8</v>
      </c>
      <c r="H36" s="309">
        <v>23.4</v>
      </c>
      <c r="I36" s="309">
        <v>19.5</v>
      </c>
      <c r="J36" s="309">
        <v>16.3</v>
      </c>
      <c r="K36" s="309">
        <v>13.8</v>
      </c>
      <c r="L36" s="309">
        <v>14.3</v>
      </c>
      <c r="M36" s="309">
        <v>12.4</v>
      </c>
      <c r="N36" s="309">
        <v>8.6</v>
      </c>
      <c r="O36" s="310">
        <f t="shared" si="0"/>
        <v>14.174999999999999</v>
      </c>
      <c r="P36" s="310">
        <f t="shared" si="1"/>
        <v>30.94304198272355</v>
      </c>
      <c r="Q36" s="311">
        <f t="shared" si="2"/>
        <v>1</v>
      </c>
      <c r="R36" s="225">
        <f t="shared" si="12"/>
        <v>11.1</v>
      </c>
      <c r="S36" s="226">
        <f t="shared" si="3"/>
        <v>1</v>
      </c>
      <c r="T36" s="225">
        <f t="shared" si="13"/>
        <v>16.533333333333331</v>
      </c>
      <c r="U36" s="226">
        <f t="shared" si="8"/>
        <v>1</v>
      </c>
      <c r="V36" s="227">
        <f t="shared" si="14"/>
        <v>14.174999999999999</v>
      </c>
      <c r="W36" s="228">
        <f t="shared" si="4"/>
        <v>1</v>
      </c>
      <c r="X36" s="354">
        <f t="shared" si="9"/>
        <v>9.86</v>
      </c>
      <c r="Y36" s="354">
        <f t="shared" si="10"/>
        <v>14.836111111111109</v>
      </c>
      <c r="Z36" s="354">
        <f t="shared" si="11"/>
        <v>12.016666666666666</v>
      </c>
      <c r="AA36" s="205"/>
      <c r="AB36" s="357" t="str">
        <f>VLOOKUP($B36,'2007-2020 Metadata'!$A$4:$S$214,MATCH("Urban Area /Monitoring Zone",'2007-2020 Metadata'!$A$4:$S$4,0),FALSE)</f>
        <v>Auckland - Western</v>
      </c>
      <c r="AC36" s="229" t="str">
        <f>VLOOKUP(B36,'2007-2020 Metadata'!$A$6:$A$214,1,FALSE)</f>
        <v>AUC052</v>
      </c>
      <c r="AD36" s="356" t="str">
        <f>VLOOKUP($AC36,'2007-2020 Metadata'!$A$6:$S$214,9,FALSE)</f>
        <v>Waitakere</v>
      </c>
      <c r="AE36" s="356">
        <f>IF(ISBLANK(VLOOKUP($AC36,'2007-2020 Metadata'!$A$6:$S$214,19,FALSE)),"",VLOOKUP($AC36,'2007-2020 Metadata'!$A$6:$S$214,19,FALSE))</f>
        <v>3</v>
      </c>
      <c r="AF36" s="355" t="str">
        <f>VLOOKUP($B36,'2007-2020 Metadata'!$A$4:$S$214,MATCH("Site type",'2007-2020 Metadata'!$A$4:$S$4,0),FALSE)</f>
        <v>Local</v>
      </c>
      <c r="AG36" s="364">
        <f t="shared" si="5"/>
        <v>8.6</v>
      </c>
      <c r="AH36" s="364">
        <f t="shared" si="6"/>
        <v>23.4</v>
      </c>
      <c r="AI36" s="354">
        <f t="shared" si="7"/>
        <v>12.016666666666666</v>
      </c>
    </row>
    <row r="37" spans="2:35" ht="12" customHeight="1" x14ac:dyDescent="0.15">
      <c r="B37" s="313" t="s">
        <v>1121</v>
      </c>
      <c r="C37" s="309">
        <v>21.1</v>
      </c>
      <c r="D37" s="309">
        <v>20.5</v>
      </c>
      <c r="E37" s="309">
        <v>12.1</v>
      </c>
      <c r="F37" s="309">
        <v>12.1</v>
      </c>
      <c r="G37" s="309">
        <v>16.100000000000001</v>
      </c>
      <c r="H37" s="309">
        <v>36.5</v>
      </c>
      <c r="I37" s="309">
        <v>29</v>
      </c>
      <c r="J37" s="309">
        <v>32.299999999999997</v>
      </c>
      <c r="K37" s="309">
        <v>28.1</v>
      </c>
      <c r="L37" s="309">
        <v>13.6</v>
      </c>
      <c r="M37" s="309">
        <v>20.3</v>
      </c>
      <c r="N37" s="309">
        <v>16.5</v>
      </c>
      <c r="O37" s="310">
        <f t="shared" si="0"/>
        <v>21.516666666666666</v>
      </c>
      <c r="P37" s="310">
        <f t="shared" si="1"/>
        <v>36.4306819333177</v>
      </c>
      <c r="Q37" s="311">
        <f t="shared" si="2"/>
        <v>1</v>
      </c>
      <c r="R37" s="225">
        <f t="shared" si="12"/>
        <v>17.900000000000002</v>
      </c>
      <c r="S37" s="226">
        <f t="shared" si="3"/>
        <v>1</v>
      </c>
      <c r="T37" s="225">
        <f t="shared" si="13"/>
        <v>29.8</v>
      </c>
      <c r="U37" s="226">
        <f t="shared" si="8"/>
        <v>1</v>
      </c>
      <c r="V37" s="227">
        <f t="shared" si="14"/>
        <v>21.516666666666666</v>
      </c>
      <c r="W37" s="228">
        <f t="shared" si="4"/>
        <v>1</v>
      </c>
      <c r="X37" s="354">
        <f t="shared" si="9"/>
        <v>17.900000000000002</v>
      </c>
      <c r="Y37" s="354">
        <f t="shared" si="10"/>
        <v>29.8</v>
      </c>
      <c r="Z37" s="354">
        <f t="shared" si="11"/>
        <v>21.516666666666666</v>
      </c>
      <c r="AA37" s="205"/>
      <c r="AB37" s="357">
        <f>VLOOKUP($B37,'2007-2020 Metadata'!$A$4:$S$214,MATCH("Urban Area /Monitoring Zone",'2007-2020 Metadata'!$A$4:$S$4,0),FALSE)</f>
        <v>0</v>
      </c>
      <c r="AC37" s="229" t="str">
        <f>VLOOKUP(B37,'2007-2020 Metadata'!$A$6:$A$214,1,FALSE)</f>
        <v>AUC053c</v>
      </c>
      <c r="AD37" s="356">
        <f>VLOOKUP($AC37,'2007-2020 Metadata'!$A$6:$S$214,9,FALSE)</f>
        <v>0</v>
      </c>
      <c r="AE37" s="356" t="str">
        <f>IF(ISBLANK(VLOOKUP($AC37,'2007-2020 Metadata'!$A$6:$S$214,19,FALSE)),"",VLOOKUP($AC37,'2007-2020 Metadata'!$A$6:$S$214,19,FALSE))</f>
        <v/>
      </c>
      <c r="AF37" s="355">
        <f>VLOOKUP($B37,'2007-2020 Metadata'!$A$4:$S$214,MATCH("Site type",'2007-2020 Metadata'!$A$4:$S$4,0),FALSE)</f>
        <v>0</v>
      </c>
      <c r="AG37" s="364">
        <f t="shared" si="5"/>
        <v>12.1</v>
      </c>
      <c r="AH37" s="364">
        <f t="shared" si="6"/>
        <v>36.5</v>
      </c>
      <c r="AI37" s="354">
        <f t="shared" si="7"/>
        <v>21.516666666666666</v>
      </c>
    </row>
    <row r="38" spans="2:35" ht="12" customHeight="1" x14ac:dyDescent="0.15">
      <c r="B38" s="313" t="s">
        <v>1030</v>
      </c>
      <c r="C38" s="309">
        <v>7.9</v>
      </c>
      <c r="D38" s="309">
        <v>12.6</v>
      </c>
      <c r="E38" s="309">
        <v>9.3000000000000007</v>
      </c>
      <c r="F38" s="309">
        <v>9.3000000000000007</v>
      </c>
      <c r="G38" s="309">
        <v>21.8</v>
      </c>
      <c r="H38" s="309">
        <v>20.2</v>
      </c>
      <c r="I38" s="309">
        <v>17.2</v>
      </c>
      <c r="J38" s="309">
        <v>13.7</v>
      </c>
      <c r="K38" s="309">
        <v>10.5</v>
      </c>
      <c r="L38" s="309">
        <v>12.3</v>
      </c>
      <c r="M38" s="309">
        <v>8.5</v>
      </c>
      <c r="N38" s="309">
        <v>7.6</v>
      </c>
      <c r="O38" s="310">
        <f t="shared" si="0"/>
        <v>12.575000000000001</v>
      </c>
      <c r="P38" s="310">
        <f t="shared" si="1"/>
        <v>36.65409518984351</v>
      </c>
      <c r="Q38" s="311">
        <f t="shared" si="2"/>
        <v>1</v>
      </c>
      <c r="R38" s="251">
        <f t="shared" si="12"/>
        <v>9.9333333333333336</v>
      </c>
      <c r="S38" s="252">
        <f t="shared" si="3"/>
        <v>1</v>
      </c>
      <c r="T38" s="251">
        <f t="shared" si="13"/>
        <v>13.799999999999999</v>
      </c>
      <c r="U38" s="252">
        <f t="shared" si="8"/>
        <v>1</v>
      </c>
      <c r="V38" s="253">
        <f t="shared" si="14"/>
        <v>12.575000000000001</v>
      </c>
      <c r="W38" s="252">
        <f t="shared" si="4"/>
        <v>1</v>
      </c>
      <c r="X38" s="359">
        <f t="shared" si="9"/>
        <v>9.9333333333333336</v>
      </c>
      <c r="Y38" s="359">
        <f t="shared" si="10"/>
        <v>13.799999999999999</v>
      </c>
      <c r="Z38" s="359">
        <f t="shared" si="11"/>
        <v>12.575000000000001</v>
      </c>
      <c r="AA38" s="366"/>
      <c r="AB38" s="357">
        <f>VLOOKUP($B38,'2007-2020 Metadata'!$A$4:$S$214,MATCH("Urban Area /Monitoring Zone",'2007-2020 Metadata'!$A$4:$S$4,0),FALSE)</f>
        <v>0</v>
      </c>
      <c r="AC38" s="255" t="str">
        <f>VLOOKUP(B38,'2007-2020 Metadata'!$A$6:$A$214,1,FALSE)</f>
        <v>AUC054a</v>
      </c>
      <c r="AD38" s="361">
        <f>VLOOKUP($AC38,'2007-2020 Metadata'!$A$6:$S$214,9,FALSE)</f>
        <v>0</v>
      </c>
      <c r="AE38" s="361" t="str">
        <f>IF(ISBLANK(VLOOKUP($AC38,'2007-2020 Metadata'!$A$6:$S$214,19,FALSE)),"",VLOOKUP($AC38,'2007-2020 Metadata'!$A$6:$S$214,19,FALSE))</f>
        <v/>
      </c>
      <c r="AF38" s="360" t="str">
        <f>VLOOKUP($B38,'2007-2020 Metadata'!$A$4:$S$214,MATCH("Site type",'2007-2020 Metadata'!$A$4:$S$4,0),FALSE)</f>
        <v>Local</v>
      </c>
      <c r="AG38" s="365">
        <f>MIN(AVERAGE($C$38:$C$40),AVERAGE($E$38:$E$40),AVERAGE($F$38:$F$40),AVERAGE($G$38:$G$40),AVERAGE($H$38:$H$40),AVERAGE($I$38:$I$40),AVERAGE($J$38:$J$40),AVERAGE($K$38:$K$40),AVERAGE($L$38:$L$40),AVERAGE($M$38:$M$40),AVERAGE($N$38:$N$40))</f>
        <v>7.0999999999999988</v>
      </c>
      <c r="AH38" s="365">
        <f>MAX(AVERAGE($C$38:$C$40),AVERAGE($E$38:$E$40),AVERAGE($F$38:$F$40),AVERAGE($G$38:$G$40),AVERAGE($H$38:$H$40),AVERAGE($I$38:$I$40),AVERAGE($J$38:$J$40),AVERAGE($K$38:$K$40),AVERAGE($L$38:$L$40),AVERAGE($M$38:$M$40),AVERAGE($N$38:$N$40))</f>
        <v>21.133333333333336</v>
      </c>
      <c r="AI38" s="359">
        <f t="shared" si="7"/>
        <v>12.575000000000001</v>
      </c>
    </row>
    <row r="39" spans="2:35" ht="12" customHeight="1" x14ac:dyDescent="0.15">
      <c r="B39" s="313" t="s">
        <v>1031</v>
      </c>
      <c r="C39" s="309">
        <v>7.9</v>
      </c>
      <c r="D39" s="309">
        <v>12.1</v>
      </c>
      <c r="E39" s="309">
        <v>9.5</v>
      </c>
      <c r="F39" s="309">
        <v>9.5</v>
      </c>
      <c r="G39" s="309">
        <v>20.9</v>
      </c>
      <c r="H39" s="309">
        <v>20.6</v>
      </c>
      <c r="I39" s="309">
        <v>17.8</v>
      </c>
      <c r="J39" s="309">
        <v>13.5</v>
      </c>
      <c r="K39" s="309">
        <v>10.5</v>
      </c>
      <c r="L39" s="309">
        <v>12.9</v>
      </c>
      <c r="M39" s="309">
        <v>8.5</v>
      </c>
      <c r="N39" s="309">
        <v>6.8</v>
      </c>
      <c r="O39" s="310">
        <f t="shared" si="0"/>
        <v>12.541666666666666</v>
      </c>
      <c r="P39" s="310">
        <f t="shared" si="1"/>
        <v>36.914530080957128</v>
      </c>
      <c r="Q39" s="311">
        <f t="shared" si="2"/>
        <v>1</v>
      </c>
      <c r="R39" s="251">
        <f t="shared" si="12"/>
        <v>9.8333333333333339</v>
      </c>
      <c r="S39" s="252">
        <f t="shared" si="3"/>
        <v>1</v>
      </c>
      <c r="T39" s="251">
        <f t="shared" si="13"/>
        <v>13.933333333333332</v>
      </c>
      <c r="U39" s="252">
        <f t="shared" si="8"/>
        <v>1</v>
      </c>
      <c r="V39" s="253">
        <f t="shared" si="14"/>
        <v>12.541666666666666</v>
      </c>
      <c r="W39" s="252">
        <f t="shared" si="4"/>
        <v>1</v>
      </c>
      <c r="X39" s="359">
        <f t="shared" si="9"/>
        <v>9.8333333333333339</v>
      </c>
      <c r="Y39" s="359">
        <f t="shared" si="10"/>
        <v>13.933333333333332</v>
      </c>
      <c r="Z39" s="359">
        <f t="shared" si="11"/>
        <v>12.541666666666666</v>
      </c>
      <c r="AA39" s="366"/>
      <c r="AB39" s="357">
        <f>VLOOKUP($B39,'2007-2020 Metadata'!$A$4:$S$214,MATCH("Urban Area /Monitoring Zone",'2007-2020 Metadata'!$A$4:$S$4,0),FALSE)</f>
        <v>0</v>
      </c>
      <c r="AC39" s="255" t="str">
        <f>VLOOKUP(B39,'2007-2020 Metadata'!$A$6:$A$214,1,FALSE)</f>
        <v>AUC055a</v>
      </c>
      <c r="AD39" s="361">
        <f>VLOOKUP($AC39,'2007-2020 Metadata'!$A$6:$S$214,9,FALSE)</f>
        <v>0</v>
      </c>
      <c r="AE39" s="361" t="str">
        <f>IF(ISBLANK(VLOOKUP($AC39,'2007-2020 Metadata'!$A$6:$S$214,19,FALSE)),"",VLOOKUP($AC39,'2007-2020 Metadata'!$A$6:$S$214,19,FALSE))</f>
        <v/>
      </c>
      <c r="AF39" s="360" t="str">
        <f>VLOOKUP($B39,'2007-2020 Metadata'!$A$4:$S$214,MATCH("Site type",'2007-2020 Metadata'!$A$4:$S$4,0),FALSE)</f>
        <v>Local</v>
      </c>
      <c r="AG39" s="365">
        <f t="shared" ref="AG39" si="19">MIN(AVERAGE($C$38:$C$40),AVERAGE($E$38:$E$40),AVERAGE($F$38:$F$40),AVERAGE($G$38:$G$40),AVERAGE($H$38:$H$40),AVERAGE($I$38:$I$40),AVERAGE($J$38:$J$40),AVERAGE($K$38:$K$40),AVERAGE($L$38:$L$40),AVERAGE($M$38:$M$40),AVERAGE($N$38:$N$40))</f>
        <v>7.0999999999999988</v>
      </c>
      <c r="AH39" s="365">
        <f t="shared" ref="AH39:AH40" si="20">MAX(AVERAGE($C$38:$C$40),AVERAGE($E$38:$E$40),AVERAGE($F$38:$F$40),AVERAGE($G$38:$G$40),AVERAGE($H$38:$H$40),AVERAGE($I$38:$I$40),AVERAGE($J$38:$J$40),AVERAGE($K$38:$K$40),AVERAGE($L$38:$L$40),AVERAGE($M$38:$M$40),AVERAGE($N$38:$N$40))</f>
        <v>21.133333333333336</v>
      </c>
      <c r="AI39" s="359">
        <f t="shared" si="7"/>
        <v>12.541666666666666</v>
      </c>
    </row>
    <row r="40" spans="2:35" ht="12" customHeight="1" x14ac:dyDescent="0.15">
      <c r="B40" s="313" t="s">
        <v>1032</v>
      </c>
      <c r="C40" s="309">
        <v>8.3000000000000007</v>
      </c>
      <c r="D40" s="309">
        <v>12.5</v>
      </c>
      <c r="E40" s="309">
        <v>9.4</v>
      </c>
      <c r="F40" s="309">
        <v>9.4</v>
      </c>
      <c r="G40" s="309">
        <v>20.7</v>
      </c>
      <c r="H40" s="309">
        <v>20.9</v>
      </c>
      <c r="I40" s="309">
        <v>17.100000000000001</v>
      </c>
      <c r="J40" s="309">
        <v>12.9</v>
      </c>
      <c r="K40" s="309">
        <v>10.7</v>
      </c>
      <c r="L40" s="309">
        <v>12</v>
      </c>
      <c r="M40" s="309">
        <v>9.1</v>
      </c>
      <c r="N40" s="309">
        <v>6.9</v>
      </c>
      <c r="O40" s="310">
        <f t="shared" si="0"/>
        <v>12.491666666666665</v>
      </c>
      <c r="P40" s="310">
        <f t="shared" si="1"/>
        <v>35.978710423085431</v>
      </c>
      <c r="Q40" s="311">
        <f t="shared" si="2"/>
        <v>1</v>
      </c>
      <c r="R40" s="251">
        <f t="shared" si="12"/>
        <v>10.066666666666668</v>
      </c>
      <c r="S40" s="252">
        <f t="shared" si="3"/>
        <v>1</v>
      </c>
      <c r="T40" s="251">
        <f t="shared" si="13"/>
        <v>13.566666666666668</v>
      </c>
      <c r="U40" s="252">
        <f t="shared" si="8"/>
        <v>1</v>
      </c>
      <c r="V40" s="253">
        <f t="shared" si="14"/>
        <v>12.491666666666665</v>
      </c>
      <c r="W40" s="252">
        <f t="shared" si="4"/>
        <v>1</v>
      </c>
      <c r="X40" s="359">
        <f t="shared" si="9"/>
        <v>10.066666666666668</v>
      </c>
      <c r="Y40" s="359">
        <f t="shared" si="10"/>
        <v>13.566666666666668</v>
      </c>
      <c r="Z40" s="359">
        <f t="shared" si="11"/>
        <v>12.491666666666665</v>
      </c>
      <c r="AA40" s="366"/>
      <c r="AB40" s="357">
        <f>VLOOKUP($B40,'2007-2020 Metadata'!$A$4:$S$214,MATCH("Urban Area /Monitoring Zone",'2007-2020 Metadata'!$A$4:$S$4,0),FALSE)</f>
        <v>0</v>
      </c>
      <c r="AC40" s="255" t="str">
        <f>VLOOKUP(B40,'2007-2020 Metadata'!$A$6:$A$214,1,FALSE)</f>
        <v>AUC056a</v>
      </c>
      <c r="AD40" s="361">
        <f>VLOOKUP($AC40,'2007-2020 Metadata'!$A$6:$S$214,9,FALSE)</f>
        <v>0</v>
      </c>
      <c r="AE40" s="361" t="str">
        <f>IF(ISBLANK(VLOOKUP($AC40,'2007-2020 Metadata'!$A$6:$S$214,19,FALSE)),"",VLOOKUP($AC40,'2007-2020 Metadata'!$A$6:$S$214,19,FALSE))</f>
        <v/>
      </c>
      <c r="AF40" s="360" t="str">
        <f>VLOOKUP($B40,'2007-2020 Metadata'!$A$4:$S$214,MATCH("Site type",'2007-2020 Metadata'!$A$4:$S$4,0),FALSE)</f>
        <v>Local</v>
      </c>
      <c r="AG40" s="365">
        <f>MIN(AVERAGE($C$38:$C$40),AVERAGE($E$38:$E$40),AVERAGE($F$38:$F$40),AVERAGE($G$38:$G$40),AVERAGE($H$38:$H$40),AVERAGE($I$38:$I$40),AVERAGE($J$38:$J$40),AVERAGE($K$38:$K$40),AVERAGE($L$38:$L$40),AVERAGE($M$38:$M$40),AVERAGE($N$38:$N$40))</f>
        <v>7.0999999999999988</v>
      </c>
      <c r="AH40" s="365">
        <f t="shared" si="20"/>
        <v>21.133333333333336</v>
      </c>
      <c r="AI40" s="359">
        <f t="shared" si="7"/>
        <v>12.491666666666665</v>
      </c>
    </row>
    <row r="41" spans="2:35" ht="12" customHeight="1" x14ac:dyDescent="0.15">
      <c r="B41" s="313" t="s">
        <v>78</v>
      </c>
      <c r="C41" s="309">
        <v>4</v>
      </c>
      <c r="D41" s="309">
        <v>6</v>
      </c>
      <c r="E41" s="309">
        <v>4.8</v>
      </c>
      <c r="F41" s="309">
        <v>4.8</v>
      </c>
      <c r="G41" s="309">
        <v>10.1</v>
      </c>
      <c r="H41" s="309">
        <v>11</v>
      </c>
      <c r="I41" s="309">
        <v>9.6999999999999993</v>
      </c>
      <c r="J41" s="309">
        <v>8.1999999999999993</v>
      </c>
      <c r="K41" s="309">
        <v>5.0999999999999996</v>
      </c>
      <c r="L41" s="309">
        <v>5.6</v>
      </c>
      <c r="M41" s="309">
        <v>4.3</v>
      </c>
      <c r="N41" s="309">
        <v>3.5</v>
      </c>
      <c r="O41" s="310">
        <f t="shared" si="0"/>
        <v>6.4250000000000007</v>
      </c>
      <c r="P41" s="310">
        <f t="shared" si="1"/>
        <v>38.952636076366652</v>
      </c>
      <c r="Q41" s="311">
        <f t="shared" si="2"/>
        <v>1</v>
      </c>
      <c r="R41" s="251">
        <f t="shared" si="12"/>
        <v>4.9333333333333336</v>
      </c>
      <c r="S41" s="252">
        <f t="shared" si="3"/>
        <v>1</v>
      </c>
      <c r="T41" s="251">
        <f t="shared" si="13"/>
        <v>7.666666666666667</v>
      </c>
      <c r="U41" s="252">
        <f t="shared" si="8"/>
        <v>1</v>
      </c>
      <c r="V41" s="253">
        <f t="shared" si="14"/>
        <v>6.4250000000000007</v>
      </c>
      <c r="W41" s="252">
        <f t="shared" si="4"/>
        <v>1</v>
      </c>
      <c r="X41" s="359">
        <f t="shared" si="9"/>
        <v>9.86</v>
      </c>
      <c r="Y41" s="359">
        <f t="shared" si="10"/>
        <v>14.836111111111109</v>
      </c>
      <c r="Z41" s="359">
        <f t="shared" si="11"/>
        <v>12.016666666666666</v>
      </c>
      <c r="AA41" s="366"/>
      <c r="AB41" s="357" t="str">
        <f>VLOOKUP($B41,'2007-2020 Metadata'!$A$4:$S$214,MATCH("Urban Area /Monitoring Zone",'2007-2020 Metadata'!$A$4:$S$4,0),FALSE)</f>
        <v>Auckland - Western</v>
      </c>
      <c r="AC41" s="255" t="str">
        <f>VLOOKUP(B41,'2007-2020 Metadata'!$A$6:$A$214,1,FALSE)</f>
        <v>AUC057</v>
      </c>
      <c r="AD41" s="361" t="str">
        <f>VLOOKUP($AC41,'2007-2020 Metadata'!$A$6:$S$214,9,FALSE)</f>
        <v>Waitakere</v>
      </c>
      <c r="AE41" s="361">
        <f>IF(ISBLANK(VLOOKUP($AC41,'2007-2020 Metadata'!$A$6:$S$214,19,FALSE)),"",VLOOKUP($AC41,'2007-2020 Metadata'!$A$6:$S$214,19,FALSE))</f>
        <v>3</v>
      </c>
      <c r="AF41" s="360" t="str">
        <f>VLOOKUP($B41,'2007-2020 Metadata'!$A$4:$S$214,MATCH("Site type",'2007-2020 Metadata'!$A$4:$S$4,0),FALSE)</f>
        <v>Background</v>
      </c>
      <c r="AG41" s="365">
        <f>MIN(AVERAGE($C$41:$C$43),AVERAGE($E$41:$E$43),AVERAGE($F$41:$F$43),AVERAGE($G$41:$G$43),AVERAGE($H$41:$H$43),AVERAGE($I$41:$I$43),AVERAGE($J$41:$J$43),AVERAGE($K$41:$K$43),AVERAGE($L$41:$L$43),AVERAGE($M$41:$M$43),AVERAGE($N$41:$N$43))</f>
        <v>3.4666666666666668</v>
      </c>
      <c r="AH41" s="365">
        <f>MAX(AVERAGE($C$41:$C$43),AVERAGE($E$41:$E$43),AVERAGE($F$41:$F$43),AVERAGE($G$41:$G$43),AVERAGE($H$41:$H$43),AVERAGE($I$41:$I$43),AVERAGE($J$41:$J$43),AVERAGE($K$41:$K$43),AVERAGE($L$41:$L$43),AVERAGE($M$41:$M$43),AVERAGE($N$41:$N$43))</f>
        <v>11.200000000000001</v>
      </c>
      <c r="AI41" s="359">
        <f t="shared" si="7"/>
        <v>12.016666666666666</v>
      </c>
    </row>
    <row r="42" spans="2:35" ht="12" customHeight="1" x14ac:dyDescent="0.15">
      <c r="B42" s="313" t="s">
        <v>79</v>
      </c>
      <c r="C42" s="309">
        <v>4.5</v>
      </c>
      <c r="D42" s="309">
        <v>6.1</v>
      </c>
      <c r="E42" s="309">
        <v>4.9000000000000004</v>
      </c>
      <c r="F42" s="309">
        <v>4.9000000000000004</v>
      </c>
      <c r="G42" s="309">
        <v>10.6</v>
      </c>
      <c r="H42" s="309">
        <v>11.3</v>
      </c>
      <c r="I42" s="309">
        <v>10.5</v>
      </c>
      <c r="J42" s="309">
        <v>7.9</v>
      </c>
      <c r="K42" s="309">
        <v>5.2</v>
      </c>
      <c r="L42" s="309">
        <v>6.3</v>
      </c>
      <c r="M42" s="309">
        <v>4.7</v>
      </c>
      <c r="N42" s="309">
        <v>3.5</v>
      </c>
      <c r="O42" s="310">
        <f t="shared" si="0"/>
        <v>6.6999999999999993</v>
      </c>
      <c r="P42" s="310">
        <f t="shared" si="1"/>
        <v>38.676592596567019</v>
      </c>
      <c r="Q42" s="311">
        <f t="shared" si="2"/>
        <v>1</v>
      </c>
      <c r="R42" s="251">
        <f t="shared" si="12"/>
        <v>5.166666666666667</v>
      </c>
      <c r="S42" s="252">
        <f t="shared" si="3"/>
        <v>1</v>
      </c>
      <c r="T42" s="251">
        <f t="shared" si="13"/>
        <v>7.8666666666666663</v>
      </c>
      <c r="U42" s="252">
        <f t="shared" si="8"/>
        <v>1</v>
      </c>
      <c r="V42" s="253">
        <f t="shared" si="14"/>
        <v>6.6999999999999993</v>
      </c>
      <c r="W42" s="252">
        <f t="shared" si="4"/>
        <v>1</v>
      </c>
      <c r="X42" s="359">
        <f t="shared" si="9"/>
        <v>9.86</v>
      </c>
      <c r="Y42" s="359">
        <f t="shared" si="10"/>
        <v>14.836111111111109</v>
      </c>
      <c r="Z42" s="359">
        <f t="shared" si="11"/>
        <v>12.016666666666666</v>
      </c>
      <c r="AA42" s="366"/>
      <c r="AB42" s="357" t="str">
        <f>VLOOKUP($B42,'2007-2020 Metadata'!$A$4:$S$214,MATCH("Urban Area /Monitoring Zone",'2007-2020 Metadata'!$A$4:$S$4,0),FALSE)</f>
        <v>Auckland - Western</v>
      </c>
      <c r="AC42" s="255" t="str">
        <f>VLOOKUP(B42,'2007-2020 Metadata'!$A$6:$A$214,1,FALSE)</f>
        <v>AUC058</v>
      </c>
      <c r="AD42" s="361" t="str">
        <f>VLOOKUP($AC42,'2007-2020 Metadata'!$A$6:$S$214,9,FALSE)</f>
        <v>Waitakere</v>
      </c>
      <c r="AE42" s="361">
        <f>IF(ISBLANK(VLOOKUP($AC42,'2007-2020 Metadata'!$A$6:$S$214,19,FALSE)),"",VLOOKUP($AC42,'2007-2020 Metadata'!$A$6:$S$214,19,FALSE))</f>
        <v>3</v>
      </c>
      <c r="AF42" s="360" t="str">
        <f>VLOOKUP($B42,'2007-2020 Metadata'!$A$4:$S$214,MATCH("Site type",'2007-2020 Metadata'!$A$4:$S$4,0),FALSE)</f>
        <v>Background</v>
      </c>
      <c r="AG42" s="365">
        <f t="shared" ref="AG42:AG43" si="21">MIN(AVERAGE($C$41:$C$43),AVERAGE($E$41:$E$43),AVERAGE($F$41:$F$43),AVERAGE($G$41:$G$43),AVERAGE($H$41:$H$43),AVERAGE($I$41:$I$43),AVERAGE($J$41:$J$43),AVERAGE($K$41:$K$43),AVERAGE($L$41:$L$43),AVERAGE($M$41:$M$43),AVERAGE($N$41:$N$43))</f>
        <v>3.4666666666666668</v>
      </c>
      <c r="AH42" s="365">
        <f t="shared" ref="AH42:AH43" si="22">MAX(AVERAGE($C$41:$C$43),AVERAGE($E$41:$E$43),AVERAGE($F$41:$F$43),AVERAGE($G$41:$G$43),AVERAGE($H$41:$H$43),AVERAGE($I$41:$I$43),AVERAGE($J$41:$J$43),AVERAGE($K$41:$K$43),AVERAGE($L$41:$L$43),AVERAGE($M$41:$M$43),AVERAGE($N$41:$N$43))</f>
        <v>11.200000000000001</v>
      </c>
      <c r="AI42" s="359">
        <f t="shared" si="7"/>
        <v>12.016666666666666</v>
      </c>
    </row>
    <row r="43" spans="2:35" ht="12" customHeight="1" x14ac:dyDescent="0.15">
      <c r="B43" s="308" t="s">
        <v>80</v>
      </c>
      <c r="C43" s="309">
        <v>4.4000000000000004</v>
      </c>
      <c r="D43" s="309">
        <v>6.2</v>
      </c>
      <c r="E43" s="309">
        <v>4.5999999999999996</v>
      </c>
      <c r="F43" s="309">
        <v>4.5999999999999996</v>
      </c>
      <c r="G43" s="309">
        <v>9.9</v>
      </c>
      <c r="H43" s="309">
        <v>11.3</v>
      </c>
      <c r="I43" s="309">
        <v>9.8000000000000007</v>
      </c>
      <c r="J43" s="309">
        <v>8.4</v>
      </c>
      <c r="K43" s="309">
        <v>5.3</v>
      </c>
      <c r="L43" s="309">
        <v>6.3</v>
      </c>
      <c r="M43" s="309">
        <v>4.5</v>
      </c>
      <c r="N43" s="309">
        <v>3.4</v>
      </c>
      <c r="O43" s="310">
        <f t="shared" si="0"/>
        <v>6.5583333333333336</v>
      </c>
      <c r="P43" s="310">
        <f t="shared" si="1"/>
        <v>38.339685637671941</v>
      </c>
      <c r="Q43" s="311">
        <f t="shared" si="2"/>
        <v>1</v>
      </c>
      <c r="R43" s="251">
        <f t="shared" si="12"/>
        <v>5.0666666666666673</v>
      </c>
      <c r="S43" s="252">
        <f t="shared" si="3"/>
        <v>1</v>
      </c>
      <c r="T43" s="251">
        <f t="shared" si="13"/>
        <v>7.8333333333333348</v>
      </c>
      <c r="U43" s="252">
        <f t="shared" si="8"/>
        <v>1</v>
      </c>
      <c r="V43" s="253">
        <f t="shared" si="14"/>
        <v>6.5583333333333336</v>
      </c>
      <c r="W43" s="252">
        <f t="shared" si="4"/>
        <v>1</v>
      </c>
      <c r="X43" s="359">
        <f t="shared" si="9"/>
        <v>9.86</v>
      </c>
      <c r="Y43" s="359">
        <f t="shared" si="10"/>
        <v>14.836111111111109</v>
      </c>
      <c r="Z43" s="359">
        <f t="shared" si="11"/>
        <v>12.016666666666666</v>
      </c>
      <c r="AA43" s="366"/>
      <c r="AB43" s="357" t="str">
        <f>VLOOKUP($B43,'2007-2020 Metadata'!$A$4:$S$214,MATCH("Urban Area /Monitoring Zone",'2007-2020 Metadata'!$A$4:$S$4,0),FALSE)</f>
        <v>Auckland - Western</v>
      </c>
      <c r="AC43" s="255" t="str">
        <f>VLOOKUP(B43,'2007-2020 Metadata'!$A$6:$A$214,1,FALSE)</f>
        <v>AUC059</v>
      </c>
      <c r="AD43" s="361" t="str">
        <f>VLOOKUP($AC43,'2007-2020 Metadata'!$A$6:$S$214,9,FALSE)</f>
        <v>Waitakere</v>
      </c>
      <c r="AE43" s="361">
        <f>IF(ISBLANK(VLOOKUP($AC43,'2007-2020 Metadata'!$A$6:$S$214,19,FALSE)),"",VLOOKUP($AC43,'2007-2020 Metadata'!$A$6:$S$214,19,FALSE))</f>
        <v>3</v>
      </c>
      <c r="AF43" s="360" t="str">
        <f>VLOOKUP($B43,'2007-2020 Metadata'!$A$4:$S$214,MATCH("Site type",'2007-2020 Metadata'!$A$4:$S$4,0),FALSE)</f>
        <v>Background</v>
      </c>
      <c r="AG43" s="365">
        <f t="shared" si="21"/>
        <v>3.4666666666666668</v>
      </c>
      <c r="AH43" s="365">
        <f t="shared" si="22"/>
        <v>11.200000000000001</v>
      </c>
      <c r="AI43" s="359">
        <f t="shared" si="7"/>
        <v>12.016666666666666</v>
      </c>
    </row>
    <row r="44" spans="2:35" ht="12" customHeight="1" x14ac:dyDescent="0.15">
      <c r="B44" s="313" t="s">
        <v>81</v>
      </c>
      <c r="C44" s="309">
        <v>20.5</v>
      </c>
      <c r="D44" s="309">
        <v>25.9</v>
      </c>
      <c r="E44" s="309"/>
      <c r="F44" s="309"/>
      <c r="G44" s="309"/>
      <c r="H44" s="309">
        <v>32.700000000000003</v>
      </c>
      <c r="I44" s="309">
        <v>33.299999999999997</v>
      </c>
      <c r="J44" s="309">
        <v>28.1</v>
      </c>
      <c r="K44" s="309">
        <v>27</v>
      </c>
      <c r="L44" s="309">
        <v>27.4</v>
      </c>
      <c r="M44" s="309">
        <v>29.7</v>
      </c>
      <c r="N44" s="309">
        <v>17.399999999999999</v>
      </c>
      <c r="O44" s="310">
        <f t="shared" si="0"/>
        <v>26.888888888888889</v>
      </c>
      <c r="P44" s="310">
        <f t="shared" si="1"/>
        <v>18.234053440469207</v>
      </c>
      <c r="Q44" s="311">
        <f t="shared" si="2"/>
        <v>0.75</v>
      </c>
      <c r="R44" s="225">
        <f t="shared" si="12"/>
        <v>23.2</v>
      </c>
      <c r="S44" s="226">
        <f t="shared" si="3"/>
        <v>0.66666666666666663</v>
      </c>
      <c r="T44" s="225">
        <f t="shared" si="13"/>
        <v>29.466666666666669</v>
      </c>
      <c r="U44" s="226">
        <f t="shared" si="8"/>
        <v>1</v>
      </c>
      <c r="V44" s="227">
        <f t="shared" si="14"/>
        <v>26.888888888888889</v>
      </c>
      <c r="W44" s="228">
        <f t="shared" si="4"/>
        <v>0.75</v>
      </c>
      <c r="X44" s="354">
        <f t="shared" si="9"/>
        <v>18.774999999999999</v>
      </c>
      <c r="Y44" s="354">
        <f t="shared" si="10"/>
        <v>25.806666666666665</v>
      </c>
      <c r="Z44" s="354">
        <f t="shared" si="11"/>
        <v>21.554865319865321</v>
      </c>
      <c r="AA44" s="205"/>
      <c r="AB44" s="357" t="str">
        <f>VLOOKUP($B44,'2007-2020 Metadata'!$A$4:$S$214,MATCH("Urban Area /Monitoring Zone",'2007-2020 Metadata'!$A$4:$S$4,0),FALSE)</f>
        <v>Auckland - Central</v>
      </c>
      <c r="AC44" s="229" t="str">
        <f>VLOOKUP(B44,'2007-2020 Metadata'!$A$6:$A$214,1,FALSE)</f>
        <v>AUC060</v>
      </c>
      <c r="AD44" s="356" t="str">
        <f>VLOOKUP($AC44,'2007-2020 Metadata'!$A$6:$S$214,9,FALSE)</f>
        <v>Auckland</v>
      </c>
      <c r="AE44" s="356">
        <f>IF(ISBLANK(VLOOKUP($AC44,'2007-2020 Metadata'!$A$6:$S$214,19,FALSE)),"",VLOOKUP($AC44,'2007-2020 Metadata'!$A$6:$S$214,19,FALSE))</f>
        <v>3</v>
      </c>
      <c r="AF44" s="355" t="str">
        <f>VLOOKUP($B44,'2007-2020 Metadata'!$A$4:$S$214,MATCH("Site type",'2007-2020 Metadata'!$A$4:$S$4,0),FALSE)</f>
        <v>Local</v>
      </c>
      <c r="AG44" s="364">
        <f t="shared" si="5"/>
        <v>17.399999999999999</v>
      </c>
      <c r="AH44" s="364">
        <f t="shared" si="6"/>
        <v>33.299999999999997</v>
      </c>
      <c r="AI44" s="354">
        <f t="shared" si="7"/>
        <v>21.554865319865321</v>
      </c>
    </row>
    <row r="45" spans="2:35" ht="12" customHeight="1" x14ac:dyDescent="0.15">
      <c r="B45" s="313" t="s">
        <v>82</v>
      </c>
      <c r="C45" s="309">
        <v>15.4</v>
      </c>
      <c r="D45" s="309">
        <v>23.4</v>
      </c>
      <c r="E45" s="309"/>
      <c r="F45" s="309"/>
      <c r="G45" s="309"/>
      <c r="H45" s="309">
        <v>34.6</v>
      </c>
      <c r="I45" s="309">
        <v>31.4</v>
      </c>
      <c r="J45" s="309">
        <v>26.2</v>
      </c>
      <c r="K45" s="309">
        <v>23.1</v>
      </c>
      <c r="L45" s="309">
        <v>25.8</v>
      </c>
      <c r="M45" s="309">
        <v>26.8</v>
      </c>
      <c r="N45" s="309">
        <v>13.6</v>
      </c>
      <c r="O45" s="310">
        <f t="shared" si="0"/>
        <v>24.477777777777778</v>
      </c>
      <c r="P45" s="310">
        <f t="shared" si="1"/>
        <v>25.990927162837536</v>
      </c>
      <c r="Q45" s="311">
        <f t="shared" si="2"/>
        <v>0.75</v>
      </c>
      <c r="R45" s="225">
        <f t="shared" si="12"/>
        <v>19.399999999999999</v>
      </c>
      <c r="S45" s="226">
        <f t="shared" si="3"/>
        <v>0.66666666666666663</v>
      </c>
      <c r="T45" s="225">
        <f t="shared" si="13"/>
        <v>26.899999999999995</v>
      </c>
      <c r="U45" s="226">
        <f t="shared" si="8"/>
        <v>1</v>
      </c>
      <c r="V45" s="227">
        <f t="shared" si="14"/>
        <v>24.477777777777778</v>
      </c>
      <c r="W45" s="228">
        <f t="shared" si="4"/>
        <v>0.75</v>
      </c>
      <c r="X45" s="354">
        <f t="shared" si="9"/>
        <v>18.774999999999999</v>
      </c>
      <c r="Y45" s="354">
        <f t="shared" si="10"/>
        <v>25.806666666666665</v>
      </c>
      <c r="Z45" s="354">
        <f t="shared" si="11"/>
        <v>21.554865319865321</v>
      </c>
      <c r="AA45" s="205"/>
      <c r="AB45" s="357" t="str">
        <f>VLOOKUP($B45,'2007-2020 Metadata'!$A$4:$S$214,MATCH("Urban Area /Monitoring Zone",'2007-2020 Metadata'!$A$4:$S$4,0),FALSE)</f>
        <v>Auckland - Central</v>
      </c>
      <c r="AC45" s="229" t="str">
        <f>VLOOKUP(B45,'2007-2020 Metadata'!$A$6:$A$214,1,FALSE)</f>
        <v>AUC061</v>
      </c>
      <c r="AD45" s="356" t="str">
        <f>VLOOKUP($AC45,'2007-2020 Metadata'!$A$6:$S$214,9,FALSE)</f>
        <v>Auckland</v>
      </c>
      <c r="AE45" s="356">
        <f>IF(ISBLANK(VLOOKUP($AC45,'2007-2020 Metadata'!$A$6:$S$214,19,FALSE)),"",VLOOKUP($AC45,'2007-2020 Metadata'!$A$6:$S$214,19,FALSE))</f>
        <v>3</v>
      </c>
      <c r="AF45" s="355" t="str">
        <f>VLOOKUP($B45,'2007-2020 Metadata'!$A$4:$S$214,MATCH("Site type",'2007-2020 Metadata'!$A$4:$S$4,0),FALSE)</f>
        <v>Local</v>
      </c>
      <c r="AG45" s="364">
        <f t="shared" si="5"/>
        <v>13.6</v>
      </c>
      <c r="AH45" s="364">
        <f t="shared" si="6"/>
        <v>34.6</v>
      </c>
      <c r="AI45" s="354">
        <f t="shared" si="7"/>
        <v>21.554865319865321</v>
      </c>
    </row>
    <row r="46" spans="2:35" ht="12" customHeight="1" x14ac:dyDescent="0.15">
      <c r="B46" s="313" t="s">
        <v>83</v>
      </c>
      <c r="C46" s="309">
        <v>18.3</v>
      </c>
      <c r="D46" s="309">
        <v>19.899999999999999</v>
      </c>
      <c r="E46" s="309">
        <v>14.3</v>
      </c>
      <c r="F46" s="309">
        <v>14.3</v>
      </c>
      <c r="G46" s="309">
        <v>30.1</v>
      </c>
      <c r="H46" s="309">
        <v>24.3</v>
      </c>
      <c r="I46" s="309">
        <v>26.2</v>
      </c>
      <c r="J46" s="309">
        <v>21.5</v>
      </c>
      <c r="K46" s="309">
        <v>21.9</v>
      </c>
      <c r="L46" s="309">
        <v>15.7</v>
      </c>
      <c r="M46" s="309">
        <v>18.899999999999999</v>
      </c>
      <c r="N46" s="309">
        <v>13.2</v>
      </c>
      <c r="O46" s="310">
        <f t="shared" si="0"/>
        <v>19.883333333333333</v>
      </c>
      <c r="P46" s="310">
        <f t="shared" si="1"/>
        <v>25.081922742935642</v>
      </c>
      <c r="Q46" s="311">
        <f t="shared" si="2"/>
        <v>1</v>
      </c>
      <c r="R46" s="225">
        <f t="shared" si="12"/>
        <v>17.5</v>
      </c>
      <c r="S46" s="226">
        <f t="shared" si="3"/>
        <v>1</v>
      </c>
      <c r="T46" s="225">
        <f t="shared" si="13"/>
        <v>23.2</v>
      </c>
      <c r="U46" s="226">
        <f t="shared" si="8"/>
        <v>1</v>
      </c>
      <c r="V46" s="227">
        <f t="shared" si="14"/>
        <v>19.883333333333333</v>
      </c>
      <c r="W46" s="228">
        <f t="shared" si="4"/>
        <v>1</v>
      </c>
      <c r="X46" s="354">
        <f t="shared" si="9"/>
        <v>18.774999999999999</v>
      </c>
      <c r="Y46" s="354">
        <f t="shared" si="10"/>
        <v>25.806666666666665</v>
      </c>
      <c r="Z46" s="354">
        <f t="shared" si="11"/>
        <v>21.554865319865321</v>
      </c>
      <c r="AA46" s="205"/>
      <c r="AB46" s="357" t="str">
        <f>VLOOKUP($B46,'2007-2020 Metadata'!$A$4:$S$214,MATCH("Urban Area /Monitoring Zone",'2007-2020 Metadata'!$A$4:$S$4,0),FALSE)</f>
        <v>Auckland - Central</v>
      </c>
      <c r="AC46" s="229" t="str">
        <f>VLOOKUP(B46,'2007-2020 Metadata'!$A$6:$A$214,1,FALSE)</f>
        <v>AUC062</v>
      </c>
      <c r="AD46" s="356" t="str">
        <f>VLOOKUP($AC46,'2007-2020 Metadata'!$A$6:$S$214,9,FALSE)</f>
        <v>Auckland</v>
      </c>
      <c r="AE46" s="356">
        <f>IF(ISBLANK(VLOOKUP($AC46,'2007-2020 Metadata'!$A$6:$S$214,19,FALSE)),"",VLOOKUP($AC46,'2007-2020 Metadata'!$A$6:$S$214,19,FALSE))</f>
        <v>2.5</v>
      </c>
      <c r="AF46" s="355" t="str">
        <f>VLOOKUP($B46,'2007-2020 Metadata'!$A$4:$S$214,MATCH("Site type",'2007-2020 Metadata'!$A$4:$S$4,0),FALSE)</f>
        <v>Local</v>
      </c>
      <c r="AG46" s="364">
        <f t="shared" si="5"/>
        <v>13.2</v>
      </c>
      <c r="AH46" s="364">
        <f t="shared" si="6"/>
        <v>30.1</v>
      </c>
      <c r="AI46" s="354">
        <f t="shared" si="7"/>
        <v>21.554865319865321</v>
      </c>
    </row>
    <row r="47" spans="2:35" ht="12" customHeight="1" x14ac:dyDescent="0.15">
      <c r="B47" s="313" t="s">
        <v>84</v>
      </c>
      <c r="C47" s="309">
        <v>25.5</v>
      </c>
      <c r="D47" s="309">
        <v>26.3</v>
      </c>
      <c r="E47" s="309">
        <v>17.3</v>
      </c>
      <c r="F47" s="309">
        <v>17.3</v>
      </c>
      <c r="G47" s="309">
        <v>37.4</v>
      </c>
      <c r="H47" s="309">
        <v>33.1</v>
      </c>
      <c r="I47" s="309">
        <v>37.700000000000003</v>
      </c>
      <c r="J47" s="309">
        <v>27.4</v>
      </c>
      <c r="K47" s="309">
        <v>26.3</v>
      </c>
      <c r="L47" s="309">
        <v>23</v>
      </c>
      <c r="M47" s="309">
        <v>24.7</v>
      </c>
      <c r="N47" s="309">
        <v>18.7</v>
      </c>
      <c r="O47" s="310">
        <f t="shared" si="0"/>
        <v>26.224999999999994</v>
      </c>
      <c r="P47" s="310">
        <f t="shared" si="1"/>
        <v>25.44650376628919</v>
      </c>
      <c r="Q47" s="311">
        <f t="shared" si="2"/>
        <v>1</v>
      </c>
      <c r="R47" s="225">
        <f t="shared" si="12"/>
        <v>23.033333333333331</v>
      </c>
      <c r="S47" s="226">
        <f t="shared" si="3"/>
        <v>1</v>
      </c>
      <c r="T47" s="225">
        <f t="shared" si="13"/>
        <v>30.466666666666665</v>
      </c>
      <c r="U47" s="226">
        <f t="shared" si="8"/>
        <v>1</v>
      </c>
      <c r="V47" s="227">
        <f t="shared" si="14"/>
        <v>26.224999999999994</v>
      </c>
      <c r="W47" s="228">
        <f t="shared" si="4"/>
        <v>1</v>
      </c>
      <c r="X47" s="354">
        <f t="shared" si="9"/>
        <v>9.86</v>
      </c>
      <c r="Y47" s="354">
        <f t="shared" si="10"/>
        <v>14.836111111111109</v>
      </c>
      <c r="Z47" s="354">
        <f t="shared" si="11"/>
        <v>12.016666666666666</v>
      </c>
      <c r="AA47" s="205"/>
      <c r="AB47" s="357" t="str">
        <f>VLOOKUP($B47,'2007-2020 Metadata'!$A$4:$S$214,MATCH("Urban Area /Monitoring Zone",'2007-2020 Metadata'!$A$4:$S$4,0),FALSE)</f>
        <v>Auckland - Western</v>
      </c>
      <c r="AC47" s="229" t="str">
        <f>VLOOKUP(B47,'2007-2020 Metadata'!$A$6:$A$214,1,FALSE)</f>
        <v>AUC063</v>
      </c>
      <c r="AD47" s="356" t="str">
        <f>VLOOKUP($AC47,'2007-2020 Metadata'!$A$6:$S$214,9,FALSE)</f>
        <v>Waitakere</v>
      </c>
      <c r="AE47" s="356">
        <f>IF(ISBLANK(VLOOKUP($AC47,'2007-2020 Metadata'!$A$6:$S$214,19,FALSE)),"",VLOOKUP($AC47,'2007-2020 Metadata'!$A$6:$S$214,19,FALSE))</f>
        <v>3</v>
      </c>
      <c r="AF47" s="355" t="str">
        <f>VLOOKUP($B47,'2007-2020 Metadata'!$A$4:$S$214,MATCH("Site type",'2007-2020 Metadata'!$A$4:$S$4,0),FALSE)</f>
        <v>Local</v>
      </c>
      <c r="AG47" s="364">
        <f t="shared" si="5"/>
        <v>17.3</v>
      </c>
      <c r="AH47" s="364">
        <f t="shared" si="6"/>
        <v>37.700000000000003</v>
      </c>
      <c r="AI47" s="354">
        <f t="shared" si="7"/>
        <v>12.016666666666666</v>
      </c>
    </row>
    <row r="48" spans="2:35" ht="12" customHeight="1" x14ac:dyDescent="0.15">
      <c r="B48" s="313" t="s">
        <v>85</v>
      </c>
      <c r="C48" s="309">
        <v>11.3</v>
      </c>
      <c r="D48" s="309">
        <v>13.4</v>
      </c>
      <c r="E48" s="309">
        <v>11.3</v>
      </c>
      <c r="F48" s="309">
        <v>11.3</v>
      </c>
      <c r="G48" s="309"/>
      <c r="H48" s="309">
        <v>24.8</v>
      </c>
      <c r="I48" s="309"/>
      <c r="J48" s="309">
        <v>20.9</v>
      </c>
      <c r="K48" s="309">
        <v>13.3</v>
      </c>
      <c r="L48" s="309">
        <v>18.8</v>
      </c>
      <c r="M48" s="309">
        <v>13.3</v>
      </c>
      <c r="N48" s="309">
        <v>10.5</v>
      </c>
      <c r="O48" s="310">
        <f t="shared" si="0"/>
        <v>14.89</v>
      </c>
      <c r="P48" s="310">
        <f t="shared" si="1"/>
        <v>31.128038552963254</v>
      </c>
      <c r="Q48" s="311">
        <f t="shared" si="2"/>
        <v>0.83333333333333337</v>
      </c>
      <c r="R48" s="225">
        <f t="shared" si="12"/>
        <v>12</v>
      </c>
      <c r="S48" s="226">
        <f t="shared" si="3"/>
        <v>1</v>
      </c>
      <c r="T48" s="225">
        <f t="shared" si="13"/>
        <v>17.100000000000001</v>
      </c>
      <c r="U48" s="226">
        <f t="shared" si="8"/>
        <v>0.66666666666666663</v>
      </c>
      <c r="V48" s="227">
        <f t="shared" si="14"/>
        <v>14.89</v>
      </c>
      <c r="W48" s="228">
        <f t="shared" si="4"/>
        <v>0.83333333333333337</v>
      </c>
      <c r="X48" s="354">
        <f t="shared" si="9"/>
        <v>18.774999999999999</v>
      </c>
      <c r="Y48" s="354">
        <f t="shared" si="10"/>
        <v>25.806666666666665</v>
      </c>
      <c r="Z48" s="354">
        <f t="shared" si="11"/>
        <v>21.554865319865321</v>
      </c>
      <c r="AA48" s="205"/>
      <c r="AB48" s="357" t="str">
        <f>VLOOKUP($B48,'2007-2020 Metadata'!$A$4:$S$214,MATCH("Urban Area /Monitoring Zone",'2007-2020 Metadata'!$A$4:$S$4,0),FALSE)</f>
        <v>Auckland - Central</v>
      </c>
      <c r="AC48" s="229" t="str">
        <f>VLOOKUP(B48,'2007-2020 Metadata'!$A$6:$A$214,1,FALSE)</f>
        <v>AUC064</v>
      </c>
      <c r="AD48" s="356" t="str">
        <f>VLOOKUP($AC48,'2007-2020 Metadata'!$A$6:$S$214,9,FALSE)</f>
        <v>Auckland</v>
      </c>
      <c r="AE48" s="356">
        <f>IF(ISBLANK(VLOOKUP($AC48,'2007-2020 Metadata'!$A$6:$S$214,19,FALSE)),"",VLOOKUP($AC48,'2007-2020 Metadata'!$A$6:$S$214,19,FALSE))</f>
        <v>3</v>
      </c>
      <c r="AF48" s="355" t="str">
        <f>VLOOKUP($B48,'2007-2020 Metadata'!$A$4:$S$214,MATCH("Site type",'2007-2020 Metadata'!$A$4:$S$4,0),FALSE)</f>
        <v>Local</v>
      </c>
      <c r="AG48" s="364">
        <f t="shared" si="5"/>
        <v>10.5</v>
      </c>
      <c r="AH48" s="364">
        <f t="shared" si="6"/>
        <v>24.8</v>
      </c>
      <c r="AI48" s="354">
        <f t="shared" si="7"/>
        <v>21.554865319865321</v>
      </c>
    </row>
    <row r="49" spans="2:35" ht="12" customHeight="1" x14ac:dyDescent="0.15">
      <c r="B49" s="313" t="s">
        <v>86</v>
      </c>
      <c r="C49" s="309">
        <v>21.2</v>
      </c>
      <c r="D49" s="309">
        <v>23</v>
      </c>
      <c r="E49" s="309"/>
      <c r="F49" s="309"/>
      <c r="G49" s="309"/>
      <c r="H49" s="309">
        <v>29.3</v>
      </c>
      <c r="I49" s="309">
        <v>28.5</v>
      </c>
      <c r="J49" s="309">
        <v>32.200000000000003</v>
      </c>
      <c r="K49" s="309">
        <v>28.8</v>
      </c>
      <c r="L49" s="309">
        <v>20.399999999999999</v>
      </c>
      <c r="M49" s="309">
        <v>21.9</v>
      </c>
      <c r="N49" s="309">
        <v>16.7</v>
      </c>
      <c r="O49" s="310">
        <f t="shared" si="0"/>
        <v>24.666666666666668</v>
      </c>
      <c r="P49" s="310">
        <f t="shared" si="1"/>
        <v>19.774107809557176</v>
      </c>
      <c r="Q49" s="311">
        <f t="shared" si="2"/>
        <v>0.75</v>
      </c>
      <c r="R49" s="225">
        <f t="shared" si="12"/>
        <v>22.1</v>
      </c>
      <c r="S49" s="226">
        <f t="shared" si="3"/>
        <v>0.66666666666666663</v>
      </c>
      <c r="T49" s="225">
        <f t="shared" si="13"/>
        <v>29.833333333333332</v>
      </c>
      <c r="U49" s="226">
        <f t="shared" si="8"/>
        <v>1</v>
      </c>
      <c r="V49" s="227">
        <f t="shared" si="14"/>
        <v>24.666666666666668</v>
      </c>
      <c r="W49" s="228">
        <f t="shared" si="4"/>
        <v>0.75</v>
      </c>
      <c r="X49" s="354">
        <f t="shared" si="9"/>
        <v>15.52222222222222</v>
      </c>
      <c r="Y49" s="354">
        <f t="shared" si="10"/>
        <v>22.020833333333332</v>
      </c>
      <c r="Z49" s="354">
        <f t="shared" si="11"/>
        <v>17.961111111111112</v>
      </c>
      <c r="AA49" s="205"/>
      <c r="AB49" s="357" t="str">
        <f>VLOOKUP($B49,'2007-2020 Metadata'!$A$4:$S$214,MATCH("Urban Area /Monitoring Zone",'2007-2020 Metadata'!$A$4:$S$4,0),FALSE)</f>
        <v xml:space="preserve">Auckland - Southern </v>
      </c>
      <c r="AC49" s="229" t="str">
        <f>VLOOKUP(B49,'2007-2020 Metadata'!$A$6:$A$214,1,FALSE)</f>
        <v>AUC067</v>
      </c>
      <c r="AD49" s="356" t="str">
        <f>VLOOKUP($AC49,'2007-2020 Metadata'!$A$6:$S$214,9,FALSE)</f>
        <v>Manukau</v>
      </c>
      <c r="AE49" s="356">
        <f>IF(ISBLANK(VLOOKUP($AC49,'2007-2020 Metadata'!$A$6:$S$214,19,FALSE)),"",VLOOKUP($AC49,'2007-2020 Metadata'!$A$6:$S$214,19,FALSE))</f>
        <v>3</v>
      </c>
      <c r="AF49" s="355" t="str">
        <f>VLOOKUP($B49,'2007-2020 Metadata'!$A$4:$S$214,MATCH("Site type",'2007-2020 Metadata'!$A$4:$S$4,0),FALSE)</f>
        <v>SH</v>
      </c>
      <c r="AG49" s="364">
        <f t="shared" si="5"/>
        <v>16.7</v>
      </c>
      <c r="AH49" s="364">
        <f t="shared" si="6"/>
        <v>32.200000000000003</v>
      </c>
      <c r="AI49" s="354">
        <f t="shared" si="7"/>
        <v>17.961111111111112</v>
      </c>
    </row>
    <row r="50" spans="2:35" ht="12" customHeight="1" x14ac:dyDescent="0.15">
      <c r="B50" s="313" t="s">
        <v>88</v>
      </c>
      <c r="C50" s="309">
        <v>14.8</v>
      </c>
      <c r="D50" s="309">
        <v>22.5</v>
      </c>
      <c r="E50" s="309"/>
      <c r="F50" s="309"/>
      <c r="G50" s="309"/>
      <c r="H50" s="309">
        <v>32.4</v>
      </c>
      <c r="I50" s="309">
        <v>31.8</v>
      </c>
      <c r="J50" s="309">
        <v>25.9</v>
      </c>
      <c r="K50" s="309">
        <v>21.4</v>
      </c>
      <c r="L50" s="309">
        <v>22</v>
      </c>
      <c r="M50" s="309">
        <v>17.3</v>
      </c>
      <c r="N50" s="309">
        <v>14.3</v>
      </c>
      <c r="O50" s="310">
        <f t="shared" si="0"/>
        <v>22.488888888888891</v>
      </c>
      <c r="P50" s="310">
        <f t="shared" si="1"/>
        <v>27.772775860624954</v>
      </c>
      <c r="Q50" s="311">
        <f t="shared" si="2"/>
        <v>0.75</v>
      </c>
      <c r="R50" s="225">
        <f t="shared" si="12"/>
        <v>18.649999999999999</v>
      </c>
      <c r="S50" s="226">
        <f t="shared" si="3"/>
        <v>0.66666666666666663</v>
      </c>
      <c r="T50" s="225">
        <f t="shared" si="13"/>
        <v>26.366666666666664</v>
      </c>
      <c r="U50" s="226">
        <f t="shared" si="8"/>
        <v>1</v>
      </c>
      <c r="V50" s="227">
        <f t="shared" si="14"/>
        <v>22.488888888888891</v>
      </c>
      <c r="W50" s="228">
        <f t="shared" si="4"/>
        <v>0.75</v>
      </c>
      <c r="X50" s="354">
        <f t="shared" si="9"/>
        <v>15.52222222222222</v>
      </c>
      <c r="Y50" s="354">
        <f t="shared" si="10"/>
        <v>22.020833333333332</v>
      </c>
      <c r="Z50" s="354">
        <f t="shared" si="11"/>
        <v>17.961111111111112</v>
      </c>
      <c r="AA50" s="205"/>
      <c r="AB50" s="357" t="str">
        <f>VLOOKUP($B50,'2007-2020 Metadata'!$A$4:$S$214,MATCH("Urban Area /Monitoring Zone",'2007-2020 Metadata'!$A$4:$S$4,0),FALSE)</f>
        <v xml:space="preserve">Auckland - Southern </v>
      </c>
      <c r="AC50" s="229" t="str">
        <f>VLOOKUP(B50,'2007-2020 Metadata'!$A$6:$A$214,1,FALSE)</f>
        <v>AUC069</v>
      </c>
      <c r="AD50" s="356" t="str">
        <f>VLOOKUP($AC50,'2007-2020 Metadata'!$A$6:$S$214,9,FALSE)</f>
        <v>Manukau</v>
      </c>
      <c r="AE50" s="356">
        <f>IF(ISBLANK(VLOOKUP($AC50,'2007-2020 Metadata'!$A$6:$S$214,19,FALSE)),"",VLOOKUP($AC50,'2007-2020 Metadata'!$A$6:$S$214,19,FALSE))</f>
        <v>3</v>
      </c>
      <c r="AF50" s="355" t="str">
        <f>VLOOKUP($B50,'2007-2020 Metadata'!$A$4:$S$214,MATCH("Site type",'2007-2020 Metadata'!$A$4:$S$4,0),FALSE)</f>
        <v>Local</v>
      </c>
      <c r="AG50" s="364">
        <f t="shared" si="5"/>
        <v>14.3</v>
      </c>
      <c r="AH50" s="364">
        <f t="shared" si="6"/>
        <v>32.4</v>
      </c>
      <c r="AI50" s="354">
        <f t="shared" si="7"/>
        <v>17.961111111111112</v>
      </c>
    </row>
    <row r="51" spans="2:35" ht="12" customHeight="1" x14ac:dyDescent="0.15">
      <c r="B51" s="313" t="s">
        <v>89</v>
      </c>
      <c r="C51" s="309">
        <v>13.2</v>
      </c>
      <c r="D51" s="309">
        <v>14.3</v>
      </c>
      <c r="E51" s="309">
        <v>12.7</v>
      </c>
      <c r="F51" s="309">
        <v>12.7</v>
      </c>
      <c r="G51" s="309">
        <v>18</v>
      </c>
      <c r="H51" s="309">
        <v>19.5</v>
      </c>
      <c r="I51" s="309">
        <v>17.600000000000001</v>
      </c>
      <c r="J51" s="309">
        <v>17.3</v>
      </c>
      <c r="K51" s="309">
        <v>20.2</v>
      </c>
      <c r="L51" s="309">
        <v>13.2</v>
      </c>
      <c r="M51" s="309">
        <v>14.8</v>
      </c>
      <c r="N51" s="309">
        <v>11.4</v>
      </c>
      <c r="O51" s="310">
        <f t="shared" si="0"/>
        <v>15.408333333333333</v>
      </c>
      <c r="P51" s="310">
        <f t="shared" si="1"/>
        <v>18.441291050451358</v>
      </c>
      <c r="Q51" s="311">
        <f t="shared" si="2"/>
        <v>1</v>
      </c>
      <c r="R51" s="225">
        <f t="shared" si="12"/>
        <v>13.4</v>
      </c>
      <c r="S51" s="226">
        <f t="shared" si="3"/>
        <v>1</v>
      </c>
      <c r="T51" s="225">
        <f t="shared" si="13"/>
        <v>18.366666666666671</v>
      </c>
      <c r="U51" s="226">
        <f t="shared" si="8"/>
        <v>1</v>
      </c>
      <c r="V51" s="227">
        <f t="shared" si="14"/>
        <v>15.408333333333333</v>
      </c>
      <c r="W51" s="228">
        <f t="shared" si="4"/>
        <v>1</v>
      </c>
      <c r="X51" s="354">
        <f t="shared" si="9"/>
        <v>15.52222222222222</v>
      </c>
      <c r="Y51" s="354">
        <f t="shared" si="10"/>
        <v>22.020833333333332</v>
      </c>
      <c r="Z51" s="354">
        <f t="shared" si="11"/>
        <v>17.961111111111112</v>
      </c>
      <c r="AA51" s="205"/>
      <c r="AB51" s="357" t="str">
        <f>VLOOKUP($B51,'2007-2020 Metadata'!$A$4:$S$214,MATCH("Urban Area /Monitoring Zone",'2007-2020 Metadata'!$A$4:$S$4,0),FALSE)</f>
        <v xml:space="preserve">Auckland - Southern </v>
      </c>
      <c r="AC51" s="229" t="str">
        <f>VLOOKUP(B51,'2007-2020 Metadata'!$A$6:$A$214,1,FALSE)</f>
        <v>AUC070</v>
      </c>
      <c r="AD51" s="356" t="str">
        <f>VLOOKUP($AC51,'2007-2020 Metadata'!$A$6:$S$214,9,FALSE)</f>
        <v>Manukau</v>
      </c>
      <c r="AE51" s="356">
        <f>IF(ISBLANK(VLOOKUP($AC51,'2007-2020 Metadata'!$A$6:$S$214,19,FALSE)),"",VLOOKUP($AC51,'2007-2020 Metadata'!$A$6:$S$214,19,FALSE))</f>
        <v>2.5</v>
      </c>
      <c r="AF51" s="355" t="str">
        <f>VLOOKUP($B51,'2007-2020 Metadata'!$A$4:$S$214,MATCH("Site type",'2007-2020 Metadata'!$A$4:$S$4,0),FALSE)</f>
        <v>Local</v>
      </c>
      <c r="AG51" s="364">
        <f t="shared" si="5"/>
        <v>11.4</v>
      </c>
      <c r="AH51" s="364">
        <f t="shared" si="6"/>
        <v>20.2</v>
      </c>
      <c r="AI51" s="354">
        <f t="shared" si="7"/>
        <v>17.961111111111112</v>
      </c>
    </row>
    <row r="52" spans="2:35" ht="12" customHeight="1" x14ac:dyDescent="0.15">
      <c r="B52" s="313" t="s">
        <v>1040</v>
      </c>
      <c r="C52" s="309">
        <v>20.3</v>
      </c>
      <c r="D52" s="309">
        <v>21.9</v>
      </c>
      <c r="E52" s="309"/>
      <c r="F52" s="309"/>
      <c r="G52" s="309"/>
      <c r="H52" s="309">
        <v>25.9</v>
      </c>
      <c r="I52" s="309">
        <v>29.7</v>
      </c>
      <c r="J52" s="309">
        <v>29.3</v>
      </c>
      <c r="K52" s="309">
        <v>25.8</v>
      </c>
      <c r="L52" s="309">
        <v>17.5</v>
      </c>
      <c r="M52" s="309">
        <v>20.6</v>
      </c>
      <c r="N52" s="309">
        <v>14.1</v>
      </c>
      <c r="O52" s="310">
        <f t="shared" si="0"/>
        <v>22.788888888888888</v>
      </c>
      <c r="P52" s="310">
        <f t="shared" si="1"/>
        <v>21.89898013091436</v>
      </c>
      <c r="Q52" s="311">
        <f t="shared" si="2"/>
        <v>0.75</v>
      </c>
      <c r="R52" s="225">
        <f t="shared" si="12"/>
        <v>21.1</v>
      </c>
      <c r="S52" s="226">
        <f t="shared" si="3"/>
        <v>0.66666666666666663</v>
      </c>
      <c r="T52" s="225">
        <f t="shared" si="13"/>
        <v>28.266666666666666</v>
      </c>
      <c r="U52" s="226">
        <f t="shared" si="8"/>
        <v>1</v>
      </c>
      <c r="V52" s="227">
        <f t="shared" si="14"/>
        <v>22.788888888888888</v>
      </c>
      <c r="W52" s="228">
        <f t="shared" si="4"/>
        <v>0.75</v>
      </c>
      <c r="X52" s="354">
        <f t="shared" si="9"/>
        <v>21.1</v>
      </c>
      <c r="Y52" s="354">
        <f t="shared" si="10"/>
        <v>28.266666666666666</v>
      </c>
      <c r="Z52" s="354">
        <f t="shared" si="11"/>
        <v>22.788888888888888</v>
      </c>
      <c r="AA52" s="205"/>
      <c r="AB52" s="357">
        <f>VLOOKUP($B52,'2007-2020 Metadata'!$A$4:$S$214,MATCH("Urban Area /Monitoring Zone",'2007-2020 Metadata'!$A$4:$S$4,0),FALSE)</f>
        <v>0</v>
      </c>
      <c r="AC52" s="229" t="str">
        <f>VLOOKUP(B52,'2007-2020 Metadata'!$A$6:$A$214,1,FALSE)</f>
        <v>AUC071a</v>
      </c>
      <c r="AD52" s="356">
        <f>VLOOKUP($AC52,'2007-2020 Metadata'!$A$6:$S$214,9,FALSE)</f>
        <v>0</v>
      </c>
      <c r="AE52" s="356" t="str">
        <f>IF(ISBLANK(VLOOKUP($AC52,'2007-2020 Metadata'!$A$6:$S$214,19,FALSE)),"",VLOOKUP($AC52,'2007-2020 Metadata'!$A$6:$S$214,19,FALSE))</f>
        <v/>
      </c>
      <c r="AF52" s="355" t="str">
        <f>VLOOKUP($B52,'2007-2020 Metadata'!$A$4:$S$214,MATCH("Site type",'2007-2020 Metadata'!$A$4:$S$4,0),FALSE)</f>
        <v>Local</v>
      </c>
      <c r="AG52" s="364">
        <f t="shared" si="5"/>
        <v>14.1</v>
      </c>
      <c r="AH52" s="364">
        <f t="shared" si="6"/>
        <v>29.7</v>
      </c>
      <c r="AI52" s="354">
        <f t="shared" si="7"/>
        <v>22.788888888888888</v>
      </c>
    </row>
    <row r="53" spans="2:35" ht="12" customHeight="1" x14ac:dyDescent="0.15">
      <c r="B53" s="313" t="s">
        <v>91</v>
      </c>
      <c r="C53" s="309">
        <v>17</v>
      </c>
      <c r="D53" s="309">
        <v>17.8</v>
      </c>
      <c r="E53" s="309">
        <v>12.9</v>
      </c>
      <c r="F53" s="309">
        <v>12.9</v>
      </c>
      <c r="G53" s="309">
        <v>25.2</v>
      </c>
      <c r="H53" s="309">
        <v>20.2</v>
      </c>
      <c r="I53" s="309">
        <v>24.4</v>
      </c>
      <c r="J53" s="309">
        <v>18.600000000000001</v>
      </c>
      <c r="K53" s="309">
        <v>19.899999999999999</v>
      </c>
      <c r="L53" s="309">
        <v>12.8</v>
      </c>
      <c r="M53" s="309">
        <v>17.7</v>
      </c>
      <c r="N53" s="309">
        <v>11.4</v>
      </c>
      <c r="O53" s="310">
        <f t="shared" si="0"/>
        <v>17.566666666666666</v>
      </c>
      <c r="P53" s="310">
        <f t="shared" si="1"/>
        <v>24.545749080256435</v>
      </c>
      <c r="Q53" s="311">
        <f t="shared" si="2"/>
        <v>1</v>
      </c>
      <c r="R53" s="225">
        <f t="shared" si="12"/>
        <v>15.899999999999999</v>
      </c>
      <c r="S53" s="226">
        <f t="shared" si="3"/>
        <v>1</v>
      </c>
      <c r="T53" s="225">
        <f t="shared" si="13"/>
        <v>20.966666666666665</v>
      </c>
      <c r="U53" s="226">
        <f t="shared" si="8"/>
        <v>1</v>
      </c>
      <c r="V53" s="227">
        <f t="shared" si="14"/>
        <v>17.566666666666666</v>
      </c>
      <c r="W53" s="228">
        <f t="shared" si="4"/>
        <v>1</v>
      </c>
      <c r="X53" s="354">
        <f t="shared" si="9"/>
        <v>15.52222222222222</v>
      </c>
      <c r="Y53" s="354">
        <f t="shared" si="10"/>
        <v>22.020833333333332</v>
      </c>
      <c r="Z53" s="354">
        <f t="shared" si="11"/>
        <v>17.961111111111112</v>
      </c>
      <c r="AA53" s="205"/>
      <c r="AB53" s="357" t="str">
        <f>VLOOKUP($B53,'2007-2020 Metadata'!$A$4:$S$214,MATCH("Urban Area /Monitoring Zone",'2007-2020 Metadata'!$A$4:$S$4,0),FALSE)</f>
        <v xml:space="preserve">Auckland - Southern </v>
      </c>
      <c r="AC53" s="229" t="str">
        <f>VLOOKUP(B53,'2007-2020 Metadata'!$A$6:$A$214,1,FALSE)</f>
        <v>AUC072</v>
      </c>
      <c r="AD53" s="356" t="str">
        <f>VLOOKUP($AC53,'2007-2020 Metadata'!$A$6:$S$214,9,FALSE)</f>
        <v>Manukau</v>
      </c>
      <c r="AE53" s="356">
        <f>IF(ISBLANK(VLOOKUP($AC53,'2007-2020 Metadata'!$A$6:$S$214,19,FALSE)),"",VLOOKUP($AC53,'2007-2020 Metadata'!$A$6:$S$214,19,FALSE))</f>
        <v>3</v>
      </c>
      <c r="AF53" s="355" t="str">
        <f>VLOOKUP($B53,'2007-2020 Metadata'!$A$4:$S$214,MATCH("Site type",'2007-2020 Metadata'!$A$4:$S$4,0),FALSE)</f>
        <v>Local</v>
      </c>
      <c r="AG53" s="364">
        <f t="shared" si="5"/>
        <v>11.4</v>
      </c>
      <c r="AH53" s="364">
        <f t="shared" si="6"/>
        <v>25.2</v>
      </c>
      <c r="AI53" s="354">
        <f t="shared" si="7"/>
        <v>17.961111111111112</v>
      </c>
    </row>
    <row r="54" spans="2:35" ht="12" customHeight="1" x14ac:dyDescent="0.15">
      <c r="B54" s="313" t="s">
        <v>92</v>
      </c>
      <c r="C54" s="309">
        <v>7.9</v>
      </c>
      <c r="D54" s="309">
        <v>8.1999999999999993</v>
      </c>
      <c r="E54" s="309">
        <v>7.7</v>
      </c>
      <c r="F54" s="309">
        <v>7.7</v>
      </c>
      <c r="G54" s="309">
        <v>14.5</v>
      </c>
      <c r="H54" s="309">
        <v>13.8</v>
      </c>
      <c r="I54" s="309">
        <v>12.4</v>
      </c>
      <c r="J54" s="309">
        <v>12.6</v>
      </c>
      <c r="K54" s="309">
        <v>10.9</v>
      </c>
      <c r="L54" s="309">
        <v>6.3</v>
      </c>
      <c r="M54" s="309">
        <v>8.3000000000000007</v>
      </c>
      <c r="N54" s="309">
        <v>5.8</v>
      </c>
      <c r="O54" s="310">
        <f t="shared" si="0"/>
        <v>9.6749999999999989</v>
      </c>
      <c r="P54" s="310">
        <f t="shared" si="1"/>
        <v>29.718009127504097</v>
      </c>
      <c r="Q54" s="311">
        <f t="shared" si="2"/>
        <v>1</v>
      </c>
      <c r="R54" s="225">
        <f t="shared" si="12"/>
        <v>7.9333333333333336</v>
      </c>
      <c r="S54" s="226">
        <f t="shared" si="3"/>
        <v>1</v>
      </c>
      <c r="T54" s="225">
        <f t="shared" si="13"/>
        <v>11.966666666666667</v>
      </c>
      <c r="U54" s="226">
        <f t="shared" si="8"/>
        <v>1</v>
      </c>
      <c r="V54" s="227">
        <f t="shared" si="14"/>
        <v>9.6749999999999989</v>
      </c>
      <c r="W54" s="228">
        <f t="shared" si="4"/>
        <v>1</v>
      </c>
      <c r="X54" s="354">
        <f t="shared" si="9"/>
        <v>15.52222222222222</v>
      </c>
      <c r="Y54" s="354">
        <f t="shared" si="10"/>
        <v>22.020833333333332</v>
      </c>
      <c r="Z54" s="354">
        <f t="shared" si="11"/>
        <v>17.961111111111112</v>
      </c>
      <c r="AA54" s="205"/>
      <c r="AB54" s="357" t="str">
        <f>VLOOKUP($B54,'2007-2020 Metadata'!$A$4:$S$214,MATCH("Urban Area /Monitoring Zone",'2007-2020 Metadata'!$A$4:$S$4,0),FALSE)</f>
        <v xml:space="preserve">Auckland - Southern </v>
      </c>
      <c r="AC54" s="229" t="str">
        <f>VLOOKUP(B54,'2007-2020 Metadata'!$A$6:$A$214,1,FALSE)</f>
        <v>AUC073</v>
      </c>
      <c r="AD54" s="356" t="str">
        <f>VLOOKUP($AC54,'2007-2020 Metadata'!$A$6:$S$214,9,FALSE)</f>
        <v>Manukau</v>
      </c>
      <c r="AE54" s="356">
        <f>IF(ISBLANK(VLOOKUP($AC54,'2007-2020 Metadata'!$A$6:$S$214,19,FALSE)),"",VLOOKUP($AC54,'2007-2020 Metadata'!$A$6:$S$214,19,FALSE))</f>
        <v>3</v>
      </c>
      <c r="AF54" s="355" t="str">
        <f>VLOOKUP($B54,'2007-2020 Metadata'!$A$4:$S$214,MATCH("Site type",'2007-2020 Metadata'!$A$4:$S$4,0),FALSE)</f>
        <v>Background</v>
      </c>
      <c r="AG54" s="364">
        <f t="shared" si="5"/>
        <v>5.8</v>
      </c>
      <c r="AH54" s="364">
        <f t="shared" si="6"/>
        <v>14.5</v>
      </c>
      <c r="AI54" s="354">
        <f t="shared" si="7"/>
        <v>17.961111111111112</v>
      </c>
    </row>
    <row r="55" spans="2:35" ht="12" customHeight="1" x14ac:dyDescent="0.15">
      <c r="B55" s="313" t="s">
        <v>499</v>
      </c>
      <c r="C55" s="309"/>
      <c r="D55" s="309"/>
      <c r="E55" s="309"/>
      <c r="F55" s="309"/>
      <c r="G55" s="309">
        <v>21</v>
      </c>
      <c r="H55" s="309">
        <v>21</v>
      </c>
      <c r="I55" s="309">
        <v>18.7</v>
      </c>
      <c r="J55" s="309">
        <v>18.600000000000001</v>
      </c>
      <c r="K55" s="309"/>
      <c r="L55" s="309"/>
      <c r="M55" s="309">
        <v>14</v>
      </c>
      <c r="N55" s="309"/>
      <c r="O55" s="310">
        <f t="shared" si="0"/>
        <v>18.660000000000004</v>
      </c>
      <c r="P55" s="310">
        <f t="shared" si="1"/>
        <v>13.69907421965307</v>
      </c>
      <c r="Q55" s="311">
        <f t="shared" si="2"/>
        <v>0.41666666666666669</v>
      </c>
      <c r="R55" s="225" t="str">
        <f t="shared" si="12"/>
        <v/>
      </c>
      <c r="S55" s="226">
        <f t="shared" si="3"/>
        <v>0</v>
      </c>
      <c r="T55" s="225">
        <f t="shared" si="13"/>
        <v>18.649999999999999</v>
      </c>
      <c r="U55" s="226">
        <f t="shared" si="8"/>
        <v>0.66666666666666663</v>
      </c>
      <c r="V55" s="227" t="str">
        <f t="shared" si="14"/>
        <v>-</v>
      </c>
      <c r="W55" s="228">
        <f t="shared" si="4"/>
        <v>0.41666666666666669</v>
      </c>
      <c r="X55" s="354">
        <f t="shared" si="9"/>
        <v>9.86</v>
      </c>
      <c r="Y55" s="354">
        <f t="shared" si="10"/>
        <v>14.836111111111109</v>
      </c>
      <c r="Z55" s="354">
        <f t="shared" si="11"/>
        <v>12.016666666666666</v>
      </c>
      <c r="AA55" s="205"/>
      <c r="AB55" s="357" t="str">
        <f>VLOOKUP($B55,'2007-2020 Metadata'!$A$4:$S$214,MATCH("Urban Area /Monitoring Zone",'2007-2020 Metadata'!$A$4:$S$4,0),FALSE)</f>
        <v>Auckland - Western</v>
      </c>
      <c r="AC55" s="229" t="str">
        <f>VLOOKUP(B55,'2007-2020 Metadata'!$A$6:$A$214,1,FALSE)</f>
        <v>AUC115</v>
      </c>
      <c r="AD55" s="356" t="str">
        <f>VLOOKUP($AC55,'2007-2020 Metadata'!$A$6:$S$214,9,FALSE)</f>
        <v>Waitakere</v>
      </c>
      <c r="AE55" s="356">
        <f>IF(ISBLANK(VLOOKUP($AC55,'2007-2020 Metadata'!$A$6:$S$214,19,FALSE)),"",VLOOKUP($AC55,'2007-2020 Metadata'!$A$6:$S$214,19,FALSE))</f>
        <v>3</v>
      </c>
      <c r="AF55" s="355" t="str">
        <f>VLOOKUP($B55,'2007-2020 Metadata'!$A$4:$S$214,MATCH("Site type",'2007-2020 Metadata'!$A$4:$S$4,0),FALSE)</f>
        <v>SH</v>
      </c>
      <c r="AG55" s="364">
        <f t="shared" si="5"/>
        <v>14</v>
      </c>
      <c r="AH55" s="364">
        <f t="shared" si="6"/>
        <v>21</v>
      </c>
      <c r="AI55" s="354" t="str">
        <f t="shared" si="7"/>
        <v xml:space="preserve"> </v>
      </c>
    </row>
    <row r="56" spans="2:35" ht="12" customHeight="1" x14ac:dyDescent="0.15">
      <c r="B56" s="313" t="s">
        <v>93</v>
      </c>
      <c r="C56" s="309">
        <v>16</v>
      </c>
      <c r="D56" s="309">
        <v>27.3</v>
      </c>
      <c r="E56" s="309"/>
      <c r="F56" s="309"/>
      <c r="G56" s="309"/>
      <c r="H56" s="309">
        <v>39.700000000000003</v>
      </c>
      <c r="I56" s="309">
        <v>38.299999999999997</v>
      </c>
      <c r="J56" s="309">
        <v>34.6</v>
      </c>
      <c r="K56" s="309">
        <v>26.1</v>
      </c>
      <c r="L56" s="309">
        <v>31.5</v>
      </c>
      <c r="M56" s="309">
        <v>26.4</v>
      </c>
      <c r="N56" s="309">
        <v>17.600000000000001</v>
      </c>
      <c r="O56" s="310">
        <f t="shared" si="0"/>
        <v>28.611111111111111</v>
      </c>
      <c r="P56" s="310">
        <f t="shared" si="1"/>
        <v>27.428145012821741</v>
      </c>
      <c r="Q56" s="311">
        <f t="shared" si="2"/>
        <v>0.75</v>
      </c>
      <c r="R56" s="225">
        <f t="shared" si="12"/>
        <v>21.65</v>
      </c>
      <c r="S56" s="226">
        <f t="shared" si="3"/>
        <v>0.66666666666666663</v>
      </c>
      <c r="T56" s="225">
        <f t="shared" si="13"/>
        <v>33</v>
      </c>
      <c r="U56" s="226">
        <f t="shared" si="8"/>
        <v>1</v>
      </c>
      <c r="V56" s="227">
        <f t="shared" si="14"/>
        <v>28.611111111111111</v>
      </c>
      <c r="W56" s="228">
        <f t="shared" si="4"/>
        <v>0.75</v>
      </c>
      <c r="X56" s="354">
        <f t="shared" si="9"/>
        <v>17.065151515151513</v>
      </c>
      <c r="Y56" s="354">
        <f t="shared" si="10"/>
        <v>22.604545454545452</v>
      </c>
      <c r="Z56" s="354">
        <f t="shared" si="11"/>
        <v>19.290722222222222</v>
      </c>
      <c r="AA56" s="205"/>
      <c r="AB56" s="357" t="str">
        <f>VLOOKUP($B56,'2007-2020 Metadata'!$A$4:$S$214,MATCH("Urban Area /Monitoring Zone",'2007-2020 Metadata'!$A$4:$S$4,0),FALSE)</f>
        <v>Auckland - Northern</v>
      </c>
      <c r="AC56" s="229" t="str">
        <f>VLOOKUP(B56,'2007-2020 Metadata'!$A$6:$A$214,1,FALSE)</f>
        <v>AUC170</v>
      </c>
      <c r="AD56" s="356" t="str">
        <f>VLOOKUP($AC56,'2007-2020 Metadata'!$A$6:$S$214,9,FALSE)</f>
        <v xml:space="preserve">North Shore </v>
      </c>
      <c r="AE56" s="356">
        <f>IF(ISBLANK(VLOOKUP($AC56,'2007-2020 Metadata'!$A$6:$S$214,19,FALSE)),"",VLOOKUP($AC56,'2007-2020 Metadata'!$A$6:$S$214,19,FALSE))</f>
        <v>3</v>
      </c>
      <c r="AF56" s="355" t="str">
        <f>VLOOKUP($B56,'2007-2020 Metadata'!$A$4:$S$214,MATCH("Site type",'2007-2020 Metadata'!$A$4:$S$4,0),FALSE)</f>
        <v>SH</v>
      </c>
      <c r="AG56" s="364">
        <f t="shared" si="5"/>
        <v>16</v>
      </c>
      <c r="AH56" s="364">
        <f t="shared" si="6"/>
        <v>39.700000000000003</v>
      </c>
      <c r="AI56" s="354">
        <f t="shared" si="7"/>
        <v>19.290722222222222</v>
      </c>
    </row>
    <row r="57" spans="2:35" ht="12" customHeight="1" x14ac:dyDescent="0.15">
      <c r="B57" s="313" t="s">
        <v>94</v>
      </c>
      <c r="C57" s="309"/>
      <c r="D57" s="309">
        <v>7.6</v>
      </c>
      <c r="E57" s="309">
        <v>6.4</v>
      </c>
      <c r="F57" s="309">
        <v>6.4</v>
      </c>
      <c r="G57" s="309">
        <v>11.4</v>
      </c>
      <c r="H57" s="309">
        <v>4.3</v>
      </c>
      <c r="I57" s="309">
        <v>10.8</v>
      </c>
      <c r="J57" s="309">
        <v>8.1</v>
      </c>
      <c r="K57" s="309">
        <v>7.7</v>
      </c>
      <c r="L57" s="309">
        <v>5.4</v>
      </c>
      <c r="M57" s="309"/>
      <c r="N57" s="309">
        <v>5</v>
      </c>
      <c r="O57" s="310">
        <f t="shared" si="0"/>
        <v>7.31</v>
      </c>
      <c r="P57" s="310">
        <f t="shared" si="1"/>
        <v>30.426303198744513</v>
      </c>
      <c r="Q57" s="311">
        <f t="shared" si="2"/>
        <v>0.83333333333333337</v>
      </c>
      <c r="R57" s="225">
        <f t="shared" si="12"/>
        <v>7</v>
      </c>
      <c r="S57" s="226">
        <f t="shared" si="3"/>
        <v>0.66666666666666663</v>
      </c>
      <c r="T57" s="225">
        <f t="shared" si="13"/>
        <v>8.8666666666666654</v>
      </c>
      <c r="U57" s="226">
        <f t="shared" si="8"/>
        <v>1</v>
      </c>
      <c r="V57" s="227">
        <f t="shared" si="14"/>
        <v>7.31</v>
      </c>
      <c r="W57" s="228">
        <f t="shared" si="4"/>
        <v>0.83333333333333337</v>
      </c>
      <c r="X57" s="354">
        <f t="shared" si="9"/>
        <v>13.450000000000001</v>
      </c>
      <c r="Y57" s="354">
        <f t="shared" si="10"/>
        <v>19.95</v>
      </c>
      <c r="Z57" s="354">
        <f t="shared" si="11"/>
        <v>16.055</v>
      </c>
      <c r="AA57" s="205"/>
      <c r="AB57" s="357" t="str">
        <f>VLOOKUP($B57,'2007-2020 Metadata'!$A$4:$S$214,MATCH("Urban Area /Monitoring Zone",'2007-2020 Metadata'!$A$4:$S$4,0),FALSE)</f>
        <v>Whangarei</v>
      </c>
      <c r="AC57" s="229" t="str">
        <f>VLOOKUP(B57,'2007-2020 Metadata'!$A$6:$A$214,1,FALSE)</f>
        <v>AUC171</v>
      </c>
      <c r="AD57" s="356" t="str">
        <f>VLOOKUP($AC57,'2007-2020 Metadata'!$A$6:$S$214,9,FALSE)</f>
        <v>Whangarei</v>
      </c>
      <c r="AE57" s="356">
        <f>IF(ISBLANK(VLOOKUP($AC57,'2007-2020 Metadata'!$A$6:$S$214,19,FALSE)),"",VLOOKUP($AC57,'2007-2020 Metadata'!$A$6:$S$214,19,FALSE))</f>
        <v>3</v>
      </c>
      <c r="AF57" s="355" t="str">
        <f>VLOOKUP($B57,'2007-2020 Metadata'!$A$4:$S$214,MATCH("Site type",'2007-2020 Metadata'!$A$4:$S$4,0),FALSE)</f>
        <v>Background</v>
      </c>
      <c r="AG57" s="364">
        <f t="shared" si="5"/>
        <v>4.3</v>
      </c>
      <c r="AH57" s="364">
        <f t="shared" si="6"/>
        <v>11.4</v>
      </c>
      <c r="AI57" s="354">
        <f t="shared" si="7"/>
        <v>16.055</v>
      </c>
    </row>
    <row r="58" spans="2:35" ht="12" customHeight="1" x14ac:dyDescent="0.15">
      <c r="B58" s="313" t="s">
        <v>485</v>
      </c>
      <c r="C58" s="309">
        <v>21.5</v>
      </c>
      <c r="D58" s="309">
        <v>22.7</v>
      </c>
      <c r="E58" s="309">
        <v>15.5</v>
      </c>
      <c r="F58" s="309">
        <v>15.5</v>
      </c>
      <c r="G58" s="309">
        <v>28.9</v>
      </c>
      <c r="H58" s="309">
        <v>32.5</v>
      </c>
      <c r="I58" s="309">
        <v>32.700000000000003</v>
      </c>
      <c r="J58" s="309">
        <v>31.7</v>
      </c>
      <c r="K58" s="309">
        <v>28.7</v>
      </c>
      <c r="L58" s="309">
        <v>25.7</v>
      </c>
      <c r="M58" s="309">
        <v>22.6</v>
      </c>
      <c r="N58" s="309">
        <v>19.600000000000001</v>
      </c>
      <c r="O58" s="310">
        <f t="shared" si="0"/>
        <v>24.8</v>
      </c>
      <c r="P58" s="310">
        <f t="shared" si="1"/>
        <v>23.920388937833291</v>
      </c>
      <c r="Q58" s="311">
        <f t="shared" si="2"/>
        <v>1</v>
      </c>
      <c r="R58" s="225">
        <f t="shared" si="12"/>
        <v>19.900000000000002</v>
      </c>
      <c r="S58" s="226">
        <f t="shared" si="3"/>
        <v>1</v>
      </c>
      <c r="T58" s="225">
        <f t="shared" si="13"/>
        <v>31.033333333333335</v>
      </c>
      <c r="U58" s="226">
        <f t="shared" si="8"/>
        <v>1</v>
      </c>
      <c r="V58" s="227">
        <f t="shared" si="14"/>
        <v>24.8</v>
      </c>
      <c r="W58" s="228">
        <f t="shared" si="4"/>
        <v>1</v>
      </c>
      <c r="X58" s="354">
        <f t="shared" si="9"/>
        <v>13.450000000000001</v>
      </c>
      <c r="Y58" s="354">
        <f t="shared" si="10"/>
        <v>19.95</v>
      </c>
      <c r="Z58" s="354">
        <f t="shared" si="11"/>
        <v>16.055</v>
      </c>
      <c r="AA58" s="205"/>
      <c r="AB58" s="357" t="str">
        <f>VLOOKUP($B58,'2007-2020 Metadata'!$A$4:$S$214,MATCH("Urban Area /Monitoring Zone",'2007-2020 Metadata'!$A$4:$S$4,0),FALSE)</f>
        <v>Whangarei</v>
      </c>
      <c r="AC58" s="229" t="str">
        <f>VLOOKUP(B58,'2007-2020 Metadata'!$A$6:$A$214,1,FALSE)</f>
        <v>AUC187</v>
      </c>
      <c r="AD58" s="356" t="str">
        <f>VLOOKUP($AC58,'2007-2020 Metadata'!$A$6:$S$214,9,FALSE)</f>
        <v>Whangarei</v>
      </c>
      <c r="AE58" s="356">
        <f>IF(ISBLANK(VLOOKUP($AC58,'2007-2020 Metadata'!$A$6:$S$214,19,FALSE)),"",VLOOKUP($AC58,'2007-2020 Metadata'!$A$6:$S$214,19,FALSE))</f>
        <v>3</v>
      </c>
      <c r="AF58" s="355" t="str">
        <f>VLOOKUP($B58,'2007-2020 Metadata'!$A$4:$S$214,MATCH("Site type",'2007-2020 Metadata'!$A$4:$S$4,0),FALSE)</f>
        <v>SH</v>
      </c>
      <c r="AG58" s="364">
        <f t="shared" si="5"/>
        <v>15.5</v>
      </c>
      <c r="AH58" s="364">
        <f t="shared" si="6"/>
        <v>32.700000000000003</v>
      </c>
      <c r="AI58" s="354">
        <f t="shared" si="7"/>
        <v>16.055</v>
      </c>
    </row>
    <row r="59" spans="2:35" ht="12" customHeight="1" x14ac:dyDescent="0.15">
      <c r="B59" s="313" t="s">
        <v>501</v>
      </c>
      <c r="C59" s="309">
        <v>12.4</v>
      </c>
      <c r="D59" s="309"/>
      <c r="E59" s="309"/>
      <c r="F59" s="309"/>
      <c r="G59" s="309"/>
      <c r="H59" s="309">
        <v>25.9</v>
      </c>
      <c r="I59" s="309">
        <v>25.9</v>
      </c>
      <c r="J59" s="309">
        <v>23.9</v>
      </c>
      <c r="K59" s="309">
        <v>20.5</v>
      </c>
      <c r="L59" s="309">
        <v>17.600000000000001</v>
      </c>
      <c r="M59" s="309">
        <v>16.8</v>
      </c>
      <c r="N59" s="309">
        <v>13.1</v>
      </c>
      <c r="O59" s="310">
        <f t="shared" si="0"/>
        <v>19.512499999999999</v>
      </c>
      <c r="P59" s="310">
        <f t="shared" si="1"/>
        <v>25.914361056853892</v>
      </c>
      <c r="Q59" s="311">
        <f t="shared" si="2"/>
        <v>0.66666666666666663</v>
      </c>
      <c r="R59" s="225" t="str">
        <f t="shared" si="12"/>
        <v>-</v>
      </c>
      <c r="S59" s="226">
        <f t="shared" si="3"/>
        <v>0.33333333333333331</v>
      </c>
      <c r="T59" s="225">
        <f t="shared" si="13"/>
        <v>23.433333333333334</v>
      </c>
      <c r="U59" s="226">
        <f t="shared" si="8"/>
        <v>1</v>
      </c>
      <c r="V59" s="227" t="str">
        <f t="shared" si="14"/>
        <v>-</v>
      </c>
      <c r="W59" s="228">
        <f t="shared" si="4"/>
        <v>0.66666666666666663</v>
      </c>
      <c r="X59" s="354">
        <f t="shared" si="9"/>
        <v>15.52222222222222</v>
      </c>
      <c r="Y59" s="354">
        <f t="shared" si="10"/>
        <v>22.020833333333332</v>
      </c>
      <c r="Z59" s="354">
        <f t="shared" si="11"/>
        <v>17.961111111111112</v>
      </c>
      <c r="AA59" s="205"/>
      <c r="AB59" s="357" t="str">
        <f>VLOOKUP($B59,'2007-2020 Metadata'!$A$4:$S$214,MATCH("Urban Area /Monitoring Zone",'2007-2020 Metadata'!$A$4:$S$4,0),FALSE)</f>
        <v xml:space="preserve">Auckland - Southern </v>
      </c>
      <c r="AC59" s="229" t="str">
        <f>VLOOKUP(B59,'2007-2020 Metadata'!$A$6:$A$214,1,FALSE)</f>
        <v>AUC190</v>
      </c>
      <c r="AD59" s="356" t="str">
        <f>VLOOKUP($AC59,'2007-2020 Metadata'!$A$6:$S$214,9,FALSE)</f>
        <v>Manukau</v>
      </c>
      <c r="AE59" s="356">
        <f>IF(ISBLANK(VLOOKUP($AC59,'2007-2020 Metadata'!$A$6:$S$214,19,FALSE)),"",VLOOKUP($AC59,'2007-2020 Metadata'!$A$6:$S$214,19,FALSE))</f>
        <v>3</v>
      </c>
      <c r="AF59" s="355" t="str">
        <f>VLOOKUP($B59,'2007-2020 Metadata'!$A$4:$S$214,MATCH("Site type",'2007-2020 Metadata'!$A$4:$S$4,0),FALSE)</f>
        <v>SH</v>
      </c>
      <c r="AG59" s="364">
        <f t="shared" si="5"/>
        <v>12.4</v>
      </c>
      <c r="AH59" s="364">
        <f t="shared" si="6"/>
        <v>25.9</v>
      </c>
      <c r="AI59" s="354" t="str">
        <f t="shared" si="7"/>
        <v xml:space="preserve"> </v>
      </c>
    </row>
    <row r="60" spans="2:35" ht="12" customHeight="1" x14ac:dyDescent="0.15">
      <c r="B60" s="313" t="s">
        <v>32</v>
      </c>
      <c r="C60" s="309">
        <v>26</v>
      </c>
      <c r="D60" s="309">
        <v>32.1</v>
      </c>
      <c r="E60" s="309"/>
      <c r="F60" s="309"/>
      <c r="G60" s="309">
        <v>24.6</v>
      </c>
      <c r="H60" s="309">
        <v>31.1</v>
      </c>
      <c r="I60" s="309">
        <v>35.700000000000003</v>
      </c>
      <c r="J60" s="309">
        <v>34.200000000000003</v>
      </c>
      <c r="K60" s="309">
        <v>33.200000000000003</v>
      </c>
      <c r="L60" s="309">
        <v>32.4</v>
      </c>
      <c r="M60" s="309">
        <v>27.2</v>
      </c>
      <c r="N60" s="309">
        <v>22.4</v>
      </c>
      <c r="O60" s="310">
        <f t="shared" si="0"/>
        <v>29.889999999999997</v>
      </c>
      <c r="P60" s="310">
        <f t="shared" si="1"/>
        <v>14.288064631387803</v>
      </c>
      <c r="Q60" s="311">
        <f t="shared" si="2"/>
        <v>0.83333333333333337</v>
      </c>
      <c r="R60" s="225">
        <f t="shared" si="12"/>
        <v>29.05</v>
      </c>
      <c r="S60" s="226">
        <f t="shared" si="3"/>
        <v>0.66666666666666663</v>
      </c>
      <c r="T60" s="225">
        <f t="shared" si="13"/>
        <v>34.366666666666667</v>
      </c>
      <c r="U60" s="226">
        <f t="shared" si="8"/>
        <v>1</v>
      </c>
      <c r="V60" s="227">
        <f t="shared" si="14"/>
        <v>29.889999999999997</v>
      </c>
      <c r="W60" s="228">
        <f t="shared" si="4"/>
        <v>0.83333333333333337</v>
      </c>
      <c r="X60" s="354">
        <f t="shared" si="9"/>
        <v>24.283333333333335</v>
      </c>
      <c r="Y60" s="354">
        <f t="shared" si="10"/>
        <v>30.737037037037037</v>
      </c>
      <c r="Z60" s="354">
        <f t="shared" si="11"/>
        <v>27.233209876543206</v>
      </c>
      <c r="AA60" s="205"/>
      <c r="AB60" s="357" t="str">
        <f>VLOOKUP($B60,'2007-2020 Metadata'!$A$4:$S$214,MATCH("Urban Area /Monitoring Zone",'2007-2020 Metadata'!$A$4:$S$4,0),FALSE)</f>
        <v>Hamilton</v>
      </c>
      <c r="AC60" s="229" t="str">
        <f>VLOOKUP(B60,'2007-2020 Metadata'!$A$6:$A$214,1,FALSE)</f>
        <v>HAM001</v>
      </c>
      <c r="AD60" s="356" t="str">
        <f>VLOOKUP($AC60,'2007-2020 Metadata'!$A$6:$S$214,9,FALSE)</f>
        <v>Hamilton</v>
      </c>
      <c r="AE60" s="356">
        <f>IF(ISBLANK(VLOOKUP($AC60,'2007-2020 Metadata'!$A$6:$S$214,19,FALSE)),"",VLOOKUP($AC60,'2007-2020 Metadata'!$A$6:$S$214,19,FALSE))</f>
        <v>3.8</v>
      </c>
      <c r="AF60" s="355" t="str">
        <f>VLOOKUP($B60,'2007-2020 Metadata'!$A$4:$S$214,MATCH("Site type",'2007-2020 Metadata'!$A$4:$S$4,0),FALSE)</f>
        <v>SH</v>
      </c>
      <c r="AG60" s="364">
        <f t="shared" si="5"/>
        <v>22.4</v>
      </c>
      <c r="AH60" s="364">
        <f t="shared" si="6"/>
        <v>35.700000000000003</v>
      </c>
      <c r="AI60" s="354">
        <f t="shared" si="7"/>
        <v>27.233209876543206</v>
      </c>
    </row>
    <row r="61" spans="2:35" ht="12" customHeight="1" x14ac:dyDescent="0.15">
      <c r="B61" s="313" t="s">
        <v>33</v>
      </c>
      <c r="C61" s="309">
        <v>18.7</v>
      </c>
      <c r="D61" s="309">
        <v>24.5</v>
      </c>
      <c r="E61" s="309"/>
      <c r="F61" s="309"/>
      <c r="G61" s="309">
        <v>30.7</v>
      </c>
      <c r="H61" s="309">
        <v>32.799999999999997</v>
      </c>
      <c r="I61" s="309">
        <v>33.5</v>
      </c>
      <c r="J61" s="309">
        <v>30.3</v>
      </c>
      <c r="K61" s="309">
        <v>23.6</v>
      </c>
      <c r="L61" s="309">
        <v>24.1</v>
      </c>
      <c r="M61" s="309"/>
      <c r="N61" s="309">
        <v>16.5</v>
      </c>
      <c r="O61" s="310">
        <f t="shared" si="0"/>
        <v>26.077777777777776</v>
      </c>
      <c r="P61" s="310">
        <f t="shared" si="1"/>
        <v>22.072126863794423</v>
      </c>
      <c r="Q61" s="311">
        <f t="shared" si="2"/>
        <v>0.75</v>
      </c>
      <c r="R61" s="225">
        <f t="shared" si="12"/>
        <v>21.6</v>
      </c>
      <c r="S61" s="226">
        <f t="shared" si="3"/>
        <v>0.66666666666666663</v>
      </c>
      <c r="T61" s="225">
        <f t="shared" si="13"/>
        <v>29.133333333333336</v>
      </c>
      <c r="U61" s="226">
        <f t="shared" si="8"/>
        <v>1</v>
      </c>
      <c r="V61" s="227">
        <f t="shared" si="14"/>
        <v>26.077777777777776</v>
      </c>
      <c r="W61" s="228">
        <f t="shared" si="4"/>
        <v>0.75</v>
      </c>
      <c r="X61" s="354">
        <f t="shared" si="9"/>
        <v>24.283333333333335</v>
      </c>
      <c r="Y61" s="354">
        <f t="shared" si="10"/>
        <v>30.737037037037037</v>
      </c>
      <c r="Z61" s="354">
        <f t="shared" si="11"/>
        <v>27.233209876543206</v>
      </c>
      <c r="AA61" s="205"/>
      <c r="AB61" s="357" t="str">
        <f>VLOOKUP($B61,'2007-2020 Metadata'!$A$4:$S$214,MATCH("Urban Area /Monitoring Zone",'2007-2020 Metadata'!$A$4:$S$4,0),FALSE)</f>
        <v>Hamilton</v>
      </c>
      <c r="AC61" s="229" t="str">
        <f>VLOOKUP(B61,'2007-2020 Metadata'!$A$6:$A$214,1,FALSE)</f>
        <v>HAM002</v>
      </c>
      <c r="AD61" s="356" t="str">
        <f>VLOOKUP($AC61,'2007-2020 Metadata'!$A$6:$S$214,9,FALSE)</f>
        <v>Hamilton</v>
      </c>
      <c r="AE61" s="356">
        <f>IF(ISBLANK(VLOOKUP($AC61,'2007-2020 Metadata'!$A$6:$S$214,19,FALSE)),"",VLOOKUP($AC61,'2007-2020 Metadata'!$A$6:$S$214,19,FALSE))</f>
        <v>2.6</v>
      </c>
      <c r="AF61" s="355" t="str">
        <f>VLOOKUP($B61,'2007-2020 Metadata'!$A$4:$S$214,MATCH("Site type",'2007-2020 Metadata'!$A$4:$S$4,0),FALSE)</f>
        <v>Local (ex SH)</v>
      </c>
      <c r="AG61" s="364">
        <f t="shared" si="5"/>
        <v>16.5</v>
      </c>
      <c r="AH61" s="364">
        <f t="shared" si="6"/>
        <v>33.5</v>
      </c>
      <c r="AI61" s="354">
        <f t="shared" si="7"/>
        <v>27.233209876543206</v>
      </c>
    </row>
    <row r="62" spans="2:35" ht="12" customHeight="1" x14ac:dyDescent="0.15">
      <c r="B62" s="313" t="s">
        <v>34</v>
      </c>
      <c r="C62" s="309">
        <v>35.4</v>
      </c>
      <c r="D62" s="309">
        <v>40.6</v>
      </c>
      <c r="E62" s="309"/>
      <c r="F62" s="309"/>
      <c r="G62" s="309">
        <v>39.700000000000003</v>
      </c>
      <c r="H62" s="309">
        <v>38.799999999999997</v>
      </c>
      <c r="I62" s="309">
        <v>43</v>
      </c>
      <c r="J62" s="309">
        <v>45.6</v>
      </c>
      <c r="K62" s="309">
        <v>44.4</v>
      </c>
      <c r="L62" s="309">
        <v>34.5</v>
      </c>
      <c r="M62" s="309">
        <v>37.4</v>
      </c>
      <c r="N62" s="309">
        <v>31.1</v>
      </c>
      <c r="O62" s="310">
        <f t="shared" si="0"/>
        <v>39.049999999999997</v>
      </c>
      <c r="P62" s="310">
        <f t="shared" si="1"/>
        <v>11.161325089668697</v>
      </c>
      <c r="Q62" s="311">
        <f t="shared" si="2"/>
        <v>0.83333333333333337</v>
      </c>
      <c r="R62" s="225">
        <f t="shared" si="12"/>
        <v>38</v>
      </c>
      <c r="S62" s="226">
        <f t="shared" si="3"/>
        <v>0.66666666666666663</v>
      </c>
      <c r="T62" s="225">
        <f t="shared" si="13"/>
        <v>44.333333333333336</v>
      </c>
      <c r="U62" s="226">
        <f t="shared" si="8"/>
        <v>1</v>
      </c>
      <c r="V62" s="227">
        <f t="shared" si="14"/>
        <v>39.049999999999997</v>
      </c>
      <c r="W62" s="228">
        <f t="shared" si="4"/>
        <v>0.83333333333333337</v>
      </c>
      <c r="X62" s="354">
        <f t="shared" si="9"/>
        <v>24.283333333333335</v>
      </c>
      <c r="Y62" s="354">
        <f t="shared" si="10"/>
        <v>30.737037037037037</v>
      </c>
      <c r="Z62" s="354">
        <f t="shared" si="11"/>
        <v>27.233209876543206</v>
      </c>
      <c r="AA62" s="205"/>
      <c r="AB62" s="357" t="str">
        <f>VLOOKUP($B62,'2007-2020 Metadata'!$A$4:$S$214,MATCH("Urban Area /Monitoring Zone",'2007-2020 Metadata'!$A$4:$S$4,0),FALSE)</f>
        <v>Hamilton</v>
      </c>
      <c r="AC62" s="229" t="str">
        <f>VLOOKUP(B62,'2007-2020 Metadata'!$A$6:$A$214,1,FALSE)</f>
        <v>HAM003</v>
      </c>
      <c r="AD62" s="356" t="str">
        <f>VLOOKUP($AC62,'2007-2020 Metadata'!$A$6:$S$214,9,FALSE)</f>
        <v>Hamilton</v>
      </c>
      <c r="AE62" s="356">
        <f>IF(ISBLANK(VLOOKUP($AC62,'2007-2020 Metadata'!$A$6:$S$214,19,FALSE)),"",VLOOKUP($AC62,'2007-2020 Metadata'!$A$6:$S$214,19,FALSE))</f>
        <v>2.9</v>
      </c>
      <c r="AF62" s="355" t="str">
        <f>VLOOKUP($B62,'2007-2020 Metadata'!$A$4:$S$214,MATCH("Site type",'2007-2020 Metadata'!$A$4:$S$4,0),FALSE)</f>
        <v>SH</v>
      </c>
      <c r="AG62" s="364">
        <f t="shared" si="5"/>
        <v>31.1</v>
      </c>
      <c r="AH62" s="364">
        <f t="shared" si="6"/>
        <v>45.6</v>
      </c>
      <c r="AI62" s="354">
        <f t="shared" si="7"/>
        <v>27.233209876543206</v>
      </c>
    </row>
    <row r="63" spans="2:35" ht="12" customHeight="1" x14ac:dyDescent="0.15">
      <c r="B63" s="313" t="s">
        <v>1045</v>
      </c>
      <c r="C63" s="309">
        <v>22.1</v>
      </c>
      <c r="D63" s="309">
        <v>28.7</v>
      </c>
      <c r="E63" s="309"/>
      <c r="F63" s="309"/>
      <c r="G63" s="309">
        <v>27.1</v>
      </c>
      <c r="H63" s="309">
        <v>28.6</v>
      </c>
      <c r="I63" s="309">
        <v>29.9</v>
      </c>
      <c r="J63" s="309">
        <v>26.5</v>
      </c>
      <c r="K63" s="309">
        <v>24.7</v>
      </c>
      <c r="L63" s="309">
        <v>24.8</v>
      </c>
      <c r="M63" s="309">
        <v>24</v>
      </c>
      <c r="N63" s="309">
        <v>18.600000000000001</v>
      </c>
      <c r="O63" s="310">
        <f t="shared" si="0"/>
        <v>25.5</v>
      </c>
      <c r="P63" s="310">
        <f t="shared" si="1"/>
        <v>12.726683529654338</v>
      </c>
      <c r="Q63" s="311">
        <f t="shared" si="2"/>
        <v>0.83333333333333337</v>
      </c>
      <c r="R63" s="225">
        <f t="shared" si="12"/>
        <v>25.4</v>
      </c>
      <c r="S63" s="226">
        <f t="shared" si="3"/>
        <v>0.66666666666666663</v>
      </c>
      <c r="T63" s="225">
        <f t="shared" si="13"/>
        <v>27.033333333333331</v>
      </c>
      <c r="U63" s="226">
        <f t="shared" si="8"/>
        <v>1</v>
      </c>
      <c r="V63" s="227">
        <f t="shared" si="14"/>
        <v>25.5</v>
      </c>
      <c r="W63" s="228">
        <f t="shared" si="4"/>
        <v>0.83333333333333337</v>
      </c>
      <c r="X63" s="354">
        <f t="shared" si="9"/>
        <v>25.4</v>
      </c>
      <c r="Y63" s="354">
        <f t="shared" si="10"/>
        <v>27.033333333333331</v>
      </c>
      <c r="Z63" s="354">
        <f t="shared" si="11"/>
        <v>25.5</v>
      </c>
      <c r="AA63" s="205"/>
      <c r="AB63" s="357">
        <f>VLOOKUP($B63,'2007-2020 Metadata'!$A$4:$S$214,MATCH("Urban Area /Monitoring Zone",'2007-2020 Metadata'!$A$4:$S$4,0),FALSE)</f>
        <v>0</v>
      </c>
      <c r="AC63" s="229" t="str">
        <f>VLOOKUP(B63,'2007-2020 Metadata'!$A$6:$A$214,1,FALSE)</f>
        <v>HAM004a</v>
      </c>
      <c r="AD63" s="356">
        <f>VLOOKUP($AC63,'2007-2020 Metadata'!$A$6:$S$214,9,FALSE)</f>
        <v>0</v>
      </c>
      <c r="AE63" s="356" t="str">
        <f>IF(ISBLANK(VLOOKUP($AC63,'2007-2020 Metadata'!$A$6:$S$214,19,FALSE)),"",VLOOKUP($AC63,'2007-2020 Metadata'!$A$6:$S$214,19,FALSE))</f>
        <v/>
      </c>
      <c r="AF63" s="355" t="str">
        <f>VLOOKUP($B63,'2007-2020 Metadata'!$A$4:$S$214,MATCH("Site type",'2007-2020 Metadata'!$A$4:$S$4,0),FALSE)</f>
        <v>Local (ex SH)</v>
      </c>
      <c r="AG63" s="364">
        <f t="shared" si="5"/>
        <v>18.600000000000001</v>
      </c>
      <c r="AH63" s="364">
        <f t="shared" si="6"/>
        <v>29.9</v>
      </c>
      <c r="AI63" s="354">
        <f t="shared" si="7"/>
        <v>25.5</v>
      </c>
    </row>
    <row r="64" spans="2:35" ht="12" customHeight="1" x14ac:dyDescent="0.15">
      <c r="B64" s="313" t="s">
        <v>36</v>
      </c>
      <c r="C64" s="309">
        <v>15.6</v>
      </c>
      <c r="D64" s="309">
        <v>18.899999999999999</v>
      </c>
      <c r="E64" s="309">
        <v>10.8</v>
      </c>
      <c r="F64" s="309">
        <v>10.8</v>
      </c>
      <c r="G64" s="309">
        <v>21</v>
      </c>
      <c r="H64" s="309">
        <v>20</v>
      </c>
      <c r="I64" s="309">
        <v>20.9</v>
      </c>
      <c r="J64" s="309">
        <v>18.600000000000001</v>
      </c>
      <c r="K64" s="309">
        <v>14.8</v>
      </c>
      <c r="L64" s="309">
        <v>17.5</v>
      </c>
      <c r="M64" s="309">
        <v>12.9</v>
      </c>
      <c r="N64" s="309">
        <v>12.7</v>
      </c>
      <c r="O64" s="310">
        <f t="shared" si="0"/>
        <v>16.208333333333332</v>
      </c>
      <c r="P64" s="310">
        <f t="shared" si="1"/>
        <v>22.393504916752761</v>
      </c>
      <c r="Q64" s="311">
        <f t="shared" si="2"/>
        <v>1</v>
      </c>
      <c r="R64" s="225">
        <f t="shared" si="12"/>
        <v>15.1</v>
      </c>
      <c r="S64" s="226">
        <f t="shared" si="3"/>
        <v>1</v>
      </c>
      <c r="T64" s="225">
        <f t="shared" si="13"/>
        <v>18.099999999999998</v>
      </c>
      <c r="U64" s="226">
        <f t="shared" si="8"/>
        <v>1</v>
      </c>
      <c r="V64" s="227">
        <f t="shared" si="14"/>
        <v>16.208333333333332</v>
      </c>
      <c r="W64" s="228">
        <f t="shared" si="4"/>
        <v>1</v>
      </c>
      <c r="X64" s="354">
        <f t="shared" si="9"/>
        <v>15.1</v>
      </c>
      <c r="Y64" s="354">
        <f t="shared" si="10"/>
        <v>18.099999999999998</v>
      </c>
      <c r="Z64" s="354">
        <f t="shared" si="11"/>
        <v>16.208333333333332</v>
      </c>
      <c r="AA64" s="205"/>
      <c r="AB64" s="357" t="str">
        <f>VLOOKUP($B64,'2007-2020 Metadata'!$A$4:$S$214,MATCH("Urban Area /Monitoring Zone",'2007-2020 Metadata'!$A$4:$S$4,0),FALSE)</f>
        <v>Taupo</v>
      </c>
      <c r="AC64" s="229" t="str">
        <f>VLOOKUP(B64,'2007-2020 Metadata'!$A$6:$A$214,1,FALSE)</f>
        <v>HAM005</v>
      </c>
      <c r="AD64" s="356" t="str">
        <f>VLOOKUP($AC64,'2007-2020 Metadata'!$A$6:$S$214,9,FALSE)</f>
        <v>Taupo</v>
      </c>
      <c r="AE64" s="356">
        <f>IF(ISBLANK(VLOOKUP($AC64,'2007-2020 Metadata'!$A$6:$S$214,19,FALSE)),"",VLOOKUP($AC64,'2007-2020 Metadata'!$A$6:$S$214,19,FALSE))</f>
        <v>3.5</v>
      </c>
      <c r="AF64" s="355" t="str">
        <f>VLOOKUP($B64,'2007-2020 Metadata'!$A$4:$S$214,MATCH("Site type",'2007-2020 Metadata'!$A$4:$S$4,0),FALSE)</f>
        <v>Local (ex SH)</v>
      </c>
      <c r="AG64" s="364">
        <f t="shared" si="5"/>
        <v>10.8</v>
      </c>
      <c r="AH64" s="364">
        <f t="shared" si="6"/>
        <v>21</v>
      </c>
      <c r="AI64" s="354">
        <f t="shared" si="7"/>
        <v>16.208333333333332</v>
      </c>
    </row>
    <row r="65" spans="2:35" ht="12" customHeight="1" x14ac:dyDescent="0.15">
      <c r="B65" s="313" t="s">
        <v>37</v>
      </c>
      <c r="C65" s="309">
        <v>13.1</v>
      </c>
      <c r="D65" s="309">
        <v>20</v>
      </c>
      <c r="E65" s="309">
        <v>12.9</v>
      </c>
      <c r="F65" s="309">
        <v>12.9</v>
      </c>
      <c r="G65" s="309">
        <v>19.7</v>
      </c>
      <c r="H65" s="309">
        <v>27.5</v>
      </c>
      <c r="I65" s="309">
        <v>27.2</v>
      </c>
      <c r="J65" s="309">
        <v>27.6</v>
      </c>
      <c r="K65" s="309">
        <v>19.100000000000001</v>
      </c>
      <c r="L65" s="309">
        <v>19.899999999999999</v>
      </c>
      <c r="M65" s="309">
        <v>15</v>
      </c>
      <c r="N65" s="309"/>
      <c r="O65" s="310">
        <f t="shared" si="0"/>
        <v>19.536363636363635</v>
      </c>
      <c r="P65" s="310">
        <f t="shared" si="1"/>
        <v>28.366523402371374</v>
      </c>
      <c r="Q65" s="311">
        <f t="shared" si="2"/>
        <v>0.91666666666666663</v>
      </c>
      <c r="R65" s="225">
        <f t="shared" si="12"/>
        <v>15.333333333333334</v>
      </c>
      <c r="S65" s="226">
        <f t="shared" si="3"/>
        <v>1</v>
      </c>
      <c r="T65" s="225">
        <f t="shared" si="13"/>
        <v>24.633333333333336</v>
      </c>
      <c r="U65" s="226">
        <f t="shared" si="8"/>
        <v>1</v>
      </c>
      <c r="V65" s="227">
        <f t="shared" si="14"/>
        <v>19.536363636363635</v>
      </c>
      <c r="W65" s="228">
        <f t="shared" si="4"/>
        <v>0.91666666666666663</v>
      </c>
      <c r="X65" s="354">
        <f t="shared" si="9"/>
        <v>10.633333333333333</v>
      </c>
      <c r="Y65" s="354">
        <f t="shared" si="10"/>
        <v>24.633333333333336</v>
      </c>
      <c r="Z65" s="354">
        <f t="shared" si="11"/>
        <v>19.536363636363635</v>
      </c>
      <c r="AA65" s="205"/>
      <c r="AB65" s="357" t="str">
        <f>VLOOKUP($B65,'2007-2020 Metadata'!$A$4:$S$214,MATCH("Urban Area /Monitoring Zone",'2007-2020 Metadata'!$A$4:$S$4,0),FALSE)</f>
        <v>Rotorua</v>
      </c>
      <c r="AC65" s="229" t="str">
        <f>VLOOKUP(B65,'2007-2020 Metadata'!$A$6:$A$214,1,FALSE)</f>
        <v>HAM006</v>
      </c>
      <c r="AD65" s="356" t="str">
        <f>VLOOKUP($AC65,'2007-2020 Metadata'!$A$6:$S$214,9,FALSE)</f>
        <v>Rotorua</v>
      </c>
      <c r="AE65" s="356">
        <f>IF(ISBLANK(VLOOKUP($AC65,'2007-2020 Metadata'!$A$6:$S$214,19,FALSE)),"",VLOOKUP($AC65,'2007-2020 Metadata'!$A$6:$S$214,19,FALSE))</f>
        <v>3</v>
      </c>
      <c r="AF65" s="355" t="str">
        <f>VLOOKUP($B65,'2007-2020 Metadata'!$A$4:$S$214,MATCH("Site type",'2007-2020 Metadata'!$A$4:$S$4,0),FALSE)</f>
        <v>SH</v>
      </c>
      <c r="AG65" s="364">
        <f t="shared" si="5"/>
        <v>12.9</v>
      </c>
      <c r="AH65" s="364">
        <f t="shared" si="6"/>
        <v>27.6</v>
      </c>
      <c r="AI65" s="354">
        <f t="shared" si="7"/>
        <v>19.536363636363635</v>
      </c>
    </row>
    <row r="66" spans="2:35" ht="12" customHeight="1" x14ac:dyDescent="0.15">
      <c r="B66" s="313" t="s">
        <v>39</v>
      </c>
      <c r="C66" s="309">
        <v>22.1</v>
      </c>
      <c r="D66" s="309">
        <v>25.4</v>
      </c>
      <c r="E66" s="309"/>
      <c r="F66" s="309"/>
      <c r="G66" s="309">
        <v>34</v>
      </c>
      <c r="H66" s="309">
        <v>34.6</v>
      </c>
      <c r="I66" s="309">
        <v>38.1</v>
      </c>
      <c r="J66" s="309">
        <v>33.799999999999997</v>
      </c>
      <c r="K66" s="309">
        <v>26.7</v>
      </c>
      <c r="L66" s="309">
        <v>23.1</v>
      </c>
      <c r="M66" s="309">
        <v>24.4</v>
      </c>
      <c r="N66" s="309">
        <v>15.9</v>
      </c>
      <c r="O66" s="310">
        <f t="shared" si="0"/>
        <v>27.809999999999995</v>
      </c>
      <c r="P66" s="310">
        <f t="shared" si="1"/>
        <v>23.892354768032543</v>
      </c>
      <c r="Q66" s="311">
        <f t="shared" si="2"/>
        <v>0.83333333333333337</v>
      </c>
      <c r="R66" s="225">
        <f t="shared" si="12"/>
        <v>23.75</v>
      </c>
      <c r="S66" s="226">
        <f t="shared" si="3"/>
        <v>0.66666666666666663</v>
      </c>
      <c r="T66" s="225">
        <f t="shared" si="13"/>
        <v>32.866666666666667</v>
      </c>
      <c r="U66" s="226">
        <f t="shared" si="8"/>
        <v>1</v>
      </c>
      <c r="V66" s="227">
        <f t="shared" si="14"/>
        <v>27.809999999999995</v>
      </c>
      <c r="W66" s="228">
        <f t="shared" si="4"/>
        <v>0.83333333333333337</v>
      </c>
      <c r="X66" s="354">
        <f t="shared" si="9"/>
        <v>17.102380952380951</v>
      </c>
      <c r="Y66" s="354">
        <f t="shared" si="10"/>
        <v>25.590476190476188</v>
      </c>
      <c r="Z66" s="354">
        <f t="shared" si="11"/>
        <v>20.04603896103896</v>
      </c>
      <c r="AA66" s="205"/>
      <c r="AB66" s="357" t="str">
        <f>VLOOKUP($B66,'2007-2020 Metadata'!$A$4:$S$214,MATCH("Urban Area /Monitoring Zone",'2007-2020 Metadata'!$A$4:$S$4,0),FALSE)</f>
        <v>Tauranga</v>
      </c>
      <c r="AC66" s="229" t="str">
        <f>VLOOKUP(B66,'2007-2020 Metadata'!$A$6:$A$214,1,FALSE)</f>
        <v>HAM007</v>
      </c>
      <c r="AD66" s="356" t="str">
        <f>VLOOKUP($AC66,'2007-2020 Metadata'!$A$6:$S$214,9,FALSE)</f>
        <v>Tauranga</v>
      </c>
      <c r="AE66" s="356">
        <f>IF(ISBLANK(VLOOKUP($AC66,'2007-2020 Metadata'!$A$6:$S$214,19,FALSE)),"",VLOOKUP($AC66,'2007-2020 Metadata'!$A$6:$S$214,19,FALSE))</f>
        <v>2.9</v>
      </c>
      <c r="AF66" s="355" t="str">
        <f>VLOOKUP($B66,'2007-2020 Metadata'!$A$4:$S$214,MATCH("Site type",'2007-2020 Metadata'!$A$4:$S$4,0),FALSE)</f>
        <v>SH</v>
      </c>
      <c r="AG66" s="364">
        <f t="shared" si="5"/>
        <v>15.9</v>
      </c>
      <c r="AH66" s="364">
        <f t="shared" si="6"/>
        <v>38.1</v>
      </c>
      <c r="AI66" s="354">
        <f t="shared" si="7"/>
        <v>20.04603896103896</v>
      </c>
    </row>
    <row r="67" spans="2:35" ht="12" customHeight="1" x14ac:dyDescent="0.15">
      <c r="B67" s="313" t="s">
        <v>40</v>
      </c>
      <c r="C67" s="309">
        <v>20.2</v>
      </c>
      <c r="D67" s="309">
        <v>18.7</v>
      </c>
      <c r="E67" s="309">
        <v>17.8</v>
      </c>
      <c r="F67" s="309">
        <v>17.8</v>
      </c>
      <c r="G67" s="309">
        <v>29</v>
      </c>
      <c r="H67" s="309">
        <v>32.299999999999997</v>
      </c>
      <c r="I67" s="309">
        <v>32.299999999999997</v>
      </c>
      <c r="J67" s="309"/>
      <c r="K67" s="309">
        <v>51.3</v>
      </c>
      <c r="L67" s="309">
        <v>17.100000000000001</v>
      </c>
      <c r="M67" s="309">
        <v>24.4</v>
      </c>
      <c r="N67" s="309">
        <v>13.3</v>
      </c>
      <c r="O67" s="310">
        <f t="shared" si="0"/>
        <v>24.927272727272733</v>
      </c>
      <c r="P67" s="310">
        <f t="shared" si="1"/>
        <v>41.554853028959712</v>
      </c>
      <c r="Q67" s="311">
        <f t="shared" si="2"/>
        <v>0.91666666666666663</v>
      </c>
      <c r="R67" s="225">
        <f t="shared" si="12"/>
        <v>18.900000000000002</v>
      </c>
      <c r="S67" s="226">
        <f t="shared" si="3"/>
        <v>1</v>
      </c>
      <c r="T67" s="225">
        <f t="shared" si="13"/>
        <v>41.8</v>
      </c>
      <c r="U67" s="226">
        <f t="shared" si="8"/>
        <v>0.66666666666666663</v>
      </c>
      <c r="V67" s="227">
        <f t="shared" si="14"/>
        <v>24.927272727272733</v>
      </c>
      <c r="W67" s="228">
        <f t="shared" si="4"/>
        <v>0.91666666666666663</v>
      </c>
      <c r="X67" s="354">
        <f t="shared" si="9"/>
        <v>17.102380952380951</v>
      </c>
      <c r="Y67" s="354">
        <f t="shared" si="10"/>
        <v>25.590476190476188</v>
      </c>
      <c r="Z67" s="354">
        <f t="shared" si="11"/>
        <v>20.04603896103896</v>
      </c>
      <c r="AA67" s="205"/>
      <c r="AB67" s="357" t="str">
        <f>VLOOKUP($B67,'2007-2020 Metadata'!$A$4:$S$214,MATCH("Urban Area /Monitoring Zone",'2007-2020 Metadata'!$A$4:$S$4,0),FALSE)</f>
        <v>Tauranga</v>
      </c>
      <c r="AC67" s="229" t="str">
        <f>VLOOKUP(B67,'2007-2020 Metadata'!$A$6:$A$214,1,FALSE)</f>
        <v>HAM008</v>
      </c>
      <c r="AD67" s="356" t="str">
        <f>VLOOKUP($AC67,'2007-2020 Metadata'!$A$6:$S$214,9,FALSE)</f>
        <v>Tauranga</v>
      </c>
      <c r="AE67" s="356">
        <f>IF(ISBLANK(VLOOKUP($AC67,'2007-2020 Metadata'!$A$6:$S$214,19,FALSE)),"",VLOOKUP($AC67,'2007-2020 Metadata'!$A$6:$S$214,19,FALSE))</f>
        <v>2.9</v>
      </c>
      <c r="AF67" s="355" t="str">
        <f>VLOOKUP($B67,'2007-2020 Metadata'!$A$4:$S$214,MATCH("Site type",'2007-2020 Metadata'!$A$4:$S$4,0),FALSE)</f>
        <v>SH</v>
      </c>
      <c r="AG67" s="364">
        <f t="shared" si="5"/>
        <v>13.3</v>
      </c>
      <c r="AH67" s="364">
        <f t="shared" si="6"/>
        <v>51.3</v>
      </c>
      <c r="AI67" s="354">
        <f t="shared" si="7"/>
        <v>20.04603896103896</v>
      </c>
    </row>
    <row r="68" spans="2:35" ht="12" customHeight="1" x14ac:dyDescent="0.15">
      <c r="B68" s="313" t="s">
        <v>41</v>
      </c>
      <c r="C68" s="309">
        <v>26.4</v>
      </c>
      <c r="D68" s="309">
        <v>31</v>
      </c>
      <c r="E68" s="309">
        <v>19</v>
      </c>
      <c r="F68" s="309">
        <v>19</v>
      </c>
      <c r="G68" s="309">
        <v>29</v>
      </c>
      <c r="H68" s="309">
        <v>28</v>
      </c>
      <c r="I68" s="309">
        <v>31.1</v>
      </c>
      <c r="J68" s="309">
        <v>30.7</v>
      </c>
      <c r="K68" s="309">
        <v>28.2</v>
      </c>
      <c r="L68" s="309">
        <v>28.6</v>
      </c>
      <c r="M68" s="309">
        <v>26.7</v>
      </c>
      <c r="N68" s="309">
        <v>23.2</v>
      </c>
      <c r="O68" s="310">
        <f t="shared" si="0"/>
        <v>26.741666666666664</v>
      </c>
      <c r="P68" s="310">
        <f t="shared" si="1"/>
        <v>15.174083540309486</v>
      </c>
      <c r="Q68" s="311">
        <f t="shared" si="2"/>
        <v>1</v>
      </c>
      <c r="R68" s="225">
        <f t="shared" si="12"/>
        <v>25.466666666666669</v>
      </c>
      <c r="S68" s="226">
        <f t="shared" si="3"/>
        <v>1</v>
      </c>
      <c r="T68" s="225">
        <f t="shared" si="13"/>
        <v>30</v>
      </c>
      <c r="U68" s="226">
        <f t="shared" si="8"/>
        <v>1</v>
      </c>
      <c r="V68" s="227">
        <f t="shared" si="14"/>
        <v>26.741666666666664</v>
      </c>
      <c r="W68" s="228">
        <f t="shared" si="4"/>
        <v>1</v>
      </c>
      <c r="X68" s="354">
        <f t="shared" si="9"/>
        <v>17.102380952380951</v>
      </c>
      <c r="Y68" s="354">
        <f t="shared" si="10"/>
        <v>25.590476190476188</v>
      </c>
      <c r="Z68" s="354">
        <f t="shared" si="11"/>
        <v>20.04603896103896</v>
      </c>
      <c r="AA68" s="205"/>
      <c r="AB68" s="357" t="str">
        <f>VLOOKUP($B68,'2007-2020 Metadata'!$A$4:$S$214,MATCH("Urban Area /Monitoring Zone",'2007-2020 Metadata'!$A$4:$S$4,0),FALSE)</f>
        <v>Tauranga</v>
      </c>
      <c r="AC68" s="229" t="str">
        <f>VLOOKUP(B68,'2007-2020 Metadata'!$A$6:$A$214,1,FALSE)</f>
        <v>HAM010</v>
      </c>
      <c r="AD68" s="356" t="str">
        <f>VLOOKUP($AC68,'2007-2020 Metadata'!$A$6:$S$214,9,FALSE)</f>
        <v>Tauranga</v>
      </c>
      <c r="AE68" s="356">
        <f>IF(ISBLANK(VLOOKUP($AC68,'2007-2020 Metadata'!$A$6:$S$214,19,FALSE)),"",VLOOKUP($AC68,'2007-2020 Metadata'!$A$6:$S$214,19,FALSE))</f>
        <v>2.7</v>
      </c>
      <c r="AF68" s="355" t="str">
        <f>VLOOKUP($B68,'2007-2020 Metadata'!$A$4:$S$214,MATCH("Site type",'2007-2020 Metadata'!$A$4:$S$4,0),FALSE)</f>
        <v>SH</v>
      </c>
      <c r="AG68" s="364">
        <f t="shared" si="5"/>
        <v>19</v>
      </c>
      <c r="AH68" s="364">
        <f t="shared" si="6"/>
        <v>31.1</v>
      </c>
      <c r="AI68" s="354">
        <f t="shared" si="7"/>
        <v>20.04603896103896</v>
      </c>
    </row>
    <row r="69" spans="2:35" ht="12" customHeight="1" x14ac:dyDescent="0.15">
      <c r="B69" s="313" t="s">
        <v>95</v>
      </c>
      <c r="C69" s="309">
        <v>13</v>
      </c>
      <c r="D69" s="309">
        <v>20</v>
      </c>
      <c r="E69" s="309"/>
      <c r="F69" s="309"/>
      <c r="G69" s="309">
        <v>33.6</v>
      </c>
      <c r="H69" s="309">
        <v>30.2</v>
      </c>
      <c r="I69" s="309">
        <v>29</v>
      </c>
      <c r="J69" s="309">
        <v>23.5</v>
      </c>
      <c r="K69" s="309">
        <v>17.3</v>
      </c>
      <c r="L69" s="309">
        <v>20.3</v>
      </c>
      <c r="M69" s="309">
        <v>15.2</v>
      </c>
      <c r="N69" s="309">
        <v>8.1</v>
      </c>
      <c r="O69" s="310">
        <f t="shared" si="0"/>
        <v>21.020000000000003</v>
      </c>
      <c r="P69" s="310">
        <f t="shared" si="1"/>
        <v>36.631037841422511</v>
      </c>
      <c r="Q69" s="311">
        <f t="shared" si="2"/>
        <v>0.83333333333333337</v>
      </c>
      <c r="R69" s="225">
        <f t="shared" si="12"/>
        <v>16.5</v>
      </c>
      <c r="S69" s="226">
        <f t="shared" si="3"/>
        <v>0.66666666666666663</v>
      </c>
      <c r="T69" s="225">
        <f t="shared" si="13"/>
        <v>23.266666666666666</v>
      </c>
      <c r="U69" s="226">
        <f t="shared" si="8"/>
        <v>1</v>
      </c>
      <c r="V69" s="227">
        <f t="shared" si="14"/>
        <v>21.020000000000003</v>
      </c>
      <c r="W69" s="228">
        <f t="shared" si="4"/>
        <v>0.83333333333333337</v>
      </c>
      <c r="X69" s="354">
        <f t="shared" si="9"/>
        <v>24.283333333333335</v>
      </c>
      <c r="Y69" s="354">
        <f t="shared" si="10"/>
        <v>30.737037037037037</v>
      </c>
      <c r="Z69" s="354">
        <f t="shared" si="11"/>
        <v>27.233209876543206</v>
      </c>
      <c r="AA69" s="205"/>
      <c r="AB69" s="357" t="str">
        <f>VLOOKUP($B69,'2007-2020 Metadata'!$A$4:$S$214,MATCH("Urban Area /Monitoring Zone",'2007-2020 Metadata'!$A$4:$S$4,0),FALSE)</f>
        <v>Hamilton</v>
      </c>
      <c r="AC69" s="229" t="str">
        <f>VLOOKUP(B69,'2007-2020 Metadata'!$A$6:$A$214,1,FALSE)</f>
        <v>HAM012</v>
      </c>
      <c r="AD69" s="356" t="str">
        <f>VLOOKUP($AC69,'2007-2020 Metadata'!$A$6:$S$214,9,FALSE)</f>
        <v>Hamilton</v>
      </c>
      <c r="AE69" s="356">
        <f>IF(ISBLANK(VLOOKUP($AC69,'2007-2020 Metadata'!$A$6:$S$214,19,FALSE)),"",VLOOKUP($AC69,'2007-2020 Metadata'!$A$6:$S$214,19,FALSE))</f>
        <v>2.8</v>
      </c>
      <c r="AF69" s="355" t="str">
        <f>VLOOKUP($B69,'2007-2020 Metadata'!$A$4:$S$214,MATCH("Site type",'2007-2020 Metadata'!$A$4:$S$4,0),FALSE)</f>
        <v>Local (ex SH)</v>
      </c>
      <c r="AG69" s="364">
        <f t="shared" si="5"/>
        <v>8.1</v>
      </c>
      <c r="AH69" s="364">
        <f t="shared" si="6"/>
        <v>33.6</v>
      </c>
      <c r="AI69" s="354">
        <f t="shared" si="7"/>
        <v>27.233209876543206</v>
      </c>
    </row>
    <row r="70" spans="2:35" ht="12" customHeight="1" x14ac:dyDescent="0.15">
      <c r="B70" s="313" t="s">
        <v>96</v>
      </c>
      <c r="C70" s="309">
        <v>35.700000000000003</v>
      </c>
      <c r="D70" s="309">
        <v>42.1</v>
      </c>
      <c r="E70" s="309"/>
      <c r="F70" s="309"/>
      <c r="G70" s="309">
        <v>43</v>
      </c>
      <c r="H70" s="309">
        <v>41</v>
      </c>
      <c r="I70" s="309">
        <v>46.9</v>
      </c>
      <c r="J70" s="309">
        <v>48.4</v>
      </c>
      <c r="K70" s="309">
        <v>46</v>
      </c>
      <c r="L70" s="309">
        <v>38.4</v>
      </c>
      <c r="M70" s="309">
        <v>39.9</v>
      </c>
      <c r="N70" s="309">
        <v>32</v>
      </c>
      <c r="O70" s="310">
        <f t="shared" si="0"/>
        <v>41.339999999999996</v>
      </c>
      <c r="P70" s="310">
        <f t="shared" si="1"/>
        <v>11.743419575755086</v>
      </c>
      <c r="Q70" s="311">
        <f t="shared" si="2"/>
        <v>0.83333333333333337</v>
      </c>
      <c r="R70" s="225">
        <f t="shared" si="12"/>
        <v>38.900000000000006</v>
      </c>
      <c r="S70" s="226">
        <f t="shared" si="3"/>
        <v>0.66666666666666663</v>
      </c>
      <c r="T70" s="225">
        <f t="shared" si="13"/>
        <v>47.1</v>
      </c>
      <c r="U70" s="226">
        <f t="shared" si="8"/>
        <v>1</v>
      </c>
      <c r="V70" s="227">
        <f t="shared" si="14"/>
        <v>41.339999999999996</v>
      </c>
      <c r="W70" s="228">
        <f t="shared" si="4"/>
        <v>0.83333333333333337</v>
      </c>
      <c r="X70" s="354">
        <f t="shared" si="9"/>
        <v>24.283333333333335</v>
      </c>
      <c r="Y70" s="354">
        <f t="shared" si="10"/>
        <v>30.737037037037037</v>
      </c>
      <c r="Z70" s="354">
        <f t="shared" si="11"/>
        <v>27.233209876543206</v>
      </c>
      <c r="AA70" s="205"/>
      <c r="AB70" s="357" t="str">
        <f>VLOOKUP($B70,'2007-2020 Metadata'!$A$4:$S$214,MATCH("Urban Area /Monitoring Zone",'2007-2020 Metadata'!$A$4:$S$4,0),FALSE)</f>
        <v>Hamilton</v>
      </c>
      <c r="AC70" s="229" t="str">
        <f>VLOOKUP(B70,'2007-2020 Metadata'!$A$6:$A$214,1,FALSE)</f>
        <v>HAM013</v>
      </c>
      <c r="AD70" s="356" t="str">
        <f>VLOOKUP($AC70,'2007-2020 Metadata'!$A$6:$S$214,9,FALSE)</f>
        <v>Hamilton</v>
      </c>
      <c r="AE70" s="356">
        <f>IF(ISBLANK(VLOOKUP($AC70,'2007-2020 Metadata'!$A$6:$S$214,19,FALSE)),"",VLOOKUP($AC70,'2007-2020 Metadata'!$A$6:$S$214,19,FALSE))</f>
        <v>2.8</v>
      </c>
      <c r="AF70" s="355" t="str">
        <f>VLOOKUP($B70,'2007-2020 Metadata'!$A$4:$S$214,MATCH("Site type",'2007-2020 Metadata'!$A$4:$S$4,0),FALSE)</f>
        <v>SH</v>
      </c>
      <c r="AG70" s="364">
        <f t="shared" si="5"/>
        <v>32</v>
      </c>
      <c r="AH70" s="364">
        <f t="shared" si="6"/>
        <v>48.4</v>
      </c>
      <c r="AI70" s="354">
        <f t="shared" si="7"/>
        <v>27.233209876543206</v>
      </c>
    </row>
    <row r="71" spans="2:35" ht="12" customHeight="1" x14ac:dyDescent="0.15">
      <c r="B71" s="313" t="s">
        <v>97</v>
      </c>
      <c r="C71" s="309">
        <v>25.2</v>
      </c>
      <c r="D71" s="309">
        <v>35.200000000000003</v>
      </c>
      <c r="E71" s="309"/>
      <c r="F71" s="309"/>
      <c r="G71" s="309">
        <v>35.700000000000003</v>
      </c>
      <c r="H71" s="309">
        <v>39.200000000000003</v>
      </c>
      <c r="I71" s="309">
        <v>40.4</v>
      </c>
      <c r="J71" s="309">
        <v>38.6</v>
      </c>
      <c r="K71" s="309">
        <v>31.1</v>
      </c>
      <c r="L71" s="309">
        <v>31.3</v>
      </c>
      <c r="M71" s="309">
        <v>29</v>
      </c>
      <c r="N71" s="309">
        <v>22.9</v>
      </c>
      <c r="O71" s="310">
        <f t="shared" ref="O71:O74" si="23">(AVERAGE(C71:N71))</f>
        <v>32.86</v>
      </c>
      <c r="P71" s="310">
        <f t="shared" ref="P71:P134" si="24">IFERROR((STDEVP(C71:N71)/O71)*100,"")</f>
        <v>17.264545489148386</v>
      </c>
      <c r="Q71" s="311">
        <f t="shared" ref="Q71:Q134" si="25">COUNT(C71:N71)/COUNT($C$6:$N$6)</f>
        <v>0.83333333333333337</v>
      </c>
      <c r="R71" s="225">
        <f t="shared" si="12"/>
        <v>30.200000000000003</v>
      </c>
      <c r="S71" s="226">
        <f t="shared" si="3"/>
        <v>0.66666666666666663</v>
      </c>
      <c r="T71" s="225">
        <f t="shared" si="13"/>
        <v>36.699999999999996</v>
      </c>
      <c r="U71" s="226">
        <f t="shared" si="8"/>
        <v>1</v>
      </c>
      <c r="V71" s="227">
        <f t="shared" si="14"/>
        <v>32.86</v>
      </c>
      <c r="W71" s="228">
        <f t="shared" si="4"/>
        <v>0.83333333333333337</v>
      </c>
      <c r="X71" s="354">
        <f t="shared" si="9"/>
        <v>24.283333333333335</v>
      </c>
      <c r="Y71" s="354">
        <f t="shared" si="10"/>
        <v>30.737037037037037</v>
      </c>
      <c r="Z71" s="354">
        <f t="shared" si="11"/>
        <v>27.233209876543206</v>
      </c>
      <c r="AA71" s="205"/>
      <c r="AB71" s="357" t="str">
        <f>VLOOKUP($B71,'2007-2020 Metadata'!$A$4:$S$214,MATCH("Urban Area /Monitoring Zone",'2007-2020 Metadata'!$A$4:$S$4,0),FALSE)</f>
        <v>Hamilton</v>
      </c>
      <c r="AC71" s="229" t="str">
        <f>VLOOKUP(B71,'2007-2020 Metadata'!$A$6:$A$214,1,FALSE)</f>
        <v>HAM014</v>
      </c>
      <c r="AD71" s="356" t="str">
        <f>VLOOKUP($AC71,'2007-2020 Metadata'!$A$6:$S$214,9,FALSE)</f>
        <v>Hamilton</v>
      </c>
      <c r="AE71" s="356">
        <f>IF(ISBLANK(VLOOKUP($AC71,'2007-2020 Metadata'!$A$6:$S$214,19,FALSE)),"",VLOOKUP($AC71,'2007-2020 Metadata'!$A$6:$S$214,19,FALSE))</f>
        <v>2.2000000000000002</v>
      </c>
      <c r="AF71" s="355" t="str">
        <f>VLOOKUP($B71,'2007-2020 Metadata'!$A$4:$S$214,MATCH("Site type",'2007-2020 Metadata'!$A$4:$S$4,0),FALSE)</f>
        <v>Local</v>
      </c>
      <c r="AG71" s="364">
        <f t="shared" si="5"/>
        <v>22.9</v>
      </c>
      <c r="AH71" s="364">
        <f t="shared" si="6"/>
        <v>40.4</v>
      </c>
      <c r="AI71" s="354">
        <f t="shared" si="7"/>
        <v>27.233209876543206</v>
      </c>
    </row>
    <row r="72" spans="2:35" ht="12" customHeight="1" x14ac:dyDescent="0.15">
      <c r="B72" s="313" t="s">
        <v>98</v>
      </c>
      <c r="C72" s="309">
        <v>16.3</v>
      </c>
      <c r="D72" s="309">
        <v>25.4</v>
      </c>
      <c r="E72" s="309"/>
      <c r="F72" s="309"/>
      <c r="G72" s="309">
        <v>27.2</v>
      </c>
      <c r="H72" s="309">
        <v>29.1</v>
      </c>
      <c r="I72" s="309">
        <v>29.6</v>
      </c>
      <c r="J72" s="309">
        <v>26.8</v>
      </c>
      <c r="K72" s="309">
        <v>21.8</v>
      </c>
      <c r="L72" s="309">
        <v>24.8</v>
      </c>
      <c r="M72" s="309">
        <v>19.2</v>
      </c>
      <c r="N72" s="309">
        <v>16.2</v>
      </c>
      <c r="O72" s="310">
        <f t="shared" si="23"/>
        <v>23.64</v>
      </c>
      <c r="P72" s="310">
        <f t="shared" si="24"/>
        <v>20.054687729123991</v>
      </c>
      <c r="Q72" s="311">
        <f t="shared" si="25"/>
        <v>0.83333333333333337</v>
      </c>
      <c r="R72" s="225">
        <f t="shared" si="12"/>
        <v>20.85</v>
      </c>
      <c r="S72" s="226">
        <f t="shared" ref="S72:S135" si="26">COUNT(C72:E72)/3</f>
        <v>0.66666666666666663</v>
      </c>
      <c r="T72" s="225">
        <f t="shared" si="13"/>
        <v>26.066666666666666</v>
      </c>
      <c r="U72" s="226">
        <f t="shared" si="8"/>
        <v>1</v>
      </c>
      <c r="V72" s="227">
        <f t="shared" si="14"/>
        <v>23.64</v>
      </c>
      <c r="W72" s="228">
        <f t="shared" ref="W72:W135" si="27">Q72</f>
        <v>0.83333333333333337</v>
      </c>
      <c r="X72" s="354">
        <f t="shared" si="9"/>
        <v>24.283333333333335</v>
      </c>
      <c r="Y72" s="354">
        <f t="shared" si="10"/>
        <v>30.737037037037037</v>
      </c>
      <c r="Z72" s="354">
        <f t="shared" si="11"/>
        <v>27.233209876543206</v>
      </c>
      <c r="AA72" s="205"/>
      <c r="AB72" s="357" t="str">
        <f>VLOOKUP($B72,'2007-2020 Metadata'!$A$4:$S$214,MATCH("Urban Area /Monitoring Zone",'2007-2020 Metadata'!$A$4:$S$4,0),FALSE)</f>
        <v>Hamilton</v>
      </c>
      <c r="AC72" s="229" t="str">
        <f>VLOOKUP(B72,'2007-2020 Metadata'!$A$6:$A$214,1,FALSE)</f>
        <v>HAM015</v>
      </c>
      <c r="AD72" s="356" t="str">
        <f>VLOOKUP($AC72,'2007-2020 Metadata'!$A$6:$S$214,9,FALSE)</f>
        <v>Hamilton</v>
      </c>
      <c r="AE72" s="356">
        <f>IF(ISBLANK(VLOOKUP($AC72,'2007-2020 Metadata'!$A$6:$S$214,19,FALSE)),"",VLOOKUP($AC72,'2007-2020 Metadata'!$A$6:$S$214,19,FALSE))</f>
        <v>2.7</v>
      </c>
      <c r="AF72" s="355" t="str">
        <f>VLOOKUP($B72,'2007-2020 Metadata'!$A$4:$S$214,MATCH("Site type",'2007-2020 Metadata'!$A$4:$S$4,0),FALSE)</f>
        <v>Local</v>
      </c>
      <c r="AG72" s="364">
        <f t="shared" ref="AG72:AG135" si="28">MIN(C72:N72)</f>
        <v>16.2</v>
      </c>
      <c r="AH72" s="364">
        <f t="shared" ref="AH72:AH135" si="29">MAX(C72:N72)</f>
        <v>29.6</v>
      </c>
      <c r="AI72" s="354">
        <f t="shared" ref="AI72:AI135" si="30">IF(W72&gt;=75%,Z72," ")</f>
        <v>27.233209876543206</v>
      </c>
    </row>
    <row r="73" spans="2:35" ht="12" customHeight="1" x14ac:dyDescent="0.15">
      <c r="B73" s="313" t="s">
        <v>99</v>
      </c>
      <c r="C73" s="309">
        <v>10.9</v>
      </c>
      <c r="D73" s="309">
        <v>22.4</v>
      </c>
      <c r="E73" s="309"/>
      <c r="F73" s="309"/>
      <c r="G73" s="309">
        <v>26.4</v>
      </c>
      <c r="H73" s="309">
        <v>30.7</v>
      </c>
      <c r="I73" s="309">
        <v>29.2</v>
      </c>
      <c r="J73" s="309">
        <v>24.3</v>
      </c>
      <c r="K73" s="309">
        <v>16.600000000000001</v>
      </c>
      <c r="L73" s="309">
        <v>19.2</v>
      </c>
      <c r="M73" s="309">
        <v>16</v>
      </c>
      <c r="N73" s="309">
        <v>12.4</v>
      </c>
      <c r="O73" s="310">
        <f t="shared" si="23"/>
        <v>20.81</v>
      </c>
      <c r="P73" s="310">
        <f t="shared" si="24"/>
        <v>31.384295471040442</v>
      </c>
      <c r="Q73" s="311">
        <f t="shared" si="25"/>
        <v>0.83333333333333337</v>
      </c>
      <c r="R73" s="225">
        <f t="shared" si="12"/>
        <v>16.649999999999999</v>
      </c>
      <c r="S73" s="226">
        <f t="shared" si="26"/>
        <v>0.66666666666666663</v>
      </c>
      <c r="T73" s="225">
        <f t="shared" si="13"/>
        <v>23.366666666666664</v>
      </c>
      <c r="U73" s="226">
        <f t="shared" ref="U73:U136" si="31">COUNT(I73:K73)/3</f>
        <v>1</v>
      </c>
      <c r="V73" s="227">
        <f t="shared" si="14"/>
        <v>20.81</v>
      </c>
      <c r="W73" s="228">
        <f t="shared" si="27"/>
        <v>0.83333333333333337</v>
      </c>
      <c r="X73" s="354">
        <f t="shared" ref="X73:X136" si="32">IF(VLOOKUP($B73,$AC$6:$AI$180,3,FALSE)="",$R73,IF(ISERROR(AVERAGEIF($AD$6:$AD$180,VLOOKUP($B73,$AC$6:$AI$180,2,FALSE),$R$6:$R$180)),"",AVERAGEIF($AD$6:$AD$180,VLOOKUP($B73,$AC$6:$AI$180,2,FALSE),$R$6:$R$180)))</f>
        <v>24.283333333333335</v>
      </c>
      <c r="Y73" s="354">
        <f t="shared" ref="Y73:Y136" si="33">IF(VLOOKUP($B73,$AC$6:$AI$180,3,FALSE)="",$T73,IF(ISERROR(AVERAGEIF($AD$6:$AD$180,VLOOKUP($B73,$AC$6:$AI$180,2,FALSE),$T$6:$T$180)),"",AVERAGEIF($AD$6:$AD$180,VLOOKUP($B73,$AC$6:$AI$180,2,FALSE),$T$6:$T$180)))</f>
        <v>30.737037037037037</v>
      </c>
      <c r="Z73" s="354">
        <f t="shared" ref="Z73:Z136" si="34">IF(VLOOKUP($B73,$AC$6:$AI$180,3,FALSE)="",$V73,IF(ISERROR(AVERAGEIF($AD$6:$AD$180,VLOOKUP($B73,$AC$6:$AI$180,2,FALSE),$V$6:$V$180)),"",AVERAGEIF($AD$6:$AD$180,VLOOKUP($B73,$AC$6:$AI$180,2,FALSE),$V$6:$V$180)))</f>
        <v>27.233209876543206</v>
      </c>
      <c r="AA73" s="205"/>
      <c r="AB73" s="357" t="str">
        <f>VLOOKUP($B73,'2007-2020 Metadata'!$A$4:$S$214,MATCH("Urban Area /Monitoring Zone",'2007-2020 Metadata'!$A$4:$S$4,0),FALSE)</f>
        <v>Hamilton</v>
      </c>
      <c r="AC73" s="229" t="str">
        <f>VLOOKUP(B73,'2007-2020 Metadata'!$A$6:$A$214,1,FALSE)</f>
        <v>HAM016</v>
      </c>
      <c r="AD73" s="356" t="str">
        <f>VLOOKUP($AC73,'2007-2020 Metadata'!$A$6:$S$214,9,FALSE)</f>
        <v>Hamilton</v>
      </c>
      <c r="AE73" s="356">
        <f>IF(ISBLANK(VLOOKUP($AC73,'2007-2020 Metadata'!$A$6:$S$214,19,FALSE)),"",VLOOKUP($AC73,'2007-2020 Metadata'!$A$6:$S$214,19,FALSE))</f>
        <v>2.6</v>
      </c>
      <c r="AF73" s="355" t="str">
        <f>VLOOKUP($B73,'2007-2020 Metadata'!$A$4:$S$214,MATCH("Site type",'2007-2020 Metadata'!$A$4:$S$4,0),FALSE)</f>
        <v>Local</v>
      </c>
      <c r="AG73" s="364">
        <f t="shared" si="28"/>
        <v>10.9</v>
      </c>
      <c r="AH73" s="364">
        <f t="shared" si="29"/>
        <v>30.7</v>
      </c>
      <c r="AI73" s="354">
        <f t="shared" si="30"/>
        <v>27.233209876543206</v>
      </c>
    </row>
    <row r="74" spans="2:35" ht="12" customHeight="1" x14ac:dyDescent="0.15">
      <c r="B74" s="313" t="s">
        <v>100</v>
      </c>
      <c r="C74" s="309">
        <v>3.6</v>
      </c>
      <c r="D74" s="309">
        <v>10</v>
      </c>
      <c r="E74" s="309"/>
      <c r="F74" s="309"/>
      <c r="G74" s="309">
        <v>15.5</v>
      </c>
      <c r="H74" s="309">
        <v>13.6</v>
      </c>
      <c r="I74" s="309">
        <v>15</v>
      </c>
      <c r="J74" s="309">
        <v>12.9</v>
      </c>
      <c r="K74" s="309">
        <v>9</v>
      </c>
      <c r="L74" s="309">
        <v>7.2</v>
      </c>
      <c r="M74" s="309">
        <v>6.9</v>
      </c>
      <c r="N74" s="309"/>
      <c r="O74" s="310">
        <f t="shared" si="23"/>
        <v>10.411111111111113</v>
      </c>
      <c r="P74" s="310">
        <f t="shared" si="24"/>
        <v>37.132753657279835</v>
      </c>
      <c r="Q74" s="311">
        <f t="shared" si="25"/>
        <v>0.75</v>
      </c>
      <c r="R74" s="225">
        <f t="shared" ref="R74:R137" si="35">IF($S74=0%,"",IF($S74&gt;66%,AVERAGE($C74:$E74),"-"))</f>
        <v>6.8</v>
      </c>
      <c r="S74" s="226">
        <f t="shared" si="26"/>
        <v>0.66666666666666663</v>
      </c>
      <c r="T74" s="225">
        <f t="shared" ref="T74:T137" si="36">IF($U74=0%,"",IF($U74&gt;66%,AVERAGE($I74:$K74),"-"))</f>
        <v>12.299999999999999</v>
      </c>
      <c r="U74" s="226">
        <f t="shared" si="31"/>
        <v>1</v>
      </c>
      <c r="V74" s="227">
        <f t="shared" ref="V74:V137" si="37">IF(AND(($S74&gt;33%),($U74&gt;33%),($W74&gt;=75%)),AVERAGE($C74:$N74),"-")</f>
        <v>10.411111111111113</v>
      </c>
      <c r="W74" s="228">
        <f t="shared" si="27"/>
        <v>0.75</v>
      </c>
      <c r="X74" s="354">
        <f t="shared" si="32"/>
        <v>24.283333333333335</v>
      </c>
      <c r="Y74" s="354">
        <f t="shared" si="33"/>
        <v>30.737037037037037</v>
      </c>
      <c r="Z74" s="354">
        <f t="shared" si="34"/>
        <v>27.233209876543206</v>
      </c>
      <c r="AA74" s="205"/>
      <c r="AB74" s="357" t="str">
        <f>VLOOKUP($B74,'2007-2020 Metadata'!$A$4:$S$214,MATCH("Urban Area /Monitoring Zone",'2007-2020 Metadata'!$A$4:$S$4,0),FALSE)</f>
        <v>Hamilton</v>
      </c>
      <c r="AC74" s="229" t="str">
        <f>VLOOKUP(B74,'2007-2020 Metadata'!$A$6:$A$214,1,FALSE)</f>
        <v>HAM017</v>
      </c>
      <c r="AD74" s="356" t="str">
        <f>VLOOKUP($AC74,'2007-2020 Metadata'!$A$6:$S$214,9,FALSE)</f>
        <v>Hamilton</v>
      </c>
      <c r="AE74" s="356">
        <f>IF(ISBLANK(VLOOKUP($AC74,'2007-2020 Metadata'!$A$6:$S$214,19,FALSE)),"",VLOOKUP($AC74,'2007-2020 Metadata'!$A$6:$S$214,19,FALSE))</f>
        <v>5</v>
      </c>
      <c r="AF74" s="355" t="str">
        <f>VLOOKUP($B74,'2007-2020 Metadata'!$A$4:$S$214,MATCH("Site type",'2007-2020 Metadata'!$A$4:$S$4,0),FALSE)</f>
        <v>Background</v>
      </c>
      <c r="AG74" s="364">
        <f t="shared" si="28"/>
        <v>3.6</v>
      </c>
      <c r="AH74" s="364">
        <f t="shared" si="29"/>
        <v>15.5</v>
      </c>
      <c r="AI74" s="354">
        <f t="shared" si="30"/>
        <v>27.233209876543206</v>
      </c>
    </row>
    <row r="75" spans="2:35" ht="12" customHeight="1" x14ac:dyDescent="0.15">
      <c r="B75" s="313" t="s">
        <v>101</v>
      </c>
      <c r="C75" s="309"/>
      <c r="D75" s="309"/>
      <c r="E75" s="309"/>
      <c r="F75" s="309"/>
      <c r="G75" s="309"/>
      <c r="H75" s="309"/>
      <c r="I75" s="309"/>
      <c r="J75" s="309"/>
      <c r="K75" s="309"/>
      <c r="L75" s="309"/>
      <c r="M75" s="309"/>
      <c r="N75" s="309"/>
      <c r="O75" s="310"/>
      <c r="P75" s="310" t="str">
        <f t="shared" si="24"/>
        <v/>
      </c>
      <c r="Q75" s="311">
        <f t="shared" si="25"/>
        <v>0</v>
      </c>
      <c r="R75" s="225" t="str">
        <f t="shared" si="35"/>
        <v/>
      </c>
      <c r="S75" s="226">
        <f t="shared" si="26"/>
        <v>0</v>
      </c>
      <c r="T75" s="225" t="str">
        <f t="shared" si="36"/>
        <v/>
      </c>
      <c r="U75" s="226">
        <f t="shared" si="31"/>
        <v>0</v>
      </c>
      <c r="V75" s="227" t="str">
        <f t="shared" si="37"/>
        <v>-</v>
      </c>
      <c r="W75" s="228">
        <f t="shared" si="27"/>
        <v>0</v>
      </c>
      <c r="X75" s="354">
        <f t="shared" si="32"/>
        <v>17.102380952380951</v>
      </c>
      <c r="Y75" s="354">
        <f t="shared" si="33"/>
        <v>25.590476190476188</v>
      </c>
      <c r="Z75" s="354">
        <f t="shared" si="34"/>
        <v>20.04603896103896</v>
      </c>
      <c r="AA75" s="205"/>
      <c r="AB75" s="357" t="str">
        <f>VLOOKUP($B75,'2007-2020 Metadata'!$A$4:$S$214,MATCH("Urban Area /Monitoring Zone",'2007-2020 Metadata'!$A$4:$S$4,0),FALSE)</f>
        <v>Tauranga</v>
      </c>
      <c r="AC75" s="229" t="str">
        <f>VLOOKUP(B75,'2007-2020 Metadata'!$A$6:$A$214,1,FALSE)</f>
        <v>HAM018</v>
      </c>
      <c r="AD75" s="356" t="str">
        <f>VLOOKUP($AC75,'2007-2020 Metadata'!$A$6:$S$214,9,FALSE)</f>
        <v>Tauranga</v>
      </c>
      <c r="AE75" s="356">
        <f>IF(ISBLANK(VLOOKUP($AC75,'2007-2020 Metadata'!$A$6:$S$214,19,FALSE)),"",VLOOKUP($AC75,'2007-2020 Metadata'!$A$6:$S$214,19,FALSE))</f>
        <v>2.5</v>
      </c>
      <c r="AF75" s="355" t="str">
        <f>VLOOKUP($B75,'2007-2020 Metadata'!$A$4:$S$214,MATCH("Site type",'2007-2020 Metadata'!$A$4:$S$4,0),FALSE)</f>
        <v>SH</v>
      </c>
      <c r="AG75" s="364">
        <f t="shared" si="28"/>
        <v>0</v>
      </c>
      <c r="AH75" s="364">
        <f t="shared" si="29"/>
        <v>0</v>
      </c>
      <c r="AI75" s="354" t="str">
        <f t="shared" si="30"/>
        <v xml:space="preserve"> </v>
      </c>
    </row>
    <row r="76" spans="2:35" ht="12" customHeight="1" x14ac:dyDescent="0.15">
      <c r="B76" s="313" t="s">
        <v>102</v>
      </c>
      <c r="C76" s="309">
        <v>11.8</v>
      </c>
      <c r="D76" s="309">
        <v>16.100000000000001</v>
      </c>
      <c r="E76" s="309">
        <v>12</v>
      </c>
      <c r="F76" s="309">
        <v>12</v>
      </c>
      <c r="G76" s="309">
        <v>19.2</v>
      </c>
      <c r="H76" s="309">
        <v>22.1</v>
      </c>
      <c r="I76" s="309">
        <v>23.9</v>
      </c>
      <c r="J76" s="309">
        <v>20.3</v>
      </c>
      <c r="K76" s="309">
        <v>16.8</v>
      </c>
      <c r="L76" s="309">
        <v>14.7</v>
      </c>
      <c r="M76" s="309">
        <v>13.5</v>
      </c>
      <c r="N76" s="309">
        <v>10.7</v>
      </c>
      <c r="O76" s="310">
        <f t="shared" ref="O76:O139" si="38">(AVERAGE(C76:N76))</f>
        <v>16.091666666666669</v>
      </c>
      <c r="P76" s="310">
        <f t="shared" si="24"/>
        <v>26.277981739016383</v>
      </c>
      <c r="Q76" s="311">
        <f t="shared" si="25"/>
        <v>1</v>
      </c>
      <c r="R76" s="225">
        <f t="shared" si="35"/>
        <v>13.300000000000002</v>
      </c>
      <c r="S76" s="226">
        <f t="shared" si="26"/>
        <v>1</v>
      </c>
      <c r="T76" s="225">
        <f t="shared" si="36"/>
        <v>20.333333333333332</v>
      </c>
      <c r="U76" s="226">
        <f t="shared" si="31"/>
        <v>1</v>
      </c>
      <c r="V76" s="227">
        <f t="shared" si="37"/>
        <v>16.091666666666669</v>
      </c>
      <c r="W76" s="228">
        <f t="shared" si="27"/>
        <v>1</v>
      </c>
      <c r="X76" s="354">
        <f t="shared" si="32"/>
        <v>17.102380952380951</v>
      </c>
      <c r="Y76" s="354">
        <f t="shared" si="33"/>
        <v>25.590476190476188</v>
      </c>
      <c r="Z76" s="354">
        <f t="shared" si="34"/>
        <v>20.04603896103896</v>
      </c>
      <c r="AA76" s="205"/>
      <c r="AB76" s="357" t="str">
        <f>VLOOKUP($B76,'2007-2020 Metadata'!$A$4:$S$214,MATCH("Urban Area /Monitoring Zone",'2007-2020 Metadata'!$A$4:$S$4,0),FALSE)</f>
        <v>Tauranga</v>
      </c>
      <c r="AC76" s="229" t="str">
        <f>VLOOKUP(B76,'2007-2020 Metadata'!$A$6:$A$214,1,FALSE)</f>
        <v>HAM019</v>
      </c>
      <c r="AD76" s="356" t="str">
        <f>VLOOKUP($AC76,'2007-2020 Metadata'!$A$6:$S$214,9,FALSE)</f>
        <v>Tauranga</v>
      </c>
      <c r="AE76" s="356">
        <f>IF(ISBLANK(VLOOKUP($AC76,'2007-2020 Metadata'!$A$6:$S$214,19,FALSE)),"",VLOOKUP($AC76,'2007-2020 Metadata'!$A$6:$S$214,19,FALSE))</f>
        <v>2.7</v>
      </c>
      <c r="AF76" s="355" t="str">
        <f>VLOOKUP($B76,'2007-2020 Metadata'!$A$4:$S$214,MATCH("Site type",'2007-2020 Metadata'!$A$4:$S$4,0),FALSE)</f>
        <v>Local</v>
      </c>
      <c r="AG76" s="364">
        <f t="shared" si="28"/>
        <v>10.7</v>
      </c>
      <c r="AH76" s="364">
        <f t="shared" si="29"/>
        <v>23.9</v>
      </c>
      <c r="AI76" s="354">
        <f t="shared" si="30"/>
        <v>20.04603896103896</v>
      </c>
    </row>
    <row r="77" spans="2:35" ht="12" customHeight="1" x14ac:dyDescent="0.15">
      <c r="B77" s="313" t="s">
        <v>103</v>
      </c>
      <c r="C77" s="309">
        <v>14.2</v>
      </c>
      <c r="D77" s="309">
        <v>17.399999999999999</v>
      </c>
      <c r="E77" s="309">
        <v>7.9</v>
      </c>
      <c r="F77" s="309">
        <v>7.9</v>
      </c>
      <c r="G77" s="309">
        <v>23.7</v>
      </c>
      <c r="H77" s="309">
        <v>23.3</v>
      </c>
      <c r="I77" s="309">
        <v>23</v>
      </c>
      <c r="J77" s="309">
        <v>19.5</v>
      </c>
      <c r="K77" s="309">
        <v>11.6</v>
      </c>
      <c r="L77" s="309">
        <v>13.7</v>
      </c>
      <c r="M77" s="309">
        <v>15</v>
      </c>
      <c r="N77" s="309">
        <v>10</v>
      </c>
      <c r="O77" s="310">
        <f t="shared" si="38"/>
        <v>15.599999999999996</v>
      </c>
      <c r="P77" s="310">
        <f t="shared" si="24"/>
        <v>35.593762858343034</v>
      </c>
      <c r="Q77" s="311">
        <f t="shared" si="25"/>
        <v>1</v>
      </c>
      <c r="R77" s="225">
        <f t="shared" si="35"/>
        <v>13.166666666666666</v>
      </c>
      <c r="S77" s="226">
        <f t="shared" si="26"/>
        <v>1</v>
      </c>
      <c r="T77" s="225">
        <f t="shared" si="36"/>
        <v>18.033333333333335</v>
      </c>
      <c r="U77" s="226">
        <f t="shared" si="31"/>
        <v>1</v>
      </c>
      <c r="V77" s="227">
        <f t="shared" si="37"/>
        <v>15.599999999999996</v>
      </c>
      <c r="W77" s="228">
        <f t="shared" si="27"/>
        <v>1</v>
      </c>
      <c r="X77" s="354">
        <f t="shared" si="32"/>
        <v>17.102380952380951</v>
      </c>
      <c r="Y77" s="354">
        <f t="shared" si="33"/>
        <v>25.590476190476188</v>
      </c>
      <c r="Z77" s="354">
        <f t="shared" si="34"/>
        <v>20.04603896103896</v>
      </c>
      <c r="AA77" s="205"/>
      <c r="AB77" s="357" t="str">
        <f>VLOOKUP($B77,'2007-2020 Metadata'!$A$4:$S$214,MATCH("Urban Area /Monitoring Zone",'2007-2020 Metadata'!$A$4:$S$4,0),FALSE)</f>
        <v>Tauranga</v>
      </c>
      <c r="AC77" s="229" t="str">
        <f>VLOOKUP(B77,'2007-2020 Metadata'!$A$6:$A$214,1,FALSE)</f>
        <v>HAM020</v>
      </c>
      <c r="AD77" s="356" t="str">
        <f>VLOOKUP($AC77,'2007-2020 Metadata'!$A$6:$S$214,9,FALSE)</f>
        <v>Tauranga</v>
      </c>
      <c r="AE77" s="356">
        <f>IF(ISBLANK(VLOOKUP($AC77,'2007-2020 Metadata'!$A$6:$S$214,19,FALSE)),"",VLOOKUP($AC77,'2007-2020 Metadata'!$A$6:$S$214,19,FALSE))</f>
        <v>2.8</v>
      </c>
      <c r="AF77" s="355" t="str">
        <f>VLOOKUP($B77,'2007-2020 Metadata'!$A$4:$S$214,MATCH("Site type",'2007-2020 Metadata'!$A$4:$S$4,0),FALSE)</f>
        <v>Local</v>
      </c>
      <c r="AG77" s="364">
        <f t="shared" si="28"/>
        <v>7.9</v>
      </c>
      <c r="AH77" s="364">
        <f t="shared" si="29"/>
        <v>23.7</v>
      </c>
      <c r="AI77" s="354">
        <f t="shared" si="30"/>
        <v>20.04603896103896</v>
      </c>
    </row>
    <row r="78" spans="2:35" ht="12" customHeight="1" x14ac:dyDescent="0.15">
      <c r="B78" s="313" t="s">
        <v>104</v>
      </c>
      <c r="C78" s="309">
        <v>7.7</v>
      </c>
      <c r="D78" s="309">
        <v>10.9</v>
      </c>
      <c r="E78" s="309">
        <v>7.9</v>
      </c>
      <c r="F78" s="309">
        <v>7.9</v>
      </c>
      <c r="G78" s="309">
        <v>14.3</v>
      </c>
      <c r="H78" s="309">
        <v>13</v>
      </c>
      <c r="I78" s="309">
        <v>13.6</v>
      </c>
      <c r="J78" s="309">
        <v>10.8</v>
      </c>
      <c r="K78" s="309">
        <v>9.1999999999999993</v>
      </c>
      <c r="L78" s="309">
        <v>8.5</v>
      </c>
      <c r="M78" s="309">
        <v>7.7</v>
      </c>
      <c r="N78" s="309">
        <v>6.6</v>
      </c>
      <c r="O78" s="310">
        <f t="shared" si="38"/>
        <v>9.8416666666666668</v>
      </c>
      <c r="P78" s="310">
        <f t="shared" si="24"/>
        <v>25.478153458190782</v>
      </c>
      <c r="Q78" s="311">
        <f t="shared" si="25"/>
        <v>1</v>
      </c>
      <c r="R78" s="225">
        <f t="shared" si="35"/>
        <v>8.8333333333333339</v>
      </c>
      <c r="S78" s="226">
        <f t="shared" si="26"/>
        <v>1</v>
      </c>
      <c r="T78" s="225">
        <f t="shared" si="36"/>
        <v>11.199999999999998</v>
      </c>
      <c r="U78" s="226">
        <f t="shared" si="31"/>
        <v>1</v>
      </c>
      <c r="V78" s="227">
        <f t="shared" si="37"/>
        <v>9.8416666666666668</v>
      </c>
      <c r="W78" s="228">
        <f t="shared" si="27"/>
        <v>1</v>
      </c>
      <c r="X78" s="354">
        <f t="shared" si="32"/>
        <v>17.102380952380951</v>
      </c>
      <c r="Y78" s="354">
        <f t="shared" si="33"/>
        <v>25.590476190476188</v>
      </c>
      <c r="Z78" s="354">
        <f t="shared" si="34"/>
        <v>20.04603896103896</v>
      </c>
      <c r="AA78" s="205"/>
      <c r="AB78" s="357" t="str">
        <f>VLOOKUP($B78,'2007-2020 Metadata'!$A$4:$S$214,MATCH("Urban Area /Monitoring Zone",'2007-2020 Metadata'!$A$4:$S$4,0),FALSE)</f>
        <v>Tauranga</v>
      </c>
      <c r="AC78" s="229" t="str">
        <f>VLOOKUP(B78,'2007-2020 Metadata'!$A$6:$A$214,1,FALSE)</f>
        <v>HAM021</v>
      </c>
      <c r="AD78" s="356" t="str">
        <f>VLOOKUP($AC78,'2007-2020 Metadata'!$A$6:$S$214,9,FALSE)</f>
        <v>Tauranga</v>
      </c>
      <c r="AE78" s="356">
        <f>IF(ISBLANK(VLOOKUP($AC78,'2007-2020 Metadata'!$A$6:$S$214,19,FALSE)),"",VLOOKUP($AC78,'2007-2020 Metadata'!$A$6:$S$214,19,FALSE))</f>
        <v>3</v>
      </c>
      <c r="AF78" s="355" t="str">
        <f>VLOOKUP($B78,'2007-2020 Metadata'!$A$4:$S$214,MATCH("Site type",'2007-2020 Metadata'!$A$4:$S$4,0),FALSE)</f>
        <v>Background</v>
      </c>
      <c r="AG78" s="364">
        <f t="shared" si="28"/>
        <v>6.6</v>
      </c>
      <c r="AH78" s="364">
        <f t="shared" si="29"/>
        <v>14.3</v>
      </c>
      <c r="AI78" s="354">
        <f t="shared" si="30"/>
        <v>20.04603896103896</v>
      </c>
    </row>
    <row r="79" spans="2:35" ht="12" customHeight="1" x14ac:dyDescent="0.15">
      <c r="B79" s="313" t="s">
        <v>105</v>
      </c>
      <c r="C79" s="309">
        <v>13.2</v>
      </c>
      <c r="D79" s="309"/>
      <c r="E79" s="309">
        <v>21.1</v>
      </c>
      <c r="F79" s="309">
        <v>21.1</v>
      </c>
      <c r="G79" s="309">
        <v>20.399999999999999</v>
      </c>
      <c r="H79" s="309">
        <v>20.7</v>
      </c>
      <c r="I79" s="309">
        <v>23.1</v>
      </c>
      <c r="J79" s="309">
        <v>21.4</v>
      </c>
      <c r="K79" s="309">
        <v>14.9</v>
      </c>
      <c r="L79" s="309">
        <v>16.5</v>
      </c>
      <c r="M79" s="309"/>
      <c r="N79" s="309">
        <v>13.6</v>
      </c>
      <c r="O79" s="310">
        <f t="shared" si="38"/>
        <v>18.600000000000001</v>
      </c>
      <c r="P79" s="310">
        <f t="shared" si="24"/>
        <v>18.662962320118044</v>
      </c>
      <c r="Q79" s="311">
        <f t="shared" si="25"/>
        <v>0.83333333333333337</v>
      </c>
      <c r="R79" s="225">
        <f t="shared" si="35"/>
        <v>17.149999999999999</v>
      </c>
      <c r="S79" s="226">
        <f t="shared" si="26"/>
        <v>0.66666666666666663</v>
      </c>
      <c r="T79" s="225">
        <f t="shared" si="36"/>
        <v>19.8</v>
      </c>
      <c r="U79" s="226">
        <f t="shared" si="31"/>
        <v>1</v>
      </c>
      <c r="V79" s="227">
        <f t="shared" si="37"/>
        <v>18.600000000000001</v>
      </c>
      <c r="W79" s="228">
        <f t="shared" si="27"/>
        <v>0.83333333333333337</v>
      </c>
      <c r="X79" s="354">
        <f t="shared" si="32"/>
        <v>17.149999999999999</v>
      </c>
      <c r="Y79" s="354">
        <f t="shared" si="33"/>
        <v>19.8</v>
      </c>
      <c r="Z79" s="354">
        <f t="shared" si="34"/>
        <v>18.600000000000001</v>
      </c>
      <c r="AA79" s="205"/>
      <c r="AB79" s="357" t="str">
        <f>VLOOKUP($B79,'2007-2020 Metadata'!$A$4:$S$214,MATCH("Urban Area /Monitoring Zone",'2007-2020 Metadata'!$A$4:$S$4,0),FALSE)</f>
        <v>Te Awamutu</v>
      </c>
      <c r="AC79" s="229" t="str">
        <f>VLOOKUP(B79,'2007-2020 Metadata'!$A$6:$A$214,1,FALSE)</f>
        <v>HAM022</v>
      </c>
      <c r="AD79" s="356" t="str">
        <f>VLOOKUP($AC79,'2007-2020 Metadata'!$A$6:$S$214,9,FALSE)</f>
        <v>Te Awamutu</v>
      </c>
      <c r="AE79" s="356">
        <f>IF(ISBLANK(VLOOKUP($AC79,'2007-2020 Metadata'!$A$6:$S$214,19,FALSE)),"",VLOOKUP($AC79,'2007-2020 Metadata'!$A$6:$S$214,19,FALSE))</f>
        <v>3</v>
      </c>
      <c r="AF79" s="355" t="str">
        <f>VLOOKUP($B79,'2007-2020 Metadata'!$A$4:$S$214,MATCH("Site type",'2007-2020 Metadata'!$A$4:$S$4,0),FALSE)</f>
        <v>SH</v>
      </c>
      <c r="AG79" s="364">
        <f t="shared" si="28"/>
        <v>13.2</v>
      </c>
      <c r="AH79" s="364">
        <f t="shared" si="29"/>
        <v>23.1</v>
      </c>
      <c r="AI79" s="354">
        <f t="shared" si="30"/>
        <v>18.600000000000001</v>
      </c>
    </row>
    <row r="80" spans="2:35" ht="12" customHeight="1" x14ac:dyDescent="0.15">
      <c r="B80" s="313" t="s">
        <v>106</v>
      </c>
      <c r="C80" s="309">
        <v>4.0999999999999996</v>
      </c>
      <c r="D80" s="309">
        <v>7.9</v>
      </c>
      <c r="E80" s="309">
        <v>5.8</v>
      </c>
      <c r="F80" s="309">
        <v>5.8</v>
      </c>
      <c r="G80" s="309">
        <v>9.8000000000000007</v>
      </c>
      <c r="H80" s="309"/>
      <c r="I80" s="309"/>
      <c r="J80" s="309"/>
      <c r="K80" s="309"/>
      <c r="L80" s="309"/>
      <c r="M80" s="309"/>
      <c r="N80" s="309"/>
      <c r="O80" s="310">
        <f t="shared" si="38"/>
        <v>6.6800000000000015</v>
      </c>
      <c r="P80" s="310">
        <f t="shared" si="24"/>
        <v>29.508870246308138</v>
      </c>
      <c r="Q80" s="311">
        <f t="shared" si="25"/>
        <v>0.41666666666666669</v>
      </c>
      <c r="R80" s="225">
        <f t="shared" si="35"/>
        <v>5.9333333333333336</v>
      </c>
      <c r="S80" s="226">
        <f t="shared" si="26"/>
        <v>1</v>
      </c>
      <c r="T80" s="225" t="str">
        <f t="shared" si="36"/>
        <v/>
      </c>
      <c r="U80" s="226">
        <f t="shared" si="31"/>
        <v>0</v>
      </c>
      <c r="V80" s="227" t="str">
        <f t="shared" si="37"/>
        <v>-</v>
      </c>
      <c r="W80" s="228">
        <f t="shared" si="27"/>
        <v>0.41666666666666669</v>
      </c>
      <c r="X80" s="354">
        <f t="shared" si="32"/>
        <v>10.633333333333333</v>
      </c>
      <c r="Y80" s="354">
        <f t="shared" si="33"/>
        <v>24.633333333333336</v>
      </c>
      <c r="Z80" s="354">
        <f t="shared" si="34"/>
        <v>19.536363636363635</v>
      </c>
      <c r="AA80" s="205"/>
      <c r="AB80" s="357" t="str">
        <f>VLOOKUP($B80,'2007-2020 Metadata'!$A$4:$S$214,MATCH("Urban Area /Monitoring Zone",'2007-2020 Metadata'!$A$4:$S$4,0),FALSE)</f>
        <v>Rotorua</v>
      </c>
      <c r="AC80" s="229" t="str">
        <f>VLOOKUP(B80,'2007-2020 Metadata'!$A$6:$A$214,1,FALSE)</f>
        <v>HAM023</v>
      </c>
      <c r="AD80" s="356" t="str">
        <f>VLOOKUP($AC80,'2007-2020 Metadata'!$A$6:$S$214,9,FALSE)</f>
        <v>Rotorua</v>
      </c>
      <c r="AE80" s="356">
        <f>IF(ISBLANK(VLOOKUP($AC80,'2007-2020 Metadata'!$A$6:$S$214,19,FALSE)),"",VLOOKUP($AC80,'2007-2020 Metadata'!$A$6:$S$214,19,FALSE))</f>
        <v>2.5</v>
      </c>
      <c r="AF80" s="355" t="str">
        <f>VLOOKUP($B80,'2007-2020 Metadata'!$A$4:$S$214,MATCH("Site type",'2007-2020 Metadata'!$A$4:$S$4,0),FALSE)</f>
        <v>Background</v>
      </c>
      <c r="AG80" s="364">
        <f t="shared" si="28"/>
        <v>4.0999999999999996</v>
      </c>
      <c r="AH80" s="364">
        <f t="shared" si="29"/>
        <v>9.8000000000000007</v>
      </c>
      <c r="AI80" s="354" t="str">
        <f t="shared" si="30"/>
        <v xml:space="preserve"> </v>
      </c>
    </row>
    <row r="81" spans="2:35" ht="12" customHeight="1" x14ac:dyDescent="0.15">
      <c r="B81" s="313" t="s">
        <v>987</v>
      </c>
      <c r="C81" s="309">
        <v>17.100000000000001</v>
      </c>
      <c r="D81" s="309"/>
      <c r="E81" s="309">
        <v>15.5</v>
      </c>
      <c r="F81" s="309">
        <v>15.5</v>
      </c>
      <c r="G81" s="309">
        <v>23.7</v>
      </c>
      <c r="H81" s="309">
        <v>21.3</v>
      </c>
      <c r="I81" s="309">
        <v>25.5</v>
      </c>
      <c r="J81" s="309"/>
      <c r="K81" s="309">
        <v>24.3</v>
      </c>
      <c r="L81" s="309">
        <v>15.9</v>
      </c>
      <c r="M81" s="309">
        <v>20.9</v>
      </c>
      <c r="N81" s="309">
        <v>13.4</v>
      </c>
      <c r="O81" s="310">
        <f t="shared" si="38"/>
        <v>19.310000000000002</v>
      </c>
      <c r="P81" s="310">
        <f t="shared" si="24"/>
        <v>21.317547105576335</v>
      </c>
      <c r="Q81" s="311">
        <f t="shared" si="25"/>
        <v>0.83333333333333337</v>
      </c>
      <c r="R81" s="225">
        <f t="shared" si="35"/>
        <v>16.3</v>
      </c>
      <c r="S81" s="226">
        <f t="shared" si="26"/>
        <v>0.66666666666666663</v>
      </c>
      <c r="T81" s="225">
        <f t="shared" si="36"/>
        <v>24.9</v>
      </c>
      <c r="U81" s="226">
        <f t="shared" si="31"/>
        <v>0.66666666666666663</v>
      </c>
      <c r="V81" s="227">
        <f t="shared" si="37"/>
        <v>19.310000000000002</v>
      </c>
      <c r="W81" s="228">
        <f t="shared" si="27"/>
        <v>0.83333333333333337</v>
      </c>
      <c r="X81" s="354">
        <f t="shared" si="32"/>
        <v>17.102380952380951</v>
      </c>
      <c r="Y81" s="354">
        <f t="shared" si="33"/>
        <v>25.590476190476188</v>
      </c>
      <c r="Z81" s="354">
        <f t="shared" si="34"/>
        <v>20.04603896103896</v>
      </c>
      <c r="AA81" s="205"/>
      <c r="AB81" s="357" t="str">
        <f>VLOOKUP($B81,'2007-2020 Metadata'!$A$4:$S$214,MATCH("Urban Area /Monitoring Zone",'2007-2020 Metadata'!$A$4:$S$4,0),FALSE)</f>
        <v>Tauranga</v>
      </c>
      <c r="AC81" s="229" t="str">
        <f>VLOOKUP(B81,'2007-2020 Metadata'!$A$6:$A$214,1,FALSE)</f>
        <v>HAM024</v>
      </c>
      <c r="AD81" s="356" t="str">
        <f>VLOOKUP($AC81,'2007-2020 Metadata'!$A$6:$S$214,9,FALSE)</f>
        <v>Tauranga</v>
      </c>
      <c r="AE81" s="356">
        <f>IF(ISBLANK(VLOOKUP($AC81,'2007-2020 Metadata'!$A$6:$S$214,19,FALSE)),"",VLOOKUP($AC81,'2007-2020 Metadata'!$A$6:$S$214,19,FALSE))</f>
        <v>3</v>
      </c>
      <c r="AF81" s="355" t="str">
        <f>VLOOKUP($B81,'2007-2020 Metadata'!$A$4:$S$214,MATCH("Site type",'2007-2020 Metadata'!$A$4:$S$4,0),FALSE)</f>
        <v>SH</v>
      </c>
      <c r="AG81" s="364">
        <f t="shared" si="28"/>
        <v>13.4</v>
      </c>
      <c r="AH81" s="364">
        <f t="shared" si="29"/>
        <v>25.5</v>
      </c>
      <c r="AI81" s="354">
        <f t="shared" si="30"/>
        <v>20.04603896103896</v>
      </c>
    </row>
    <row r="82" spans="2:35" ht="12" customHeight="1" x14ac:dyDescent="0.15">
      <c r="B82" s="313" t="s">
        <v>1048</v>
      </c>
      <c r="C82" s="309"/>
      <c r="D82" s="309">
        <v>14.2</v>
      </c>
      <c r="E82" s="309">
        <v>10.3</v>
      </c>
      <c r="F82" s="309">
        <v>10.3</v>
      </c>
      <c r="G82" s="309">
        <v>19.399999999999999</v>
      </c>
      <c r="H82" s="309">
        <v>18.5</v>
      </c>
      <c r="I82" s="309">
        <v>19.399999999999999</v>
      </c>
      <c r="J82" s="309">
        <v>14.2</v>
      </c>
      <c r="K82" s="309">
        <v>12.7</v>
      </c>
      <c r="L82" s="309">
        <v>14.5</v>
      </c>
      <c r="M82" s="309">
        <v>11.2</v>
      </c>
      <c r="N82" s="309">
        <v>11.3</v>
      </c>
      <c r="O82" s="310">
        <f t="shared" si="38"/>
        <v>14.181818181818182</v>
      </c>
      <c r="P82" s="310">
        <f t="shared" si="24"/>
        <v>23.553658297553174</v>
      </c>
      <c r="Q82" s="311">
        <f t="shared" si="25"/>
        <v>0.91666666666666663</v>
      </c>
      <c r="R82" s="225">
        <f t="shared" si="35"/>
        <v>12.25</v>
      </c>
      <c r="S82" s="226">
        <f t="shared" si="26"/>
        <v>0.66666666666666663</v>
      </c>
      <c r="T82" s="225">
        <f t="shared" si="36"/>
        <v>15.433333333333332</v>
      </c>
      <c r="U82" s="226">
        <f t="shared" si="31"/>
        <v>1</v>
      </c>
      <c r="V82" s="227">
        <f t="shared" si="37"/>
        <v>14.181818181818182</v>
      </c>
      <c r="W82" s="228">
        <f t="shared" si="27"/>
        <v>0.91666666666666663</v>
      </c>
      <c r="X82" s="354">
        <f t="shared" si="32"/>
        <v>12.25</v>
      </c>
      <c r="Y82" s="354">
        <f t="shared" si="33"/>
        <v>15.433333333333332</v>
      </c>
      <c r="Z82" s="354">
        <f t="shared" si="34"/>
        <v>14.181818181818182</v>
      </c>
      <c r="AA82" s="205"/>
      <c r="AB82" s="357">
        <f>VLOOKUP($B82,'2007-2020 Metadata'!$A$4:$S$214,MATCH("Urban Area /Monitoring Zone",'2007-2020 Metadata'!$A$4:$S$4,0),FALSE)</f>
        <v>0</v>
      </c>
      <c r="AC82" s="229" t="str">
        <f>VLOOKUP(B82,'2007-2020 Metadata'!$A$6:$A$214,1,FALSE)</f>
        <v>NAP001a</v>
      </c>
      <c r="AD82" s="356">
        <f>VLOOKUP($AC82,'2007-2020 Metadata'!$A$6:$S$214,9,FALSE)</f>
        <v>0</v>
      </c>
      <c r="AE82" s="356" t="str">
        <f>IF(ISBLANK(VLOOKUP($AC82,'2007-2020 Metadata'!$A$6:$S$214,19,FALSE)),"",VLOOKUP($AC82,'2007-2020 Metadata'!$A$6:$S$214,19,FALSE))</f>
        <v/>
      </c>
      <c r="AF82" s="355" t="str">
        <f>VLOOKUP($B82,'2007-2020 Metadata'!$A$4:$S$214,MATCH("Site type",'2007-2020 Metadata'!$A$4:$S$4,0),FALSE)</f>
        <v>SH</v>
      </c>
      <c r="AG82" s="364">
        <f t="shared" si="28"/>
        <v>10.3</v>
      </c>
      <c r="AH82" s="364">
        <f t="shared" si="29"/>
        <v>19.399999999999999</v>
      </c>
      <c r="AI82" s="354">
        <f t="shared" si="30"/>
        <v>14.181818181818182</v>
      </c>
    </row>
    <row r="83" spans="2:35" ht="12" customHeight="1" x14ac:dyDescent="0.15">
      <c r="B83" s="313" t="s">
        <v>43</v>
      </c>
      <c r="C83" s="309">
        <v>11.5</v>
      </c>
      <c r="D83" s="309">
        <v>16.3</v>
      </c>
      <c r="E83" s="309">
        <v>14.4</v>
      </c>
      <c r="F83" s="309">
        <v>14.4</v>
      </c>
      <c r="G83" s="309">
        <v>25.7</v>
      </c>
      <c r="H83" s="309">
        <v>24.5</v>
      </c>
      <c r="I83" s="309">
        <v>22.5</v>
      </c>
      <c r="J83" s="309">
        <v>25.5</v>
      </c>
      <c r="K83" s="309">
        <v>19.8</v>
      </c>
      <c r="L83" s="309">
        <v>18.399999999999999</v>
      </c>
      <c r="M83" s="309">
        <v>16.3</v>
      </c>
      <c r="N83" s="309">
        <v>8.1999999999999993</v>
      </c>
      <c r="O83" s="310">
        <f t="shared" si="38"/>
        <v>18.125000000000004</v>
      </c>
      <c r="P83" s="310">
        <f t="shared" si="24"/>
        <v>29.849350905916733</v>
      </c>
      <c r="Q83" s="311">
        <f t="shared" si="25"/>
        <v>1</v>
      </c>
      <c r="R83" s="225">
        <f t="shared" si="35"/>
        <v>14.066666666666668</v>
      </c>
      <c r="S83" s="226">
        <f t="shared" si="26"/>
        <v>1</v>
      </c>
      <c r="T83" s="225">
        <f t="shared" si="36"/>
        <v>22.599999999999998</v>
      </c>
      <c r="U83" s="226">
        <f t="shared" si="31"/>
        <v>1</v>
      </c>
      <c r="V83" s="227">
        <f t="shared" si="37"/>
        <v>18.125000000000004</v>
      </c>
      <c r="W83" s="228">
        <f t="shared" si="27"/>
        <v>1</v>
      </c>
      <c r="X83" s="354">
        <f t="shared" si="32"/>
        <v>14.277777777777779</v>
      </c>
      <c r="Y83" s="354">
        <f t="shared" si="33"/>
        <v>19.955555555555556</v>
      </c>
      <c r="Z83" s="354">
        <f t="shared" si="34"/>
        <v>16.927777777777781</v>
      </c>
      <c r="AA83" s="205"/>
      <c r="AB83" s="357" t="str">
        <f>VLOOKUP($B83,'2007-2020 Metadata'!$A$4:$S$214,MATCH("Urban Area /Monitoring Zone",'2007-2020 Metadata'!$A$4:$S$4,0),FALSE)</f>
        <v>Napier</v>
      </c>
      <c r="AC83" s="229" t="str">
        <f>VLOOKUP(B83,'2007-2020 Metadata'!$A$6:$A$214,1,FALSE)</f>
        <v>NAP002</v>
      </c>
      <c r="AD83" s="356" t="str">
        <f>VLOOKUP($AC83,'2007-2020 Metadata'!$A$6:$S$214,9,FALSE)</f>
        <v>Napier</v>
      </c>
      <c r="AE83" s="356">
        <f>IF(ISBLANK(VLOOKUP($AC83,'2007-2020 Metadata'!$A$6:$S$214,19,FALSE)),"",VLOOKUP($AC83,'2007-2020 Metadata'!$A$6:$S$214,19,FALSE))</f>
        <v>3</v>
      </c>
      <c r="AF83" s="355" t="str">
        <f>VLOOKUP($B83,'2007-2020 Metadata'!$A$4:$S$214,MATCH("Site type",'2007-2020 Metadata'!$A$4:$S$4,0),FALSE)</f>
        <v>SH</v>
      </c>
      <c r="AG83" s="364">
        <f t="shared" si="28"/>
        <v>8.1999999999999993</v>
      </c>
      <c r="AH83" s="364">
        <f t="shared" si="29"/>
        <v>25.7</v>
      </c>
      <c r="AI83" s="354">
        <f t="shared" si="30"/>
        <v>16.927777777777781</v>
      </c>
    </row>
    <row r="84" spans="2:35" ht="12" customHeight="1" x14ac:dyDescent="0.15">
      <c r="B84" s="313" t="s">
        <v>44</v>
      </c>
      <c r="C84" s="309">
        <v>23.4</v>
      </c>
      <c r="D84" s="309">
        <v>28.1</v>
      </c>
      <c r="E84" s="309">
        <v>12.3</v>
      </c>
      <c r="F84" s="309">
        <v>12.3</v>
      </c>
      <c r="G84" s="309">
        <v>31.3</v>
      </c>
      <c r="H84" s="309">
        <v>31.7</v>
      </c>
      <c r="I84" s="309">
        <v>30.6</v>
      </c>
      <c r="J84" s="309">
        <v>31.8</v>
      </c>
      <c r="K84" s="309">
        <v>20.9</v>
      </c>
      <c r="L84" s="309">
        <v>26.9</v>
      </c>
      <c r="M84" s="309">
        <v>22.1</v>
      </c>
      <c r="N84" s="309">
        <v>17.2</v>
      </c>
      <c r="O84" s="310">
        <f t="shared" si="38"/>
        <v>24.05</v>
      </c>
      <c r="P84" s="310">
        <f t="shared" si="24"/>
        <v>28.801745767753172</v>
      </c>
      <c r="Q84" s="311">
        <f t="shared" si="25"/>
        <v>1</v>
      </c>
      <c r="R84" s="225">
        <f t="shared" si="35"/>
        <v>21.266666666666666</v>
      </c>
      <c r="S84" s="226">
        <f t="shared" si="26"/>
        <v>1</v>
      </c>
      <c r="T84" s="225">
        <f t="shared" si="36"/>
        <v>27.766666666666669</v>
      </c>
      <c r="U84" s="226">
        <f t="shared" si="31"/>
        <v>1</v>
      </c>
      <c r="V84" s="227">
        <f t="shared" si="37"/>
        <v>24.05</v>
      </c>
      <c r="W84" s="228">
        <f t="shared" si="27"/>
        <v>1</v>
      </c>
      <c r="X84" s="354">
        <f t="shared" si="32"/>
        <v>14.277777777777779</v>
      </c>
      <c r="Y84" s="354">
        <f t="shared" si="33"/>
        <v>19.955555555555556</v>
      </c>
      <c r="Z84" s="354">
        <f t="shared" si="34"/>
        <v>16.927777777777781</v>
      </c>
      <c r="AA84" s="205"/>
      <c r="AB84" s="357" t="str">
        <f>VLOOKUP($B84,'2007-2020 Metadata'!$A$4:$S$214,MATCH("Urban Area /Monitoring Zone",'2007-2020 Metadata'!$A$4:$S$4,0),FALSE)</f>
        <v>Napier</v>
      </c>
      <c r="AC84" s="229" t="str">
        <f>VLOOKUP(B84,'2007-2020 Metadata'!$A$6:$A$214,1,FALSE)</f>
        <v>NAP003</v>
      </c>
      <c r="AD84" s="356" t="str">
        <f>VLOOKUP($AC84,'2007-2020 Metadata'!$A$6:$S$214,9,FALSE)</f>
        <v>Napier</v>
      </c>
      <c r="AE84" s="356">
        <f>IF(ISBLANK(VLOOKUP($AC84,'2007-2020 Metadata'!$A$6:$S$214,19,FALSE)),"",VLOOKUP($AC84,'2007-2020 Metadata'!$A$6:$S$214,19,FALSE))</f>
        <v>3</v>
      </c>
      <c r="AF84" s="355" t="str">
        <f>VLOOKUP($B84,'2007-2020 Metadata'!$A$4:$S$214,MATCH("Site type",'2007-2020 Metadata'!$A$4:$S$4,0),FALSE)</f>
        <v>SH</v>
      </c>
      <c r="AG84" s="364">
        <f t="shared" si="28"/>
        <v>12.3</v>
      </c>
      <c r="AH84" s="364">
        <f t="shared" si="29"/>
        <v>31.8</v>
      </c>
      <c r="AI84" s="354">
        <f t="shared" si="30"/>
        <v>16.927777777777781</v>
      </c>
    </row>
    <row r="85" spans="2:35" ht="12" customHeight="1" x14ac:dyDescent="0.15">
      <c r="B85" s="313" t="s">
        <v>45</v>
      </c>
      <c r="C85" s="309">
        <v>21.2</v>
      </c>
      <c r="D85" s="309">
        <v>24.8</v>
      </c>
      <c r="E85" s="309">
        <v>17.899999999999999</v>
      </c>
      <c r="F85" s="309">
        <v>17.899999999999999</v>
      </c>
      <c r="G85" s="309">
        <v>30.5</v>
      </c>
      <c r="H85" s="309">
        <v>29.6</v>
      </c>
      <c r="I85" s="309">
        <v>23.6</v>
      </c>
      <c r="J85" s="309">
        <v>26.9</v>
      </c>
      <c r="K85" s="309">
        <v>19.5</v>
      </c>
      <c r="L85" s="309">
        <v>22</v>
      </c>
      <c r="M85" s="309">
        <v>14.7</v>
      </c>
      <c r="N85" s="309">
        <v>15.3</v>
      </c>
      <c r="O85" s="310">
        <f t="shared" si="38"/>
        <v>21.991666666666664</v>
      </c>
      <c r="P85" s="310">
        <f t="shared" si="24"/>
        <v>22.853397210241507</v>
      </c>
      <c r="Q85" s="311">
        <f t="shared" si="25"/>
        <v>1</v>
      </c>
      <c r="R85" s="225">
        <f t="shared" si="35"/>
        <v>21.3</v>
      </c>
      <c r="S85" s="226">
        <f t="shared" si="26"/>
        <v>1</v>
      </c>
      <c r="T85" s="225">
        <f t="shared" si="36"/>
        <v>23.333333333333332</v>
      </c>
      <c r="U85" s="226">
        <f t="shared" si="31"/>
        <v>1</v>
      </c>
      <c r="V85" s="227">
        <f t="shared" si="37"/>
        <v>21.991666666666664</v>
      </c>
      <c r="W85" s="228">
        <f t="shared" si="27"/>
        <v>1</v>
      </c>
      <c r="X85" s="354">
        <f t="shared" si="32"/>
        <v>14.633333333333333</v>
      </c>
      <c r="Y85" s="354">
        <f t="shared" si="33"/>
        <v>17.633333333333333</v>
      </c>
      <c r="Z85" s="354">
        <f t="shared" si="34"/>
        <v>15.783333333333331</v>
      </c>
      <c r="AA85" s="205"/>
      <c r="AB85" s="357" t="str">
        <f>VLOOKUP($B85,'2007-2020 Metadata'!$A$4:$S$214,MATCH("Urban Area /Monitoring Zone",'2007-2020 Metadata'!$A$4:$S$4,0),FALSE)</f>
        <v>Hastings</v>
      </c>
      <c r="AC85" s="229" t="str">
        <f>VLOOKUP(B85,'2007-2020 Metadata'!$A$6:$A$214,1,FALSE)</f>
        <v>NAP004</v>
      </c>
      <c r="AD85" s="356" t="str">
        <f>VLOOKUP($AC85,'2007-2020 Metadata'!$A$6:$S$214,9,FALSE)</f>
        <v>Hastings</v>
      </c>
      <c r="AE85" s="356">
        <f>IF(ISBLANK(VLOOKUP($AC85,'2007-2020 Metadata'!$A$6:$S$214,19,FALSE)),"",VLOOKUP($AC85,'2007-2020 Metadata'!$A$6:$S$214,19,FALSE))</f>
        <v>3</v>
      </c>
      <c r="AF85" s="355" t="str">
        <f>VLOOKUP($B85,'2007-2020 Metadata'!$A$4:$S$214,MATCH("Site type",'2007-2020 Metadata'!$A$4:$S$4,0),FALSE)</f>
        <v>SH</v>
      </c>
      <c r="AG85" s="364">
        <f t="shared" si="28"/>
        <v>14.7</v>
      </c>
      <c r="AH85" s="364">
        <f t="shared" si="29"/>
        <v>30.5</v>
      </c>
      <c r="AI85" s="354">
        <f t="shared" si="30"/>
        <v>15.783333333333331</v>
      </c>
    </row>
    <row r="86" spans="2:35" ht="12" customHeight="1" x14ac:dyDescent="0.15">
      <c r="B86" s="313" t="s">
        <v>107</v>
      </c>
      <c r="C86" s="309">
        <v>7.2</v>
      </c>
      <c r="D86" s="309">
        <v>8.3000000000000007</v>
      </c>
      <c r="E86" s="309">
        <v>8.4</v>
      </c>
      <c r="F86" s="309">
        <v>8.4</v>
      </c>
      <c r="G86" s="309">
        <v>15.2</v>
      </c>
      <c r="H86" s="309">
        <v>14</v>
      </c>
      <c r="I86" s="309">
        <v>12.5</v>
      </c>
      <c r="J86" s="309">
        <v>13.5</v>
      </c>
      <c r="K86" s="309">
        <v>9.8000000000000007</v>
      </c>
      <c r="L86" s="309">
        <v>7.2</v>
      </c>
      <c r="M86" s="309">
        <v>6.8</v>
      </c>
      <c r="N86" s="309">
        <v>3.6</v>
      </c>
      <c r="O86" s="310">
        <f t="shared" si="38"/>
        <v>9.5749999999999993</v>
      </c>
      <c r="P86" s="310">
        <f t="shared" si="24"/>
        <v>34.939174745111892</v>
      </c>
      <c r="Q86" s="311">
        <f t="shared" si="25"/>
        <v>1</v>
      </c>
      <c r="R86" s="225">
        <f t="shared" si="35"/>
        <v>7.9666666666666659</v>
      </c>
      <c r="S86" s="226">
        <f t="shared" si="26"/>
        <v>1</v>
      </c>
      <c r="T86" s="225">
        <f t="shared" si="36"/>
        <v>11.933333333333332</v>
      </c>
      <c r="U86" s="226">
        <f t="shared" si="31"/>
        <v>1</v>
      </c>
      <c r="V86" s="227">
        <f t="shared" si="37"/>
        <v>9.5749999999999993</v>
      </c>
      <c r="W86" s="228">
        <f t="shared" si="27"/>
        <v>1</v>
      </c>
      <c r="X86" s="354">
        <f t="shared" si="32"/>
        <v>14.633333333333333</v>
      </c>
      <c r="Y86" s="354">
        <f t="shared" si="33"/>
        <v>17.633333333333333</v>
      </c>
      <c r="Z86" s="354">
        <f t="shared" si="34"/>
        <v>15.783333333333331</v>
      </c>
      <c r="AA86" s="205"/>
      <c r="AB86" s="357" t="str">
        <f>VLOOKUP($B86,'2007-2020 Metadata'!$A$4:$S$214,MATCH("Urban Area /Monitoring Zone",'2007-2020 Metadata'!$A$4:$S$4,0),FALSE)</f>
        <v>Hastings</v>
      </c>
      <c r="AC86" s="229" t="str">
        <f>VLOOKUP(B86,'2007-2020 Metadata'!$A$6:$A$214,1,FALSE)</f>
        <v>NAP005</v>
      </c>
      <c r="AD86" s="356" t="str">
        <f>VLOOKUP($AC86,'2007-2020 Metadata'!$A$6:$S$214,9,FALSE)</f>
        <v>Hastings</v>
      </c>
      <c r="AE86" s="356">
        <f>IF(ISBLANK(VLOOKUP($AC86,'2007-2020 Metadata'!$A$6:$S$214,19,FALSE)),"",VLOOKUP($AC86,'2007-2020 Metadata'!$A$6:$S$214,19,FALSE))</f>
        <v>2.7</v>
      </c>
      <c r="AF86" s="355" t="str">
        <f>VLOOKUP($B86,'2007-2020 Metadata'!$A$4:$S$214,MATCH("Site type",'2007-2020 Metadata'!$A$4:$S$4,0),FALSE)</f>
        <v>Background</v>
      </c>
      <c r="AG86" s="364">
        <f t="shared" si="28"/>
        <v>3.6</v>
      </c>
      <c r="AH86" s="364">
        <f t="shared" si="29"/>
        <v>15.2</v>
      </c>
      <c r="AI86" s="354">
        <f t="shared" si="30"/>
        <v>15.783333333333331</v>
      </c>
    </row>
    <row r="87" spans="2:35" ht="12" customHeight="1" x14ac:dyDescent="0.15">
      <c r="B87" s="313" t="s">
        <v>108</v>
      </c>
      <c r="C87" s="309">
        <v>7.3</v>
      </c>
      <c r="D87" s="309">
        <v>8.1</v>
      </c>
      <c r="E87" s="309">
        <v>7.1</v>
      </c>
      <c r="F87" s="309">
        <v>7.1</v>
      </c>
      <c r="G87" s="309">
        <v>12.8</v>
      </c>
      <c r="H87" s="309">
        <v>12</v>
      </c>
      <c r="I87" s="309">
        <v>11.1</v>
      </c>
      <c r="J87" s="309">
        <v>11.3</v>
      </c>
      <c r="K87" s="309">
        <v>6.1</v>
      </c>
      <c r="L87" s="309">
        <v>7.5</v>
      </c>
      <c r="M87" s="309">
        <v>6.6</v>
      </c>
      <c r="N87" s="309">
        <v>6.3</v>
      </c>
      <c r="O87" s="310">
        <f t="shared" si="38"/>
        <v>8.6083333333333325</v>
      </c>
      <c r="P87" s="310">
        <f t="shared" si="24"/>
        <v>27.228837161126378</v>
      </c>
      <c r="Q87" s="311">
        <f t="shared" si="25"/>
        <v>1</v>
      </c>
      <c r="R87" s="225">
        <f t="shared" si="35"/>
        <v>7.5</v>
      </c>
      <c r="S87" s="226">
        <f t="shared" si="26"/>
        <v>1</v>
      </c>
      <c r="T87" s="225">
        <f t="shared" si="36"/>
        <v>9.5</v>
      </c>
      <c r="U87" s="226">
        <f t="shared" si="31"/>
        <v>1</v>
      </c>
      <c r="V87" s="227">
        <f t="shared" si="37"/>
        <v>8.6083333333333325</v>
      </c>
      <c r="W87" s="228">
        <f t="shared" si="27"/>
        <v>1</v>
      </c>
      <c r="X87" s="354">
        <f t="shared" si="32"/>
        <v>14.277777777777779</v>
      </c>
      <c r="Y87" s="354">
        <f t="shared" si="33"/>
        <v>19.955555555555556</v>
      </c>
      <c r="Z87" s="354">
        <f t="shared" si="34"/>
        <v>16.927777777777781</v>
      </c>
      <c r="AA87" s="205"/>
      <c r="AB87" s="357" t="str">
        <f>VLOOKUP($B87,'2007-2020 Metadata'!$A$4:$S$214,MATCH("Urban Area /Monitoring Zone",'2007-2020 Metadata'!$A$4:$S$4,0),FALSE)</f>
        <v>Napier</v>
      </c>
      <c r="AC87" s="229" t="str">
        <f>VLOOKUP(B87,'2007-2020 Metadata'!$A$6:$A$214,1,FALSE)</f>
        <v>NAP006</v>
      </c>
      <c r="AD87" s="356" t="str">
        <f>VLOOKUP($AC87,'2007-2020 Metadata'!$A$6:$S$214,9,FALSE)</f>
        <v>Napier</v>
      </c>
      <c r="AE87" s="356">
        <f>IF(ISBLANK(VLOOKUP($AC87,'2007-2020 Metadata'!$A$6:$S$214,19,FALSE)),"",VLOOKUP($AC87,'2007-2020 Metadata'!$A$6:$S$214,19,FALSE))</f>
        <v>3</v>
      </c>
      <c r="AF87" s="355" t="str">
        <f>VLOOKUP($B87,'2007-2020 Metadata'!$A$4:$S$214,MATCH("Site type",'2007-2020 Metadata'!$A$4:$S$4,0),FALSE)</f>
        <v>Background</v>
      </c>
      <c r="AG87" s="364">
        <f t="shared" si="28"/>
        <v>6.1</v>
      </c>
      <c r="AH87" s="364">
        <f t="shared" si="29"/>
        <v>12.8</v>
      </c>
      <c r="AI87" s="354">
        <f t="shared" si="30"/>
        <v>16.927777777777781</v>
      </c>
    </row>
    <row r="88" spans="2:35" ht="12" customHeight="1" x14ac:dyDescent="0.15">
      <c r="B88" s="313" t="s">
        <v>48</v>
      </c>
      <c r="C88" s="309">
        <v>12.7</v>
      </c>
      <c r="D88" s="309">
        <v>17.899999999999999</v>
      </c>
      <c r="E88" s="309">
        <v>13.5</v>
      </c>
      <c r="F88" s="309">
        <v>13.5</v>
      </c>
      <c r="G88" s="309">
        <v>19.899999999999999</v>
      </c>
      <c r="H88" s="309">
        <v>21.6</v>
      </c>
      <c r="I88" s="309"/>
      <c r="J88" s="309">
        <v>21.8</v>
      </c>
      <c r="K88" s="309">
        <v>17.5</v>
      </c>
      <c r="L88" s="309">
        <v>18.3</v>
      </c>
      <c r="M88" s="309">
        <v>13.4</v>
      </c>
      <c r="N88" s="309">
        <v>13.6</v>
      </c>
      <c r="O88" s="310">
        <f t="shared" si="38"/>
        <v>16.7</v>
      </c>
      <c r="P88" s="310">
        <f t="shared" si="24"/>
        <v>19.932116140231482</v>
      </c>
      <c r="Q88" s="311">
        <f t="shared" si="25"/>
        <v>0.91666666666666663</v>
      </c>
      <c r="R88" s="225">
        <f t="shared" si="35"/>
        <v>14.699999999999998</v>
      </c>
      <c r="S88" s="226">
        <f t="shared" si="26"/>
        <v>1</v>
      </c>
      <c r="T88" s="225">
        <f t="shared" si="36"/>
        <v>19.649999999999999</v>
      </c>
      <c r="U88" s="226">
        <f t="shared" si="31"/>
        <v>0.66666666666666663</v>
      </c>
      <c r="V88" s="227">
        <f t="shared" si="37"/>
        <v>16.7</v>
      </c>
      <c r="W88" s="228">
        <f t="shared" si="27"/>
        <v>0.91666666666666663</v>
      </c>
      <c r="X88" s="354">
        <f t="shared" si="32"/>
        <v>11.606666666666666</v>
      </c>
      <c r="Y88" s="354">
        <f t="shared" si="33"/>
        <v>15.512499999999999</v>
      </c>
      <c r="Z88" s="354">
        <f t="shared" si="34"/>
        <v>13.46290909090909</v>
      </c>
      <c r="AA88" s="205"/>
      <c r="AB88" s="357" t="str">
        <f>VLOOKUP($B88,'2007-2020 Metadata'!$A$4:$S$214,MATCH("Urban Area /Monitoring Zone",'2007-2020 Metadata'!$A$4:$S$4,0),FALSE)</f>
        <v>Palmerston North</v>
      </c>
      <c r="AC88" s="229" t="str">
        <f>VLOOKUP(B88,'2007-2020 Metadata'!$A$6:$A$214,1,FALSE)</f>
        <v>WAN004</v>
      </c>
      <c r="AD88" s="356" t="str">
        <f>VLOOKUP($AC88,'2007-2020 Metadata'!$A$6:$S$214,9,FALSE)</f>
        <v>Palmerston North</v>
      </c>
      <c r="AE88" s="356">
        <f>IF(ISBLANK(VLOOKUP($AC88,'2007-2020 Metadata'!$A$6:$S$214,19,FALSE)),"",VLOOKUP($AC88,'2007-2020 Metadata'!$A$6:$S$214,19,FALSE))</f>
        <v>3</v>
      </c>
      <c r="AF88" s="355" t="str">
        <f>VLOOKUP($B88,'2007-2020 Metadata'!$A$4:$S$214,MATCH("Site type",'2007-2020 Metadata'!$A$4:$S$4,0),FALSE)</f>
        <v>SH</v>
      </c>
      <c r="AG88" s="364">
        <f t="shared" si="28"/>
        <v>12.7</v>
      </c>
      <c r="AH88" s="364">
        <f t="shared" si="29"/>
        <v>21.8</v>
      </c>
      <c r="AI88" s="354">
        <f t="shared" si="30"/>
        <v>13.46290909090909</v>
      </c>
    </row>
    <row r="89" spans="2:35" ht="12" customHeight="1" x14ac:dyDescent="0.15">
      <c r="B89" s="313" t="s">
        <v>109</v>
      </c>
      <c r="C89" s="309">
        <v>6</v>
      </c>
      <c r="D89" s="309">
        <v>10.3</v>
      </c>
      <c r="E89" s="309">
        <v>8.1</v>
      </c>
      <c r="F89" s="309">
        <v>8.1</v>
      </c>
      <c r="G89" s="309">
        <v>18</v>
      </c>
      <c r="H89" s="309">
        <v>15.7</v>
      </c>
      <c r="I89" s="309"/>
      <c r="J89" s="309">
        <v>13.5</v>
      </c>
      <c r="K89" s="309">
        <v>6.9</v>
      </c>
      <c r="L89" s="309">
        <v>8.4</v>
      </c>
      <c r="M89" s="309">
        <v>7.2</v>
      </c>
      <c r="N89" s="309">
        <v>6.5</v>
      </c>
      <c r="O89" s="310">
        <f t="shared" si="38"/>
        <v>9.8818181818181827</v>
      </c>
      <c r="P89" s="310">
        <f t="shared" si="24"/>
        <v>39.092699400567106</v>
      </c>
      <c r="Q89" s="311">
        <f t="shared" si="25"/>
        <v>0.91666666666666663</v>
      </c>
      <c r="R89" s="225">
        <f t="shared" si="35"/>
        <v>8.1333333333333329</v>
      </c>
      <c r="S89" s="226">
        <f t="shared" si="26"/>
        <v>1</v>
      </c>
      <c r="T89" s="225">
        <f t="shared" si="36"/>
        <v>10.199999999999999</v>
      </c>
      <c r="U89" s="226">
        <f t="shared" si="31"/>
        <v>0.66666666666666663</v>
      </c>
      <c r="V89" s="227">
        <f t="shared" si="37"/>
        <v>9.8818181818181827</v>
      </c>
      <c r="W89" s="228">
        <f t="shared" si="27"/>
        <v>0.91666666666666663</v>
      </c>
      <c r="X89" s="354">
        <f t="shared" si="32"/>
        <v>11.606666666666666</v>
      </c>
      <c r="Y89" s="354">
        <f t="shared" si="33"/>
        <v>15.512499999999999</v>
      </c>
      <c r="Z89" s="354">
        <f t="shared" si="34"/>
        <v>13.46290909090909</v>
      </c>
      <c r="AA89" s="205"/>
      <c r="AB89" s="357" t="str">
        <f>VLOOKUP($B89,'2007-2020 Metadata'!$A$4:$S$214,MATCH("Urban Area /Monitoring Zone",'2007-2020 Metadata'!$A$4:$S$4,0),FALSE)</f>
        <v>Palmerston North</v>
      </c>
      <c r="AC89" s="229" t="str">
        <f>VLOOKUP(B89,'2007-2020 Metadata'!$A$6:$A$214,1,FALSE)</f>
        <v>WAN005</v>
      </c>
      <c r="AD89" s="356" t="str">
        <f>VLOOKUP($AC89,'2007-2020 Metadata'!$A$6:$S$214,9,FALSE)</f>
        <v>Palmerston North</v>
      </c>
      <c r="AE89" s="356">
        <f>IF(ISBLANK(VLOOKUP($AC89,'2007-2020 Metadata'!$A$6:$S$214,19,FALSE)),"",VLOOKUP($AC89,'2007-2020 Metadata'!$A$6:$S$214,19,FALSE))</f>
        <v>2.5</v>
      </c>
      <c r="AF89" s="355" t="str">
        <f>VLOOKUP($B89,'2007-2020 Metadata'!$A$4:$S$214,MATCH("Site type",'2007-2020 Metadata'!$A$4:$S$4,0),FALSE)</f>
        <v>SH</v>
      </c>
      <c r="AG89" s="364">
        <f t="shared" si="28"/>
        <v>6</v>
      </c>
      <c r="AH89" s="364">
        <f t="shared" si="29"/>
        <v>18</v>
      </c>
      <c r="AI89" s="354">
        <f t="shared" si="30"/>
        <v>13.46290909090909</v>
      </c>
    </row>
    <row r="90" spans="2:35" ht="12" customHeight="1" x14ac:dyDescent="0.15">
      <c r="B90" s="313" t="s">
        <v>110</v>
      </c>
      <c r="C90" s="309">
        <v>12</v>
      </c>
      <c r="D90" s="309">
        <v>20.399999999999999</v>
      </c>
      <c r="E90" s="309">
        <v>13.5</v>
      </c>
      <c r="F90" s="309">
        <v>13.5</v>
      </c>
      <c r="G90" s="309">
        <v>27.2</v>
      </c>
      <c r="H90" s="309">
        <v>29.6</v>
      </c>
      <c r="I90" s="309"/>
      <c r="J90" s="309">
        <v>22.5</v>
      </c>
      <c r="K90" s="309">
        <v>15.4</v>
      </c>
      <c r="L90" s="309">
        <v>19</v>
      </c>
      <c r="M90" s="309">
        <v>17.600000000000001</v>
      </c>
      <c r="N90" s="309">
        <v>9.1</v>
      </c>
      <c r="O90" s="310">
        <f t="shared" si="38"/>
        <v>18.16363636363636</v>
      </c>
      <c r="P90" s="310">
        <f t="shared" si="24"/>
        <v>33.552203727916684</v>
      </c>
      <c r="Q90" s="311">
        <f t="shared" si="25"/>
        <v>0.91666666666666663</v>
      </c>
      <c r="R90" s="225">
        <f t="shared" si="35"/>
        <v>15.299999999999999</v>
      </c>
      <c r="S90" s="226">
        <f t="shared" si="26"/>
        <v>1</v>
      </c>
      <c r="T90" s="225">
        <f t="shared" si="36"/>
        <v>18.95</v>
      </c>
      <c r="U90" s="226">
        <f t="shared" si="31"/>
        <v>0.66666666666666663</v>
      </c>
      <c r="V90" s="227">
        <f t="shared" si="37"/>
        <v>18.16363636363636</v>
      </c>
      <c r="W90" s="228">
        <f t="shared" si="27"/>
        <v>0.91666666666666663</v>
      </c>
      <c r="X90" s="354">
        <f t="shared" si="32"/>
        <v>11.606666666666666</v>
      </c>
      <c r="Y90" s="354">
        <f t="shared" si="33"/>
        <v>15.512499999999999</v>
      </c>
      <c r="Z90" s="354">
        <f t="shared" si="34"/>
        <v>13.46290909090909</v>
      </c>
      <c r="AA90" s="205"/>
      <c r="AB90" s="357" t="str">
        <f>VLOOKUP($B90,'2007-2020 Metadata'!$A$4:$S$214,MATCH("Urban Area /Monitoring Zone",'2007-2020 Metadata'!$A$4:$S$4,0),FALSE)</f>
        <v>Palmerston North</v>
      </c>
      <c r="AC90" s="229" t="str">
        <f>VLOOKUP(B90,'2007-2020 Metadata'!$A$6:$A$214,1,FALSE)</f>
        <v>WAN006</v>
      </c>
      <c r="AD90" s="356" t="str">
        <f>VLOOKUP($AC90,'2007-2020 Metadata'!$A$6:$S$214,9,FALSE)</f>
        <v>Palmerston North</v>
      </c>
      <c r="AE90" s="356">
        <f>IF(ISBLANK(VLOOKUP($AC90,'2007-2020 Metadata'!$A$6:$S$214,19,FALSE)),"",VLOOKUP($AC90,'2007-2020 Metadata'!$A$6:$S$214,19,FALSE))</f>
        <v>2.5</v>
      </c>
      <c r="AF90" s="355" t="str">
        <f>VLOOKUP($B90,'2007-2020 Metadata'!$A$4:$S$214,MATCH("Site type",'2007-2020 Metadata'!$A$4:$S$4,0),FALSE)</f>
        <v>SH</v>
      </c>
      <c r="AG90" s="364">
        <f t="shared" si="28"/>
        <v>9.1</v>
      </c>
      <c r="AH90" s="364">
        <f t="shared" si="29"/>
        <v>29.6</v>
      </c>
      <c r="AI90" s="354">
        <f t="shared" si="30"/>
        <v>13.46290909090909</v>
      </c>
    </row>
    <row r="91" spans="2:35" ht="12" customHeight="1" x14ac:dyDescent="0.15">
      <c r="B91" s="313" t="s">
        <v>111</v>
      </c>
      <c r="C91" s="309">
        <v>8.5</v>
      </c>
      <c r="D91" s="309">
        <v>13.4</v>
      </c>
      <c r="E91" s="309">
        <v>9.6999999999999993</v>
      </c>
      <c r="F91" s="309">
        <v>9.6999999999999993</v>
      </c>
      <c r="G91" s="309">
        <v>17</v>
      </c>
      <c r="H91" s="309">
        <v>17.600000000000001</v>
      </c>
      <c r="I91" s="309"/>
      <c r="J91" s="309">
        <v>14.3</v>
      </c>
      <c r="K91" s="309">
        <v>12.2</v>
      </c>
      <c r="L91" s="309">
        <v>12.4</v>
      </c>
      <c r="M91" s="309">
        <v>11</v>
      </c>
      <c r="N91" s="309">
        <v>8.5</v>
      </c>
      <c r="O91" s="310">
        <f t="shared" si="38"/>
        <v>12.209090909090911</v>
      </c>
      <c r="P91" s="310">
        <f t="shared" si="24"/>
        <v>24.622570013084765</v>
      </c>
      <c r="Q91" s="311">
        <f t="shared" si="25"/>
        <v>0.91666666666666663</v>
      </c>
      <c r="R91" s="225">
        <f t="shared" si="35"/>
        <v>10.533333333333333</v>
      </c>
      <c r="S91" s="226">
        <f t="shared" si="26"/>
        <v>1</v>
      </c>
      <c r="T91" s="225">
        <f t="shared" si="36"/>
        <v>13.25</v>
      </c>
      <c r="U91" s="226">
        <f t="shared" si="31"/>
        <v>0.66666666666666663</v>
      </c>
      <c r="V91" s="227">
        <f t="shared" si="37"/>
        <v>12.209090909090911</v>
      </c>
      <c r="W91" s="228">
        <f t="shared" si="27"/>
        <v>0.91666666666666663</v>
      </c>
      <c r="X91" s="354">
        <f t="shared" si="32"/>
        <v>11.606666666666666</v>
      </c>
      <c r="Y91" s="354">
        <f t="shared" si="33"/>
        <v>15.512499999999999</v>
      </c>
      <c r="Z91" s="354">
        <f t="shared" si="34"/>
        <v>13.46290909090909</v>
      </c>
      <c r="AA91" s="205"/>
      <c r="AB91" s="357" t="str">
        <f>VLOOKUP($B91,'2007-2020 Metadata'!$A$4:$S$214,MATCH("Urban Area /Monitoring Zone",'2007-2020 Metadata'!$A$4:$S$4,0),FALSE)</f>
        <v>Palmerston North</v>
      </c>
      <c r="AC91" s="229" t="str">
        <f>VLOOKUP(B91,'2007-2020 Metadata'!$A$6:$A$214,1,FALSE)</f>
        <v>WAN007</v>
      </c>
      <c r="AD91" s="356" t="str">
        <f>VLOOKUP($AC91,'2007-2020 Metadata'!$A$6:$S$214,9,FALSE)</f>
        <v>Palmerston North</v>
      </c>
      <c r="AE91" s="356">
        <f>IF(ISBLANK(VLOOKUP($AC91,'2007-2020 Metadata'!$A$6:$S$214,19,FALSE)),"",VLOOKUP($AC91,'2007-2020 Metadata'!$A$6:$S$214,19,FALSE))</f>
        <v>2.5</v>
      </c>
      <c r="AF91" s="355" t="str">
        <f>VLOOKUP($B91,'2007-2020 Metadata'!$A$4:$S$214,MATCH("Site type",'2007-2020 Metadata'!$A$4:$S$4,0),FALSE)</f>
        <v>Local</v>
      </c>
      <c r="AG91" s="364">
        <f t="shared" si="28"/>
        <v>8.5</v>
      </c>
      <c r="AH91" s="364">
        <f t="shared" si="29"/>
        <v>17.600000000000001</v>
      </c>
      <c r="AI91" s="354">
        <f t="shared" si="30"/>
        <v>13.46290909090909</v>
      </c>
    </row>
    <row r="92" spans="2:35" ht="12" customHeight="1" x14ac:dyDescent="0.15">
      <c r="B92" s="313" t="s">
        <v>112</v>
      </c>
      <c r="C92" s="309">
        <v>7.6</v>
      </c>
      <c r="D92" s="309">
        <v>10.6</v>
      </c>
      <c r="E92" s="309">
        <v>9.9</v>
      </c>
      <c r="F92" s="309">
        <v>9.9</v>
      </c>
      <c r="G92" s="309">
        <v>13.6</v>
      </c>
      <c r="H92" s="309">
        <v>14.3</v>
      </c>
      <c r="I92" s="309"/>
      <c r="J92" s="309"/>
      <c r="K92" s="309">
        <v>10.4</v>
      </c>
      <c r="L92" s="309">
        <v>10.1</v>
      </c>
      <c r="M92" s="309">
        <v>10</v>
      </c>
      <c r="N92" s="309">
        <v>7.2</v>
      </c>
      <c r="O92" s="310">
        <f t="shared" si="38"/>
        <v>10.360000000000001</v>
      </c>
      <c r="P92" s="310">
        <f t="shared" si="24"/>
        <v>20.317099794475368</v>
      </c>
      <c r="Q92" s="311">
        <f t="shared" si="25"/>
        <v>0.83333333333333337</v>
      </c>
      <c r="R92" s="225">
        <f t="shared" si="35"/>
        <v>9.3666666666666671</v>
      </c>
      <c r="S92" s="226">
        <f t="shared" si="26"/>
        <v>1</v>
      </c>
      <c r="T92" s="225" t="str">
        <f t="shared" si="36"/>
        <v>-</v>
      </c>
      <c r="U92" s="226">
        <f t="shared" si="31"/>
        <v>0.33333333333333331</v>
      </c>
      <c r="V92" s="227">
        <f t="shared" si="37"/>
        <v>10.360000000000001</v>
      </c>
      <c r="W92" s="228">
        <f t="shared" si="27"/>
        <v>0.83333333333333337</v>
      </c>
      <c r="X92" s="354">
        <f t="shared" si="32"/>
        <v>11.606666666666666</v>
      </c>
      <c r="Y92" s="354">
        <f t="shared" si="33"/>
        <v>15.512499999999999</v>
      </c>
      <c r="Z92" s="354">
        <f t="shared" si="34"/>
        <v>13.46290909090909</v>
      </c>
      <c r="AA92" s="205"/>
      <c r="AB92" s="357" t="str">
        <f>VLOOKUP($B92,'2007-2020 Metadata'!$A$4:$S$214,MATCH("Urban Area /Monitoring Zone",'2007-2020 Metadata'!$A$4:$S$4,0),FALSE)</f>
        <v>Palmerston North</v>
      </c>
      <c r="AC92" s="229" t="str">
        <f>VLOOKUP(B92,'2007-2020 Metadata'!$A$6:$A$214,1,FALSE)</f>
        <v>WAN008</v>
      </c>
      <c r="AD92" s="356" t="str">
        <f>VLOOKUP($AC92,'2007-2020 Metadata'!$A$6:$S$214,9,FALSE)</f>
        <v>Palmerston North</v>
      </c>
      <c r="AE92" s="356">
        <f>IF(ISBLANK(VLOOKUP($AC92,'2007-2020 Metadata'!$A$6:$S$214,19,FALSE)),"",VLOOKUP($AC92,'2007-2020 Metadata'!$A$6:$S$214,19,FALSE))</f>
        <v>2.5</v>
      </c>
      <c r="AF92" s="355" t="str">
        <f>VLOOKUP($B92,'2007-2020 Metadata'!$A$4:$S$214,MATCH("Site type",'2007-2020 Metadata'!$A$4:$S$4,0),FALSE)</f>
        <v>Background</v>
      </c>
      <c r="AG92" s="364">
        <f t="shared" si="28"/>
        <v>7.2</v>
      </c>
      <c r="AH92" s="364">
        <f t="shared" si="29"/>
        <v>14.3</v>
      </c>
      <c r="AI92" s="354">
        <f t="shared" si="30"/>
        <v>13.46290909090909</v>
      </c>
    </row>
    <row r="93" spans="2:35" ht="12" customHeight="1" x14ac:dyDescent="0.15">
      <c r="B93" s="313" t="s">
        <v>113</v>
      </c>
      <c r="C93" s="309">
        <v>4.4000000000000004</v>
      </c>
      <c r="D93" s="309">
        <v>6.9</v>
      </c>
      <c r="E93" s="309">
        <v>6.1</v>
      </c>
      <c r="F93" s="309">
        <v>6.1</v>
      </c>
      <c r="G93" s="309">
        <v>7.3</v>
      </c>
      <c r="H93" s="309">
        <v>7.7</v>
      </c>
      <c r="I93" s="309">
        <v>9</v>
      </c>
      <c r="J93" s="309">
        <v>8.3000000000000007</v>
      </c>
      <c r="K93" s="309">
        <v>6.2</v>
      </c>
      <c r="L93" s="309">
        <v>8.4</v>
      </c>
      <c r="M93" s="309">
        <v>4.7</v>
      </c>
      <c r="N93" s="309">
        <v>4.3</v>
      </c>
      <c r="O93" s="310">
        <f t="shared" si="38"/>
        <v>6.6166666666666671</v>
      </c>
      <c r="P93" s="310">
        <f t="shared" si="24"/>
        <v>23.11760791248587</v>
      </c>
      <c r="Q93" s="311">
        <f t="shared" si="25"/>
        <v>1</v>
      </c>
      <c r="R93" s="225">
        <f t="shared" si="35"/>
        <v>5.8</v>
      </c>
      <c r="S93" s="226">
        <f t="shared" si="26"/>
        <v>1</v>
      </c>
      <c r="T93" s="225">
        <f t="shared" si="36"/>
        <v>7.833333333333333</v>
      </c>
      <c r="U93" s="226">
        <f t="shared" si="31"/>
        <v>1</v>
      </c>
      <c r="V93" s="227">
        <f t="shared" si="37"/>
        <v>6.6166666666666671</v>
      </c>
      <c r="W93" s="228">
        <f t="shared" si="27"/>
        <v>1</v>
      </c>
      <c r="X93" s="354">
        <f t="shared" si="32"/>
        <v>6.7333333333333334</v>
      </c>
      <c r="Y93" s="354">
        <f t="shared" si="33"/>
        <v>8.9500000000000011</v>
      </c>
      <c r="Z93" s="354">
        <f t="shared" si="34"/>
        <v>7.3708333333333327</v>
      </c>
      <c r="AA93" s="205"/>
      <c r="AB93" s="357" t="str">
        <f>VLOOKUP($B93,'2007-2020 Metadata'!$A$4:$S$214,MATCH("Urban Area /Monitoring Zone",'2007-2020 Metadata'!$A$4:$S$4,0),FALSE)</f>
        <v>New Plymouth</v>
      </c>
      <c r="AC93" s="229" t="str">
        <f>VLOOKUP(B93,'2007-2020 Metadata'!$A$6:$A$214,1,FALSE)</f>
        <v>WAN009</v>
      </c>
      <c r="AD93" s="356" t="str">
        <f>VLOOKUP($AC93,'2007-2020 Metadata'!$A$6:$S$214,9,FALSE)</f>
        <v>New Plymouth</v>
      </c>
      <c r="AE93" s="356">
        <f>IF(ISBLANK(VLOOKUP($AC93,'2007-2020 Metadata'!$A$6:$S$214,19,FALSE)),"",VLOOKUP($AC93,'2007-2020 Metadata'!$A$6:$S$214,19,FALSE))</f>
        <v>2.5</v>
      </c>
      <c r="AF93" s="355" t="str">
        <f>VLOOKUP($B93,'2007-2020 Metadata'!$A$4:$S$214,MATCH("Site type",'2007-2020 Metadata'!$A$4:$S$4,0),FALSE)</f>
        <v>Background</v>
      </c>
      <c r="AG93" s="364">
        <f t="shared" si="28"/>
        <v>4.3</v>
      </c>
      <c r="AH93" s="364">
        <f t="shared" si="29"/>
        <v>9</v>
      </c>
      <c r="AI93" s="354">
        <f t="shared" si="30"/>
        <v>7.3708333333333327</v>
      </c>
    </row>
    <row r="94" spans="2:35" ht="12" customHeight="1" x14ac:dyDescent="0.15">
      <c r="B94" s="313" t="s">
        <v>114</v>
      </c>
      <c r="C94" s="309">
        <v>16.2</v>
      </c>
      <c r="D94" s="309">
        <v>23.2</v>
      </c>
      <c r="E94" s="309">
        <v>16.100000000000001</v>
      </c>
      <c r="F94" s="309">
        <v>16.100000000000001</v>
      </c>
      <c r="G94" s="309">
        <v>24.3</v>
      </c>
      <c r="H94" s="309">
        <v>24.4</v>
      </c>
      <c r="I94" s="309"/>
      <c r="J94" s="309">
        <v>20.399999999999999</v>
      </c>
      <c r="K94" s="309">
        <v>19.600000000000001</v>
      </c>
      <c r="L94" s="309">
        <v>20.399999999999999</v>
      </c>
      <c r="M94" s="309">
        <v>18.899999999999999</v>
      </c>
      <c r="N94" s="309">
        <v>15.6</v>
      </c>
      <c r="O94" s="310">
        <f t="shared" si="38"/>
        <v>19.563636363636363</v>
      </c>
      <c r="P94" s="310">
        <f t="shared" si="24"/>
        <v>16.303457038472388</v>
      </c>
      <c r="Q94" s="311">
        <f t="shared" si="25"/>
        <v>0.91666666666666663</v>
      </c>
      <c r="R94" s="225">
        <f t="shared" si="35"/>
        <v>18.5</v>
      </c>
      <c r="S94" s="226">
        <f t="shared" si="26"/>
        <v>1</v>
      </c>
      <c r="T94" s="225">
        <f t="shared" si="36"/>
        <v>20</v>
      </c>
      <c r="U94" s="226">
        <f t="shared" si="31"/>
        <v>0.66666666666666663</v>
      </c>
      <c r="V94" s="227">
        <f t="shared" si="37"/>
        <v>19.563636363636363</v>
      </c>
      <c r="W94" s="228">
        <f t="shared" si="27"/>
        <v>0.91666666666666663</v>
      </c>
      <c r="X94" s="354">
        <f t="shared" si="32"/>
        <v>18.5</v>
      </c>
      <c r="Y94" s="354">
        <f t="shared" si="33"/>
        <v>20</v>
      </c>
      <c r="Z94" s="354">
        <f t="shared" si="34"/>
        <v>19.563636363636363</v>
      </c>
      <c r="AA94" s="205"/>
      <c r="AB94" s="357" t="str">
        <f>VLOOKUP($B94,'2007-2020 Metadata'!$A$4:$S$214,MATCH("Urban Area /Monitoring Zone",'2007-2020 Metadata'!$A$4:$S$4,0),FALSE)</f>
        <v>Whanganui</v>
      </c>
      <c r="AC94" s="229" t="str">
        <f>VLOOKUP(B94,'2007-2020 Metadata'!$A$6:$A$214,1,FALSE)</f>
        <v>WAN010</v>
      </c>
      <c r="AD94" s="356" t="str">
        <f>VLOOKUP($AC94,'2007-2020 Metadata'!$A$6:$S$214,9,FALSE)</f>
        <v>Whanganui</v>
      </c>
      <c r="AE94" s="356">
        <f>IF(ISBLANK(VLOOKUP($AC94,'2007-2020 Metadata'!$A$6:$S$214,19,FALSE)),"",VLOOKUP($AC94,'2007-2020 Metadata'!$A$6:$S$214,19,FALSE))</f>
        <v>3</v>
      </c>
      <c r="AF94" s="355" t="str">
        <f>VLOOKUP($B94,'2007-2020 Metadata'!$A$4:$S$214,MATCH("Site type",'2007-2020 Metadata'!$A$4:$S$4,0),FALSE)</f>
        <v>SH</v>
      </c>
      <c r="AG94" s="364">
        <f t="shared" si="28"/>
        <v>15.6</v>
      </c>
      <c r="AH94" s="364">
        <f t="shared" si="29"/>
        <v>24.4</v>
      </c>
      <c r="AI94" s="354">
        <f t="shared" si="30"/>
        <v>19.563636363636363</v>
      </c>
    </row>
    <row r="95" spans="2:35" ht="12" customHeight="1" x14ac:dyDescent="0.15">
      <c r="B95" s="313" t="s">
        <v>486</v>
      </c>
      <c r="C95" s="309">
        <v>8</v>
      </c>
      <c r="D95" s="309">
        <v>8.8000000000000007</v>
      </c>
      <c r="E95" s="309">
        <v>6.2</v>
      </c>
      <c r="F95" s="309">
        <v>6.2</v>
      </c>
      <c r="G95" s="309">
        <v>5.4</v>
      </c>
      <c r="H95" s="309">
        <v>9.9</v>
      </c>
      <c r="I95" s="309">
        <v>10.9</v>
      </c>
      <c r="J95" s="309">
        <v>10.199999999999999</v>
      </c>
      <c r="K95" s="309">
        <v>9.1</v>
      </c>
      <c r="L95" s="309">
        <v>9</v>
      </c>
      <c r="M95" s="309">
        <v>7.3</v>
      </c>
      <c r="N95" s="309">
        <v>6.5</v>
      </c>
      <c r="O95" s="310">
        <f t="shared" si="38"/>
        <v>8.1249999999999982</v>
      </c>
      <c r="P95" s="310">
        <f t="shared" si="24"/>
        <v>21.169737620646707</v>
      </c>
      <c r="Q95" s="311">
        <f t="shared" si="25"/>
        <v>1</v>
      </c>
      <c r="R95" s="225">
        <f t="shared" si="35"/>
        <v>7.666666666666667</v>
      </c>
      <c r="S95" s="226">
        <f t="shared" si="26"/>
        <v>1</v>
      </c>
      <c r="T95" s="225">
        <f t="shared" si="36"/>
        <v>10.066666666666668</v>
      </c>
      <c r="U95" s="226">
        <f t="shared" si="31"/>
        <v>1</v>
      </c>
      <c r="V95" s="227">
        <f t="shared" si="37"/>
        <v>8.1249999999999982</v>
      </c>
      <c r="W95" s="228">
        <f t="shared" si="27"/>
        <v>1</v>
      </c>
      <c r="X95" s="354">
        <f t="shared" si="32"/>
        <v>6.7333333333333334</v>
      </c>
      <c r="Y95" s="354">
        <f t="shared" si="33"/>
        <v>8.9500000000000011</v>
      </c>
      <c r="Z95" s="354">
        <f t="shared" si="34"/>
        <v>7.3708333333333327</v>
      </c>
      <c r="AA95" s="205"/>
      <c r="AB95" s="357" t="str">
        <f>VLOOKUP($B95,'2007-2020 Metadata'!$A$4:$S$214,MATCH("Urban Area /Monitoring Zone",'2007-2020 Metadata'!$A$4:$S$4,0),FALSE)</f>
        <v>New Plymouth</v>
      </c>
      <c r="AC95" s="229" t="str">
        <f>VLOOKUP(B95,'2007-2020 Metadata'!$A$6:$A$214,1,FALSE)</f>
        <v>WAN011</v>
      </c>
      <c r="AD95" s="356" t="str">
        <f>VLOOKUP($AC95,'2007-2020 Metadata'!$A$6:$S$214,9,FALSE)</f>
        <v>New Plymouth</v>
      </c>
      <c r="AE95" s="356">
        <f>IF(ISBLANK(VLOOKUP($AC95,'2007-2020 Metadata'!$A$6:$S$214,19,FALSE)),"",VLOOKUP($AC95,'2007-2020 Metadata'!$A$6:$S$214,19,FALSE))</f>
        <v>2</v>
      </c>
      <c r="AF95" s="355" t="str">
        <f>VLOOKUP($B95,'2007-2020 Metadata'!$A$4:$S$214,MATCH("Site type",'2007-2020 Metadata'!$A$4:$S$4,0),FALSE)</f>
        <v>SH</v>
      </c>
      <c r="AG95" s="364">
        <f t="shared" si="28"/>
        <v>5.4</v>
      </c>
      <c r="AH95" s="364">
        <f t="shared" si="29"/>
        <v>10.9</v>
      </c>
      <c r="AI95" s="354">
        <f t="shared" si="30"/>
        <v>7.3708333333333327</v>
      </c>
    </row>
    <row r="96" spans="2:35" ht="12" customHeight="1" x14ac:dyDescent="0.15">
      <c r="B96" s="313" t="s">
        <v>50</v>
      </c>
      <c r="C96" s="309">
        <v>7.7</v>
      </c>
      <c r="D96" s="309">
        <v>12.2</v>
      </c>
      <c r="E96" s="309">
        <v>7.2</v>
      </c>
      <c r="F96" s="309">
        <v>7.2</v>
      </c>
      <c r="G96" s="309">
        <v>21.8</v>
      </c>
      <c r="H96" s="309">
        <v>18.7</v>
      </c>
      <c r="I96" s="309">
        <v>22.3</v>
      </c>
      <c r="J96" s="309">
        <v>17.899999999999999</v>
      </c>
      <c r="K96" s="309">
        <v>10.199999999999999</v>
      </c>
      <c r="L96" s="309">
        <v>11.4</v>
      </c>
      <c r="M96" s="309">
        <v>9.9</v>
      </c>
      <c r="N96" s="309">
        <v>7.2</v>
      </c>
      <c r="O96" s="310">
        <f t="shared" si="38"/>
        <v>12.808333333333332</v>
      </c>
      <c r="P96" s="310">
        <f t="shared" si="24"/>
        <v>43.33228803145289</v>
      </c>
      <c r="Q96" s="311">
        <f t="shared" si="25"/>
        <v>1</v>
      </c>
      <c r="R96" s="225">
        <f t="shared" si="35"/>
        <v>9.0333333333333332</v>
      </c>
      <c r="S96" s="226">
        <f t="shared" si="26"/>
        <v>1</v>
      </c>
      <c r="T96" s="225">
        <f t="shared" si="36"/>
        <v>16.8</v>
      </c>
      <c r="U96" s="226">
        <f t="shared" si="31"/>
        <v>1</v>
      </c>
      <c r="V96" s="227">
        <f t="shared" si="37"/>
        <v>12.808333333333332</v>
      </c>
      <c r="W96" s="228">
        <f t="shared" si="27"/>
        <v>1</v>
      </c>
      <c r="X96" s="354">
        <f t="shared" si="32"/>
        <v>9.2444444444444454</v>
      </c>
      <c r="Y96" s="354">
        <f t="shared" si="33"/>
        <v>16.172222222222221</v>
      </c>
      <c r="Z96" s="354">
        <f t="shared" si="34"/>
        <v>12.705429292929294</v>
      </c>
      <c r="AA96" s="205"/>
      <c r="AB96" s="357" t="str">
        <f>VLOOKUP($B96,'2007-2020 Metadata'!$A$4:$S$214,MATCH("Urban Area /Monitoring Zone",'2007-2020 Metadata'!$A$4:$S$4,0),FALSE)</f>
        <v>Lower Hutt</v>
      </c>
      <c r="AC96" s="229" t="str">
        <f>VLOOKUP(B96,'2007-2020 Metadata'!$A$6:$A$214,1,FALSE)</f>
        <v>WEL003</v>
      </c>
      <c r="AD96" s="356" t="str">
        <f>VLOOKUP($AC96,'2007-2020 Metadata'!$A$6:$S$214,9,FALSE)</f>
        <v>Lower Hutt</v>
      </c>
      <c r="AE96" s="356">
        <f>IF(ISBLANK(VLOOKUP($AC96,'2007-2020 Metadata'!$A$6:$S$214,19,FALSE)),"",VLOOKUP($AC96,'2007-2020 Metadata'!$A$6:$S$214,19,FALSE))</f>
        <v>3.3</v>
      </c>
      <c r="AF96" s="355" t="str">
        <f>VLOOKUP($B96,'2007-2020 Metadata'!$A$4:$S$214,MATCH("Site type",'2007-2020 Metadata'!$A$4:$S$4,0),FALSE)</f>
        <v>SH</v>
      </c>
      <c r="AG96" s="364">
        <f t="shared" si="28"/>
        <v>7.2</v>
      </c>
      <c r="AH96" s="364">
        <f t="shared" si="29"/>
        <v>22.3</v>
      </c>
      <c r="AI96" s="354">
        <f t="shared" si="30"/>
        <v>12.705429292929294</v>
      </c>
    </row>
    <row r="97" spans="2:35" ht="12" customHeight="1" x14ac:dyDescent="0.15">
      <c r="B97" s="313" t="s">
        <v>52</v>
      </c>
      <c r="C97" s="309">
        <v>11.1</v>
      </c>
      <c r="D97" s="309">
        <v>16.2</v>
      </c>
      <c r="E97" s="309">
        <v>10.199999999999999</v>
      </c>
      <c r="F97" s="309">
        <v>10.199999999999999</v>
      </c>
      <c r="G97" s="309">
        <v>21.4</v>
      </c>
      <c r="H97" s="309">
        <v>19.600000000000001</v>
      </c>
      <c r="I97" s="309">
        <v>24</v>
      </c>
      <c r="J97" s="309">
        <v>20.5</v>
      </c>
      <c r="K97" s="309">
        <v>12.3</v>
      </c>
      <c r="L97" s="309">
        <v>17</v>
      </c>
      <c r="M97" s="309">
        <v>12.3</v>
      </c>
      <c r="N97" s="309">
        <v>10.8</v>
      </c>
      <c r="O97" s="310">
        <f t="shared" si="38"/>
        <v>15.466666666666669</v>
      </c>
      <c r="P97" s="310">
        <f t="shared" si="24"/>
        <v>30.651977064760334</v>
      </c>
      <c r="Q97" s="311">
        <f t="shared" si="25"/>
        <v>1</v>
      </c>
      <c r="R97" s="225">
        <f t="shared" si="35"/>
        <v>12.5</v>
      </c>
      <c r="S97" s="226">
        <f t="shared" si="26"/>
        <v>1</v>
      </c>
      <c r="T97" s="225">
        <f t="shared" si="36"/>
        <v>18.933333333333334</v>
      </c>
      <c r="U97" s="226">
        <f t="shared" si="31"/>
        <v>1</v>
      </c>
      <c r="V97" s="227">
        <f t="shared" si="37"/>
        <v>15.466666666666669</v>
      </c>
      <c r="W97" s="228">
        <f t="shared" si="27"/>
        <v>1</v>
      </c>
      <c r="X97" s="354">
        <f t="shared" si="32"/>
        <v>13.375</v>
      </c>
      <c r="Y97" s="354">
        <f t="shared" si="33"/>
        <v>19.641666666666666</v>
      </c>
      <c r="Z97" s="354">
        <f t="shared" si="34"/>
        <v>16.231250000000003</v>
      </c>
      <c r="AA97" s="205"/>
      <c r="AB97" s="357" t="str">
        <f>VLOOKUP($B97,'2007-2020 Metadata'!$A$4:$S$214,MATCH("Urban Area /Monitoring Zone",'2007-2020 Metadata'!$A$4:$S$4,0),FALSE)</f>
        <v>Porirua</v>
      </c>
      <c r="AC97" s="229" t="str">
        <f>VLOOKUP(B97,'2007-2020 Metadata'!$A$6:$A$214,1,FALSE)</f>
        <v>WEL005</v>
      </c>
      <c r="AD97" s="356" t="str">
        <f>VLOOKUP($AC97,'2007-2020 Metadata'!$A$6:$S$214,9,FALSE)</f>
        <v>Porirua</v>
      </c>
      <c r="AE97" s="356">
        <f>IF(ISBLANK(VLOOKUP($AC97,'2007-2020 Metadata'!$A$6:$S$214,19,FALSE)),"",VLOOKUP($AC97,'2007-2020 Metadata'!$A$6:$S$214,19,FALSE))</f>
        <v>3.2</v>
      </c>
      <c r="AF97" s="355" t="str">
        <f>VLOOKUP($B97,'2007-2020 Metadata'!$A$4:$S$214,MATCH("Site type",'2007-2020 Metadata'!$A$4:$S$4,0),FALSE)</f>
        <v>SH</v>
      </c>
      <c r="AG97" s="364">
        <f t="shared" si="28"/>
        <v>10.199999999999999</v>
      </c>
      <c r="AH97" s="364">
        <f t="shared" si="29"/>
        <v>24</v>
      </c>
      <c r="AI97" s="354">
        <f t="shared" si="30"/>
        <v>16.231250000000003</v>
      </c>
    </row>
    <row r="98" spans="2:35" ht="12" customHeight="1" x14ac:dyDescent="0.15">
      <c r="B98" s="313" t="s">
        <v>53</v>
      </c>
      <c r="C98" s="309">
        <v>10.3</v>
      </c>
      <c r="D98" s="309">
        <v>12.3</v>
      </c>
      <c r="E98" s="309">
        <v>9.3000000000000007</v>
      </c>
      <c r="F98" s="309">
        <v>9.3000000000000007</v>
      </c>
      <c r="G98" s="309">
        <v>19.8</v>
      </c>
      <c r="H98" s="309">
        <v>21.6</v>
      </c>
      <c r="I98" s="309">
        <v>21.6</v>
      </c>
      <c r="J98" s="309">
        <v>17.5</v>
      </c>
      <c r="K98" s="309">
        <v>11.1</v>
      </c>
      <c r="L98" s="309">
        <v>13.7</v>
      </c>
      <c r="M98" s="309">
        <v>12.5</v>
      </c>
      <c r="N98" s="309">
        <v>7.8</v>
      </c>
      <c r="O98" s="310">
        <f t="shared" si="38"/>
        <v>13.899999999999999</v>
      </c>
      <c r="P98" s="310">
        <f t="shared" si="24"/>
        <v>34.203570522617937</v>
      </c>
      <c r="Q98" s="311">
        <f t="shared" si="25"/>
        <v>1</v>
      </c>
      <c r="R98" s="225">
        <f t="shared" si="35"/>
        <v>10.633333333333335</v>
      </c>
      <c r="S98" s="226">
        <f t="shared" si="26"/>
        <v>1</v>
      </c>
      <c r="T98" s="225">
        <f t="shared" si="36"/>
        <v>16.733333333333334</v>
      </c>
      <c r="U98" s="226">
        <f t="shared" si="31"/>
        <v>1</v>
      </c>
      <c r="V98" s="227">
        <f t="shared" si="37"/>
        <v>13.899999999999999</v>
      </c>
      <c r="W98" s="228">
        <f t="shared" si="27"/>
        <v>1</v>
      </c>
      <c r="X98" s="354">
        <f t="shared" si="32"/>
        <v>12.166666666666666</v>
      </c>
      <c r="Y98" s="354">
        <f t="shared" si="33"/>
        <v>18.774999999999999</v>
      </c>
      <c r="Z98" s="354">
        <f t="shared" si="34"/>
        <v>15.250441919191919</v>
      </c>
      <c r="AA98" s="205"/>
      <c r="AB98" s="357" t="str">
        <f>VLOOKUP($B98,'2007-2020 Metadata'!$A$4:$S$214,MATCH("Urban Area /Monitoring Zone",'2007-2020 Metadata'!$A$4:$S$4,0),FALSE)</f>
        <v>Wellington</v>
      </c>
      <c r="AC98" s="229" t="str">
        <f>VLOOKUP(B98,'2007-2020 Metadata'!$A$6:$A$214,1,FALSE)</f>
        <v>WEL007</v>
      </c>
      <c r="AD98" s="356" t="str">
        <f>VLOOKUP($AC98,'2007-2020 Metadata'!$A$6:$S$214,9,FALSE)</f>
        <v>Wellington</v>
      </c>
      <c r="AE98" s="356">
        <f>IF(ISBLANK(VLOOKUP($AC98,'2007-2020 Metadata'!$A$6:$S$214,19,FALSE)),"",VLOOKUP($AC98,'2007-2020 Metadata'!$A$6:$S$214,19,FALSE))</f>
        <v>1</v>
      </c>
      <c r="AF98" s="355" t="str">
        <f>VLOOKUP($B98,'2007-2020 Metadata'!$A$4:$S$214,MATCH("Site type",'2007-2020 Metadata'!$A$4:$S$4,0),FALSE)</f>
        <v>SH</v>
      </c>
      <c r="AG98" s="364">
        <f t="shared" si="28"/>
        <v>7.8</v>
      </c>
      <c r="AH98" s="364">
        <f t="shared" si="29"/>
        <v>21.6</v>
      </c>
      <c r="AI98" s="354">
        <f t="shared" si="30"/>
        <v>15.250441919191919</v>
      </c>
    </row>
    <row r="99" spans="2:35" ht="12" customHeight="1" x14ac:dyDescent="0.15">
      <c r="B99" s="313" t="s">
        <v>54</v>
      </c>
      <c r="C99" s="309">
        <v>24</v>
      </c>
      <c r="D99" s="309">
        <v>29.4</v>
      </c>
      <c r="E99" s="309">
        <v>20.399999999999999</v>
      </c>
      <c r="F99" s="309">
        <v>20.399999999999999</v>
      </c>
      <c r="G99" s="309">
        <v>38.200000000000003</v>
      </c>
      <c r="H99" s="309">
        <v>33.799999999999997</v>
      </c>
      <c r="I99" s="309">
        <v>39.299999999999997</v>
      </c>
      <c r="J99" s="309">
        <v>36.700000000000003</v>
      </c>
      <c r="K99" s="309">
        <v>32.299999999999997</v>
      </c>
      <c r="L99" s="309">
        <v>34.200000000000003</v>
      </c>
      <c r="M99" s="309">
        <v>27.4</v>
      </c>
      <c r="N99" s="309">
        <v>22</v>
      </c>
      <c r="O99" s="310">
        <f t="shared" si="38"/>
        <v>29.841666666666665</v>
      </c>
      <c r="P99" s="310">
        <f t="shared" si="24"/>
        <v>22.209809089120817</v>
      </c>
      <c r="Q99" s="311">
        <f t="shared" si="25"/>
        <v>1</v>
      </c>
      <c r="R99" s="225">
        <f t="shared" si="35"/>
        <v>24.599999999999998</v>
      </c>
      <c r="S99" s="226">
        <f t="shared" si="26"/>
        <v>1</v>
      </c>
      <c r="T99" s="225">
        <f t="shared" si="36"/>
        <v>36.1</v>
      </c>
      <c r="U99" s="226">
        <f t="shared" si="31"/>
        <v>1</v>
      </c>
      <c r="V99" s="227">
        <f t="shared" si="37"/>
        <v>29.841666666666665</v>
      </c>
      <c r="W99" s="228">
        <f t="shared" si="27"/>
        <v>1</v>
      </c>
      <c r="X99" s="354">
        <f t="shared" si="32"/>
        <v>12.166666666666666</v>
      </c>
      <c r="Y99" s="354">
        <f t="shared" si="33"/>
        <v>18.774999999999999</v>
      </c>
      <c r="Z99" s="354">
        <f t="shared" si="34"/>
        <v>15.250441919191919</v>
      </c>
      <c r="AA99" s="205"/>
      <c r="AB99" s="357" t="str">
        <f>VLOOKUP($B99,'2007-2020 Metadata'!$A$4:$S$214,MATCH("Urban Area /Monitoring Zone",'2007-2020 Metadata'!$A$4:$S$4,0),FALSE)</f>
        <v>Wellington</v>
      </c>
      <c r="AC99" s="229" t="str">
        <f>VLOOKUP(B99,'2007-2020 Metadata'!$A$6:$A$214,1,FALSE)</f>
        <v>WEL008</v>
      </c>
      <c r="AD99" s="356" t="str">
        <f>VLOOKUP($AC99,'2007-2020 Metadata'!$A$6:$S$214,9,FALSE)</f>
        <v>Wellington</v>
      </c>
      <c r="AE99" s="356">
        <f>IF(ISBLANK(VLOOKUP($AC99,'2007-2020 Metadata'!$A$6:$S$214,19,FALSE)),"",VLOOKUP($AC99,'2007-2020 Metadata'!$A$6:$S$214,19,FALSE))</f>
        <v>3.1</v>
      </c>
      <c r="AF99" s="355" t="str">
        <f>VLOOKUP($B99,'2007-2020 Metadata'!$A$4:$S$214,MATCH("Site type",'2007-2020 Metadata'!$A$4:$S$4,0),FALSE)</f>
        <v>SH</v>
      </c>
      <c r="AG99" s="364">
        <f t="shared" si="28"/>
        <v>20.399999999999999</v>
      </c>
      <c r="AH99" s="364">
        <f t="shared" si="29"/>
        <v>39.299999999999997</v>
      </c>
      <c r="AI99" s="354">
        <f t="shared" si="30"/>
        <v>15.250441919191919</v>
      </c>
    </row>
    <row r="100" spans="2:35" ht="12" customHeight="1" x14ac:dyDescent="0.15">
      <c r="B100" s="313" t="s">
        <v>55</v>
      </c>
      <c r="C100" s="309">
        <v>13.2</v>
      </c>
      <c r="D100" s="309">
        <v>18.8</v>
      </c>
      <c r="E100" s="309">
        <v>12.4</v>
      </c>
      <c r="F100" s="309">
        <v>12.4</v>
      </c>
      <c r="G100" s="309">
        <v>28.1</v>
      </c>
      <c r="H100" s="309"/>
      <c r="I100" s="309">
        <v>26.1</v>
      </c>
      <c r="J100" s="309">
        <v>27.9</v>
      </c>
      <c r="K100" s="309">
        <v>24.6</v>
      </c>
      <c r="L100" s="309">
        <v>22.6</v>
      </c>
      <c r="M100" s="309">
        <v>21.9</v>
      </c>
      <c r="N100" s="309"/>
      <c r="O100" s="310">
        <f t="shared" si="38"/>
        <v>20.8</v>
      </c>
      <c r="P100" s="310">
        <f t="shared" si="24"/>
        <v>28.586976697202349</v>
      </c>
      <c r="Q100" s="311">
        <f t="shared" si="25"/>
        <v>0.83333333333333337</v>
      </c>
      <c r="R100" s="225">
        <f t="shared" si="35"/>
        <v>14.799999999999999</v>
      </c>
      <c r="S100" s="226">
        <f t="shared" si="26"/>
        <v>1</v>
      </c>
      <c r="T100" s="225">
        <f t="shared" si="36"/>
        <v>26.2</v>
      </c>
      <c r="U100" s="226">
        <f t="shared" si="31"/>
        <v>1</v>
      </c>
      <c r="V100" s="227">
        <f t="shared" si="37"/>
        <v>20.8</v>
      </c>
      <c r="W100" s="228">
        <f t="shared" si="27"/>
        <v>0.83333333333333337</v>
      </c>
      <c r="X100" s="354">
        <f t="shared" si="32"/>
        <v>10.966666666666667</v>
      </c>
      <c r="Y100" s="354">
        <f t="shared" si="33"/>
        <v>20.266666666666666</v>
      </c>
      <c r="Z100" s="354">
        <f t="shared" si="34"/>
        <v>15.675757575757578</v>
      </c>
      <c r="AA100" s="205"/>
      <c r="AB100" s="357" t="str">
        <f>VLOOKUP($B100,'2007-2020 Metadata'!$A$4:$S$214,MATCH("Urban Area /Monitoring Zone",'2007-2020 Metadata'!$A$4:$S$4,0),FALSE)</f>
        <v>Nelson</v>
      </c>
      <c r="AC100" s="229" t="str">
        <f>VLOOKUP(B100,'2007-2020 Metadata'!$A$6:$A$214,1,FALSE)</f>
        <v>WEL009</v>
      </c>
      <c r="AD100" s="356" t="str">
        <f>VLOOKUP($AC100,'2007-2020 Metadata'!$A$6:$S$214,9,FALSE)</f>
        <v>Nelson</v>
      </c>
      <c r="AE100" s="356">
        <f>IF(ISBLANK(VLOOKUP($AC100,'2007-2020 Metadata'!$A$6:$S$214,19,FALSE)),"",VLOOKUP($AC100,'2007-2020 Metadata'!$A$6:$S$214,19,FALSE))</f>
        <v>3</v>
      </c>
      <c r="AF100" s="355" t="str">
        <f>VLOOKUP($B100,'2007-2020 Metadata'!$A$4:$S$214,MATCH("Site type",'2007-2020 Metadata'!$A$4:$S$4,0),FALSE)</f>
        <v>SH</v>
      </c>
      <c r="AG100" s="364">
        <f t="shared" si="28"/>
        <v>12.4</v>
      </c>
      <c r="AH100" s="364">
        <f t="shared" si="29"/>
        <v>28.1</v>
      </c>
      <c r="AI100" s="354">
        <f t="shared" si="30"/>
        <v>15.675757575757578</v>
      </c>
    </row>
    <row r="101" spans="2:35" ht="12" customHeight="1" x14ac:dyDescent="0.15">
      <c r="B101" s="313" t="s">
        <v>56</v>
      </c>
      <c r="C101" s="309">
        <v>9.8000000000000007</v>
      </c>
      <c r="D101" s="309">
        <v>14.2</v>
      </c>
      <c r="E101" s="309">
        <v>10.7</v>
      </c>
      <c r="F101" s="309">
        <v>10.7</v>
      </c>
      <c r="G101" s="309">
        <v>21.1</v>
      </c>
      <c r="H101" s="309">
        <v>21.2</v>
      </c>
      <c r="I101" s="309">
        <v>23.9</v>
      </c>
      <c r="J101" s="309">
        <v>22.3</v>
      </c>
      <c r="K101" s="309">
        <v>20.3</v>
      </c>
      <c r="L101" s="309">
        <v>17</v>
      </c>
      <c r="M101" s="309"/>
      <c r="N101" s="309">
        <v>10.6</v>
      </c>
      <c r="O101" s="310">
        <f t="shared" si="38"/>
        <v>16.527272727272727</v>
      </c>
      <c r="P101" s="310">
        <f t="shared" si="24"/>
        <v>31.524534878755944</v>
      </c>
      <c r="Q101" s="311">
        <f t="shared" si="25"/>
        <v>0.91666666666666663</v>
      </c>
      <c r="R101" s="225">
        <f t="shared" si="35"/>
        <v>11.566666666666668</v>
      </c>
      <c r="S101" s="226">
        <f t="shared" si="26"/>
        <v>1</v>
      </c>
      <c r="T101" s="225">
        <f t="shared" si="36"/>
        <v>22.166666666666668</v>
      </c>
      <c r="U101" s="226">
        <f t="shared" si="31"/>
        <v>1</v>
      </c>
      <c r="V101" s="227">
        <f t="shared" si="37"/>
        <v>16.527272727272727</v>
      </c>
      <c r="W101" s="228">
        <f t="shared" si="27"/>
        <v>0.91666666666666663</v>
      </c>
      <c r="X101" s="354">
        <f t="shared" si="32"/>
        <v>10.966666666666667</v>
      </c>
      <c r="Y101" s="354">
        <f t="shared" si="33"/>
        <v>20.266666666666666</v>
      </c>
      <c r="Z101" s="354">
        <f t="shared" si="34"/>
        <v>15.675757575757578</v>
      </c>
      <c r="AA101" s="205"/>
      <c r="AB101" s="357" t="str">
        <f>VLOOKUP($B101,'2007-2020 Metadata'!$A$4:$S$214,MATCH("Urban Area /Monitoring Zone",'2007-2020 Metadata'!$A$4:$S$4,0),FALSE)</f>
        <v>Nelson</v>
      </c>
      <c r="AC101" s="229" t="str">
        <f>VLOOKUP(B101,'2007-2020 Metadata'!$A$6:$A$214,1,FALSE)</f>
        <v>WEL010</v>
      </c>
      <c r="AD101" s="356" t="str">
        <f>VLOOKUP($AC101,'2007-2020 Metadata'!$A$6:$S$214,9,FALSE)</f>
        <v>Nelson</v>
      </c>
      <c r="AE101" s="356">
        <f>IF(ISBLANK(VLOOKUP($AC101,'2007-2020 Metadata'!$A$6:$S$214,19,FALSE)),"",VLOOKUP($AC101,'2007-2020 Metadata'!$A$6:$S$214,19,FALSE))</f>
        <v>2.4</v>
      </c>
      <c r="AF101" s="355" t="str">
        <f>VLOOKUP($B101,'2007-2020 Metadata'!$A$4:$S$214,MATCH("Site type",'2007-2020 Metadata'!$A$4:$S$4,0),FALSE)</f>
        <v>SH</v>
      </c>
      <c r="AG101" s="364">
        <f t="shared" si="28"/>
        <v>9.8000000000000007</v>
      </c>
      <c r="AH101" s="364">
        <f t="shared" si="29"/>
        <v>23.9</v>
      </c>
      <c r="AI101" s="354">
        <f t="shared" si="30"/>
        <v>15.675757575757578</v>
      </c>
    </row>
    <row r="102" spans="2:35" ht="12" customHeight="1" x14ac:dyDescent="0.15">
      <c r="B102" s="313" t="s">
        <v>57</v>
      </c>
      <c r="C102" s="309">
        <v>14</v>
      </c>
      <c r="D102" s="309">
        <v>11.9</v>
      </c>
      <c r="E102" s="309">
        <v>13.3</v>
      </c>
      <c r="F102" s="309">
        <v>13.3</v>
      </c>
      <c r="G102" s="309">
        <v>20</v>
      </c>
      <c r="H102" s="309">
        <v>24</v>
      </c>
      <c r="I102" s="309">
        <v>21.2</v>
      </c>
      <c r="J102" s="309">
        <v>16</v>
      </c>
      <c r="K102" s="309">
        <v>15</v>
      </c>
      <c r="L102" s="309">
        <v>12.9</v>
      </c>
      <c r="M102" s="309">
        <v>10.7</v>
      </c>
      <c r="N102" s="309"/>
      <c r="O102" s="310">
        <f t="shared" si="38"/>
        <v>15.663636363636362</v>
      </c>
      <c r="P102" s="310">
        <f t="shared" si="24"/>
        <v>25.817197023972632</v>
      </c>
      <c r="Q102" s="311">
        <f t="shared" si="25"/>
        <v>0.91666666666666663</v>
      </c>
      <c r="R102" s="225">
        <f t="shared" si="35"/>
        <v>13.066666666666668</v>
      </c>
      <c r="S102" s="226">
        <f t="shared" si="26"/>
        <v>1</v>
      </c>
      <c r="T102" s="225">
        <f t="shared" si="36"/>
        <v>17.400000000000002</v>
      </c>
      <c r="U102" s="226">
        <f t="shared" si="31"/>
        <v>1</v>
      </c>
      <c r="V102" s="227">
        <f t="shared" si="37"/>
        <v>15.663636363636362</v>
      </c>
      <c r="W102" s="228">
        <f t="shared" si="27"/>
        <v>0.91666666666666663</v>
      </c>
      <c r="X102" s="354">
        <f t="shared" si="32"/>
        <v>13.066666666666668</v>
      </c>
      <c r="Y102" s="354">
        <f t="shared" si="33"/>
        <v>17.400000000000002</v>
      </c>
      <c r="Z102" s="354">
        <f t="shared" si="34"/>
        <v>15.663636363636362</v>
      </c>
      <c r="AA102" s="205"/>
      <c r="AB102" s="357" t="str">
        <f>VLOOKUP($B102,'2007-2020 Metadata'!$A$4:$S$214,MATCH("Urban Area /Monitoring Zone",'2007-2020 Metadata'!$A$4:$S$4,0),FALSE)</f>
        <v>Nelson</v>
      </c>
      <c r="AC102" s="229" t="str">
        <f>VLOOKUP(B102,'2007-2020 Metadata'!$A$6:$A$214,1,FALSE)</f>
        <v>WEL011</v>
      </c>
      <c r="AD102" s="356" t="str">
        <f>VLOOKUP($AC102,'2007-2020 Metadata'!$A$6:$S$214,9,FALSE)</f>
        <v>Tasman</v>
      </c>
      <c r="AE102" s="356">
        <f>IF(ISBLANK(VLOOKUP($AC102,'2007-2020 Metadata'!$A$6:$S$214,19,FALSE)),"",VLOOKUP($AC102,'2007-2020 Metadata'!$A$6:$S$214,19,FALSE))</f>
        <v>2.4</v>
      </c>
      <c r="AF102" s="355" t="str">
        <f>VLOOKUP($B102,'2007-2020 Metadata'!$A$4:$S$214,MATCH("Site type",'2007-2020 Metadata'!$A$4:$S$4,0),FALSE)</f>
        <v>SH</v>
      </c>
      <c r="AG102" s="364">
        <f t="shared" si="28"/>
        <v>10.7</v>
      </c>
      <c r="AH102" s="364">
        <f t="shared" si="29"/>
        <v>24</v>
      </c>
      <c r="AI102" s="354">
        <f t="shared" si="30"/>
        <v>15.663636363636362</v>
      </c>
    </row>
    <row r="103" spans="2:35" ht="12" customHeight="1" x14ac:dyDescent="0.15">
      <c r="B103" s="313" t="s">
        <v>58</v>
      </c>
      <c r="C103" s="309">
        <v>9.6</v>
      </c>
      <c r="D103" s="309">
        <v>12.1</v>
      </c>
      <c r="E103" s="309"/>
      <c r="F103" s="309"/>
      <c r="G103" s="309">
        <v>12.5</v>
      </c>
      <c r="H103" s="309">
        <v>17.899999999999999</v>
      </c>
      <c r="I103" s="309">
        <v>15.8</v>
      </c>
      <c r="J103" s="309"/>
      <c r="K103" s="309"/>
      <c r="L103" s="309"/>
      <c r="M103" s="309"/>
      <c r="N103" s="309">
        <v>8.3000000000000007</v>
      </c>
      <c r="O103" s="310">
        <f t="shared" si="38"/>
        <v>12.700000000000001</v>
      </c>
      <c r="P103" s="310">
        <f t="shared" si="24"/>
        <v>26.11911237164707</v>
      </c>
      <c r="Q103" s="311">
        <f t="shared" si="25"/>
        <v>0.5</v>
      </c>
      <c r="R103" s="225">
        <f t="shared" si="35"/>
        <v>10.85</v>
      </c>
      <c r="S103" s="226">
        <f t="shared" si="26"/>
        <v>0.66666666666666663</v>
      </c>
      <c r="T103" s="225" t="str">
        <f t="shared" si="36"/>
        <v>-</v>
      </c>
      <c r="U103" s="226">
        <f t="shared" si="31"/>
        <v>0.33333333333333331</v>
      </c>
      <c r="V103" s="227" t="str">
        <f t="shared" si="37"/>
        <v>-</v>
      </c>
      <c r="W103" s="228">
        <f t="shared" si="27"/>
        <v>0.5</v>
      </c>
      <c r="X103" s="354">
        <f t="shared" si="32"/>
        <v>10.85</v>
      </c>
      <c r="Y103" s="354" t="str">
        <f t="shared" si="33"/>
        <v/>
      </c>
      <c r="Z103" s="354" t="str">
        <f t="shared" si="34"/>
        <v/>
      </c>
      <c r="AA103" s="205"/>
      <c r="AB103" s="357" t="str">
        <f>VLOOKUP($B103,'2007-2020 Metadata'!$A$4:$S$214,MATCH("Urban Area /Monitoring Zone",'2007-2020 Metadata'!$A$4:$S$4,0),FALSE)</f>
        <v>Blenheim</v>
      </c>
      <c r="AC103" s="229" t="str">
        <f>VLOOKUP(B103,'2007-2020 Metadata'!$A$6:$A$214,1,FALSE)</f>
        <v>WEL012</v>
      </c>
      <c r="AD103" s="356" t="str">
        <f>VLOOKUP($AC103,'2007-2020 Metadata'!$A$6:$S$214,9,FALSE)</f>
        <v>Blenheim</v>
      </c>
      <c r="AE103" s="356">
        <f>IF(ISBLANK(VLOOKUP($AC103,'2007-2020 Metadata'!$A$6:$S$214,19,FALSE)),"",VLOOKUP($AC103,'2007-2020 Metadata'!$A$6:$S$214,19,FALSE))</f>
        <v>4.2</v>
      </c>
      <c r="AF103" s="355" t="str">
        <f>VLOOKUP($B103,'2007-2020 Metadata'!$A$4:$S$214,MATCH("Site type",'2007-2020 Metadata'!$A$4:$S$4,0),FALSE)</f>
        <v>SH</v>
      </c>
      <c r="AG103" s="364">
        <f t="shared" si="28"/>
        <v>8.3000000000000007</v>
      </c>
      <c r="AH103" s="364">
        <f t="shared" si="29"/>
        <v>17.899999999999999</v>
      </c>
      <c r="AI103" s="354" t="str">
        <f t="shared" si="30"/>
        <v xml:space="preserve"> </v>
      </c>
    </row>
    <row r="104" spans="2:35" ht="12" customHeight="1" x14ac:dyDescent="0.15">
      <c r="B104" s="313" t="s">
        <v>125</v>
      </c>
      <c r="C104" s="309">
        <v>5.0999999999999996</v>
      </c>
      <c r="D104" s="309">
        <v>8.1</v>
      </c>
      <c r="E104" s="309">
        <v>3.9</v>
      </c>
      <c r="F104" s="309">
        <v>3.9</v>
      </c>
      <c r="G104" s="309">
        <v>11</v>
      </c>
      <c r="H104" s="309">
        <v>12.1</v>
      </c>
      <c r="I104" s="309">
        <v>14.2</v>
      </c>
      <c r="J104" s="309">
        <v>12</v>
      </c>
      <c r="K104" s="309">
        <v>7.5</v>
      </c>
      <c r="L104" s="309">
        <v>9.4</v>
      </c>
      <c r="M104" s="309">
        <v>7</v>
      </c>
      <c r="N104" s="309">
        <v>6.4</v>
      </c>
      <c r="O104" s="310">
        <f t="shared" si="38"/>
        <v>8.3833333333333346</v>
      </c>
      <c r="P104" s="310">
        <f t="shared" si="24"/>
        <v>38.698005901942381</v>
      </c>
      <c r="Q104" s="311">
        <f t="shared" si="25"/>
        <v>1</v>
      </c>
      <c r="R104" s="225">
        <f t="shared" si="35"/>
        <v>5.6999999999999993</v>
      </c>
      <c r="S104" s="226">
        <f t="shared" si="26"/>
        <v>1</v>
      </c>
      <c r="T104" s="225">
        <f t="shared" si="36"/>
        <v>11.233333333333334</v>
      </c>
      <c r="U104" s="226">
        <f t="shared" si="31"/>
        <v>1</v>
      </c>
      <c r="V104" s="227">
        <f t="shared" si="37"/>
        <v>8.3833333333333346</v>
      </c>
      <c r="W104" s="228">
        <f t="shared" si="27"/>
        <v>1</v>
      </c>
      <c r="X104" s="354">
        <f t="shared" si="32"/>
        <v>12.166666666666666</v>
      </c>
      <c r="Y104" s="354">
        <f t="shared" si="33"/>
        <v>18.774999999999999</v>
      </c>
      <c r="Z104" s="354">
        <f t="shared" si="34"/>
        <v>15.250441919191919</v>
      </c>
      <c r="AA104" s="205"/>
      <c r="AB104" s="357" t="str">
        <f>VLOOKUP($B104,'2007-2020 Metadata'!$A$4:$S$214,MATCH("Urban Area /Monitoring Zone",'2007-2020 Metadata'!$A$4:$S$4,0),FALSE)</f>
        <v>Wellington</v>
      </c>
      <c r="AC104" s="229" t="str">
        <f>VLOOKUP(B104,'2007-2020 Metadata'!$A$6:$A$214,1,FALSE)</f>
        <v>WEL047</v>
      </c>
      <c r="AD104" s="356" t="str">
        <f>VLOOKUP($AC104,'2007-2020 Metadata'!$A$6:$S$214,9,FALSE)</f>
        <v>Wellington</v>
      </c>
      <c r="AE104" s="356">
        <f>IF(ISBLANK(VLOOKUP($AC104,'2007-2020 Metadata'!$A$6:$S$214,19,FALSE)),"",VLOOKUP($AC104,'2007-2020 Metadata'!$A$6:$S$214,19,FALSE))</f>
        <v>3.5</v>
      </c>
      <c r="AF104" s="355" t="str">
        <f>VLOOKUP($B104,'2007-2020 Metadata'!$A$4:$S$214,MATCH("Site type",'2007-2020 Metadata'!$A$4:$S$4,0),FALSE)</f>
        <v>Local</v>
      </c>
      <c r="AG104" s="364">
        <f t="shared" si="28"/>
        <v>3.9</v>
      </c>
      <c r="AH104" s="364">
        <f t="shared" si="29"/>
        <v>14.2</v>
      </c>
      <c r="AI104" s="354">
        <f t="shared" si="30"/>
        <v>15.250441919191919</v>
      </c>
    </row>
    <row r="105" spans="2:35" ht="12" customHeight="1" x14ac:dyDescent="0.15">
      <c r="B105" s="313" t="s">
        <v>126</v>
      </c>
      <c r="C105" s="309">
        <v>3.8</v>
      </c>
      <c r="D105" s="309">
        <v>6.3</v>
      </c>
      <c r="E105" s="309">
        <v>4.7</v>
      </c>
      <c r="F105" s="309">
        <v>4.7</v>
      </c>
      <c r="G105" s="309">
        <v>9.5</v>
      </c>
      <c r="H105" s="309"/>
      <c r="I105" s="309">
        <v>11.9</v>
      </c>
      <c r="J105" s="309">
        <v>8.3000000000000007</v>
      </c>
      <c r="K105" s="309">
        <v>4.5999999999999996</v>
      </c>
      <c r="L105" s="309">
        <v>6.7</v>
      </c>
      <c r="M105" s="309">
        <v>4.3</v>
      </c>
      <c r="N105" s="309">
        <v>4.0999999999999996</v>
      </c>
      <c r="O105" s="310">
        <f t="shared" si="38"/>
        <v>6.2636363636363646</v>
      </c>
      <c r="P105" s="310">
        <f t="shared" si="24"/>
        <v>39.940615801292658</v>
      </c>
      <c r="Q105" s="311">
        <f t="shared" si="25"/>
        <v>0.91666666666666663</v>
      </c>
      <c r="R105" s="225">
        <f t="shared" si="35"/>
        <v>4.9333333333333336</v>
      </c>
      <c r="S105" s="226">
        <f t="shared" si="26"/>
        <v>1</v>
      </c>
      <c r="T105" s="225">
        <f t="shared" si="36"/>
        <v>8.2666666666666675</v>
      </c>
      <c r="U105" s="226">
        <f t="shared" si="31"/>
        <v>1</v>
      </c>
      <c r="V105" s="227">
        <f t="shared" si="37"/>
        <v>6.2636363636363646</v>
      </c>
      <c r="W105" s="228">
        <f t="shared" si="27"/>
        <v>0.91666666666666663</v>
      </c>
      <c r="X105" s="354">
        <f t="shared" si="32"/>
        <v>12.166666666666666</v>
      </c>
      <c r="Y105" s="354">
        <f t="shared" si="33"/>
        <v>18.774999999999999</v>
      </c>
      <c r="Z105" s="354">
        <f t="shared" si="34"/>
        <v>15.250441919191919</v>
      </c>
      <c r="AA105" s="205"/>
      <c r="AB105" s="357" t="str">
        <f>VLOOKUP($B105,'2007-2020 Metadata'!$A$4:$S$214,MATCH("Urban Area /Monitoring Zone",'2007-2020 Metadata'!$A$4:$S$4,0),FALSE)</f>
        <v>Wellington</v>
      </c>
      <c r="AC105" s="229" t="str">
        <f>VLOOKUP(B105,'2007-2020 Metadata'!$A$6:$A$214,1,FALSE)</f>
        <v>WEL048</v>
      </c>
      <c r="AD105" s="356" t="str">
        <f>VLOOKUP($AC105,'2007-2020 Metadata'!$A$6:$S$214,9,FALSE)</f>
        <v>Wellington</v>
      </c>
      <c r="AE105" s="356">
        <f>IF(ISBLANK(VLOOKUP($AC105,'2007-2020 Metadata'!$A$6:$S$214,19,FALSE)),"",VLOOKUP($AC105,'2007-2020 Metadata'!$A$6:$S$214,19,FALSE))</f>
        <v>4</v>
      </c>
      <c r="AF105" s="355" t="str">
        <f>VLOOKUP($B105,'2007-2020 Metadata'!$A$4:$S$214,MATCH("Site type",'2007-2020 Metadata'!$A$4:$S$4,0),FALSE)</f>
        <v>Background</v>
      </c>
      <c r="AG105" s="364">
        <f t="shared" si="28"/>
        <v>3.8</v>
      </c>
      <c r="AH105" s="364">
        <f t="shared" si="29"/>
        <v>11.9</v>
      </c>
      <c r="AI105" s="354">
        <f t="shared" si="30"/>
        <v>15.250441919191919</v>
      </c>
    </row>
    <row r="106" spans="2:35" ht="12" customHeight="1" x14ac:dyDescent="0.15">
      <c r="B106" s="313" t="s">
        <v>127</v>
      </c>
      <c r="C106" s="309">
        <v>22.8</v>
      </c>
      <c r="D106" s="309">
        <v>28.7</v>
      </c>
      <c r="E106" s="309">
        <v>18.399999999999999</v>
      </c>
      <c r="F106" s="309">
        <v>18.399999999999999</v>
      </c>
      <c r="G106" s="309">
        <v>33.799999999999997</v>
      </c>
      <c r="H106" s="309">
        <v>37.5</v>
      </c>
      <c r="I106" s="309">
        <v>37.200000000000003</v>
      </c>
      <c r="J106" s="309">
        <v>35.799999999999997</v>
      </c>
      <c r="K106" s="309">
        <v>23.4</v>
      </c>
      <c r="L106" s="309">
        <v>26.4</v>
      </c>
      <c r="M106" s="309">
        <v>27.2</v>
      </c>
      <c r="N106" s="309">
        <v>20.100000000000001</v>
      </c>
      <c r="O106" s="310">
        <f t="shared" si="38"/>
        <v>27.474999999999998</v>
      </c>
      <c r="P106" s="310">
        <f t="shared" si="24"/>
        <v>24.967429961653661</v>
      </c>
      <c r="Q106" s="311">
        <f t="shared" si="25"/>
        <v>1</v>
      </c>
      <c r="R106" s="225">
        <f t="shared" si="35"/>
        <v>23.3</v>
      </c>
      <c r="S106" s="226">
        <f t="shared" si="26"/>
        <v>1</v>
      </c>
      <c r="T106" s="225">
        <f t="shared" si="36"/>
        <v>32.133333333333333</v>
      </c>
      <c r="U106" s="226">
        <f t="shared" si="31"/>
        <v>1</v>
      </c>
      <c r="V106" s="227">
        <f t="shared" si="37"/>
        <v>27.474999999999998</v>
      </c>
      <c r="W106" s="228">
        <f t="shared" si="27"/>
        <v>1</v>
      </c>
      <c r="X106" s="354">
        <f t="shared" si="32"/>
        <v>12.166666666666666</v>
      </c>
      <c r="Y106" s="354">
        <f t="shared" si="33"/>
        <v>18.774999999999999</v>
      </c>
      <c r="Z106" s="354">
        <f t="shared" si="34"/>
        <v>15.250441919191919</v>
      </c>
      <c r="AA106" s="205"/>
      <c r="AB106" s="357" t="str">
        <f>VLOOKUP($B106,'2007-2020 Metadata'!$A$4:$S$214,MATCH("Urban Area /Monitoring Zone",'2007-2020 Metadata'!$A$4:$S$4,0),FALSE)</f>
        <v>Wellington</v>
      </c>
      <c r="AC106" s="229" t="str">
        <f>VLOOKUP(B106,'2007-2020 Metadata'!$A$6:$A$214,1,FALSE)</f>
        <v>WEL049</v>
      </c>
      <c r="AD106" s="356" t="str">
        <f>VLOOKUP($AC106,'2007-2020 Metadata'!$A$6:$S$214,9,FALSE)</f>
        <v>Wellington</v>
      </c>
      <c r="AE106" s="356">
        <f>IF(ISBLANK(VLOOKUP($AC106,'2007-2020 Metadata'!$A$6:$S$214,19,FALSE)),"",VLOOKUP($AC106,'2007-2020 Metadata'!$A$6:$S$214,19,FALSE))</f>
        <v>4</v>
      </c>
      <c r="AF106" s="355" t="str">
        <f>VLOOKUP($B106,'2007-2020 Metadata'!$A$4:$S$214,MATCH("Site type",'2007-2020 Metadata'!$A$4:$S$4,0),FALSE)</f>
        <v>Local</v>
      </c>
      <c r="AG106" s="364">
        <f t="shared" si="28"/>
        <v>18.399999999999999</v>
      </c>
      <c r="AH106" s="364">
        <f t="shared" si="29"/>
        <v>37.5</v>
      </c>
      <c r="AI106" s="354">
        <f t="shared" si="30"/>
        <v>15.250441919191919</v>
      </c>
    </row>
    <row r="107" spans="2:35" ht="12" customHeight="1" x14ac:dyDescent="0.15">
      <c r="B107" s="313" t="s">
        <v>128</v>
      </c>
      <c r="C107" s="309">
        <v>11.6</v>
      </c>
      <c r="D107" s="309">
        <v>16.8</v>
      </c>
      <c r="E107" s="309">
        <v>10</v>
      </c>
      <c r="F107" s="309">
        <v>10</v>
      </c>
      <c r="G107" s="309">
        <v>20.100000000000001</v>
      </c>
      <c r="H107" s="309">
        <v>20.5</v>
      </c>
      <c r="I107" s="309">
        <v>20.9</v>
      </c>
      <c r="J107" s="309">
        <v>18.600000000000001</v>
      </c>
      <c r="K107" s="309">
        <v>13.9</v>
      </c>
      <c r="L107" s="309">
        <v>17.600000000000001</v>
      </c>
      <c r="M107" s="309">
        <v>15.5</v>
      </c>
      <c r="N107" s="309">
        <v>13.7</v>
      </c>
      <c r="O107" s="310">
        <f t="shared" si="38"/>
        <v>15.766666666666666</v>
      </c>
      <c r="P107" s="310">
        <f t="shared" si="24"/>
        <v>23.990415808950143</v>
      </c>
      <c r="Q107" s="311">
        <f t="shared" si="25"/>
        <v>1</v>
      </c>
      <c r="R107" s="225">
        <f t="shared" si="35"/>
        <v>12.799999999999999</v>
      </c>
      <c r="S107" s="226">
        <f t="shared" si="26"/>
        <v>1</v>
      </c>
      <c r="T107" s="225">
        <f t="shared" si="36"/>
        <v>17.8</v>
      </c>
      <c r="U107" s="226">
        <f t="shared" si="31"/>
        <v>1</v>
      </c>
      <c r="V107" s="227">
        <f t="shared" si="37"/>
        <v>15.766666666666666</v>
      </c>
      <c r="W107" s="228">
        <f t="shared" si="27"/>
        <v>1</v>
      </c>
      <c r="X107" s="354">
        <f t="shared" si="32"/>
        <v>12.166666666666666</v>
      </c>
      <c r="Y107" s="354">
        <f t="shared" si="33"/>
        <v>18.774999999999999</v>
      </c>
      <c r="Z107" s="354">
        <f t="shared" si="34"/>
        <v>15.250441919191919</v>
      </c>
      <c r="AA107" s="205"/>
      <c r="AB107" s="357" t="str">
        <f>VLOOKUP($B107,'2007-2020 Metadata'!$A$4:$S$214,MATCH("Urban Area /Monitoring Zone",'2007-2020 Metadata'!$A$4:$S$4,0),FALSE)</f>
        <v>Wellington</v>
      </c>
      <c r="AC107" s="229" t="str">
        <f>VLOOKUP(B107,'2007-2020 Metadata'!$A$6:$A$214,1,FALSE)</f>
        <v>WEL050</v>
      </c>
      <c r="AD107" s="356" t="str">
        <f>VLOOKUP($AC107,'2007-2020 Metadata'!$A$6:$S$214,9,FALSE)</f>
        <v>Wellington</v>
      </c>
      <c r="AE107" s="356">
        <f>IF(ISBLANK(VLOOKUP($AC107,'2007-2020 Metadata'!$A$6:$S$214,19,FALSE)),"",VLOOKUP($AC107,'2007-2020 Metadata'!$A$6:$S$214,19,FALSE))</f>
        <v>4</v>
      </c>
      <c r="AF107" s="355" t="str">
        <f>VLOOKUP($B107,'2007-2020 Metadata'!$A$4:$S$214,MATCH("Site type",'2007-2020 Metadata'!$A$4:$S$4,0),FALSE)</f>
        <v>SH</v>
      </c>
      <c r="AG107" s="364">
        <f t="shared" si="28"/>
        <v>10</v>
      </c>
      <c r="AH107" s="364">
        <f t="shared" si="29"/>
        <v>20.9</v>
      </c>
      <c r="AI107" s="354">
        <f t="shared" si="30"/>
        <v>15.250441919191919</v>
      </c>
    </row>
    <row r="108" spans="2:35" ht="12" customHeight="1" x14ac:dyDescent="0.15">
      <c r="B108" s="313" t="s">
        <v>129</v>
      </c>
      <c r="C108" s="309">
        <v>7.4</v>
      </c>
      <c r="D108" s="309">
        <v>10.9</v>
      </c>
      <c r="E108" s="309">
        <v>6.2</v>
      </c>
      <c r="F108" s="309">
        <v>6.2</v>
      </c>
      <c r="G108" s="309">
        <v>11.4</v>
      </c>
      <c r="H108" s="309">
        <v>10.6</v>
      </c>
      <c r="I108" s="309">
        <v>14.8</v>
      </c>
      <c r="J108" s="309">
        <v>12.5</v>
      </c>
      <c r="K108" s="309">
        <v>8.1999999999999993</v>
      </c>
      <c r="L108" s="309">
        <v>9.8000000000000007</v>
      </c>
      <c r="M108" s="309">
        <v>7.3</v>
      </c>
      <c r="N108" s="309">
        <v>7.1</v>
      </c>
      <c r="O108" s="310">
        <f t="shared" si="38"/>
        <v>9.3666666666666654</v>
      </c>
      <c r="P108" s="310">
        <f t="shared" si="24"/>
        <v>27.946707811050363</v>
      </c>
      <c r="Q108" s="311">
        <f t="shared" si="25"/>
        <v>1</v>
      </c>
      <c r="R108" s="225">
        <f t="shared" si="35"/>
        <v>8.1666666666666661</v>
      </c>
      <c r="S108" s="226">
        <f t="shared" si="26"/>
        <v>1</v>
      </c>
      <c r="T108" s="225">
        <f t="shared" si="36"/>
        <v>11.833333333333334</v>
      </c>
      <c r="U108" s="226">
        <f t="shared" si="31"/>
        <v>1</v>
      </c>
      <c r="V108" s="227">
        <f t="shared" si="37"/>
        <v>9.3666666666666654</v>
      </c>
      <c r="W108" s="228">
        <f t="shared" si="27"/>
        <v>1</v>
      </c>
      <c r="X108" s="354">
        <f t="shared" si="32"/>
        <v>12.166666666666666</v>
      </c>
      <c r="Y108" s="354">
        <f t="shared" si="33"/>
        <v>18.774999999999999</v>
      </c>
      <c r="Z108" s="354">
        <f t="shared" si="34"/>
        <v>15.250441919191919</v>
      </c>
      <c r="AA108" s="205"/>
      <c r="AB108" s="357" t="str">
        <f>VLOOKUP($B108,'2007-2020 Metadata'!$A$4:$S$214,MATCH("Urban Area /Monitoring Zone",'2007-2020 Metadata'!$A$4:$S$4,0),FALSE)</f>
        <v>Wellington</v>
      </c>
      <c r="AC108" s="229" t="str">
        <f>VLOOKUP(B108,'2007-2020 Metadata'!$A$6:$A$214,1,FALSE)</f>
        <v>WEL051</v>
      </c>
      <c r="AD108" s="356" t="str">
        <f>VLOOKUP($AC108,'2007-2020 Metadata'!$A$6:$S$214,9,FALSE)</f>
        <v>Wellington</v>
      </c>
      <c r="AE108" s="356">
        <f>IF(ISBLANK(VLOOKUP($AC108,'2007-2020 Metadata'!$A$6:$S$214,19,FALSE)),"",VLOOKUP($AC108,'2007-2020 Metadata'!$A$6:$S$214,19,FALSE))</f>
        <v>4</v>
      </c>
      <c r="AF108" s="355" t="str">
        <f>VLOOKUP($B108,'2007-2020 Metadata'!$A$4:$S$214,MATCH("Site type",'2007-2020 Metadata'!$A$4:$S$4,0),FALSE)</f>
        <v>Local</v>
      </c>
      <c r="AG108" s="364">
        <f t="shared" si="28"/>
        <v>6.2</v>
      </c>
      <c r="AH108" s="364">
        <f t="shared" si="29"/>
        <v>14.8</v>
      </c>
      <c r="AI108" s="354">
        <f t="shared" si="30"/>
        <v>15.250441919191919</v>
      </c>
    </row>
    <row r="109" spans="2:35" ht="12" customHeight="1" x14ac:dyDescent="0.15">
      <c r="B109" s="313" t="s">
        <v>130</v>
      </c>
      <c r="C109" s="309">
        <v>12.5</v>
      </c>
      <c r="D109" s="309">
        <v>16.8</v>
      </c>
      <c r="E109" s="309">
        <v>11.6</v>
      </c>
      <c r="F109" s="309">
        <v>11.6</v>
      </c>
      <c r="G109" s="309">
        <v>33.5</v>
      </c>
      <c r="H109" s="309">
        <v>26</v>
      </c>
      <c r="I109" s="309">
        <v>31</v>
      </c>
      <c r="J109" s="309">
        <v>25.5</v>
      </c>
      <c r="K109" s="309">
        <v>15.1</v>
      </c>
      <c r="L109" s="309">
        <v>19.2</v>
      </c>
      <c r="M109" s="309">
        <v>13.9</v>
      </c>
      <c r="N109" s="309">
        <v>10.3</v>
      </c>
      <c r="O109" s="310">
        <f t="shared" si="38"/>
        <v>18.916666666666668</v>
      </c>
      <c r="P109" s="310">
        <f t="shared" si="24"/>
        <v>40.918731690929988</v>
      </c>
      <c r="Q109" s="311">
        <f t="shared" si="25"/>
        <v>1</v>
      </c>
      <c r="R109" s="225">
        <f t="shared" si="35"/>
        <v>13.633333333333333</v>
      </c>
      <c r="S109" s="226">
        <f t="shared" si="26"/>
        <v>1</v>
      </c>
      <c r="T109" s="225">
        <f t="shared" si="36"/>
        <v>23.866666666666664</v>
      </c>
      <c r="U109" s="226">
        <f t="shared" si="31"/>
        <v>1</v>
      </c>
      <c r="V109" s="227">
        <f t="shared" si="37"/>
        <v>18.916666666666668</v>
      </c>
      <c r="W109" s="228">
        <f t="shared" si="27"/>
        <v>1</v>
      </c>
      <c r="X109" s="354">
        <f t="shared" si="32"/>
        <v>9.2444444444444454</v>
      </c>
      <c r="Y109" s="354">
        <f t="shared" si="33"/>
        <v>16.172222222222221</v>
      </c>
      <c r="Z109" s="354">
        <f t="shared" si="34"/>
        <v>12.705429292929294</v>
      </c>
      <c r="AA109" s="205"/>
      <c r="AB109" s="357" t="str">
        <f>VLOOKUP($B109,'2007-2020 Metadata'!$A$4:$S$214,MATCH("Urban Area /Monitoring Zone",'2007-2020 Metadata'!$A$4:$S$4,0),FALSE)</f>
        <v>Lower Hutt</v>
      </c>
      <c r="AC109" s="229" t="str">
        <f>VLOOKUP(B109,'2007-2020 Metadata'!$A$6:$A$214,1,FALSE)</f>
        <v>WEL052</v>
      </c>
      <c r="AD109" s="356" t="str">
        <f>VLOOKUP($AC109,'2007-2020 Metadata'!$A$6:$S$214,9,FALSE)</f>
        <v>Lower Hutt</v>
      </c>
      <c r="AE109" s="356">
        <f>IF(ISBLANK(VLOOKUP($AC109,'2007-2020 Metadata'!$A$6:$S$214,19,FALSE)),"",VLOOKUP($AC109,'2007-2020 Metadata'!$A$6:$S$214,19,FALSE))</f>
        <v>4</v>
      </c>
      <c r="AF109" s="355" t="str">
        <f>VLOOKUP($B109,'2007-2020 Metadata'!$A$4:$S$214,MATCH("Site type",'2007-2020 Metadata'!$A$4:$S$4,0),FALSE)</f>
        <v>SH</v>
      </c>
      <c r="AG109" s="364">
        <f t="shared" si="28"/>
        <v>10.3</v>
      </c>
      <c r="AH109" s="364">
        <f t="shared" si="29"/>
        <v>33.5</v>
      </c>
      <c r="AI109" s="354">
        <f t="shared" si="30"/>
        <v>12.705429292929294</v>
      </c>
    </row>
    <row r="110" spans="2:35" ht="12" customHeight="1" x14ac:dyDescent="0.15">
      <c r="B110" s="313" t="s">
        <v>131</v>
      </c>
      <c r="C110" s="309">
        <v>11.8</v>
      </c>
      <c r="D110" s="309">
        <v>17.5</v>
      </c>
      <c r="E110" s="309">
        <v>10.1</v>
      </c>
      <c r="F110" s="309">
        <v>10.1</v>
      </c>
      <c r="G110" s="309">
        <v>23.8</v>
      </c>
      <c r="H110" s="309">
        <v>18.3</v>
      </c>
      <c r="I110" s="309">
        <v>24.9</v>
      </c>
      <c r="J110" s="309">
        <v>23.5</v>
      </c>
      <c r="K110" s="309">
        <v>14.5</v>
      </c>
      <c r="L110" s="309">
        <v>17.5</v>
      </c>
      <c r="M110" s="309">
        <v>13.1</v>
      </c>
      <c r="N110" s="309">
        <v>11.4</v>
      </c>
      <c r="O110" s="310">
        <f t="shared" si="38"/>
        <v>16.375</v>
      </c>
      <c r="P110" s="310">
        <f t="shared" si="24"/>
        <v>31.706876698149166</v>
      </c>
      <c r="Q110" s="311">
        <f t="shared" si="25"/>
        <v>1</v>
      </c>
      <c r="R110" s="225">
        <f t="shared" si="35"/>
        <v>13.133333333333333</v>
      </c>
      <c r="S110" s="226">
        <f t="shared" si="26"/>
        <v>1</v>
      </c>
      <c r="T110" s="225">
        <f t="shared" si="36"/>
        <v>20.966666666666665</v>
      </c>
      <c r="U110" s="226">
        <f t="shared" si="31"/>
        <v>1</v>
      </c>
      <c r="V110" s="227">
        <f t="shared" si="37"/>
        <v>16.375</v>
      </c>
      <c r="W110" s="228">
        <f t="shared" si="27"/>
        <v>1</v>
      </c>
      <c r="X110" s="354">
        <f t="shared" si="32"/>
        <v>9.2444444444444454</v>
      </c>
      <c r="Y110" s="354">
        <f t="shared" si="33"/>
        <v>16.172222222222221</v>
      </c>
      <c r="Z110" s="354">
        <f t="shared" si="34"/>
        <v>12.705429292929294</v>
      </c>
      <c r="AA110" s="205"/>
      <c r="AB110" s="357" t="str">
        <f>VLOOKUP($B110,'2007-2020 Metadata'!$A$4:$S$214,MATCH("Urban Area /Monitoring Zone",'2007-2020 Metadata'!$A$4:$S$4,0),FALSE)</f>
        <v>Lower Hutt</v>
      </c>
      <c r="AC110" s="229" t="str">
        <f>VLOOKUP(B110,'2007-2020 Metadata'!$A$6:$A$214,1,FALSE)</f>
        <v>WEL053</v>
      </c>
      <c r="AD110" s="356" t="str">
        <f>VLOOKUP($AC110,'2007-2020 Metadata'!$A$6:$S$214,9,FALSE)</f>
        <v>Lower Hutt</v>
      </c>
      <c r="AE110" s="356">
        <f>IF(ISBLANK(VLOOKUP($AC110,'2007-2020 Metadata'!$A$6:$S$214,19,FALSE)),"",VLOOKUP($AC110,'2007-2020 Metadata'!$A$6:$S$214,19,FALSE))</f>
        <v>4</v>
      </c>
      <c r="AF110" s="355" t="str">
        <f>VLOOKUP($B110,'2007-2020 Metadata'!$A$4:$S$214,MATCH("Site type",'2007-2020 Metadata'!$A$4:$S$4,0),FALSE)</f>
        <v>Local</v>
      </c>
      <c r="AG110" s="364">
        <f t="shared" si="28"/>
        <v>10.1</v>
      </c>
      <c r="AH110" s="364">
        <f t="shared" si="29"/>
        <v>24.9</v>
      </c>
      <c r="AI110" s="354">
        <f t="shared" si="30"/>
        <v>12.705429292929294</v>
      </c>
    </row>
    <row r="111" spans="2:35" ht="12" customHeight="1" x14ac:dyDescent="0.15">
      <c r="B111" s="313" t="s">
        <v>132</v>
      </c>
      <c r="C111" s="309">
        <v>4.3</v>
      </c>
      <c r="D111" s="309">
        <v>7.1</v>
      </c>
      <c r="E111" s="309">
        <v>4.7</v>
      </c>
      <c r="F111" s="309">
        <v>4.7</v>
      </c>
      <c r="G111" s="309">
        <v>14.2</v>
      </c>
      <c r="H111" s="309">
        <v>13</v>
      </c>
      <c r="I111" s="309">
        <v>12.9</v>
      </c>
      <c r="J111" s="309">
        <v>12.3</v>
      </c>
      <c r="K111" s="309">
        <v>4.5999999999999996</v>
      </c>
      <c r="L111" s="309">
        <v>6.9</v>
      </c>
      <c r="M111" s="309">
        <v>5.2</v>
      </c>
      <c r="N111" s="309">
        <v>3.7</v>
      </c>
      <c r="O111" s="310">
        <f t="shared" si="38"/>
        <v>7.8000000000000007</v>
      </c>
      <c r="P111" s="310">
        <f t="shared" si="24"/>
        <v>49.769356266106847</v>
      </c>
      <c r="Q111" s="311">
        <f t="shared" si="25"/>
        <v>1</v>
      </c>
      <c r="R111" s="225">
        <f t="shared" si="35"/>
        <v>5.3666666666666663</v>
      </c>
      <c r="S111" s="226">
        <f t="shared" si="26"/>
        <v>1</v>
      </c>
      <c r="T111" s="225">
        <f t="shared" si="36"/>
        <v>9.9333333333333353</v>
      </c>
      <c r="U111" s="226">
        <f t="shared" si="31"/>
        <v>1</v>
      </c>
      <c r="V111" s="227">
        <f t="shared" si="37"/>
        <v>7.8000000000000007</v>
      </c>
      <c r="W111" s="228">
        <f t="shared" si="27"/>
        <v>1</v>
      </c>
      <c r="X111" s="354">
        <f t="shared" si="32"/>
        <v>9.2444444444444454</v>
      </c>
      <c r="Y111" s="354">
        <f t="shared" si="33"/>
        <v>16.172222222222221</v>
      </c>
      <c r="Z111" s="354">
        <f t="shared" si="34"/>
        <v>12.705429292929294</v>
      </c>
      <c r="AA111" s="205"/>
      <c r="AB111" s="357" t="str">
        <f>VLOOKUP($B111,'2007-2020 Metadata'!$A$4:$S$214,MATCH("Urban Area /Monitoring Zone",'2007-2020 Metadata'!$A$4:$S$4,0),FALSE)</f>
        <v>Lower Hutt</v>
      </c>
      <c r="AC111" s="229" t="str">
        <f>VLOOKUP(B111,'2007-2020 Metadata'!$A$6:$A$214,1,FALSE)</f>
        <v>WEL054</v>
      </c>
      <c r="AD111" s="356" t="str">
        <f>VLOOKUP($AC111,'2007-2020 Metadata'!$A$6:$S$214,9,FALSE)</f>
        <v>Lower Hutt</v>
      </c>
      <c r="AE111" s="356">
        <f>IF(ISBLANK(VLOOKUP($AC111,'2007-2020 Metadata'!$A$6:$S$214,19,FALSE)),"",VLOOKUP($AC111,'2007-2020 Metadata'!$A$6:$S$214,19,FALSE))</f>
        <v>3.5</v>
      </c>
      <c r="AF111" s="355" t="str">
        <f>VLOOKUP($B111,'2007-2020 Metadata'!$A$4:$S$214,MATCH("Site type",'2007-2020 Metadata'!$A$4:$S$4,0),FALSE)</f>
        <v>Background</v>
      </c>
      <c r="AG111" s="364">
        <f t="shared" si="28"/>
        <v>3.7</v>
      </c>
      <c r="AH111" s="364">
        <f t="shared" si="29"/>
        <v>14.2</v>
      </c>
      <c r="AI111" s="354">
        <f t="shared" si="30"/>
        <v>12.705429292929294</v>
      </c>
    </row>
    <row r="112" spans="2:35" ht="12" customHeight="1" x14ac:dyDescent="0.15">
      <c r="B112" s="313" t="s">
        <v>135</v>
      </c>
      <c r="C112" s="309">
        <v>12.5</v>
      </c>
      <c r="D112" s="309">
        <v>18</v>
      </c>
      <c r="E112" s="309">
        <v>11.8</v>
      </c>
      <c r="F112" s="309">
        <v>11.8</v>
      </c>
      <c r="G112" s="309">
        <v>23.6</v>
      </c>
      <c r="H112" s="309">
        <v>23</v>
      </c>
      <c r="I112" s="309">
        <v>23.4</v>
      </c>
      <c r="J112" s="309">
        <v>22.5</v>
      </c>
      <c r="K112" s="309">
        <v>18.600000000000001</v>
      </c>
      <c r="L112" s="309">
        <v>19.5</v>
      </c>
      <c r="M112" s="309">
        <v>15.6</v>
      </c>
      <c r="N112" s="309">
        <v>13.4</v>
      </c>
      <c r="O112" s="310">
        <f t="shared" si="38"/>
        <v>17.808333333333334</v>
      </c>
      <c r="P112" s="310">
        <f t="shared" si="24"/>
        <v>25.216456780346146</v>
      </c>
      <c r="Q112" s="311">
        <f t="shared" si="25"/>
        <v>1</v>
      </c>
      <c r="R112" s="225">
        <f t="shared" si="35"/>
        <v>14.1</v>
      </c>
      <c r="S112" s="226">
        <f t="shared" si="26"/>
        <v>1</v>
      </c>
      <c r="T112" s="225">
        <f t="shared" si="36"/>
        <v>21.5</v>
      </c>
      <c r="U112" s="226">
        <f t="shared" si="31"/>
        <v>1</v>
      </c>
      <c r="V112" s="227">
        <f t="shared" si="37"/>
        <v>17.808333333333334</v>
      </c>
      <c r="W112" s="228">
        <f t="shared" si="27"/>
        <v>1</v>
      </c>
      <c r="X112" s="354">
        <f t="shared" si="32"/>
        <v>14.1</v>
      </c>
      <c r="Y112" s="354">
        <f t="shared" si="33"/>
        <v>21.5</v>
      </c>
      <c r="Z112" s="354">
        <f t="shared" si="34"/>
        <v>17.808333333333334</v>
      </c>
      <c r="AA112" s="205"/>
      <c r="AB112" s="357" t="str">
        <f>VLOOKUP($B112,'2007-2020 Metadata'!$A$4:$S$214,MATCH("Urban Area /Monitoring Zone",'2007-2020 Metadata'!$A$4:$S$4,0),FALSE)</f>
        <v>Upper Hutt</v>
      </c>
      <c r="AC112" s="229" t="str">
        <f>VLOOKUP(B112,'2007-2020 Metadata'!$A$6:$A$214,1,FALSE)</f>
        <v>WEL057</v>
      </c>
      <c r="AD112" s="356" t="str">
        <f>VLOOKUP($AC112,'2007-2020 Metadata'!$A$6:$S$214,9,FALSE)</f>
        <v>Upper Hutt</v>
      </c>
      <c r="AE112" s="356">
        <f>IF(ISBLANK(VLOOKUP($AC112,'2007-2020 Metadata'!$A$6:$S$214,19,FALSE)),"",VLOOKUP($AC112,'2007-2020 Metadata'!$A$6:$S$214,19,FALSE))</f>
        <v>4</v>
      </c>
      <c r="AF112" s="355" t="str">
        <f>VLOOKUP($B112,'2007-2020 Metadata'!$A$4:$S$214,MATCH("Site type",'2007-2020 Metadata'!$A$4:$S$4,0),FALSE)</f>
        <v>SH</v>
      </c>
      <c r="AG112" s="364">
        <f t="shared" si="28"/>
        <v>11.8</v>
      </c>
      <c r="AH112" s="364">
        <f t="shared" si="29"/>
        <v>23.6</v>
      </c>
      <c r="AI112" s="354">
        <f t="shared" si="30"/>
        <v>17.808333333333334</v>
      </c>
    </row>
    <row r="113" spans="2:35" ht="12" customHeight="1" x14ac:dyDescent="0.15">
      <c r="B113" s="313" t="s">
        <v>139</v>
      </c>
      <c r="C113" s="309">
        <v>9.6</v>
      </c>
      <c r="D113" s="309">
        <v>13.3</v>
      </c>
      <c r="E113" s="309">
        <v>8.9</v>
      </c>
      <c r="F113" s="309">
        <v>8.9</v>
      </c>
      <c r="G113" s="309">
        <v>18.5</v>
      </c>
      <c r="H113" s="309">
        <v>20.100000000000001</v>
      </c>
      <c r="I113" s="309">
        <v>20.5</v>
      </c>
      <c r="J113" s="309"/>
      <c r="K113" s="309">
        <v>11.8</v>
      </c>
      <c r="L113" s="309">
        <v>15.7</v>
      </c>
      <c r="M113" s="309">
        <v>13.7</v>
      </c>
      <c r="N113" s="309">
        <v>9.5</v>
      </c>
      <c r="O113" s="310">
        <f t="shared" si="38"/>
        <v>13.681818181818182</v>
      </c>
      <c r="P113" s="310">
        <f t="shared" si="24"/>
        <v>31.05130622505855</v>
      </c>
      <c r="Q113" s="311">
        <f t="shared" si="25"/>
        <v>0.91666666666666663</v>
      </c>
      <c r="R113" s="225">
        <f t="shared" si="35"/>
        <v>10.6</v>
      </c>
      <c r="S113" s="226">
        <f t="shared" si="26"/>
        <v>1</v>
      </c>
      <c r="T113" s="225">
        <f t="shared" si="36"/>
        <v>16.149999999999999</v>
      </c>
      <c r="U113" s="226">
        <f t="shared" si="31"/>
        <v>0.66666666666666663</v>
      </c>
      <c r="V113" s="227">
        <f t="shared" si="37"/>
        <v>13.681818181818182</v>
      </c>
      <c r="W113" s="228">
        <f t="shared" si="27"/>
        <v>0.91666666666666663</v>
      </c>
      <c r="X113" s="354">
        <f t="shared" si="32"/>
        <v>11.28888888888889</v>
      </c>
      <c r="Y113" s="354">
        <f t="shared" si="33"/>
        <v>16.261111111111109</v>
      </c>
      <c r="Z113" s="354">
        <f t="shared" si="34"/>
        <v>14.321717171717173</v>
      </c>
      <c r="AA113" s="205"/>
      <c r="AB113" s="357" t="str">
        <f>VLOOKUP($B113,'2007-2020 Metadata'!$A$4:$S$214,MATCH("Urban Area /Monitoring Zone",'2007-2020 Metadata'!$A$4:$S$4,0),FALSE)</f>
        <v>Otaki</v>
      </c>
      <c r="AC113" s="229" t="str">
        <f>VLOOKUP(B113,'2007-2020 Metadata'!$A$6:$A$214,1,FALSE)</f>
        <v>WEL061</v>
      </c>
      <c r="AD113" s="356" t="str">
        <f>VLOOKUP($AC113,'2007-2020 Metadata'!$A$6:$S$214,9,FALSE)</f>
        <v>Kapiti Coast</v>
      </c>
      <c r="AE113" s="356">
        <f>IF(ISBLANK(VLOOKUP($AC113,'2007-2020 Metadata'!$A$6:$S$214,19,FALSE)),"",VLOOKUP($AC113,'2007-2020 Metadata'!$A$6:$S$214,19,FALSE))</f>
        <v>4</v>
      </c>
      <c r="AF113" s="355" t="str">
        <f>VLOOKUP($B113,'2007-2020 Metadata'!$A$4:$S$214,MATCH("Site type",'2007-2020 Metadata'!$A$4:$S$4,0),FALSE)</f>
        <v>SH</v>
      </c>
      <c r="AG113" s="364">
        <f t="shared" si="28"/>
        <v>8.9</v>
      </c>
      <c r="AH113" s="364">
        <f t="shared" si="29"/>
        <v>20.5</v>
      </c>
      <c r="AI113" s="354">
        <f t="shared" si="30"/>
        <v>14.321717171717173</v>
      </c>
    </row>
    <row r="114" spans="2:35" ht="12" customHeight="1" x14ac:dyDescent="0.15">
      <c r="B114" s="313" t="s">
        <v>140</v>
      </c>
      <c r="C114" s="309">
        <v>6.2</v>
      </c>
      <c r="D114" s="309">
        <v>7.7</v>
      </c>
      <c r="E114" s="309">
        <v>5.7</v>
      </c>
      <c r="F114" s="309">
        <v>5.7</v>
      </c>
      <c r="G114" s="309">
        <v>16.2</v>
      </c>
      <c r="H114" s="309">
        <v>15.9</v>
      </c>
      <c r="I114" s="309">
        <v>14.8</v>
      </c>
      <c r="J114" s="309">
        <v>13.6</v>
      </c>
      <c r="K114" s="309">
        <v>8.9</v>
      </c>
      <c r="L114" s="309">
        <v>8.8000000000000007</v>
      </c>
      <c r="M114" s="309">
        <v>7</v>
      </c>
      <c r="N114" s="309">
        <v>5.9</v>
      </c>
      <c r="O114" s="310">
        <f t="shared" si="38"/>
        <v>9.7000000000000011</v>
      </c>
      <c r="P114" s="310">
        <f t="shared" si="24"/>
        <v>41.380763541931906</v>
      </c>
      <c r="Q114" s="311">
        <f t="shared" si="25"/>
        <v>1</v>
      </c>
      <c r="R114" s="225">
        <f t="shared" si="35"/>
        <v>6.5333333333333341</v>
      </c>
      <c r="S114" s="226">
        <f t="shared" si="26"/>
        <v>1</v>
      </c>
      <c r="T114" s="225">
        <f t="shared" si="36"/>
        <v>12.433333333333332</v>
      </c>
      <c r="U114" s="226">
        <f t="shared" si="31"/>
        <v>1</v>
      </c>
      <c r="V114" s="227">
        <f t="shared" si="37"/>
        <v>9.7000000000000011</v>
      </c>
      <c r="W114" s="228">
        <f t="shared" si="27"/>
        <v>1</v>
      </c>
      <c r="X114" s="354">
        <f t="shared" si="32"/>
        <v>10.966666666666667</v>
      </c>
      <c r="Y114" s="354">
        <f t="shared" si="33"/>
        <v>20.266666666666666</v>
      </c>
      <c r="Z114" s="354">
        <f t="shared" si="34"/>
        <v>15.675757575757578</v>
      </c>
      <c r="AA114" s="205"/>
      <c r="AB114" s="357" t="str">
        <f>VLOOKUP($B114,'2007-2020 Metadata'!$A$4:$S$214,MATCH("Urban Area /Monitoring Zone",'2007-2020 Metadata'!$A$4:$S$4,0),FALSE)</f>
        <v>Nelson</v>
      </c>
      <c r="AC114" s="229" t="str">
        <f>VLOOKUP(B114,'2007-2020 Metadata'!$A$6:$A$214,1,FALSE)</f>
        <v>WEL062</v>
      </c>
      <c r="AD114" s="356" t="str">
        <f>VLOOKUP($AC114,'2007-2020 Metadata'!$A$6:$S$214,9,FALSE)</f>
        <v>Nelson</v>
      </c>
      <c r="AE114" s="356">
        <f>IF(ISBLANK(VLOOKUP($AC114,'2007-2020 Metadata'!$A$6:$S$214,19,FALSE)),"",VLOOKUP($AC114,'2007-2020 Metadata'!$A$6:$S$214,19,FALSE))</f>
        <v>2.2000000000000002</v>
      </c>
      <c r="AF114" s="355" t="str">
        <f>VLOOKUP($B114,'2007-2020 Metadata'!$A$4:$S$214,MATCH("Site type",'2007-2020 Metadata'!$A$4:$S$4,0),FALSE)</f>
        <v>Background</v>
      </c>
      <c r="AG114" s="364">
        <f>MIN(C114:N114)</f>
        <v>5.7</v>
      </c>
      <c r="AH114" s="364">
        <f t="shared" si="29"/>
        <v>16.2</v>
      </c>
      <c r="AI114" s="354">
        <f t="shared" si="30"/>
        <v>15.675757575757578</v>
      </c>
    </row>
    <row r="115" spans="2:35" ht="12" customHeight="1" x14ac:dyDescent="0.15">
      <c r="B115" s="313" t="s">
        <v>141</v>
      </c>
      <c r="C115" s="309">
        <v>5.5</v>
      </c>
      <c r="D115" s="309">
        <v>6.1</v>
      </c>
      <c r="E115" s="309">
        <v>3.8</v>
      </c>
      <c r="F115" s="309">
        <v>3.8</v>
      </c>
      <c r="G115" s="309">
        <v>9.8000000000000007</v>
      </c>
      <c r="H115" s="309">
        <v>9</v>
      </c>
      <c r="I115" s="309">
        <v>10.3</v>
      </c>
      <c r="J115" s="309">
        <v>7.1</v>
      </c>
      <c r="K115" s="309">
        <v>5.9</v>
      </c>
      <c r="L115" s="309">
        <v>6.3</v>
      </c>
      <c r="M115" s="309">
        <v>4.5</v>
      </c>
      <c r="N115" s="309">
        <v>4.2</v>
      </c>
      <c r="O115" s="310">
        <f t="shared" si="38"/>
        <v>6.3583333333333334</v>
      </c>
      <c r="P115" s="310">
        <f t="shared" si="24"/>
        <v>34.315871242776232</v>
      </c>
      <c r="Q115" s="311">
        <f t="shared" si="25"/>
        <v>1</v>
      </c>
      <c r="R115" s="225">
        <f t="shared" si="35"/>
        <v>5.1333333333333329</v>
      </c>
      <c r="S115" s="226">
        <f t="shared" si="26"/>
        <v>1</v>
      </c>
      <c r="T115" s="225">
        <f t="shared" si="36"/>
        <v>7.7666666666666657</v>
      </c>
      <c r="U115" s="226">
        <f t="shared" si="31"/>
        <v>1</v>
      </c>
      <c r="V115" s="227">
        <f t="shared" si="37"/>
        <v>6.3583333333333334</v>
      </c>
      <c r="W115" s="228">
        <f t="shared" si="27"/>
        <v>1</v>
      </c>
      <c r="X115" s="354">
        <f t="shared" si="32"/>
        <v>11.28888888888889</v>
      </c>
      <c r="Y115" s="354">
        <f t="shared" si="33"/>
        <v>16.261111111111109</v>
      </c>
      <c r="Z115" s="354">
        <f t="shared" si="34"/>
        <v>14.321717171717173</v>
      </c>
      <c r="AA115" s="205"/>
      <c r="AB115" s="357" t="str">
        <f>VLOOKUP($B115,'2007-2020 Metadata'!$A$4:$S$214,MATCH("Urban Area /Monitoring Zone",'2007-2020 Metadata'!$A$4:$S$4,0),FALSE)</f>
        <v xml:space="preserve">Kapiti </v>
      </c>
      <c r="AC115" s="229" t="str">
        <f>VLOOKUP(B115,'2007-2020 Metadata'!$A$6:$A$214,1,FALSE)</f>
        <v>WEL063</v>
      </c>
      <c r="AD115" s="356" t="str">
        <f>VLOOKUP($AC115,'2007-2020 Metadata'!$A$6:$S$214,9,FALSE)</f>
        <v>Kapiti Coast</v>
      </c>
      <c r="AE115" s="356">
        <f>IF(ISBLANK(VLOOKUP($AC115,'2007-2020 Metadata'!$A$6:$S$214,19,FALSE)),"",VLOOKUP($AC115,'2007-2020 Metadata'!$A$6:$S$214,19,FALSE))</f>
        <v>3.5</v>
      </c>
      <c r="AF115" s="355" t="str">
        <f>VLOOKUP($B115,'2007-2020 Metadata'!$A$4:$S$214,MATCH("Site type",'2007-2020 Metadata'!$A$4:$S$4,0),FALSE)</f>
        <v>Local (ex SH)</v>
      </c>
      <c r="AG115" s="364">
        <f t="shared" si="28"/>
        <v>3.8</v>
      </c>
      <c r="AH115" s="364">
        <f t="shared" si="29"/>
        <v>10.3</v>
      </c>
      <c r="AI115" s="354">
        <f t="shared" si="30"/>
        <v>14.321717171717173</v>
      </c>
    </row>
    <row r="116" spans="2:35" ht="12" customHeight="1" x14ac:dyDescent="0.15">
      <c r="B116" s="313" t="s">
        <v>142</v>
      </c>
      <c r="C116" s="309">
        <v>11.5</v>
      </c>
      <c r="D116" s="309">
        <v>19.7</v>
      </c>
      <c r="E116" s="309">
        <v>13.3</v>
      </c>
      <c r="F116" s="309">
        <v>13.3</v>
      </c>
      <c r="G116" s="309">
        <v>29</v>
      </c>
      <c r="H116" s="309">
        <v>27.9</v>
      </c>
      <c r="I116" s="309">
        <v>32.200000000000003</v>
      </c>
      <c r="J116" s="309">
        <v>26.9</v>
      </c>
      <c r="K116" s="309">
        <v>14.4</v>
      </c>
      <c r="L116" s="309">
        <v>20.3</v>
      </c>
      <c r="M116" s="309">
        <v>17.2</v>
      </c>
      <c r="N116" s="309">
        <v>11.9</v>
      </c>
      <c r="O116" s="310">
        <f t="shared" si="38"/>
        <v>19.8</v>
      </c>
      <c r="P116" s="310">
        <f t="shared" si="24"/>
        <v>35.902424949673588</v>
      </c>
      <c r="Q116" s="311">
        <f t="shared" si="25"/>
        <v>1</v>
      </c>
      <c r="R116" s="225">
        <f t="shared" si="35"/>
        <v>14.833333333333334</v>
      </c>
      <c r="S116" s="226">
        <f t="shared" si="26"/>
        <v>1</v>
      </c>
      <c r="T116" s="225">
        <f t="shared" si="36"/>
        <v>24.5</v>
      </c>
      <c r="U116" s="226">
        <f t="shared" si="31"/>
        <v>1</v>
      </c>
      <c r="V116" s="227">
        <f t="shared" si="37"/>
        <v>19.8</v>
      </c>
      <c r="W116" s="228">
        <f t="shared" si="27"/>
        <v>1</v>
      </c>
      <c r="X116" s="354">
        <f t="shared" si="32"/>
        <v>12.166666666666666</v>
      </c>
      <c r="Y116" s="354">
        <f t="shared" si="33"/>
        <v>18.774999999999999</v>
      </c>
      <c r="Z116" s="354">
        <f t="shared" si="34"/>
        <v>15.250441919191919</v>
      </c>
      <c r="AA116" s="205"/>
      <c r="AB116" s="357" t="str">
        <f>VLOOKUP($B116,'2007-2020 Metadata'!$A$4:$S$214,MATCH("Urban Area /Monitoring Zone",'2007-2020 Metadata'!$A$4:$S$4,0),FALSE)</f>
        <v>Wellington</v>
      </c>
      <c r="AC116" s="229" t="str">
        <f>VLOOKUP(B116,'2007-2020 Metadata'!$A$6:$A$214,1,FALSE)</f>
        <v>WEL064</v>
      </c>
      <c r="AD116" s="356" t="str">
        <f>VLOOKUP($AC116,'2007-2020 Metadata'!$A$6:$S$214,9,FALSE)</f>
        <v>Wellington</v>
      </c>
      <c r="AE116" s="356">
        <f>IF(ISBLANK(VLOOKUP($AC116,'2007-2020 Metadata'!$A$6:$S$214,19,FALSE)),"",VLOOKUP($AC116,'2007-2020 Metadata'!$A$6:$S$214,19,FALSE))</f>
        <v>4</v>
      </c>
      <c r="AF116" s="355" t="str">
        <f>VLOOKUP($B116,'2007-2020 Metadata'!$A$4:$S$214,MATCH("Site type",'2007-2020 Metadata'!$A$4:$S$4,0),FALSE)</f>
        <v>SH</v>
      </c>
      <c r="AG116" s="364">
        <f t="shared" si="28"/>
        <v>11.5</v>
      </c>
      <c r="AH116" s="364">
        <f t="shared" si="29"/>
        <v>32.200000000000003</v>
      </c>
      <c r="AI116" s="354">
        <f t="shared" si="30"/>
        <v>15.250441919191919</v>
      </c>
    </row>
    <row r="117" spans="2:35" ht="12" customHeight="1" x14ac:dyDescent="0.15">
      <c r="B117" s="313" t="s">
        <v>479</v>
      </c>
      <c r="C117" s="309">
        <v>4.3</v>
      </c>
      <c r="D117" s="309">
        <v>5.8</v>
      </c>
      <c r="E117" s="309">
        <v>3.4</v>
      </c>
      <c r="F117" s="309">
        <v>3.4</v>
      </c>
      <c r="G117" s="309">
        <v>3.2</v>
      </c>
      <c r="H117" s="309">
        <v>6.8</v>
      </c>
      <c r="I117" s="309">
        <v>8.8000000000000007</v>
      </c>
      <c r="J117" s="309">
        <v>7.2</v>
      </c>
      <c r="K117" s="309">
        <v>3.9</v>
      </c>
      <c r="L117" s="309">
        <v>5.0999999999999996</v>
      </c>
      <c r="M117" s="309">
        <v>3.8</v>
      </c>
      <c r="N117" s="309">
        <v>3.6</v>
      </c>
      <c r="O117" s="310">
        <f t="shared" si="38"/>
        <v>4.9416666666666673</v>
      </c>
      <c r="P117" s="310">
        <f t="shared" si="24"/>
        <v>35.335577119783899</v>
      </c>
      <c r="Q117" s="311">
        <f t="shared" si="25"/>
        <v>1</v>
      </c>
      <c r="R117" s="225">
        <f t="shared" si="35"/>
        <v>4.5</v>
      </c>
      <c r="S117" s="226">
        <f t="shared" si="26"/>
        <v>1</v>
      </c>
      <c r="T117" s="225">
        <f t="shared" si="36"/>
        <v>6.6333333333333329</v>
      </c>
      <c r="U117" s="226">
        <f t="shared" si="31"/>
        <v>1</v>
      </c>
      <c r="V117" s="227">
        <f t="shared" si="37"/>
        <v>4.9416666666666673</v>
      </c>
      <c r="W117" s="228">
        <f t="shared" si="27"/>
        <v>1</v>
      </c>
      <c r="X117" s="354">
        <f t="shared" si="32"/>
        <v>13.375</v>
      </c>
      <c r="Y117" s="354">
        <f t="shared" si="33"/>
        <v>19.641666666666666</v>
      </c>
      <c r="Z117" s="354">
        <f t="shared" si="34"/>
        <v>16.231250000000003</v>
      </c>
      <c r="AA117" s="205"/>
      <c r="AB117" s="357" t="str">
        <f>VLOOKUP($B117,'2007-2020 Metadata'!$A$4:$S$214,MATCH("Urban Area /Monitoring Zone",'2007-2020 Metadata'!$A$4:$S$4,0),FALSE)</f>
        <v>Porirua</v>
      </c>
      <c r="AC117" s="229" t="str">
        <f>VLOOKUP(B117,'2007-2020 Metadata'!$A$6:$A$214,1,FALSE)</f>
        <v>WEL072</v>
      </c>
      <c r="AD117" s="356" t="str">
        <f>VLOOKUP($AC117,'2007-2020 Metadata'!$A$6:$S$214,9,FALSE)</f>
        <v>Porirua</v>
      </c>
      <c r="AE117" s="356">
        <f>IF(ISBLANK(VLOOKUP($AC117,'2007-2020 Metadata'!$A$6:$S$214,19,FALSE)),"",VLOOKUP($AC117,'2007-2020 Metadata'!$A$6:$S$214,19,FALSE))</f>
        <v>3</v>
      </c>
      <c r="AF117" s="355" t="str">
        <f>VLOOKUP($B117,'2007-2020 Metadata'!$A$4:$S$214,MATCH("Site type",'2007-2020 Metadata'!$A$4:$S$4,0),FALSE)</f>
        <v>Background</v>
      </c>
      <c r="AG117" s="364">
        <f t="shared" si="28"/>
        <v>3.2</v>
      </c>
      <c r="AH117" s="364">
        <f t="shared" si="29"/>
        <v>8.8000000000000007</v>
      </c>
      <c r="AI117" s="354">
        <f t="shared" si="30"/>
        <v>16.231250000000003</v>
      </c>
    </row>
    <row r="118" spans="2:35" ht="12" customHeight="1" x14ac:dyDescent="0.15">
      <c r="B118" s="313" t="s">
        <v>503</v>
      </c>
      <c r="C118" s="309">
        <v>11.8</v>
      </c>
      <c r="D118" s="309">
        <v>14.9</v>
      </c>
      <c r="E118" s="309">
        <v>9.4</v>
      </c>
      <c r="F118" s="309">
        <v>9.4</v>
      </c>
      <c r="G118" s="309">
        <v>21.2</v>
      </c>
      <c r="H118" s="309">
        <v>21.8</v>
      </c>
      <c r="I118" s="309">
        <v>23.4</v>
      </c>
      <c r="J118" s="309">
        <v>22.3</v>
      </c>
      <c r="K118" s="309">
        <v>14.6</v>
      </c>
      <c r="L118" s="309">
        <v>12.7</v>
      </c>
      <c r="M118" s="309">
        <v>12.7</v>
      </c>
      <c r="N118" s="309">
        <v>10.3</v>
      </c>
      <c r="O118" s="310">
        <f t="shared" si="38"/>
        <v>15.375</v>
      </c>
      <c r="P118" s="310">
        <f t="shared" si="24"/>
        <v>33.198484590676244</v>
      </c>
      <c r="Q118" s="311">
        <f t="shared" si="25"/>
        <v>1</v>
      </c>
      <c r="R118" s="251">
        <f t="shared" si="35"/>
        <v>12.033333333333333</v>
      </c>
      <c r="S118" s="252">
        <f t="shared" si="26"/>
        <v>1</v>
      </c>
      <c r="T118" s="251">
        <f t="shared" si="36"/>
        <v>20.100000000000001</v>
      </c>
      <c r="U118" s="252">
        <f t="shared" si="31"/>
        <v>1</v>
      </c>
      <c r="V118" s="253">
        <f t="shared" si="37"/>
        <v>15.375</v>
      </c>
      <c r="W118" s="252">
        <f t="shared" si="27"/>
        <v>1</v>
      </c>
      <c r="X118" s="359">
        <f t="shared" si="32"/>
        <v>12.166666666666666</v>
      </c>
      <c r="Y118" s="359">
        <f t="shared" si="33"/>
        <v>18.774999999999999</v>
      </c>
      <c r="Z118" s="359">
        <f t="shared" si="34"/>
        <v>15.250441919191919</v>
      </c>
      <c r="AA118" s="366"/>
      <c r="AB118" s="357" t="str">
        <f>VLOOKUP($B118,'2007-2020 Metadata'!$A$4:$S$214,MATCH("Urban Area /Monitoring Zone",'2007-2020 Metadata'!$A$4:$S$4,0),FALSE)</f>
        <v>Wellington</v>
      </c>
      <c r="AC118" s="255" t="str">
        <f>VLOOKUP(B118,'2007-2020 Metadata'!$A$6:$A$214,1,FALSE)</f>
        <v>WEL073</v>
      </c>
      <c r="AD118" s="361" t="str">
        <f>VLOOKUP($AC118,'2007-2020 Metadata'!$A$6:$S$214,9,FALSE)</f>
        <v>Wellington</v>
      </c>
      <c r="AE118" s="361">
        <f>IF(ISBLANK(VLOOKUP($AC118,'2007-2020 Metadata'!$A$6:$S$214,19,FALSE)),"",VLOOKUP($AC118,'2007-2020 Metadata'!$A$6:$S$214,19,FALSE))</f>
        <v>4</v>
      </c>
      <c r="AF118" s="360" t="str">
        <f>VLOOKUP($B118,'2007-2020 Metadata'!$A$4:$S$214,MATCH("Site type",'2007-2020 Metadata'!$A$4:$S$4,0),FALSE)</f>
        <v>SH</v>
      </c>
      <c r="AG118" s="365">
        <f>MIN(AVERAGE($C$118:$C$120),AVERAGE($E$118:$E$120),AVERAGE($F$118:$F$120),AVERAGE($G$118:$G$120),AVERAGE($H$118:$H$120),AVERAGE($I$118:$I$120),AVERAGE($J$118:$J$120),AVERAGE($K$118:$K$120),AVERAGE($L$118:$L$120),AVERAGE($M$118:$M$120),AVERAGE($N$118:$N$120))</f>
        <v>9.8333333333333339</v>
      </c>
      <c r="AH118" s="365">
        <f>MAX(AVERAGE($C$118:$C$120),AVERAGE($E$118:$E$120),AVERAGE($F$118:$F$120),AVERAGE($G$118:$G$120),AVERAGE($H$118:$H$120),AVERAGE($I$118:$I$120),AVERAGE($J$118:$J$120),AVERAGE($K$118:$K$120),AVERAGE($L$118:$L$120),AVERAGE($M$118:$M$120),AVERAGE($N$118:$N$120))</f>
        <v>23.799999999999997</v>
      </c>
      <c r="AI118" s="359">
        <f t="shared" si="30"/>
        <v>15.250441919191919</v>
      </c>
    </row>
    <row r="119" spans="2:35" ht="12" customHeight="1" x14ac:dyDescent="0.15">
      <c r="B119" s="313" t="s">
        <v>505</v>
      </c>
      <c r="C119" s="309">
        <v>12</v>
      </c>
      <c r="D119" s="309">
        <v>16.3</v>
      </c>
      <c r="E119" s="309">
        <v>10.1</v>
      </c>
      <c r="F119" s="309">
        <v>10.1</v>
      </c>
      <c r="G119" s="309">
        <v>21.4</v>
      </c>
      <c r="H119" s="309">
        <v>22.6</v>
      </c>
      <c r="I119" s="309">
        <v>23.7</v>
      </c>
      <c r="J119" s="309">
        <v>22.2</v>
      </c>
      <c r="K119" s="309">
        <v>15.2</v>
      </c>
      <c r="L119" s="309">
        <v>16.399999999999999</v>
      </c>
      <c r="M119" s="309">
        <v>14.4</v>
      </c>
      <c r="N119" s="309">
        <v>10.9</v>
      </c>
      <c r="O119" s="310">
        <f t="shared" si="38"/>
        <v>16.275000000000002</v>
      </c>
      <c r="P119" s="310">
        <f t="shared" si="24"/>
        <v>29.924230697526692</v>
      </c>
      <c r="Q119" s="311">
        <f t="shared" si="25"/>
        <v>1</v>
      </c>
      <c r="R119" s="251">
        <f t="shared" si="35"/>
        <v>12.799999999999999</v>
      </c>
      <c r="S119" s="252">
        <f t="shared" si="26"/>
        <v>1</v>
      </c>
      <c r="T119" s="251">
        <f t="shared" si="36"/>
        <v>20.366666666666664</v>
      </c>
      <c r="U119" s="252">
        <f t="shared" si="31"/>
        <v>1</v>
      </c>
      <c r="V119" s="253">
        <f t="shared" si="37"/>
        <v>16.275000000000002</v>
      </c>
      <c r="W119" s="252">
        <f t="shared" si="27"/>
        <v>1</v>
      </c>
      <c r="X119" s="359">
        <f t="shared" si="32"/>
        <v>12.166666666666666</v>
      </c>
      <c r="Y119" s="359">
        <f t="shared" si="33"/>
        <v>18.774999999999999</v>
      </c>
      <c r="Z119" s="359">
        <f t="shared" si="34"/>
        <v>15.250441919191919</v>
      </c>
      <c r="AA119" s="366"/>
      <c r="AB119" s="357" t="str">
        <f>VLOOKUP($B119,'2007-2020 Metadata'!$A$4:$S$214,MATCH("Urban Area /Monitoring Zone",'2007-2020 Metadata'!$A$4:$S$4,0),FALSE)</f>
        <v>Wellington</v>
      </c>
      <c r="AC119" s="255" t="str">
        <f>VLOOKUP(B119,'2007-2020 Metadata'!$A$6:$A$214,1,FALSE)</f>
        <v>WEL074</v>
      </c>
      <c r="AD119" s="361" t="str">
        <f>VLOOKUP($AC119,'2007-2020 Metadata'!$A$6:$S$214,9,FALSE)</f>
        <v>Wellington</v>
      </c>
      <c r="AE119" s="361">
        <f>IF(ISBLANK(VLOOKUP($AC119,'2007-2020 Metadata'!$A$6:$S$214,19,FALSE)),"",VLOOKUP($AC119,'2007-2020 Metadata'!$A$6:$S$214,19,FALSE))</f>
        <v>4</v>
      </c>
      <c r="AF119" s="360" t="str">
        <f>VLOOKUP($B119,'2007-2020 Metadata'!$A$4:$S$214,MATCH("Site type",'2007-2020 Metadata'!$A$4:$S$4,0),FALSE)</f>
        <v>SH</v>
      </c>
      <c r="AG119" s="365">
        <f t="shared" ref="AG119:AG120" si="39">MIN(AVERAGE($C$118:$C$120),AVERAGE($E$118:$E$120),AVERAGE($F$118:$F$120),AVERAGE($G$118:$G$120),AVERAGE($H$118:$H$120),AVERAGE($I$118:$I$120),AVERAGE($J$118:$J$120),AVERAGE($K$118:$K$120),AVERAGE($L$118:$L$120),AVERAGE($M$118:$M$120),AVERAGE($N$118:$N$120))</f>
        <v>9.8333333333333339</v>
      </c>
      <c r="AH119" s="365">
        <f t="shared" ref="AH119:AH120" si="40">MAX(AVERAGE($C$118:$C$120),AVERAGE($E$118:$E$120),AVERAGE($F$118:$F$120),AVERAGE($G$118:$G$120),AVERAGE($H$118:$H$120),AVERAGE($I$118:$I$120),AVERAGE($J$118:$J$120),AVERAGE($K$118:$K$120),AVERAGE($L$118:$L$120),AVERAGE($M$118:$M$120),AVERAGE($N$118:$N$120))</f>
        <v>23.799999999999997</v>
      </c>
      <c r="AI119" s="359">
        <f t="shared" si="30"/>
        <v>15.250441919191919</v>
      </c>
    </row>
    <row r="120" spans="2:35" ht="12" customHeight="1" x14ac:dyDescent="0.15">
      <c r="B120" s="313" t="s">
        <v>506</v>
      </c>
      <c r="C120" s="309">
        <v>12.2</v>
      </c>
      <c r="D120" s="309">
        <v>15.8</v>
      </c>
      <c r="E120" s="309">
        <v>10</v>
      </c>
      <c r="F120" s="309">
        <v>10</v>
      </c>
      <c r="G120" s="309">
        <v>21.8</v>
      </c>
      <c r="H120" s="309">
        <v>18.399999999999999</v>
      </c>
      <c r="I120" s="309">
        <v>24.3</v>
      </c>
      <c r="J120" s="309">
        <v>22.5</v>
      </c>
      <c r="K120" s="309">
        <v>15.5</v>
      </c>
      <c r="L120" s="309">
        <v>15.7</v>
      </c>
      <c r="M120" s="309">
        <v>14.8</v>
      </c>
      <c r="N120" s="309">
        <v>10.3</v>
      </c>
      <c r="O120" s="310">
        <f t="shared" si="38"/>
        <v>15.941666666666668</v>
      </c>
      <c r="P120" s="310">
        <f t="shared" si="24"/>
        <v>29.823585814899445</v>
      </c>
      <c r="Q120" s="311">
        <f t="shared" si="25"/>
        <v>1</v>
      </c>
      <c r="R120" s="251">
        <f t="shared" si="35"/>
        <v>12.666666666666666</v>
      </c>
      <c r="S120" s="252">
        <f t="shared" si="26"/>
        <v>1</v>
      </c>
      <c r="T120" s="251">
        <f t="shared" si="36"/>
        <v>20.766666666666666</v>
      </c>
      <c r="U120" s="252">
        <f t="shared" si="31"/>
        <v>1</v>
      </c>
      <c r="V120" s="253">
        <f t="shared" si="37"/>
        <v>15.941666666666668</v>
      </c>
      <c r="W120" s="252">
        <f t="shared" si="27"/>
        <v>1</v>
      </c>
      <c r="X120" s="359">
        <f t="shared" si="32"/>
        <v>12.166666666666666</v>
      </c>
      <c r="Y120" s="359">
        <f t="shared" si="33"/>
        <v>18.774999999999999</v>
      </c>
      <c r="Z120" s="359">
        <f t="shared" si="34"/>
        <v>15.250441919191919</v>
      </c>
      <c r="AA120" s="366"/>
      <c r="AB120" s="357" t="str">
        <f>VLOOKUP($B120,'2007-2020 Metadata'!$A$4:$S$214,MATCH("Urban Area /Monitoring Zone",'2007-2020 Metadata'!$A$4:$S$4,0),FALSE)</f>
        <v>Wellington</v>
      </c>
      <c r="AC120" s="255" t="str">
        <f>VLOOKUP(B120,'2007-2020 Metadata'!$A$6:$A$214,1,FALSE)</f>
        <v>WEL075</v>
      </c>
      <c r="AD120" s="361" t="str">
        <f>VLOOKUP($AC120,'2007-2020 Metadata'!$A$6:$S$214,9,FALSE)</f>
        <v>Wellington</v>
      </c>
      <c r="AE120" s="361">
        <f>IF(ISBLANK(VLOOKUP($AC120,'2007-2020 Metadata'!$A$6:$S$214,19,FALSE)),"",VLOOKUP($AC120,'2007-2020 Metadata'!$A$6:$S$214,19,FALSE))</f>
        <v>4</v>
      </c>
      <c r="AF120" s="360" t="str">
        <f>VLOOKUP($B120,'2007-2020 Metadata'!$A$4:$S$214,MATCH("Site type",'2007-2020 Metadata'!$A$4:$S$4,0),FALSE)</f>
        <v>SH</v>
      </c>
      <c r="AG120" s="365">
        <f t="shared" si="39"/>
        <v>9.8333333333333339</v>
      </c>
      <c r="AH120" s="365">
        <f t="shared" si="40"/>
        <v>23.799999999999997</v>
      </c>
      <c r="AI120" s="359">
        <f t="shared" si="30"/>
        <v>15.250441919191919</v>
      </c>
    </row>
    <row r="121" spans="2:35" ht="12" customHeight="1" x14ac:dyDescent="0.15">
      <c r="B121" s="313" t="s">
        <v>513</v>
      </c>
      <c r="C121" s="309">
        <v>6.8</v>
      </c>
      <c r="D121" s="309">
        <v>10.1</v>
      </c>
      <c r="E121" s="309">
        <v>7.3</v>
      </c>
      <c r="F121" s="309">
        <v>7.3</v>
      </c>
      <c r="G121" s="309">
        <v>18.7</v>
      </c>
      <c r="H121" s="309">
        <v>16.899999999999999</v>
      </c>
      <c r="I121" s="309">
        <v>19.2</v>
      </c>
      <c r="J121" s="309">
        <v>15.4</v>
      </c>
      <c r="K121" s="309">
        <v>8.1</v>
      </c>
      <c r="L121" s="309">
        <v>10</v>
      </c>
      <c r="M121" s="309">
        <v>7.8</v>
      </c>
      <c r="N121" s="309">
        <v>6.1</v>
      </c>
      <c r="O121" s="310">
        <f t="shared" si="38"/>
        <v>11.141666666666666</v>
      </c>
      <c r="P121" s="310">
        <f t="shared" si="24"/>
        <v>42.569662922206362</v>
      </c>
      <c r="Q121" s="311">
        <f t="shared" si="25"/>
        <v>1</v>
      </c>
      <c r="R121" s="225">
        <f t="shared" si="35"/>
        <v>8.0666666666666664</v>
      </c>
      <c r="S121" s="226">
        <f t="shared" si="26"/>
        <v>1</v>
      </c>
      <c r="T121" s="225">
        <f t="shared" si="36"/>
        <v>14.233333333333334</v>
      </c>
      <c r="U121" s="226">
        <f t="shared" si="31"/>
        <v>1</v>
      </c>
      <c r="V121" s="227">
        <f t="shared" si="37"/>
        <v>11.141666666666666</v>
      </c>
      <c r="W121" s="228">
        <f t="shared" si="27"/>
        <v>1</v>
      </c>
      <c r="X121" s="354">
        <f t="shared" si="32"/>
        <v>9.2444444444444454</v>
      </c>
      <c r="Y121" s="354">
        <f t="shared" si="33"/>
        <v>16.172222222222221</v>
      </c>
      <c r="Z121" s="354">
        <f t="shared" si="34"/>
        <v>12.705429292929294</v>
      </c>
      <c r="AA121" s="205"/>
      <c r="AB121" s="357" t="str">
        <f>VLOOKUP($B121,'2007-2020 Metadata'!$A$4:$S$214,MATCH("Urban Area /Monitoring Zone",'2007-2020 Metadata'!$A$4:$S$4,0),FALSE)</f>
        <v>Lower Hutt</v>
      </c>
      <c r="AC121" s="229" t="str">
        <f>VLOOKUP(B121,'2007-2020 Metadata'!$A$6:$A$214,1,FALSE)</f>
        <v>WEL078</v>
      </c>
      <c r="AD121" s="356" t="str">
        <f>VLOOKUP($AC121,'2007-2020 Metadata'!$A$6:$S$214,9,FALSE)</f>
        <v>Lower Hutt</v>
      </c>
      <c r="AE121" s="356">
        <f>IF(ISBLANK(VLOOKUP($AC121,'2007-2020 Metadata'!$A$6:$S$214,19,FALSE)),"",VLOOKUP($AC121,'2007-2020 Metadata'!$A$6:$S$214,19,FALSE))</f>
        <v>3</v>
      </c>
      <c r="AF121" s="355" t="str">
        <f>VLOOKUP($B121,'2007-2020 Metadata'!$A$4:$S$214,MATCH("Site type",'2007-2020 Metadata'!$A$4:$S$4,0),FALSE)</f>
        <v>SH</v>
      </c>
      <c r="AG121" s="364">
        <f t="shared" si="28"/>
        <v>6.1</v>
      </c>
      <c r="AH121" s="364">
        <f t="shared" si="29"/>
        <v>19.2</v>
      </c>
      <c r="AI121" s="354">
        <f t="shared" si="30"/>
        <v>12.705429292929294</v>
      </c>
    </row>
    <row r="122" spans="2:35" ht="12" customHeight="1" x14ac:dyDescent="0.15">
      <c r="B122" s="313" t="s">
        <v>973</v>
      </c>
      <c r="C122" s="309">
        <v>10.7</v>
      </c>
      <c r="D122" s="309">
        <v>14.2</v>
      </c>
      <c r="E122" s="309">
        <v>8</v>
      </c>
      <c r="F122" s="309">
        <v>8</v>
      </c>
      <c r="G122" s="309">
        <v>20</v>
      </c>
      <c r="H122" s="309">
        <v>20.3</v>
      </c>
      <c r="I122" s="309">
        <v>18.5</v>
      </c>
      <c r="J122" s="309">
        <v>17.600000000000001</v>
      </c>
      <c r="K122" s="309">
        <v>10.7</v>
      </c>
      <c r="L122" s="309">
        <v>12.2</v>
      </c>
      <c r="M122" s="309">
        <v>11.1</v>
      </c>
      <c r="N122" s="309">
        <v>7.8</v>
      </c>
      <c r="O122" s="310">
        <f t="shared" si="38"/>
        <v>13.258333333333333</v>
      </c>
      <c r="P122" s="310">
        <f t="shared" si="24"/>
        <v>34.164302020803653</v>
      </c>
      <c r="Q122" s="311">
        <f t="shared" si="25"/>
        <v>1</v>
      </c>
      <c r="R122" s="225">
        <f t="shared" si="35"/>
        <v>10.966666666666667</v>
      </c>
      <c r="S122" s="226">
        <f t="shared" si="26"/>
        <v>1</v>
      </c>
      <c r="T122" s="225">
        <f t="shared" si="36"/>
        <v>15.6</v>
      </c>
      <c r="U122" s="226">
        <f t="shared" si="31"/>
        <v>1</v>
      </c>
      <c r="V122" s="227">
        <f t="shared" si="37"/>
        <v>13.258333333333333</v>
      </c>
      <c r="W122" s="228">
        <f t="shared" si="27"/>
        <v>1</v>
      </c>
      <c r="X122" s="354" t="e">
        <f t="shared" si="32"/>
        <v>#N/A</v>
      </c>
      <c r="Y122" s="354" t="e">
        <f t="shared" si="33"/>
        <v>#N/A</v>
      </c>
      <c r="Z122" s="354" t="e">
        <f t="shared" si="34"/>
        <v>#N/A</v>
      </c>
      <c r="AA122" s="205"/>
      <c r="AB122" s="357" t="e">
        <f>VLOOKUP($B122,'2007-2020 Metadata'!$A$4:$S$214,MATCH("Urban Area /Monitoring Zone",'2007-2020 Metadata'!$A$4:$S$4,0),FALSE)</f>
        <v>#N/A</v>
      </c>
      <c r="AC122" s="229" t="e">
        <f>VLOOKUP(B122,'2007-2020 Metadata'!$A$6:$A$214,1,FALSE)</f>
        <v>#N/A</v>
      </c>
      <c r="AD122" s="356" t="e">
        <f>VLOOKUP($AC122,'2007-2020 Metadata'!$A$6:$S$214,9,FALSE)</f>
        <v>#N/A</v>
      </c>
      <c r="AE122" s="356" t="e">
        <f>IF(ISBLANK(VLOOKUP($AC122,'2007-2020 Metadata'!$A$6:$S$214,19,FALSE)),"",VLOOKUP($AC122,'2007-2020 Metadata'!$A$6:$S$214,19,FALSE))</f>
        <v>#N/A</v>
      </c>
      <c r="AF122" s="355" t="e">
        <f>VLOOKUP($B122,'2007-2020 Metadata'!$A$4:$S$214,MATCH("Site type",'2007-2020 Metadata'!$A$4:$S$4,0),FALSE)</f>
        <v>#N/A</v>
      </c>
      <c r="AG122" s="364">
        <f t="shared" si="28"/>
        <v>7.8</v>
      </c>
      <c r="AH122" s="364">
        <f t="shared" si="29"/>
        <v>20.3</v>
      </c>
      <c r="AI122" s="354" t="e">
        <f t="shared" si="30"/>
        <v>#N/A</v>
      </c>
    </row>
    <row r="123" spans="2:35" ht="12" customHeight="1" x14ac:dyDescent="0.15">
      <c r="B123" s="313" t="s">
        <v>519</v>
      </c>
      <c r="C123" s="309">
        <v>12.9</v>
      </c>
      <c r="D123" s="309">
        <v>15.3</v>
      </c>
      <c r="E123" s="309">
        <v>10.1</v>
      </c>
      <c r="F123" s="309">
        <v>10.1</v>
      </c>
      <c r="G123" s="309">
        <v>22.5</v>
      </c>
      <c r="H123" s="309">
        <v>23.2</v>
      </c>
      <c r="I123" s="309">
        <v>26</v>
      </c>
      <c r="J123" s="309">
        <v>22.7</v>
      </c>
      <c r="K123" s="309">
        <v>16</v>
      </c>
      <c r="L123" s="309">
        <v>16.8</v>
      </c>
      <c r="M123" s="309">
        <v>13.9</v>
      </c>
      <c r="N123" s="309">
        <v>11.8</v>
      </c>
      <c r="O123" s="310">
        <f t="shared" si="38"/>
        <v>16.775000000000002</v>
      </c>
      <c r="P123" s="310">
        <f t="shared" si="24"/>
        <v>31.458549918519314</v>
      </c>
      <c r="Q123" s="311">
        <f t="shared" si="25"/>
        <v>1</v>
      </c>
      <c r="R123" s="225">
        <f t="shared" si="35"/>
        <v>12.766666666666667</v>
      </c>
      <c r="S123" s="226">
        <f t="shared" si="26"/>
        <v>1</v>
      </c>
      <c r="T123" s="225">
        <f t="shared" si="36"/>
        <v>21.566666666666666</v>
      </c>
      <c r="U123" s="226">
        <f t="shared" si="31"/>
        <v>1</v>
      </c>
      <c r="V123" s="227">
        <f t="shared" si="37"/>
        <v>16.775000000000002</v>
      </c>
      <c r="W123" s="228">
        <f t="shared" si="27"/>
        <v>1</v>
      </c>
      <c r="X123" s="354">
        <f t="shared" si="32"/>
        <v>13.375</v>
      </c>
      <c r="Y123" s="354">
        <f t="shared" si="33"/>
        <v>19.641666666666666</v>
      </c>
      <c r="Z123" s="354">
        <f t="shared" si="34"/>
        <v>16.231250000000003</v>
      </c>
      <c r="AA123" s="205"/>
      <c r="AB123" s="357" t="str">
        <f>VLOOKUP($B123,'2007-2020 Metadata'!$A$4:$S$214,MATCH("Urban Area /Monitoring Zone",'2007-2020 Metadata'!$A$4:$S$4,0),FALSE)</f>
        <v>Porirua</v>
      </c>
      <c r="AC123" s="229" t="str">
        <f>VLOOKUP(B123,'2007-2020 Metadata'!$A$6:$A$214,1,FALSE)</f>
        <v>WEL080</v>
      </c>
      <c r="AD123" s="356" t="str">
        <f>VLOOKUP($AC123,'2007-2020 Metadata'!$A$6:$S$214,9,FALSE)</f>
        <v>Porirua</v>
      </c>
      <c r="AE123" s="356">
        <f>IF(ISBLANK(VLOOKUP($AC123,'2007-2020 Metadata'!$A$6:$S$214,19,FALSE)),"",VLOOKUP($AC123,'2007-2020 Metadata'!$A$6:$S$214,19,FALSE))</f>
        <v>3.1</v>
      </c>
      <c r="AF123" s="355" t="str">
        <f>VLOOKUP($B123,'2007-2020 Metadata'!$A$4:$S$214,MATCH("Site type",'2007-2020 Metadata'!$A$4:$S$4,0),FALSE)</f>
        <v>Local</v>
      </c>
      <c r="AG123" s="364">
        <f t="shared" si="28"/>
        <v>10.1</v>
      </c>
      <c r="AH123" s="364">
        <f t="shared" si="29"/>
        <v>26</v>
      </c>
      <c r="AI123" s="354">
        <f t="shared" si="30"/>
        <v>16.231250000000003</v>
      </c>
    </row>
    <row r="124" spans="2:35" ht="12" customHeight="1" x14ac:dyDescent="0.15">
      <c r="B124" s="313" t="s">
        <v>974</v>
      </c>
      <c r="C124" s="309">
        <v>24.1</v>
      </c>
      <c r="D124" s="309">
        <v>25.6</v>
      </c>
      <c r="E124" s="309">
        <v>18.8</v>
      </c>
      <c r="F124" s="309">
        <v>18.8</v>
      </c>
      <c r="G124" s="309">
        <v>35.5</v>
      </c>
      <c r="H124" s="309">
        <v>38.5</v>
      </c>
      <c r="I124" s="309">
        <v>39.5</v>
      </c>
      <c r="J124" s="309">
        <v>37.200000000000003</v>
      </c>
      <c r="K124" s="309">
        <v>27</v>
      </c>
      <c r="L124" s="309">
        <v>27.7</v>
      </c>
      <c r="M124" s="309">
        <v>25.4</v>
      </c>
      <c r="N124" s="309">
        <v>21.6</v>
      </c>
      <c r="O124" s="310">
        <f t="shared" si="38"/>
        <v>28.308333333333334</v>
      </c>
      <c r="P124" s="310">
        <f t="shared" si="24"/>
        <v>25.418443719322859</v>
      </c>
      <c r="Q124" s="311">
        <f t="shared" si="25"/>
        <v>1</v>
      </c>
      <c r="R124" s="225">
        <f t="shared" si="35"/>
        <v>22.833333333333332</v>
      </c>
      <c r="S124" s="226">
        <f t="shared" si="26"/>
        <v>1</v>
      </c>
      <c r="T124" s="225">
        <f t="shared" si="36"/>
        <v>34.56666666666667</v>
      </c>
      <c r="U124" s="226">
        <f t="shared" si="31"/>
        <v>1</v>
      </c>
      <c r="V124" s="227">
        <f t="shared" si="37"/>
        <v>28.308333333333334</v>
      </c>
      <c r="W124" s="228">
        <f t="shared" si="27"/>
        <v>1</v>
      </c>
      <c r="X124" s="354" t="e">
        <f t="shared" si="32"/>
        <v>#N/A</v>
      </c>
      <c r="Y124" s="354" t="e">
        <f t="shared" si="33"/>
        <v>#N/A</v>
      </c>
      <c r="Z124" s="354" t="e">
        <f t="shared" si="34"/>
        <v>#N/A</v>
      </c>
      <c r="AA124" s="205"/>
      <c r="AB124" s="357" t="e">
        <f>VLOOKUP($B124,'2007-2020 Metadata'!$A$4:$S$214,MATCH("Urban Area /Monitoring Zone",'2007-2020 Metadata'!$A$4:$S$4,0),FALSE)</f>
        <v>#N/A</v>
      </c>
      <c r="AC124" s="229" t="e">
        <f>VLOOKUP(B124,'2007-2020 Metadata'!$A$6:$A$214,1,FALSE)</f>
        <v>#N/A</v>
      </c>
      <c r="AD124" s="356" t="e">
        <f>VLOOKUP($AC124,'2007-2020 Metadata'!$A$6:$S$214,9,FALSE)</f>
        <v>#N/A</v>
      </c>
      <c r="AE124" s="356" t="e">
        <f>IF(ISBLANK(VLOOKUP($AC124,'2007-2020 Metadata'!$A$6:$S$214,19,FALSE)),"",VLOOKUP($AC124,'2007-2020 Metadata'!$A$6:$S$214,19,FALSE))</f>
        <v>#N/A</v>
      </c>
      <c r="AF124" s="355" t="e">
        <f>VLOOKUP($B124,'2007-2020 Metadata'!$A$4:$S$214,MATCH("Site type",'2007-2020 Metadata'!$A$4:$S$4,0),FALSE)</f>
        <v>#N/A</v>
      </c>
      <c r="AG124" s="364">
        <f t="shared" si="28"/>
        <v>18.8</v>
      </c>
      <c r="AH124" s="364">
        <f t="shared" si="29"/>
        <v>39.5</v>
      </c>
      <c r="AI124" s="354" t="e">
        <f t="shared" si="30"/>
        <v>#N/A</v>
      </c>
    </row>
    <row r="125" spans="2:35" ht="12" customHeight="1" x14ac:dyDescent="0.15">
      <c r="B125" s="313" t="s">
        <v>975</v>
      </c>
      <c r="C125" s="309">
        <v>28.9</v>
      </c>
      <c r="D125" s="309">
        <v>34.5</v>
      </c>
      <c r="E125" s="309">
        <v>21.4</v>
      </c>
      <c r="F125" s="309">
        <v>21.4</v>
      </c>
      <c r="G125" s="309">
        <v>32.5</v>
      </c>
      <c r="H125" s="309">
        <v>38</v>
      </c>
      <c r="I125" s="309">
        <v>39.5</v>
      </c>
      <c r="J125" s="309">
        <v>37.4</v>
      </c>
      <c r="K125" s="309">
        <v>30.3</v>
      </c>
      <c r="L125" s="309">
        <v>32.200000000000003</v>
      </c>
      <c r="M125" s="309">
        <v>31.2</v>
      </c>
      <c r="N125" s="309">
        <v>24.7</v>
      </c>
      <c r="O125" s="310">
        <f t="shared" si="38"/>
        <v>30.999999999999996</v>
      </c>
      <c r="P125" s="310">
        <f t="shared" si="24"/>
        <v>18.788764991514224</v>
      </c>
      <c r="Q125" s="311">
        <f t="shared" si="25"/>
        <v>1</v>
      </c>
      <c r="R125" s="225">
        <f t="shared" si="35"/>
        <v>28.266666666666666</v>
      </c>
      <c r="S125" s="226">
        <f t="shared" si="26"/>
        <v>1</v>
      </c>
      <c r="T125" s="225">
        <f t="shared" si="36"/>
        <v>35.733333333333334</v>
      </c>
      <c r="U125" s="226">
        <f t="shared" si="31"/>
        <v>1</v>
      </c>
      <c r="V125" s="227">
        <f t="shared" si="37"/>
        <v>30.999999999999996</v>
      </c>
      <c r="W125" s="228">
        <f t="shared" si="27"/>
        <v>1</v>
      </c>
      <c r="X125" s="354" t="e">
        <f t="shared" si="32"/>
        <v>#N/A</v>
      </c>
      <c r="Y125" s="354" t="e">
        <f t="shared" si="33"/>
        <v>#N/A</v>
      </c>
      <c r="Z125" s="354" t="e">
        <f t="shared" si="34"/>
        <v>#N/A</v>
      </c>
      <c r="AA125" s="205"/>
      <c r="AB125" s="357" t="e">
        <f>VLOOKUP($B125,'2007-2020 Metadata'!$A$4:$S$214,MATCH("Urban Area /Monitoring Zone",'2007-2020 Metadata'!$A$4:$S$4,0),FALSE)</f>
        <v>#N/A</v>
      </c>
      <c r="AC125" s="229" t="e">
        <f>VLOOKUP(B125,'2007-2020 Metadata'!$A$6:$A$214,1,FALSE)</f>
        <v>#N/A</v>
      </c>
      <c r="AD125" s="356" t="e">
        <f>VLOOKUP($AC125,'2007-2020 Metadata'!$A$6:$S$214,9,FALSE)</f>
        <v>#N/A</v>
      </c>
      <c r="AE125" s="356" t="e">
        <f>IF(ISBLANK(VLOOKUP($AC125,'2007-2020 Metadata'!$A$6:$S$214,19,FALSE)),"",VLOOKUP($AC125,'2007-2020 Metadata'!$A$6:$S$214,19,FALSE))</f>
        <v>#N/A</v>
      </c>
      <c r="AF125" s="355" t="e">
        <f>VLOOKUP($B125,'2007-2020 Metadata'!$A$4:$S$214,MATCH("Site type",'2007-2020 Metadata'!$A$4:$S$4,0),FALSE)</f>
        <v>#N/A</v>
      </c>
      <c r="AG125" s="364">
        <f t="shared" si="28"/>
        <v>21.4</v>
      </c>
      <c r="AH125" s="364">
        <f t="shared" si="29"/>
        <v>39.5</v>
      </c>
      <c r="AI125" s="354" t="e">
        <f t="shared" si="30"/>
        <v>#N/A</v>
      </c>
    </row>
    <row r="126" spans="2:35" ht="12" customHeight="1" x14ac:dyDescent="0.15">
      <c r="B126" s="313" t="s">
        <v>976</v>
      </c>
      <c r="C126" s="309">
        <v>25.7</v>
      </c>
      <c r="D126" s="309">
        <v>31</v>
      </c>
      <c r="E126" s="309">
        <v>17</v>
      </c>
      <c r="F126" s="309">
        <v>17</v>
      </c>
      <c r="G126" s="309">
        <v>33.700000000000003</v>
      </c>
      <c r="H126" s="309">
        <v>37.9</v>
      </c>
      <c r="I126" s="309">
        <v>38.799999999999997</v>
      </c>
      <c r="J126" s="309">
        <v>35.200000000000003</v>
      </c>
      <c r="K126" s="309">
        <v>26.2</v>
      </c>
      <c r="L126" s="309">
        <v>23.4</v>
      </c>
      <c r="M126" s="309">
        <v>25.3</v>
      </c>
      <c r="N126" s="309">
        <v>19.899999999999999</v>
      </c>
      <c r="O126" s="310">
        <f t="shared" si="38"/>
        <v>27.591666666666665</v>
      </c>
      <c r="P126" s="310">
        <f t="shared" si="24"/>
        <v>26.685674256429692</v>
      </c>
      <c r="Q126" s="311">
        <f t="shared" si="25"/>
        <v>1</v>
      </c>
      <c r="R126" s="225">
        <f t="shared" si="35"/>
        <v>24.566666666666666</v>
      </c>
      <c r="S126" s="226">
        <f t="shared" si="26"/>
        <v>1</v>
      </c>
      <c r="T126" s="225">
        <f t="shared" si="36"/>
        <v>33.4</v>
      </c>
      <c r="U126" s="226">
        <f t="shared" si="31"/>
        <v>1</v>
      </c>
      <c r="V126" s="227">
        <f t="shared" si="37"/>
        <v>27.591666666666665</v>
      </c>
      <c r="W126" s="228">
        <f t="shared" si="27"/>
        <v>1</v>
      </c>
      <c r="X126" s="354" t="e">
        <f t="shared" si="32"/>
        <v>#N/A</v>
      </c>
      <c r="Y126" s="354" t="e">
        <f t="shared" si="33"/>
        <v>#N/A</v>
      </c>
      <c r="Z126" s="354" t="e">
        <f t="shared" si="34"/>
        <v>#N/A</v>
      </c>
      <c r="AA126" s="205"/>
      <c r="AB126" s="357" t="e">
        <f>VLOOKUP($B126,'2007-2020 Metadata'!$A$4:$S$214,MATCH("Urban Area /Monitoring Zone",'2007-2020 Metadata'!$A$4:$S$4,0),FALSE)</f>
        <v>#N/A</v>
      </c>
      <c r="AC126" s="229" t="e">
        <f>VLOOKUP(B126,'2007-2020 Metadata'!$A$6:$A$214,1,FALSE)</f>
        <v>#N/A</v>
      </c>
      <c r="AD126" s="356" t="e">
        <f>VLOOKUP($AC126,'2007-2020 Metadata'!$A$6:$S$214,9,FALSE)</f>
        <v>#N/A</v>
      </c>
      <c r="AE126" s="356" t="e">
        <f>IF(ISBLANK(VLOOKUP($AC126,'2007-2020 Metadata'!$A$6:$S$214,19,FALSE)),"",VLOOKUP($AC126,'2007-2020 Metadata'!$A$6:$S$214,19,FALSE))</f>
        <v>#N/A</v>
      </c>
      <c r="AF126" s="355" t="e">
        <f>VLOOKUP($B126,'2007-2020 Metadata'!$A$4:$S$214,MATCH("Site type",'2007-2020 Metadata'!$A$4:$S$4,0),FALSE)</f>
        <v>#N/A</v>
      </c>
      <c r="AG126" s="364">
        <f t="shared" si="28"/>
        <v>17</v>
      </c>
      <c r="AH126" s="364">
        <f t="shared" si="29"/>
        <v>38.799999999999997</v>
      </c>
      <c r="AI126" s="354" t="e">
        <f t="shared" si="30"/>
        <v>#N/A</v>
      </c>
    </row>
    <row r="127" spans="2:35" ht="12" customHeight="1" x14ac:dyDescent="0.15">
      <c r="B127" s="313" t="s">
        <v>977</v>
      </c>
      <c r="C127" s="309">
        <v>16.100000000000001</v>
      </c>
      <c r="D127" s="309">
        <v>19</v>
      </c>
      <c r="E127" s="309">
        <v>11.2</v>
      </c>
      <c r="F127" s="309">
        <v>11.2</v>
      </c>
      <c r="G127" s="309">
        <v>24.3</v>
      </c>
      <c r="H127" s="309">
        <v>28.1</v>
      </c>
      <c r="I127" s="309">
        <v>28.9</v>
      </c>
      <c r="J127" s="309">
        <v>24.7</v>
      </c>
      <c r="K127" s="309">
        <v>16.100000000000001</v>
      </c>
      <c r="L127" s="309">
        <v>16.399999999999999</v>
      </c>
      <c r="M127" s="309">
        <v>16.7</v>
      </c>
      <c r="N127" s="309">
        <v>12.4</v>
      </c>
      <c r="O127" s="310">
        <f t="shared" si="38"/>
        <v>18.758333333333333</v>
      </c>
      <c r="P127" s="310">
        <f t="shared" si="24"/>
        <v>32.08961256709545</v>
      </c>
      <c r="Q127" s="311">
        <f t="shared" si="25"/>
        <v>1</v>
      </c>
      <c r="R127" s="225">
        <f t="shared" si="35"/>
        <v>15.433333333333332</v>
      </c>
      <c r="S127" s="226">
        <f t="shared" si="26"/>
        <v>1</v>
      </c>
      <c r="T127" s="225">
        <f t="shared" si="36"/>
        <v>23.233333333333331</v>
      </c>
      <c r="U127" s="226">
        <f t="shared" si="31"/>
        <v>1</v>
      </c>
      <c r="V127" s="227">
        <f t="shared" si="37"/>
        <v>18.758333333333333</v>
      </c>
      <c r="W127" s="228">
        <f t="shared" si="27"/>
        <v>1</v>
      </c>
      <c r="X127" s="354" t="e">
        <f t="shared" si="32"/>
        <v>#N/A</v>
      </c>
      <c r="Y127" s="354" t="e">
        <f t="shared" si="33"/>
        <v>#N/A</v>
      </c>
      <c r="Z127" s="354" t="e">
        <f t="shared" si="34"/>
        <v>#N/A</v>
      </c>
      <c r="AA127" s="205"/>
      <c r="AB127" s="357" t="e">
        <f>VLOOKUP($B127,'2007-2020 Metadata'!$A$4:$S$214,MATCH("Urban Area /Monitoring Zone",'2007-2020 Metadata'!$A$4:$S$4,0),FALSE)</f>
        <v>#N/A</v>
      </c>
      <c r="AC127" s="229" t="e">
        <f>VLOOKUP(B127,'2007-2020 Metadata'!$A$6:$A$214,1,FALSE)</f>
        <v>#N/A</v>
      </c>
      <c r="AD127" s="356" t="e">
        <f>VLOOKUP($AC127,'2007-2020 Metadata'!$A$6:$S$214,9,FALSE)</f>
        <v>#N/A</v>
      </c>
      <c r="AE127" s="356" t="e">
        <f>IF(ISBLANK(VLOOKUP($AC127,'2007-2020 Metadata'!$A$6:$S$214,19,FALSE)),"",VLOOKUP($AC127,'2007-2020 Metadata'!$A$6:$S$214,19,FALSE))</f>
        <v>#N/A</v>
      </c>
      <c r="AF127" s="355" t="e">
        <f>VLOOKUP($B127,'2007-2020 Metadata'!$A$4:$S$214,MATCH("Site type",'2007-2020 Metadata'!$A$4:$S$4,0),FALSE)</f>
        <v>#N/A</v>
      </c>
      <c r="AG127" s="364">
        <f t="shared" si="28"/>
        <v>11.2</v>
      </c>
      <c r="AH127" s="364">
        <f t="shared" si="29"/>
        <v>28.9</v>
      </c>
      <c r="AI127" s="354" t="e">
        <f t="shared" si="30"/>
        <v>#N/A</v>
      </c>
    </row>
    <row r="128" spans="2:35" ht="12" customHeight="1" x14ac:dyDescent="0.15">
      <c r="B128" s="313" t="s">
        <v>978</v>
      </c>
      <c r="C128" s="309">
        <v>6</v>
      </c>
      <c r="D128" s="309">
        <v>7.9</v>
      </c>
      <c r="E128" s="309">
        <v>5.9</v>
      </c>
      <c r="F128" s="309">
        <v>5.9</v>
      </c>
      <c r="G128" s="309">
        <v>12.5</v>
      </c>
      <c r="H128" s="309">
        <v>10.8</v>
      </c>
      <c r="I128" s="309">
        <v>15</v>
      </c>
      <c r="J128" s="309">
        <v>11.6</v>
      </c>
      <c r="K128" s="309">
        <v>6.6</v>
      </c>
      <c r="L128" s="309">
        <v>7.3</v>
      </c>
      <c r="M128" s="309">
        <v>6.6</v>
      </c>
      <c r="N128" s="309">
        <v>5.0999999999999996</v>
      </c>
      <c r="O128" s="310">
        <f t="shared" si="38"/>
        <v>8.4333333333333318</v>
      </c>
      <c r="P128" s="310">
        <f t="shared" si="24"/>
        <v>36.459103073732628</v>
      </c>
      <c r="Q128" s="311">
        <f t="shared" si="25"/>
        <v>1</v>
      </c>
      <c r="R128" s="225">
        <f t="shared" si="35"/>
        <v>6.6000000000000005</v>
      </c>
      <c r="S128" s="226">
        <f t="shared" si="26"/>
        <v>1</v>
      </c>
      <c r="T128" s="225">
        <f t="shared" si="36"/>
        <v>11.066666666666668</v>
      </c>
      <c r="U128" s="226">
        <f t="shared" si="31"/>
        <v>1</v>
      </c>
      <c r="V128" s="227">
        <f t="shared" si="37"/>
        <v>8.4333333333333318</v>
      </c>
      <c r="W128" s="228">
        <f t="shared" si="27"/>
        <v>1</v>
      </c>
      <c r="X128" s="354" t="e">
        <f t="shared" si="32"/>
        <v>#N/A</v>
      </c>
      <c r="Y128" s="354" t="e">
        <f t="shared" si="33"/>
        <v>#N/A</v>
      </c>
      <c r="Z128" s="354" t="e">
        <f t="shared" si="34"/>
        <v>#N/A</v>
      </c>
      <c r="AA128" s="205"/>
      <c r="AB128" s="357" t="e">
        <f>VLOOKUP($B128,'2007-2020 Metadata'!$A$4:$S$214,MATCH("Urban Area /Monitoring Zone",'2007-2020 Metadata'!$A$4:$S$4,0),FALSE)</f>
        <v>#N/A</v>
      </c>
      <c r="AC128" s="229" t="e">
        <f>VLOOKUP(B128,'2007-2020 Metadata'!$A$6:$A$214,1,FALSE)</f>
        <v>#N/A</v>
      </c>
      <c r="AD128" s="356" t="e">
        <f>VLOOKUP($AC128,'2007-2020 Metadata'!$A$6:$S$214,9,FALSE)</f>
        <v>#N/A</v>
      </c>
      <c r="AE128" s="356" t="e">
        <f>IF(ISBLANK(VLOOKUP($AC128,'2007-2020 Metadata'!$A$6:$S$214,19,FALSE)),"",VLOOKUP($AC128,'2007-2020 Metadata'!$A$6:$S$214,19,FALSE))</f>
        <v>#N/A</v>
      </c>
      <c r="AF128" s="355" t="e">
        <f>VLOOKUP($B128,'2007-2020 Metadata'!$A$4:$S$214,MATCH("Site type",'2007-2020 Metadata'!$A$4:$S$4,0),FALSE)</f>
        <v>#N/A</v>
      </c>
      <c r="AG128" s="364">
        <f t="shared" si="28"/>
        <v>5.0999999999999996</v>
      </c>
      <c r="AH128" s="364">
        <f t="shared" si="29"/>
        <v>15</v>
      </c>
      <c r="AI128" s="354" t="e">
        <f t="shared" si="30"/>
        <v>#N/A</v>
      </c>
    </row>
    <row r="129" spans="2:35" ht="12" customHeight="1" x14ac:dyDescent="0.15">
      <c r="B129" s="313" t="s">
        <v>979</v>
      </c>
      <c r="C129" s="309">
        <v>13.7</v>
      </c>
      <c r="D129" s="309">
        <v>16.899999999999999</v>
      </c>
      <c r="E129" s="309">
        <v>13.2</v>
      </c>
      <c r="F129" s="309">
        <v>13.2</v>
      </c>
      <c r="G129" s="309">
        <v>25.8</v>
      </c>
      <c r="H129" s="309">
        <v>23.9</v>
      </c>
      <c r="I129" s="309">
        <v>31.5</v>
      </c>
      <c r="J129" s="309">
        <v>27.6</v>
      </c>
      <c r="K129" s="309">
        <v>16.399999999999999</v>
      </c>
      <c r="L129" s="309">
        <v>15.3</v>
      </c>
      <c r="M129" s="309">
        <v>16.2</v>
      </c>
      <c r="N129" s="309">
        <v>11</v>
      </c>
      <c r="O129" s="310">
        <f t="shared" si="38"/>
        <v>18.724999999999998</v>
      </c>
      <c r="P129" s="310">
        <f t="shared" si="24"/>
        <v>34.182468800650945</v>
      </c>
      <c r="Q129" s="311">
        <f t="shared" si="25"/>
        <v>1</v>
      </c>
      <c r="R129" s="225">
        <f t="shared" si="35"/>
        <v>14.6</v>
      </c>
      <c r="S129" s="226">
        <f t="shared" si="26"/>
        <v>1</v>
      </c>
      <c r="T129" s="225">
        <f t="shared" si="36"/>
        <v>25.166666666666668</v>
      </c>
      <c r="U129" s="226">
        <f t="shared" si="31"/>
        <v>1</v>
      </c>
      <c r="V129" s="227">
        <f t="shared" si="37"/>
        <v>18.724999999999998</v>
      </c>
      <c r="W129" s="228">
        <f t="shared" si="27"/>
        <v>1</v>
      </c>
      <c r="X129" s="354" t="e">
        <f t="shared" si="32"/>
        <v>#N/A</v>
      </c>
      <c r="Y129" s="354" t="e">
        <f t="shared" si="33"/>
        <v>#N/A</v>
      </c>
      <c r="Z129" s="354" t="e">
        <f t="shared" si="34"/>
        <v>#N/A</v>
      </c>
      <c r="AA129" s="205"/>
      <c r="AB129" s="357" t="e">
        <f>VLOOKUP($B129,'2007-2020 Metadata'!$A$4:$S$214,MATCH("Urban Area /Monitoring Zone",'2007-2020 Metadata'!$A$4:$S$4,0),FALSE)</f>
        <v>#N/A</v>
      </c>
      <c r="AC129" s="229" t="e">
        <f>VLOOKUP(B129,'2007-2020 Metadata'!$A$6:$A$214,1,FALSE)</f>
        <v>#N/A</v>
      </c>
      <c r="AD129" s="356" t="e">
        <f>VLOOKUP($AC129,'2007-2020 Metadata'!$A$6:$S$214,9,FALSE)</f>
        <v>#N/A</v>
      </c>
      <c r="AE129" s="356" t="e">
        <f>IF(ISBLANK(VLOOKUP($AC129,'2007-2020 Metadata'!$A$6:$S$214,19,FALSE)),"",VLOOKUP($AC129,'2007-2020 Metadata'!$A$6:$S$214,19,FALSE))</f>
        <v>#N/A</v>
      </c>
      <c r="AF129" s="355" t="e">
        <f>VLOOKUP($B129,'2007-2020 Metadata'!$A$4:$S$214,MATCH("Site type",'2007-2020 Metadata'!$A$4:$S$4,0),FALSE)</f>
        <v>#N/A</v>
      </c>
      <c r="AG129" s="364">
        <f t="shared" si="28"/>
        <v>11</v>
      </c>
      <c r="AH129" s="364">
        <f t="shared" si="29"/>
        <v>31.5</v>
      </c>
      <c r="AI129" s="354" t="e">
        <f t="shared" si="30"/>
        <v>#N/A</v>
      </c>
    </row>
    <row r="130" spans="2:35" ht="12" customHeight="1" x14ac:dyDescent="0.15">
      <c r="B130" s="313" t="s">
        <v>521</v>
      </c>
      <c r="C130" s="309">
        <v>17</v>
      </c>
      <c r="D130" s="309">
        <v>23.1</v>
      </c>
      <c r="E130" s="309">
        <v>14.3</v>
      </c>
      <c r="F130" s="309">
        <v>14.3</v>
      </c>
      <c r="G130" s="309">
        <v>38.200000000000003</v>
      </c>
      <c r="H130" s="309">
        <v>25.6</v>
      </c>
      <c r="I130" s="309">
        <v>25.5</v>
      </c>
      <c r="J130" s="309">
        <v>23.9</v>
      </c>
      <c r="K130" s="309">
        <v>25.2</v>
      </c>
      <c r="L130" s="309">
        <v>27</v>
      </c>
      <c r="M130" s="309">
        <v>20.8</v>
      </c>
      <c r="N130" s="309">
        <v>20.2</v>
      </c>
      <c r="O130" s="310">
        <f t="shared" si="38"/>
        <v>22.925000000000001</v>
      </c>
      <c r="P130" s="310">
        <f t="shared" si="24"/>
        <v>27.174046692249487</v>
      </c>
      <c r="Q130" s="311">
        <f t="shared" si="25"/>
        <v>1</v>
      </c>
      <c r="R130" s="225">
        <f t="shared" si="35"/>
        <v>18.133333333333336</v>
      </c>
      <c r="S130" s="226">
        <f t="shared" si="26"/>
        <v>1</v>
      </c>
      <c r="T130" s="225">
        <f t="shared" si="36"/>
        <v>24.866666666666664</v>
      </c>
      <c r="U130" s="226">
        <f t="shared" si="31"/>
        <v>1</v>
      </c>
      <c r="V130" s="227">
        <f t="shared" si="37"/>
        <v>22.925000000000001</v>
      </c>
      <c r="W130" s="228">
        <f t="shared" si="27"/>
        <v>1</v>
      </c>
      <c r="X130" s="354">
        <f t="shared" si="32"/>
        <v>11.28888888888889</v>
      </c>
      <c r="Y130" s="354">
        <f t="shared" si="33"/>
        <v>16.261111111111109</v>
      </c>
      <c r="Z130" s="354">
        <f t="shared" si="34"/>
        <v>14.321717171717173</v>
      </c>
      <c r="AA130" s="205"/>
      <c r="AB130" s="357" t="str">
        <f>VLOOKUP($B130,'2007-2020 Metadata'!$A$4:$S$214,MATCH("Urban Area /Monitoring Zone",'2007-2020 Metadata'!$A$4:$S$4,0),FALSE)</f>
        <v>Otaki</v>
      </c>
      <c r="AC130" s="229" t="str">
        <f>VLOOKUP(B130,'2007-2020 Metadata'!$A$6:$A$214,1,FALSE)</f>
        <v>WEL087</v>
      </c>
      <c r="AD130" s="356" t="str">
        <f>VLOOKUP($AC130,'2007-2020 Metadata'!$A$6:$S$214,9,FALSE)</f>
        <v>Kapiti Coast</v>
      </c>
      <c r="AE130" s="356">
        <f>IF(ISBLANK(VLOOKUP($AC130,'2007-2020 Metadata'!$A$6:$S$214,19,FALSE)),"",VLOOKUP($AC130,'2007-2020 Metadata'!$A$6:$S$214,19,FALSE))</f>
        <v>3</v>
      </c>
      <c r="AF130" s="355" t="str">
        <f>VLOOKUP($B130,'2007-2020 Metadata'!$A$4:$S$214,MATCH("Site type",'2007-2020 Metadata'!$A$4:$S$4,0),FALSE)</f>
        <v>SH</v>
      </c>
      <c r="AG130" s="364">
        <f t="shared" si="28"/>
        <v>14.3</v>
      </c>
      <c r="AH130" s="364">
        <f t="shared" si="29"/>
        <v>38.200000000000003</v>
      </c>
      <c r="AI130" s="354">
        <f t="shared" si="30"/>
        <v>14.321717171717173</v>
      </c>
    </row>
    <row r="131" spans="2:35" ht="12" customHeight="1" x14ac:dyDescent="0.15">
      <c r="B131" s="313" t="s">
        <v>523</v>
      </c>
      <c r="C131" s="309">
        <v>23</v>
      </c>
      <c r="D131" s="309">
        <v>29.7</v>
      </c>
      <c r="E131" s="309">
        <v>18.5</v>
      </c>
      <c r="F131" s="309">
        <v>18.5</v>
      </c>
      <c r="G131" s="309">
        <v>35.299999999999997</v>
      </c>
      <c r="H131" s="309">
        <v>35.200000000000003</v>
      </c>
      <c r="I131" s="309">
        <v>33.4</v>
      </c>
      <c r="J131" s="309">
        <v>34.799999999999997</v>
      </c>
      <c r="K131" s="309">
        <v>26.1</v>
      </c>
      <c r="L131" s="309">
        <v>28.5</v>
      </c>
      <c r="M131" s="309">
        <v>27.8</v>
      </c>
      <c r="N131" s="309">
        <v>22.1</v>
      </c>
      <c r="O131" s="310">
        <f t="shared" si="38"/>
        <v>27.741666666666671</v>
      </c>
      <c r="P131" s="310">
        <f t="shared" si="24"/>
        <v>21.498287780738043</v>
      </c>
      <c r="Q131" s="311">
        <f t="shared" si="25"/>
        <v>1</v>
      </c>
      <c r="R131" s="225">
        <f t="shared" si="35"/>
        <v>23.733333333333334</v>
      </c>
      <c r="S131" s="226">
        <f t="shared" si="26"/>
        <v>1</v>
      </c>
      <c r="T131" s="225">
        <f t="shared" si="36"/>
        <v>31.433333333333326</v>
      </c>
      <c r="U131" s="226">
        <f t="shared" si="31"/>
        <v>1</v>
      </c>
      <c r="V131" s="227">
        <f t="shared" si="37"/>
        <v>27.741666666666671</v>
      </c>
      <c r="W131" s="228">
        <f t="shared" si="27"/>
        <v>1</v>
      </c>
      <c r="X131" s="354">
        <f t="shared" si="32"/>
        <v>13.375</v>
      </c>
      <c r="Y131" s="354">
        <f t="shared" si="33"/>
        <v>19.641666666666666</v>
      </c>
      <c r="Z131" s="354">
        <f t="shared" si="34"/>
        <v>16.231250000000003</v>
      </c>
      <c r="AA131" s="205"/>
      <c r="AB131" s="357" t="str">
        <f>VLOOKUP($B131,'2007-2020 Metadata'!$A$4:$S$214,MATCH("Urban Area /Monitoring Zone",'2007-2020 Metadata'!$A$4:$S$4,0),FALSE)</f>
        <v>Porirua</v>
      </c>
      <c r="AC131" s="229" t="str">
        <f>VLOOKUP(B131,'2007-2020 Metadata'!$A$6:$A$214,1,FALSE)</f>
        <v>WEL088</v>
      </c>
      <c r="AD131" s="356" t="str">
        <f>VLOOKUP($AC131,'2007-2020 Metadata'!$A$6:$S$214,9,FALSE)</f>
        <v>Porirua</v>
      </c>
      <c r="AE131" s="356">
        <f>IF(ISBLANK(VLOOKUP($AC131,'2007-2020 Metadata'!$A$6:$S$214,19,FALSE)),"",VLOOKUP($AC131,'2007-2020 Metadata'!$A$6:$S$214,19,FALSE))</f>
        <v>3</v>
      </c>
      <c r="AF131" s="355" t="str">
        <f>VLOOKUP($B131,'2007-2020 Metadata'!$A$4:$S$214,MATCH("Site type",'2007-2020 Metadata'!$A$4:$S$4,0),FALSE)</f>
        <v>SH</v>
      </c>
      <c r="AG131" s="364">
        <f t="shared" si="28"/>
        <v>18.5</v>
      </c>
      <c r="AH131" s="364">
        <f t="shared" si="29"/>
        <v>35.299999999999997</v>
      </c>
      <c r="AI131" s="354">
        <f t="shared" si="30"/>
        <v>16.231250000000003</v>
      </c>
    </row>
    <row r="132" spans="2:35" ht="12" customHeight="1" x14ac:dyDescent="0.15">
      <c r="B132" s="313" t="s">
        <v>526</v>
      </c>
      <c r="C132" s="309">
        <v>9.6999999999999993</v>
      </c>
      <c r="D132" s="309">
        <v>11.2</v>
      </c>
      <c r="E132" s="309">
        <v>9.6999999999999993</v>
      </c>
      <c r="F132" s="309">
        <v>9.6999999999999993</v>
      </c>
      <c r="G132" s="309">
        <v>21</v>
      </c>
      <c r="H132" s="309">
        <v>25</v>
      </c>
      <c r="I132" s="309">
        <v>17.7</v>
      </c>
      <c r="J132" s="309">
        <v>18.8</v>
      </c>
      <c r="K132" s="309">
        <v>12.5</v>
      </c>
      <c r="L132" s="309">
        <v>12.6</v>
      </c>
      <c r="M132" s="309">
        <v>11.6</v>
      </c>
      <c r="N132" s="309">
        <v>8.6</v>
      </c>
      <c r="O132" s="310">
        <f t="shared" si="38"/>
        <v>14.008333333333333</v>
      </c>
      <c r="P132" s="310">
        <f t="shared" si="24"/>
        <v>36.2343935733374</v>
      </c>
      <c r="Q132" s="311">
        <f t="shared" si="25"/>
        <v>1</v>
      </c>
      <c r="R132" s="225">
        <f t="shared" si="35"/>
        <v>10.199999999999999</v>
      </c>
      <c r="S132" s="226">
        <f t="shared" si="26"/>
        <v>1</v>
      </c>
      <c r="T132" s="225">
        <f t="shared" si="36"/>
        <v>16.333333333333332</v>
      </c>
      <c r="U132" s="226">
        <f t="shared" si="31"/>
        <v>1</v>
      </c>
      <c r="V132" s="227">
        <f t="shared" si="37"/>
        <v>14.008333333333333</v>
      </c>
      <c r="W132" s="228">
        <f t="shared" si="27"/>
        <v>1</v>
      </c>
      <c r="X132" s="354">
        <f t="shared" si="32"/>
        <v>7.5333333333333332</v>
      </c>
      <c r="Y132" s="354">
        <f t="shared" si="33"/>
        <v>12.766666666666666</v>
      </c>
      <c r="Z132" s="354">
        <f t="shared" si="34"/>
        <v>10.554166666666665</v>
      </c>
      <c r="AA132" s="205"/>
      <c r="AB132" s="357" t="str">
        <f>VLOOKUP($B132,'2007-2020 Metadata'!$A$4:$S$214,MATCH("Urban Area /Monitoring Zone",'2007-2020 Metadata'!$A$4:$S$4,0),FALSE)</f>
        <v xml:space="preserve">Masterton </v>
      </c>
      <c r="AC132" s="229" t="str">
        <f>VLOOKUP(B132,'2007-2020 Metadata'!$A$6:$A$214,1,FALSE)</f>
        <v>WEL089</v>
      </c>
      <c r="AD132" s="356" t="str">
        <f>VLOOKUP($AC132,'2007-2020 Metadata'!$A$6:$S$214,9,FALSE)</f>
        <v xml:space="preserve">Masterton </v>
      </c>
      <c r="AE132" s="356">
        <f>IF(ISBLANK(VLOOKUP($AC132,'2007-2020 Metadata'!$A$6:$S$214,19,FALSE)),"",VLOOKUP($AC132,'2007-2020 Metadata'!$A$6:$S$214,19,FALSE))</f>
        <v>3</v>
      </c>
      <c r="AF132" s="355" t="str">
        <f>VLOOKUP($B132,'2007-2020 Metadata'!$A$4:$S$214,MATCH("Site type",'2007-2020 Metadata'!$A$4:$S$4,0),FALSE)</f>
        <v>SH</v>
      </c>
      <c r="AG132" s="364">
        <f t="shared" si="28"/>
        <v>8.6</v>
      </c>
      <c r="AH132" s="364">
        <f t="shared" si="29"/>
        <v>25</v>
      </c>
      <c r="AI132" s="354">
        <f t="shared" si="30"/>
        <v>10.554166666666665</v>
      </c>
    </row>
    <row r="133" spans="2:35" ht="12" customHeight="1" x14ac:dyDescent="0.15">
      <c r="B133" s="313" t="s">
        <v>980</v>
      </c>
      <c r="C133" s="309">
        <v>15.2</v>
      </c>
      <c r="D133" s="309">
        <v>19.3</v>
      </c>
      <c r="E133" s="309"/>
      <c r="F133" s="309"/>
      <c r="G133" s="309">
        <v>26.1</v>
      </c>
      <c r="H133" s="309">
        <v>26.9</v>
      </c>
      <c r="I133" s="309">
        <v>27.2</v>
      </c>
      <c r="J133" s="309">
        <v>26.6</v>
      </c>
      <c r="K133" s="309">
        <v>17.399999999999999</v>
      </c>
      <c r="L133" s="309">
        <v>18.899999999999999</v>
      </c>
      <c r="M133" s="309">
        <v>16.100000000000001</v>
      </c>
      <c r="N133" s="309">
        <v>11.8</v>
      </c>
      <c r="O133" s="310">
        <f t="shared" si="38"/>
        <v>20.550000000000004</v>
      </c>
      <c r="P133" s="310">
        <f t="shared" si="24"/>
        <v>26.256863222980027</v>
      </c>
      <c r="Q133" s="311">
        <f t="shared" si="25"/>
        <v>0.83333333333333337</v>
      </c>
      <c r="R133" s="225">
        <f t="shared" si="35"/>
        <v>17.25</v>
      </c>
      <c r="S133" s="226">
        <f t="shared" si="26"/>
        <v>0.66666666666666663</v>
      </c>
      <c r="T133" s="225">
        <f t="shared" si="36"/>
        <v>23.733333333333331</v>
      </c>
      <c r="U133" s="226">
        <f t="shared" si="31"/>
        <v>1</v>
      </c>
      <c r="V133" s="227">
        <f t="shared" si="37"/>
        <v>20.550000000000004</v>
      </c>
      <c r="W133" s="228">
        <f t="shared" si="27"/>
        <v>0.83333333333333337</v>
      </c>
      <c r="X133" s="354" t="e">
        <f t="shared" si="32"/>
        <v>#N/A</v>
      </c>
      <c r="Y133" s="354" t="e">
        <f t="shared" si="33"/>
        <v>#N/A</v>
      </c>
      <c r="Z133" s="354" t="e">
        <f t="shared" si="34"/>
        <v>#N/A</v>
      </c>
      <c r="AA133" s="205"/>
      <c r="AB133" s="357" t="e">
        <f>VLOOKUP($B133,'2007-2020 Metadata'!$A$4:$S$214,MATCH("Urban Area /Monitoring Zone",'2007-2020 Metadata'!$A$4:$S$4,0),FALSE)</f>
        <v>#N/A</v>
      </c>
      <c r="AC133" s="229" t="e">
        <f>VLOOKUP(B133,'2007-2020 Metadata'!$A$6:$A$214,1,FALSE)</f>
        <v>#N/A</v>
      </c>
      <c r="AD133" s="356" t="e">
        <f>VLOOKUP($AC133,'2007-2020 Metadata'!$A$6:$S$214,9,FALSE)</f>
        <v>#N/A</v>
      </c>
      <c r="AE133" s="356" t="e">
        <f>IF(ISBLANK(VLOOKUP($AC133,'2007-2020 Metadata'!$A$6:$S$214,19,FALSE)),"",VLOOKUP($AC133,'2007-2020 Metadata'!$A$6:$S$214,19,FALSE))</f>
        <v>#N/A</v>
      </c>
      <c r="AF133" s="355" t="e">
        <f>VLOOKUP($B133,'2007-2020 Metadata'!$A$4:$S$214,MATCH("Site type",'2007-2020 Metadata'!$A$4:$S$4,0),FALSE)</f>
        <v>#N/A</v>
      </c>
      <c r="AG133" s="364">
        <f t="shared" si="28"/>
        <v>11.8</v>
      </c>
      <c r="AH133" s="364">
        <f t="shared" si="29"/>
        <v>27.2</v>
      </c>
      <c r="AI133" s="354" t="e">
        <f t="shared" si="30"/>
        <v>#N/A</v>
      </c>
    </row>
    <row r="134" spans="2:35" ht="12" customHeight="1" x14ac:dyDescent="0.15">
      <c r="B134" s="313" t="s">
        <v>529</v>
      </c>
      <c r="C134" s="309">
        <v>4.7</v>
      </c>
      <c r="D134" s="309">
        <v>8.6999999999999993</v>
      </c>
      <c r="E134" s="309">
        <v>5.3</v>
      </c>
      <c r="F134" s="309">
        <v>5.3</v>
      </c>
      <c r="G134" s="309">
        <v>15.4</v>
      </c>
      <c r="H134" s="309">
        <v>14.5</v>
      </c>
      <c r="I134" s="309">
        <v>14.6</v>
      </c>
      <c r="J134" s="309">
        <v>13.1</v>
      </c>
      <c r="K134" s="309">
        <v>6</v>
      </c>
      <c r="L134" s="309">
        <v>7.4</v>
      </c>
      <c r="M134" s="309">
        <v>6.1</v>
      </c>
      <c r="N134" s="309"/>
      <c r="O134" s="310">
        <f t="shared" si="38"/>
        <v>9.1909090909090896</v>
      </c>
      <c r="P134" s="310">
        <f t="shared" si="24"/>
        <v>44.609188066388484</v>
      </c>
      <c r="Q134" s="311">
        <f t="shared" si="25"/>
        <v>0.91666666666666663</v>
      </c>
      <c r="R134" s="225">
        <f t="shared" si="35"/>
        <v>6.2333333333333334</v>
      </c>
      <c r="S134" s="226">
        <f t="shared" si="26"/>
        <v>1</v>
      </c>
      <c r="T134" s="225">
        <f t="shared" si="36"/>
        <v>11.233333333333334</v>
      </c>
      <c r="U134" s="226">
        <f t="shared" si="31"/>
        <v>1</v>
      </c>
      <c r="V134" s="227">
        <f t="shared" si="37"/>
        <v>9.1909090909090896</v>
      </c>
      <c r="W134" s="228">
        <f t="shared" si="27"/>
        <v>0.91666666666666663</v>
      </c>
      <c r="X134" s="354">
        <f t="shared" si="32"/>
        <v>9.2444444444444454</v>
      </c>
      <c r="Y134" s="354">
        <f t="shared" si="33"/>
        <v>16.172222222222221</v>
      </c>
      <c r="Z134" s="354">
        <f t="shared" si="34"/>
        <v>12.705429292929294</v>
      </c>
      <c r="AA134" s="205"/>
      <c r="AB134" s="357" t="str">
        <f>VLOOKUP($B134,'2007-2020 Metadata'!$A$4:$S$214,MATCH("Urban Area /Monitoring Zone",'2007-2020 Metadata'!$A$4:$S$4,0),FALSE)</f>
        <v>Lower Hutt</v>
      </c>
      <c r="AC134" s="229" t="str">
        <f>VLOOKUP(B134,'2007-2020 Metadata'!$A$6:$A$214,1,FALSE)</f>
        <v>WEL091</v>
      </c>
      <c r="AD134" s="356" t="str">
        <f>VLOOKUP($AC134,'2007-2020 Metadata'!$A$6:$S$214,9,FALSE)</f>
        <v>Lower Hutt</v>
      </c>
      <c r="AE134" s="356">
        <f>IF(ISBLANK(VLOOKUP($AC134,'2007-2020 Metadata'!$A$6:$S$214,19,FALSE)),"",VLOOKUP($AC134,'2007-2020 Metadata'!$A$6:$S$214,19,FALSE))</f>
        <v>3</v>
      </c>
      <c r="AF134" s="355" t="str">
        <f>VLOOKUP($B134,'2007-2020 Metadata'!$A$4:$S$214,MATCH("Site type",'2007-2020 Metadata'!$A$4:$S$4,0),FALSE)</f>
        <v>Background</v>
      </c>
      <c r="AG134" s="364">
        <f t="shared" si="28"/>
        <v>4.7</v>
      </c>
      <c r="AH134" s="364">
        <f t="shared" si="29"/>
        <v>15.4</v>
      </c>
      <c r="AI134" s="354">
        <f t="shared" si="30"/>
        <v>12.705429292929294</v>
      </c>
    </row>
    <row r="135" spans="2:35" ht="12" customHeight="1" x14ac:dyDescent="0.15">
      <c r="B135" s="313" t="s">
        <v>531</v>
      </c>
      <c r="C135" s="309">
        <v>3</v>
      </c>
      <c r="D135" s="309">
        <v>4.5</v>
      </c>
      <c r="E135" s="309">
        <v>3.5</v>
      </c>
      <c r="F135" s="309">
        <v>3.5</v>
      </c>
      <c r="G135" s="309">
        <v>10.5</v>
      </c>
      <c r="H135" s="309">
        <v>9.6999999999999993</v>
      </c>
      <c r="I135" s="309">
        <v>9.6999999999999993</v>
      </c>
      <c r="J135" s="309"/>
      <c r="K135" s="309">
        <v>4</v>
      </c>
      <c r="L135" s="309">
        <v>4.5999999999999996</v>
      </c>
      <c r="M135" s="309">
        <v>4</v>
      </c>
      <c r="N135" s="309">
        <v>2</v>
      </c>
      <c r="O135" s="310">
        <f t="shared" si="38"/>
        <v>5.3636363636363642</v>
      </c>
      <c r="P135" s="310">
        <f t="shared" ref="P135:P169" si="41">IFERROR((STDEVP(C135:N135)/O135)*100,"")</f>
        <v>54.177403380545201</v>
      </c>
      <c r="Q135" s="311">
        <f t="shared" ref="Q135:Q169" si="42">COUNT(C135:N135)/COUNT($C$6:$N$6)</f>
        <v>0.91666666666666663</v>
      </c>
      <c r="R135" s="225">
        <f t="shared" si="35"/>
        <v>3.6666666666666665</v>
      </c>
      <c r="S135" s="226">
        <f t="shared" si="26"/>
        <v>1</v>
      </c>
      <c r="T135" s="225">
        <f t="shared" si="36"/>
        <v>6.85</v>
      </c>
      <c r="U135" s="226">
        <f t="shared" si="31"/>
        <v>0.66666666666666663</v>
      </c>
      <c r="V135" s="227">
        <f t="shared" si="37"/>
        <v>5.3636363636363642</v>
      </c>
      <c r="W135" s="228">
        <f t="shared" si="27"/>
        <v>0.91666666666666663</v>
      </c>
      <c r="X135" s="354">
        <f t="shared" si="32"/>
        <v>3.6666666666666665</v>
      </c>
      <c r="Y135" s="354">
        <f t="shared" si="33"/>
        <v>6.85</v>
      </c>
      <c r="Z135" s="354">
        <f t="shared" si="34"/>
        <v>5.3636363636363642</v>
      </c>
      <c r="AA135" s="205"/>
      <c r="AB135" s="357" t="str">
        <f>VLOOKUP($B135,'2007-2020 Metadata'!$A$4:$S$214,MATCH("Urban Area /Monitoring Zone",'2007-2020 Metadata'!$A$4:$S$4,0),FALSE)</f>
        <v xml:space="preserve">Upper Hutt </v>
      </c>
      <c r="AC135" s="229" t="str">
        <f>VLOOKUP(B135,'2007-2020 Metadata'!$A$6:$A$214,1,FALSE)</f>
        <v>WEL092</v>
      </c>
      <c r="AD135" s="356" t="str">
        <f>VLOOKUP($AC135,'2007-2020 Metadata'!$A$6:$S$214,9,FALSE)</f>
        <v xml:space="preserve">Upper Hutt </v>
      </c>
      <c r="AE135" s="356">
        <f>IF(ISBLANK(VLOOKUP($AC135,'2007-2020 Metadata'!$A$6:$S$214,19,FALSE)),"",VLOOKUP($AC135,'2007-2020 Metadata'!$A$6:$S$214,19,FALSE))</f>
        <v>3</v>
      </c>
      <c r="AF135" s="355" t="str">
        <f>VLOOKUP($B135,'2007-2020 Metadata'!$A$4:$S$214,MATCH("Site type",'2007-2020 Metadata'!$A$4:$S$4,0),FALSE)</f>
        <v>Background</v>
      </c>
      <c r="AG135" s="364">
        <f t="shared" si="28"/>
        <v>2</v>
      </c>
      <c r="AH135" s="364">
        <f t="shared" si="29"/>
        <v>10.5</v>
      </c>
      <c r="AI135" s="354">
        <f t="shared" si="30"/>
        <v>5.3636363636363642</v>
      </c>
    </row>
    <row r="136" spans="2:35" ht="12" customHeight="1" x14ac:dyDescent="0.15">
      <c r="B136" s="313" t="s">
        <v>981</v>
      </c>
      <c r="C136" s="309">
        <v>8.5</v>
      </c>
      <c r="D136" s="309">
        <v>12.5</v>
      </c>
      <c r="E136" s="309">
        <v>5.5</v>
      </c>
      <c r="F136" s="309">
        <v>5.5</v>
      </c>
      <c r="G136" s="309">
        <v>19.7</v>
      </c>
      <c r="H136" s="309">
        <v>20</v>
      </c>
      <c r="I136" s="309">
        <v>19.8</v>
      </c>
      <c r="J136" s="309">
        <v>17.5</v>
      </c>
      <c r="K136" s="309">
        <v>12</v>
      </c>
      <c r="L136" s="309">
        <v>12.6</v>
      </c>
      <c r="M136" s="309">
        <v>11.4</v>
      </c>
      <c r="N136" s="309">
        <v>9.6</v>
      </c>
      <c r="O136" s="310">
        <f t="shared" si="38"/>
        <v>12.883333333333333</v>
      </c>
      <c r="P136" s="310">
        <f t="shared" si="41"/>
        <v>39.355584909877592</v>
      </c>
      <c r="Q136" s="311">
        <f t="shared" si="42"/>
        <v>1</v>
      </c>
      <c r="R136" s="225">
        <f t="shared" si="35"/>
        <v>8.8333333333333339</v>
      </c>
      <c r="S136" s="226">
        <f t="shared" ref="S136:S169" si="43">COUNT(C136:E136)/3</f>
        <v>1</v>
      </c>
      <c r="T136" s="225">
        <f t="shared" si="36"/>
        <v>16.433333333333334</v>
      </c>
      <c r="U136" s="226">
        <f t="shared" si="31"/>
        <v>1</v>
      </c>
      <c r="V136" s="227">
        <f t="shared" si="37"/>
        <v>12.883333333333333</v>
      </c>
      <c r="W136" s="228">
        <f t="shared" ref="W136:W169" si="44">Q136</f>
        <v>1</v>
      </c>
      <c r="X136" s="354" t="e">
        <f t="shared" si="32"/>
        <v>#N/A</v>
      </c>
      <c r="Y136" s="354" t="e">
        <f t="shared" si="33"/>
        <v>#N/A</v>
      </c>
      <c r="Z136" s="354" t="e">
        <f t="shared" si="34"/>
        <v>#N/A</v>
      </c>
      <c r="AA136" s="205"/>
      <c r="AB136" s="357" t="e">
        <f>VLOOKUP($B136,'2007-2020 Metadata'!$A$4:$S$214,MATCH("Urban Area /Monitoring Zone",'2007-2020 Metadata'!$A$4:$S$4,0),FALSE)</f>
        <v>#N/A</v>
      </c>
      <c r="AC136" s="229" t="e">
        <f>VLOOKUP(B136,'2007-2020 Metadata'!$A$6:$A$214,1,FALSE)</f>
        <v>#N/A</v>
      </c>
      <c r="AD136" s="356" t="e">
        <f>VLOOKUP($AC136,'2007-2020 Metadata'!$A$6:$S$214,9,FALSE)</f>
        <v>#N/A</v>
      </c>
      <c r="AE136" s="356" t="e">
        <f>IF(ISBLANK(VLOOKUP($AC136,'2007-2020 Metadata'!$A$6:$S$214,19,FALSE)),"",VLOOKUP($AC136,'2007-2020 Metadata'!$A$6:$S$214,19,FALSE))</f>
        <v>#N/A</v>
      </c>
      <c r="AF136" s="355" t="e">
        <f>VLOOKUP($B136,'2007-2020 Metadata'!$A$4:$S$214,MATCH("Site type",'2007-2020 Metadata'!$A$4:$S$4,0),FALSE)</f>
        <v>#N/A</v>
      </c>
      <c r="AG136" s="364">
        <f t="shared" ref="AG136:AG169" si="45">MIN(C136:N136)</f>
        <v>5.5</v>
      </c>
      <c r="AH136" s="364">
        <f t="shared" ref="AH136:AH169" si="46">MAX(C136:N136)</f>
        <v>20</v>
      </c>
      <c r="AI136" s="354" t="e">
        <f t="shared" ref="AI136:AI169" si="47">IF(W136&gt;=75%,Z136," ")</f>
        <v>#N/A</v>
      </c>
    </row>
    <row r="137" spans="2:35" ht="12" customHeight="1" x14ac:dyDescent="0.15">
      <c r="B137" s="313" t="s">
        <v>534</v>
      </c>
      <c r="C137" s="309">
        <v>3.6</v>
      </c>
      <c r="D137" s="309">
        <v>4.7</v>
      </c>
      <c r="E137" s="309">
        <v>2.2999999999999998</v>
      </c>
      <c r="F137" s="309">
        <v>2.2999999999999998</v>
      </c>
      <c r="G137" s="309">
        <v>7.9</v>
      </c>
      <c r="H137" s="309">
        <v>7.6</v>
      </c>
      <c r="I137" s="309">
        <v>7.4</v>
      </c>
      <c r="J137" s="309">
        <v>5.9</v>
      </c>
      <c r="K137" s="309">
        <v>3.1</v>
      </c>
      <c r="L137" s="309">
        <v>4.0999999999999996</v>
      </c>
      <c r="M137" s="309">
        <v>3.7</v>
      </c>
      <c r="N137" s="309">
        <v>2.8</v>
      </c>
      <c r="O137" s="310">
        <f t="shared" si="38"/>
        <v>4.6166666666666671</v>
      </c>
      <c r="P137" s="310">
        <f t="shared" si="41"/>
        <v>43.120775380351176</v>
      </c>
      <c r="Q137" s="311">
        <f t="shared" si="42"/>
        <v>1</v>
      </c>
      <c r="R137" s="225">
        <f t="shared" si="35"/>
        <v>3.5333333333333337</v>
      </c>
      <c r="S137" s="226">
        <f t="shared" si="43"/>
        <v>1</v>
      </c>
      <c r="T137" s="225">
        <f t="shared" si="36"/>
        <v>5.4666666666666677</v>
      </c>
      <c r="U137" s="226">
        <f t="shared" ref="U137:U169" si="48">COUNT(I137:K137)/3</f>
        <v>1</v>
      </c>
      <c r="V137" s="227">
        <f t="shared" si="37"/>
        <v>4.6166666666666671</v>
      </c>
      <c r="W137" s="228">
        <f t="shared" si="44"/>
        <v>1</v>
      </c>
      <c r="X137" s="354">
        <f t="shared" ref="X137:X169" si="49">IF(VLOOKUP($B137,$AC$6:$AI$180,3,FALSE)="",$R137,IF(ISERROR(AVERAGEIF($AD$6:$AD$180,VLOOKUP($B137,$AC$6:$AI$180,2,FALSE),$R$6:$R$180)),"",AVERAGEIF($AD$6:$AD$180,VLOOKUP($B137,$AC$6:$AI$180,2,FALSE),$R$6:$R$180)))</f>
        <v>12.166666666666666</v>
      </c>
      <c r="Y137" s="354">
        <f t="shared" ref="Y137:Y169" si="50">IF(VLOOKUP($B137,$AC$6:$AI$180,3,FALSE)="",$T137,IF(ISERROR(AVERAGEIF($AD$6:$AD$180,VLOOKUP($B137,$AC$6:$AI$180,2,FALSE),$T$6:$T$180)),"",AVERAGEIF($AD$6:$AD$180,VLOOKUP($B137,$AC$6:$AI$180,2,FALSE),$T$6:$T$180)))</f>
        <v>18.774999999999999</v>
      </c>
      <c r="Z137" s="354">
        <f t="shared" ref="Z137:Z169" si="51">IF(VLOOKUP($B137,$AC$6:$AI$180,3,FALSE)="",$V137,IF(ISERROR(AVERAGEIF($AD$6:$AD$180,VLOOKUP($B137,$AC$6:$AI$180,2,FALSE),$V$6:$V$180)),"",AVERAGEIF($AD$6:$AD$180,VLOOKUP($B137,$AC$6:$AI$180,2,FALSE),$V$6:$V$180)))</f>
        <v>15.250441919191919</v>
      </c>
      <c r="AA137" s="205"/>
      <c r="AB137" s="357" t="str">
        <f>VLOOKUP($B137,'2007-2020 Metadata'!$A$4:$S$214,MATCH("Urban Area /Monitoring Zone",'2007-2020 Metadata'!$A$4:$S$4,0),FALSE)</f>
        <v>Wellington</v>
      </c>
      <c r="AC137" s="229" t="str">
        <f>VLOOKUP(B137,'2007-2020 Metadata'!$A$6:$A$214,1,FALSE)</f>
        <v>WEL094</v>
      </c>
      <c r="AD137" s="356" t="str">
        <f>VLOOKUP($AC137,'2007-2020 Metadata'!$A$6:$S$214,9,FALSE)</f>
        <v>Wellington</v>
      </c>
      <c r="AE137" s="356">
        <f>IF(ISBLANK(VLOOKUP($AC137,'2007-2020 Metadata'!$A$6:$S$214,19,FALSE)),"",VLOOKUP($AC137,'2007-2020 Metadata'!$A$6:$S$214,19,FALSE))</f>
        <v>3</v>
      </c>
      <c r="AF137" s="355" t="str">
        <f>VLOOKUP($B137,'2007-2020 Metadata'!$A$4:$S$214,MATCH("Site type",'2007-2020 Metadata'!$A$4:$S$4,0),FALSE)</f>
        <v>Background</v>
      </c>
      <c r="AG137" s="364">
        <f t="shared" si="45"/>
        <v>2.2999999999999998</v>
      </c>
      <c r="AH137" s="364">
        <f t="shared" si="46"/>
        <v>7.9</v>
      </c>
      <c r="AI137" s="354">
        <f t="shared" si="47"/>
        <v>15.250441919191919</v>
      </c>
    </row>
    <row r="138" spans="2:35" ht="12" customHeight="1" x14ac:dyDescent="0.15">
      <c r="B138" s="313" t="s">
        <v>982</v>
      </c>
      <c r="C138" s="309">
        <v>11.8</v>
      </c>
      <c r="D138" s="309">
        <v>12.2</v>
      </c>
      <c r="E138" s="309">
        <v>10.1</v>
      </c>
      <c r="F138" s="309">
        <v>10.1</v>
      </c>
      <c r="G138" s="309">
        <v>22.9</v>
      </c>
      <c r="H138" s="309">
        <v>24.7</v>
      </c>
      <c r="I138" s="309">
        <v>21.3</v>
      </c>
      <c r="J138" s="309">
        <v>20.2</v>
      </c>
      <c r="K138" s="309">
        <v>14.2</v>
      </c>
      <c r="L138" s="309">
        <v>12.4</v>
      </c>
      <c r="M138" s="309">
        <v>12.2</v>
      </c>
      <c r="N138" s="309">
        <v>9.6</v>
      </c>
      <c r="O138" s="310">
        <f t="shared" si="38"/>
        <v>15.141666666666664</v>
      </c>
      <c r="P138" s="310">
        <f t="shared" si="41"/>
        <v>34.815814597685154</v>
      </c>
      <c r="Q138" s="311">
        <f t="shared" si="42"/>
        <v>1</v>
      </c>
      <c r="R138" s="225">
        <f t="shared" ref="R138:R169" si="52">IF($S138=0%,"",IF($S138&gt;66%,AVERAGE($C138:$E138),"-"))</f>
        <v>11.366666666666667</v>
      </c>
      <c r="S138" s="226">
        <f t="shared" si="43"/>
        <v>1</v>
      </c>
      <c r="T138" s="225">
        <f t="shared" ref="T138:T169" si="53">IF($U138=0%,"",IF($U138&gt;66%,AVERAGE($I138:$K138),"-"))</f>
        <v>18.566666666666666</v>
      </c>
      <c r="U138" s="226">
        <f t="shared" si="48"/>
        <v>1</v>
      </c>
      <c r="V138" s="227">
        <f t="shared" ref="V138:V169" si="54">IF(AND(($S138&gt;33%),($U138&gt;33%),($W138&gt;=75%)),AVERAGE($C138:$N138),"-")</f>
        <v>15.141666666666664</v>
      </c>
      <c r="W138" s="228">
        <f t="shared" si="44"/>
        <v>1</v>
      </c>
      <c r="X138" s="354" t="e">
        <f t="shared" si="49"/>
        <v>#N/A</v>
      </c>
      <c r="Y138" s="354" t="e">
        <f t="shared" si="50"/>
        <v>#N/A</v>
      </c>
      <c r="Z138" s="354" t="e">
        <f t="shared" si="51"/>
        <v>#N/A</v>
      </c>
      <c r="AA138" s="205"/>
      <c r="AB138" s="357" t="e">
        <f>VLOOKUP($B138,'2007-2020 Metadata'!$A$4:$S$214,MATCH("Urban Area /Monitoring Zone",'2007-2020 Metadata'!$A$4:$S$4,0),FALSE)</f>
        <v>#N/A</v>
      </c>
      <c r="AC138" s="229" t="e">
        <f>VLOOKUP(B138,'2007-2020 Metadata'!$A$6:$A$214,1,FALSE)</f>
        <v>#N/A</v>
      </c>
      <c r="AD138" s="356" t="e">
        <f>VLOOKUP($AC138,'2007-2020 Metadata'!$A$6:$S$214,9,FALSE)</f>
        <v>#N/A</v>
      </c>
      <c r="AE138" s="356" t="e">
        <f>IF(ISBLANK(VLOOKUP($AC138,'2007-2020 Metadata'!$A$6:$S$214,19,FALSE)),"",VLOOKUP($AC138,'2007-2020 Metadata'!$A$6:$S$214,19,FALSE))</f>
        <v>#N/A</v>
      </c>
      <c r="AF138" s="355" t="e">
        <f>VLOOKUP($B138,'2007-2020 Metadata'!$A$4:$S$214,MATCH("Site type",'2007-2020 Metadata'!$A$4:$S$4,0),FALSE)</f>
        <v>#N/A</v>
      </c>
      <c r="AG138" s="364">
        <f t="shared" si="45"/>
        <v>9.6</v>
      </c>
      <c r="AH138" s="364">
        <f t="shared" si="46"/>
        <v>24.7</v>
      </c>
      <c r="AI138" s="354" t="e">
        <f t="shared" si="47"/>
        <v>#N/A</v>
      </c>
    </row>
    <row r="139" spans="2:35" ht="12" customHeight="1" x14ac:dyDescent="0.15">
      <c r="B139" s="313" t="s">
        <v>536</v>
      </c>
      <c r="C139" s="309">
        <v>4.2</v>
      </c>
      <c r="D139" s="309">
        <v>6.2</v>
      </c>
      <c r="E139" s="309">
        <v>4.2</v>
      </c>
      <c r="F139" s="309">
        <v>4.2</v>
      </c>
      <c r="G139" s="309">
        <v>12.7</v>
      </c>
      <c r="H139" s="309">
        <v>12.2</v>
      </c>
      <c r="I139" s="309">
        <v>11.4</v>
      </c>
      <c r="J139" s="309">
        <v>11</v>
      </c>
      <c r="K139" s="309">
        <v>5.2</v>
      </c>
      <c r="L139" s="309">
        <v>5.3</v>
      </c>
      <c r="M139" s="309">
        <v>5.3</v>
      </c>
      <c r="N139" s="309">
        <v>3.3</v>
      </c>
      <c r="O139" s="310">
        <f t="shared" si="38"/>
        <v>7.0999999999999988</v>
      </c>
      <c r="P139" s="310">
        <f t="shared" si="41"/>
        <v>48.388703642657042</v>
      </c>
      <c r="Q139" s="311">
        <f t="shared" si="42"/>
        <v>1</v>
      </c>
      <c r="R139" s="225">
        <f t="shared" si="52"/>
        <v>4.8666666666666671</v>
      </c>
      <c r="S139" s="226">
        <f t="shared" si="43"/>
        <v>1</v>
      </c>
      <c r="T139" s="225">
        <f t="shared" si="53"/>
        <v>9.1999999999999993</v>
      </c>
      <c r="U139" s="226">
        <f t="shared" si="48"/>
        <v>1</v>
      </c>
      <c r="V139" s="227">
        <f t="shared" si="54"/>
        <v>7.0999999999999988</v>
      </c>
      <c r="W139" s="228">
        <f t="shared" si="44"/>
        <v>1</v>
      </c>
      <c r="X139" s="354">
        <f t="shared" si="49"/>
        <v>7.5333333333333332</v>
      </c>
      <c r="Y139" s="354">
        <f t="shared" si="50"/>
        <v>12.766666666666666</v>
      </c>
      <c r="Z139" s="354">
        <f t="shared" si="51"/>
        <v>10.554166666666665</v>
      </c>
      <c r="AA139" s="205"/>
      <c r="AB139" s="357" t="str">
        <f>VLOOKUP($B139,'2007-2020 Metadata'!$A$4:$S$214,MATCH("Urban Area /Monitoring Zone",'2007-2020 Metadata'!$A$4:$S$4,0),FALSE)</f>
        <v xml:space="preserve">Masterton </v>
      </c>
      <c r="AC139" s="229" t="str">
        <f>VLOOKUP(B139,'2007-2020 Metadata'!$A$6:$A$214,1,FALSE)</f>
        <v>WEL096</v>
      </c>
      <c r="AD139" s="356" t="str">
        <f>VLOOKUP($AC139,'2007-2020 Metadata'!$A$6:$S$214,9,FALSE)</f>
        <v xml:space="preserve">Masterton </v>
      </c>
      <c r="AE139" s="356">
        <f>IF(ISBLANK(VLOOKUP($AC139,'2007-2020 Metadata'!$A$6:$S$214,19,FALSE)),"",VLOOKUP($AC139,'2007-2020 Metadata'!$A$6:$S$214,19,FALSE))</f>
        <v>3</v>
      </c>
      <c r="AF139" s="355" t="str">
        <f>VLOOKUP($B139,'2007-2020 Metadata'!$A$4:$S$214,MATCH("Site type",'2007-2020 Metadata'!$A$4:$S$4,0),FALSE)</f>
        <v>Background</v>
      </c>
      <c r="AG139" s="364">
        <f t="shared" si="45"/>
        <v>3.3</v>
      </c>
      <c r="AH139" s="364">
        <f t="shared" si="46"/>
        <v>12.7</v>
      </c>
      <c r="AI139" s="354">
        <f t="shared" si="47"/>
        <v>10.554166666666665</v>
      </c>
    </row>
    <row r="140" spans="2:35" ht="12" customHeight="1" x14ac:dyDescent="0.15">
      <c r="B140" s="313" t="s">
        <v>983</v>
      </c>
      <c r="C140" s="309">
        <v>12.8</v>
      </c>
      <c r="D140" s="309">
        <v>16.5</v>
      </c>
      <c r="E140" s="309">
        <v>9.1</v>
      </c>
      <c r="F140" s="309">
        <v>9.1</v>
      </c>
      <c r="G140" s="309">
        <v>12.1</v>
      </c>
      <c r="H140" s="309">
        <v>10.7</v>
      </c>
      <c r="I140" s="309">
        <v>14.7</v>
      </c>
      <c r="J140" s="309">
        <v>13.6</v>
      </c>
      <c r="K140" s="309">
        <v>10.9</v>
      </c>
      <c r="L140" s="309">
        <v>9.5</v>
      </c>
      <c r="M140" s="309">
        <v>9</v>
      </c>
      <c r="N140" s="309">
        <v>9.6999999999999993</v>
      </c>
      <c r="O140" s="310">
        <f t="shared" ref="O140:O169" si="55">(AVERAGE(C140:N140))</f>
        <v>11.475</v>
      </c>
      <c r="P140" s="310">
        <f t="shared" si="41"/>
        <v>20.699460943938718</v>
      </c>
      <c r="Q140" s="311">
        <f t="shared" si="42"/>
        <v>1</v>
      </c>
      <c r="R140" s="225">
        <f t="shared" si="52"/>
        <v>12.799999999999999</v>
      </c>
      <c r="S140" s="226">
        <f t="shared" si="43"/>
        <v>1</v>
      </c>
      <c r="T140" s="225">
        <f t="shared" si="53"/>
        <v>13.066666666666665</v>
      </c>
      <c r="U140" s="226">
        <f t="shared" si="48"/>
        <v>1</v>
      </c>
      <c r="V140" s="227">
        <f t="shared" si="54"/>
        <v>11.475</v>
      </c>
      <c r="W140" s="228">
        <f t="shared" si="44"/>
        <v>1</v>
      </c>
      <c r="X140" s="354" t="e">
        <f t="shared" si="49"/>
        <v>#N/A</v>
      </c>
      <c r="Y140" s="354" t="e">
        <f t="shared" si="50"/>
        <v>#N/A</v>
      </c>
      <c r="Z140" s="354" t="e">
        <f t="shared" si="51"/>
        <v>#N/A</v>
      </c>
      <c r="AA140" s="205"/>
      <c r="AB140" s="357" t="e">
        <f>VLOOKUP($B140,'2007-2020 Metadata'!$A$4:$S$214,MATCH("Urban Area /Monitoring Zone",'2007-2020 Metadata'!$A$4:$S$4,0),FALSE)</f>
        <v>#N/A</v>
      </c>
      <c r="AC140" s="229" t="e">
        <f>VLOOKUP(B140,'2007-2020 Metadata'!$A$6:$A$214,1,FALSE)</f>
        <v>#N/A</v>
      </c>
      <c r="AD140" s="356" t="e">
        <f>VLOOKUP($AC140,'2007-2020 Metadata'!$A$6:$S$214,9,FALSE)</f>
        <v>#N/A</v>
      </c>
      <c r="AE140" s="356" t="e">
        <f>IF(ISBLANK(VLOOKUP($AC140,'2007-2020 Metadata'!$A$6:$S$214,19,FALSE)),"",VLOOKUP($AC140,'2007-2020 Metadata'!$A$6:$S$214,19,FALSE))</f>
        <v>#N/A</v>
      </c>
      <c r="AF140" s="355" t="e">
        <f>VLOOKUP($B140,'2007-2020 Metadata'!$A$4:$S$214,MATCH("Site type",'2007-2020 Metadata'!$A$4:$S$4,0),FALSE)</f>
        <v>#N/A</v>
      </c>
      <c r="AG140" s="364">
        <f t="shared" si="45"/>
        <v>9</v>
      </c>
      <c r="AH140" s="364">
        <f t="shared" si="46"/>
        <v>16.5</v>
      </c>
      <c r="AI140" s="354" t="e">
        <f t="shared" si="47"/>
        <v>#N/A</v>
      </c>
    </row>
    <row r="141" spans="2:35" ht="12" customHeight="1" x14ac:dyDescent="0.15">
      <c r="B141" s="313" t="s">
        <v>984</v>
      </c>
      <c r="C141" s="309">
        <v>12.3</v>
      </c>
      <c r="D141" s="309">
        <v>16.5</v>
      </c>
      <c r="E141" s="309">
        <v>22.5</v>
      </c>
      <c r="F141" s="309">
        <v>22.5</v>
      </c>
      <c r="G141" s="309"/>
      <c r="H141" s="309">
        <v>11.7</v>
      </c>
      <c r="I141" s="309">
        <v>14.2</v>
      </c>
      <c r="J141" s="309">
        <v>12.4</v>
      </c>
      <c r="K141" s="309">
        <v>8</v>
      </c>
      <c r="L141" s="309">
        <v>9.8000000000000007</v>
      </c>
      <c r="M141" s="309">
        <v>8.1</v>
      </c>
      <c r="N141" s="309">
        <v>7.2</v>
      </c>
      <c r="O141" s="310">
        <f t="shared" si="55"/>
        <v>13.2</v>
      </c>
      <c r="P141" s="310">
        <f t="shared" si="41"/>
        <v>38.843097317276772</v>
      </c>
      <c r="Q141" s="311">
        <f t="shared" si="42"/>
        <v>0.91666666666666663</v>
      </c>
      <c r="R141" s="225">
        <f t="shared" si="52"/>
        <v>17.099999999999998</v>
      </c>
      <c r="S141" s="226">
        <f t="shared" si="43"/>
        <v>1</v>
      </c>
      <c r="T141" s="225">
        <f t="shared" si="53"/>
        <v>11.533333333333333</v>
      </c>
      <c r="U141" s="226">
        <f t="shared" si="48"/>
        <v>1</v>
      </c>
      <c r="V141" s="227">
        <f t="shared" si="54"/>
        <v>13.2</v>
      </c>
      <c r="W141" s="228">
        <f t="shared" si="44"/>
        <v>0.91666666666666663</v>
      </c>
      <c r="X141" s="354" t="e">
        <f t="shared" si="49"/>
        <v>#N/A</v>
      </c>
      <c r="Y141" s="354" t="e">
        <f t="shared" si="50"/>
        <v>#N/A</v>
      </c>
      <c r="Z141" s="354" t="e">
        <f t="shared" si="51"/>
        <v>#N/A</v>
      </c>
      <c r="AA141" s="205"/>
      <c r="AB141" s="357" t="e">
        <f>VLOOKUP($B141,'2007-2020 Metadata'!$A$4:$S$214,MATCH("Urban Area /Monitoring Zone",'2007-2020 Metadata'!$A$4:$S$4,0),FALSE)</f>
        <v>#N/A</v>
      </c>
      <c r="AC141" s="229" t="e">
        <f>VLOOKUP(B141,'2007-2020 Metadata'!$A$6:$A$214,1,FALSE)</f>
        <v>#N/A</v>
      </c>
      <c r="AD141" s="356" t="e">
        <f>VLOOKUP($AC141,'2007-2020 Metadata'!$A$6:$S$214,9,FALSE)</f>
        <v>#N/A</v>
      </c>
      <c r="AE141" s="356" t="e">
        <f>IF(ISBLANK(VLOOKUP($AC141,'2007-2020 Metadata'!$A$6:$S$214,19,FALSE)),"",VLOOKUP($AC141,'2007-2020 Metadata'!$A$6:$S$214,19,FALSE))</f>
        <v>#N/A</v>
      </c>
      <c r="AF141" s="355" t="e">
        <f>VLOOKUP($B141,'2007-2020 Metadata'!$A$4:$S$214,MATCH("Site type",'2007-2020 Metadata'!$A$4:$S$4,0),FALSE)</f>
        <v>#N/A</v>
      </c>
      <c r="AG141" s="364">
        <f t="shared" si="45"/>
        <v>7.2</v>
      </c>
      <c r="AH141" s="364">
        <f t="shared" si="46"/>
        <v>22.5</v>
      </c>
      <c r="AI141" s="354" t="e">
        <f t="shared" si="47"/>
        <v>#N/A</v>
      </c>
    </row>
    <row r="142" spans="2:35" ht="12" customHeight="1" x14ac:dyDescent="0.15">
      <c r="B142" s="313" t="s">
        <v>988</v>
      </c>
      <c r="C142" s="309">
        <v>13.5</v>
      </c>
      <c r="D142" s="309">
        <v>17.3</v>
      </c>
      <c r="E142" s="309">
        <v>8.8000000000000007</v>
      </c>
      <c r="F142" s="309">
        <v>8.8000000000000007</v>
      </c>
      <c r="G142" s="309">
        <v>24</v>
      </c>
      <c r="H142" s="309">
        <v>24.1</v>
      </c>
      <c r="I142" s="309">
        <v>27.6</v>
      </c>
      <c r="J142" s="309">
        <v>24.2</v>
      </c>
      <c r="K142" s="309">
        <v>17.5</v>
      </c>
      <c r="L142" s="309">
        <v>18.399999999999999</v>
      </c>
      <c r="M142" s="309">
        <v>17.3</v>
      </c>
      <c r="N142" s="309">
        <v>12.4</v>
      </c>
      <c r="O142" s="310">
        <f t="shared" si="55"/>
        <v>17.824999999999999</v>
      </c>
      <c r="P142" s="310">
        <f t="shared" si="41"/>
        <v>33.415128868894946</v>
      </c>
      <c r="Q142" s="311">
        <f t="shared" si="42"/>
        <v>1</v>
      </c>
      <c r="R142" s="225">
        <f t="shared" si="52"/>
        <v>13.200000000000001</v>
      </c>
      <c r="S142" s="226">
        <f t="shared" si="43"/>
        <v>1</v>
      </c>
      <c r="T142" s="225">
        <f t="shared" si="53"/>
        <v>23.099999999999998</v>
      </c>
      <c r="U142" s="226">
        <f t="shared" si="48"/>
        <v>1</v>
      </c>
      <c r="V142" s="227">
        <f t="shared" si="54"/>
        <v>17.824999999999999</v>
      </c>
      <c r="W142" s="228">
        <f t="shared" si="44"/>
        <v>1</v>
      </c>
      <c r="X142" s="354" t="e">
        <f t="shared" si="49"/>
        <v>#N/A</v>
      </c>
      <c r="Y142" s="354" t="e">
        <f t="shared" si="50"/>
        <v>#N/A</v>
      </c>
      <c r="Z142" s="354" t="e">
        <f t="shared" si="51"/>
        <v>#N/A</v>
      </c>
      <c r="AA142" s="205"/>
      <c r="AB142" s="357" t="e">
        <f>VLOOKUP($B142,'2007-2020 Metadata'!$A$4:$S$214,MATCH("Urban Area /Monitoring Zone",'2007-2020 Metadata'!$A$4:$S$4,0),FALSE)</f>
        <v>#N/A</v>
      </c>
      <c r="AC142" s="229" t="e">
        <f>VLOOKUP(B142,'2007-2020 Metadata'!$A$6:$A$214,1,FALSE)</f>
        <v>#N/A</v>
      </c>
      <c r="AD142" s="356" t="e">
        <f>VLOOKUP($AC142,'2007-2020 Metadata'!$A$6:$S$214,9,FALSE)</f>
        <v>#N/A</v>
      </c>
      <c r="AE142" s="356" t="e">
        <f>IF(ISBLANK(VLOOKUP($AC142,'2007-2020 Metadata'!$A$6:$S$214,19,FALSE)),"",VLOOKUP($AC142,'2007-2020 Metadata'!$A$6:$S$214,19,FALSE))</f>
        <v>#N/A</v>
      </c>
      <c r="AF142" s="355" t="e">
        <f>VLOOKUP($B142,'2007-2020 Metadata'!$A$4:$S$214,MATCH("Site type",'2007-2020 Metadata'!$A$4:$S$4,0),FALSE)</f>
        <v>#N/A</v>
      </c>
      <c r="AG142" s="364">
        <f t="shared" si="45"/>
        <v>8.8000000000000007</v>
      </c>
      <c r="AH142" s="364">
        <f t="shared" si="46"/>
        <v>27.6</v>
      </c>
      <c r="AI142" s="354" t="e">
        <f t="shared" si="47"/>
        <v>#N/A</v>
      </c>
    </row>
    <row r="143" spans="2:35" ht="12" customHeight="1" x14ac:dyDescent="0.15">
      <c r="B143" s="313" t="s">
        <v>21</v>
      </c>
      <c r="C143" s="309">
        <v>8</v>
      </c>
      <c r="D143" s="309">
        <v>9.4</v>
      </c>
      <c r="E143" s="309"/>
      <c r="F143" s="309"/>
      <c r="G143" s="309">
        <v>14.2</v>
      </c>
      <c r="H143" s="309">
        <v>11.5</v>
      </c>
      <c r="I143" s="309">
        <v>14</v>
      </c>
      <c r="J143" s="309">
        <v>13.4</v>
      </c>
      <c r="K143" s="309">
        <v>10</v>
      </c>
      <c r="L143" s="309">
        <v>9.5</v>
      </c>
      <c r="M143" s="309">
        <v>8.1999999999999993</v>
      </c>
      <c r="N143" s="309">
        <v>7</v>
      </c>
      <c r="O143" s="310">
        <f t="shared" si="55"/>
        <v>10.52</v>
      </c>
      <c r="P143" s="310">
        <f t="shared" si="41"/>
        <v>23.591769444805802</v>
      </c>
      <c r="Q143" s="311">
        <f t="shared" si="42"/>
        <v>0.83333333333333337</v>
      </c>
      <c r="R143" s="225">
        <f t="shared" si="52"/>
        <v>8.6999999999999993</v>
      </c>
      <c r="S143" s="226">
        <f t="shared" si="43"/>
        <v>0.66666666666666663</v>
      </c>
      <c r="T143" s="225">
        <f t="shared" si="53"/>
        <v>12.466666666666667</v>
      </c>
      <c r="U143" s="226">
        <f t="shared" si="48"/>
        <v>1</v>
      </c>
      <c r="V143" s="227">
        <f t="shared" si="54"/>
        <v>10.52</v>
      </c>
      <c r="W143" s="228">
        <f t="shared" si="44"/>
        <v>0.83333333333333337</v>
      </c>
      <c r="X143" s="354">
        <f t="shared" si="49"/>
        <v>8.6999999999999993</v>
      </c>
      <c r="Y143" s="354">
        <f t="shared" si="50"/>
        <v>12.466666666666667</v>
      </c>
      <c r="Z143" s="354">
        <f t="shared" si="51"/>
        <v>10.52</v>
      </c>
      <c r="AA143" s="205"/>
      <c r="AB143" s="357" t="str">
        <f>VLOOKUP($B143,'2007-2020 Metadata'!$A$4:$S$214,MATCH("Urban Area /Monitoring Zone",'2007-2020 Metadata'!$A$4:$S$4,0),FALSE)</f>
        <v>Greymouth</v>
      </c>
      <c r="AC143" s="229" t="str">
        <f>VLOOKUP(B143,'2007-2020 Metadata'!$A$6:$A$214,1,FALSE)</f>
        <v>CHR001</v>
      </c>
      <c r="AD143" s="356" t="str">
        <f>VLOOKUP($AC143,'2007-2020 Metadata'!$A$6:$S$214,9,FALSE)</f>
        <v>Greymouth</v>
      </c>
      <c r="AE143" s="356">
        <f>IF(ISBLANK(VLOOKUP($AC143,'2007-2020 Metadata'!$A$6:$S$214,19,FALSE)),"",VLOOKUP($AC143,'2007-2020 Metadata'!$A$6:$S$214,19,FALSE))</f>
        <v>2.2999999999999998</v>
      </c>
      <c r="AF143" s="355" t="str">
        <f>VLOOKUP($B143,'2007-2020 Metadata'!$A$4:$S$214,MATCH("Site type",'2007-2020 Metadata'!$A$4:$S$4,0),FALSE)</f>
        <v>SH</v>
      </c>
      <c r="AG143" s="364">
        <f t="shared" si="45"/>
        <v>7</v>
      </c>
      <c r="AH143" s="364">
        <f t="shared" si="46"/>
        <v>14.2</v>
      </c>
      <c r="AI143" s="354">
        <f t="shared" si="47"/>
        <v>10.52</v>
      </c>
    </row>
    <row r="144" spans="2:35" ht="12" customHeight="1" x14ac:dyDescent="0.15">
      <c r="B144" s="313" t="s">
        <v>22</v>
      </c>
      <c r="C144" s="309">
        <v>13.8</v>
      </c>
      <c r="D144" s="309">
        <v>14.1</v>
      </c>
      <c r="E144" s="309">
        <v>13.5</v>
      </c>
      <c r="F144" s="309">
        <v>13.5</v>
      </c>
      <c r="G144" s="309">
        <v>25.5</v>
      </c>
      <c r="H144" s="309">
        <v>27.8</v>
      </c>
      <c r="I144" s="309">
        <v>29.8</v>
      </c>
      <c r="J144" s="309">
        <v>21.8</v>
      </c>
      <c r="K144" s="309">
        <v>20.8</v>
      </c>
      <c r="L144" s="309">
        <v>17.7</v>
      </c>
      <c r="M144" s="309">
        <v>16.2</v>
      </c>
      <c r="N144" s="309">
        <v>11.2</v>
      </c>
      <c r="O144" s="310">
        <f t="shared" si="55"/>
        <v>18.808333333333334</v>
      </c>
      <c r="P144" s="310">
        <f t="shared" si="41"/>
        <v>31.785686978715468</v>
      </c>
      <c r="Q144" s="311">
        <f t="shared" si="42"/>
        <v>1</v>
      </c>
      <c r="R144" s="225">
        <f t="shared" si="52"/>
        <v>13.799999999999999</v>
      </c>
      <c r="S144" s="226">
        <f t="shared" si="43"/>
        <v>1</v>
      </c>
      <c r="T144" s="225">
        <f t="shared" si="53"/>
        <v>24.133333333333336</v>
      </c>
      <c r="U144" s="226">
        <f t="shared" si="48"/>
        <v>1</v>
      </c>
      <c r="V144" s="227">
        <f t="shared" si="54"/>
        <v>18.808333333333334</v>
      </c>
      <c r="W144" s="228">
        <f t="shared" si="44"/>
        <v>1</v>
      </c>
      <c r="X144" s="354">
        <f t="shared" si="49"/>
        <v>17.232291666666665</v>
      </c>
      <c r="Y144" s="354">
        <f t="shared" si="50"/>
        <v>26.009374999999999</v>
      </c>
      <c r="Z144" s="354">
        <f t="shared" si="51"/>
        <v>21.087381049841017</v>
      </c>
      <c r="AA144" s="205"/>
      <c r="AB144" s="357" t="str">
        <f>VLOOKUP($B144,'2007-2020 Metadata'!$A$4:$S$214,MATCH("Urban Area /Monitoring Zone",'2007-2020 Metadata'!$A$4:$S$4,0),FALSE)</f>
        <v>Christchurch</v>
      </c>
      <c r="AC144" s="229" t="str">
        <f>VLOOKUP(B144,'2007-2020 Metadata'!$A$6:$A$214,1,FALSE)</f>
        <v>CHR002</v>
      </c>
      <c r="AD144" s="356" t="str">
        <f>VLOOKUP($AC144,'2007-2020 Metadata'!$A$6:$S$214,9,FALSE)</f>
        <v>Christchurch</v>
      </c>
      <c r="AE144" s="356">
        <f>IF(ISBLANK(VLOOKUP($AC144,'2007-2020 Metadata'!$A$6:$S$214,19,FALSE)),"",VLOOKUP($AC144,'2007-2020 Metadata'!$A$6:$S$214,19,FALSE))</f>
        <v>3.2</v>
      </c>
      <c r="AF144" s="355" t="str">
        <f>VLOOKUP($B144,'2007-2020 Metadata'!$A$4:$S$214,MATCH("Site type",'2007-2020 Metadata'!$A$4:$S$4,0),FALSE)</f>
        <v>SH</v>
      </c>
      <c r="AG144" s="364">
        <f t="shared" si="45"/>
        <v>11.2</v>
      </c>
      <c r="AH144" s="364">
        <f t="shared" si="46"/>
        <v>29.8</v>
      </c>
      <c r="AI144" s="354">
        <f t="shared" si="47"/>
        <v>21.087381049841017</v>
      </c>
    </row>
    <row r="145" spans="2:35" ht="12" customHeight="1" x14ac:dyDescent="0.15">
      <c r="B145" s="313" t="s">
        <v>23</v>
      </c>
      <c r="C145" s="309">
        <v>13.1</v>
      </c>
      <c r="D145" s="309">
        <v>17.600000000000001</v>
      </c>
      <c r="E145" s="309"/>
      <c r="F145" s="309"/>
      <c r="G145" s="309">
        <v>29.5</v>
      </c>
      <c r="H145" s="309">
        <v>34.299999999999997</v>
      </c>
      <c r="I145" s="309">
        <v>33.4</v>
      </c>
      <c r="J145" s="309">
        <v>24.4</v>
      </c>
      <c r="K145" s="309">
        <v>22.2</v>
      </c>
      <c r="L145" s="309">
        <v>13.7</v>
      </c>
      <c r="M145" s="309">
        <v>15.7</v>
      </c>
      <c r="N145" s="309">
        <v>13</v>
      </c>
      <c r="O145" s="310">
        <f t="shared" si="55"/>
        <v>21.689999999999998</v>
      </c>
      <c r="P145" s="310">
        <f t="shared" si="41"/>
        <v>36.608269922242293</v>
      </c>
      <c r="Q145" s="311">
        <f t="shared" si="42"/>
        <v>0.83333333333333337</v>
      </c>
      <c r="R145" s="225">
        <f t="shared" si="52"/>
        <v>15.350000000000001</v>
      </c>
      <c r="S145" s="226">
        <f t="shared" si="43"/>
        <v>0.66666666666666663</v>
      </c>
      <c r="T145" s="225">
        <f t="shared" si="53"/>
        <v>26.666666666666668</v>
      </c>
      <c r="U145" s="226">
        <f t="shared" si="48"/>
        <v>1</v>
      </c>
      <c r="V145" s="227">
        <f t="shared" si="54"/>
        <v>21.689999999999998</v>
      </c>
      <c r="W145" s="228">
        <f t="shared" si="44"/>
        <v>0.83333333333333337</v>
      </c>
      <c r="X145" s="354">
        <f t="shared" si="49"/>
        <v>17.232291666666665</v>
      </c>
      <c r="Y145" s="354">
        <f t="shared" si="50"/>
        <v>26.009374999999999</v>
      </c>
      <c r="Z145" s="354">
        <f t="shared" si="51"/>
        <v>21.087381049841017</v>
      </c>
      <c r="AA145" s="205"/>
      <c r="AB145" s="357" t="str">
        <f>VLOOKUP($B145,'2007-2020 Metadata'!$A$4:$S$214,MATCH("Urban Area /Monitoring Zone",'2007-2020 Metadata'!$A$4:$S$4,0),FALSE)</f>
        <v>Christchurch</v>
      </c>
      <c r="AC145" s="229" t="str">
        <f>VLOOKUP(B145,'2007-2020 Metadata'!$A$6:$A$214,1,FALSE)</f>
        <v>CHR003</v>
      </c>
      <c r="AD145" s="356" t="str">
        <f>VLOOKUP($AC145,'2007-2020 Metadata'!$A$6:$S$214,9,FALSE)</f>
        <v>Christchurch</v>
      </c>
      <c r="AE145" s="356">
        <f>IF(ISBLANK(VLOOKUP($AC145,'2007-2020 Metadata'!$A$6:$S$214,19,FALSE)),"",VLOOKUP($AC145,'2007-2020 Metadata'!$A$6:$S$214,19,FALSE))</f>
        <v>3.3</v>
      </c>
      <c r="AF145" s="355" t="str">
        <f>VLOOKUP($B145,'2007-2020 Metadata'!$A$4:$S$214,MATCH("Site type",'2007-2020 Metadata'!$A$4:$S$4,0),FALSE)</f>
        <v>SH</v>
      </c>
      <c r="AG145" s="364">
        <f t="shared" si="45"/>
        <v>13</v>
      </c>
      <c r="AH145" s="364">
        <f t="shared" si="46"/>
        <v>34.299999999999997</v>
      </c>
      <c r="AI145" s="354">
        <f t="shared" si="47"/>
        <v>21.087381049841017</v>
      </c>
    </row>
    <row r="146" spans="2:35" ht="12" customHeight="1" x14ac:dyDescent="0.15">
      <c r="B146" s="313" t="s">
        <v>24</v>
      </c>
      <c r="C146" s="309">
        <v>7</v>
      </c>
      <c r="D146" s="309">
        <v>8.3000000000000007</v>
      </c>
      <c r="E146" s="309">
        <v>7.6</v>
      </c>
      <c r="F146" s="309">
        <v>7.6</v>
      </c>
      <c r="G146" s="309">
        <v>17.399999999999999</v>
      </c>
      <c r="H146" s="309">
        <v>19.399999999999999</v>
      </c>
      <c r="I146" s="309">
        <v>18.399999999999999</v>
      </c>
      <c r="J146" s="309">
        <v>16.3</v>
      </c>
      <c r="K146" s="309">
        <v>10.3</v>
      </c>
      <c r="L146" s="309">
        <v>8.6</v>
      </c>
      <c r="M146" s="309">
        <v>7</v>
      </c>
      <c r="N146" s="309">
        <v>6</v>
      </c>
      <c r="O146" s="310">
        <f t="shared" si="55"/>
        <v>11.158333333333331</v>
      </c>
      <c r="P146" s="310">
        <f t="shared" si="41"/>
        <v>43.883573946124258</v>
      </c>
      <c r="Q146" s="311">
        <f t="shared" si="42"/>
        <v>1</v>
      </c>
      <c r="R146" s="225">
        <f t="shared" si="52"/>
        <v>7.6333333333333329</v>
      </c>
      <c r="S146" s="226">
        <f t="shared" si="43"/>
        <v>1</v>
      </c>
      <c r="T146" s="225">
        <f t="shared" si="53"/>
        <v>15</v>
      </c>
      <c r="U146" s="226">
        <f t="shared" si="48"/>
        <v>1</v>
      </c>
      <c r="V146" s="227">
        <f t="shared" si="54"/>
        <v>11.158333333333331</v>
      </c>
      <c r="W146" s="228">
        <f t="shared" si="44"/>
        <v>1</v>
      </c>
      <c r="X146" s="354">
        <f t="shared" si="49"/>
        <v>17.232291666666665</v>
      </c>
      <c r="Y146" s="354">
        <f t="shared" si="50"/>
        <v>26.009374999999999</v>
      </c>
      <c r="Z146" s="354">
        <f t="shared" si="51"/>
        <v>21.087381049841017</v>
      </c>
      <c r="AA146" s="205"/>
      <c r="AB146" s="357" t="str">
        <f>VLOOKUP($B146,'2007-2020 Metadata'!$A$4:$S$214,MATCH("Urban Area /Monitoring Zone",'2007-2020 Metadata'!$A$4:$S$4,0),FALSE)</f>
        <v>Christchurch</v>
      </c>
      <c r="AC146" s="229" t="str">
        <f>VLOOKUP(B146,'2007-2020 Metadata'!$A$6:$A$214,1,FALSE)</f>
        <v>CHR004</v>
      </c>
      <c r="AD146" s="356" t="str">
        <f>VLOOKUP($AC146,'2007-2020 Metadata'!$A$6:$S$214,9,FALSE)</f>
        <v>Christchurch</v>
      </c>
      <c r="AE146" s="356">
        <f>IF(ISBLANK(VLOOKUP($AC146,'2007-2020 Metadata'!$A$6:$S$214,19,FALSE)),"",VLOOKUP($AC146,'2007-2020 Metadata'!$A$6:$S$214,19,FALSE))</f>
        <v>3.1</v>
      </c>
      <c r="AF146" s="355" t="str">
        <f>VLOOKUP($B146,'2007-2020 Metadata'!$A$4:$S$214,MATCH("Site type",'2007-2020 Metadata'!$A$4:$S$4,0),FALSE)</f>
        <v>Background</v>
      </c>
      <c r="AG146" s="364">
        <f t="shared" si="45"/>
        <v>6</v>
      </c>
      <c r="AH146" s="364">
        <f t="shared" si="46"/>
        <v>19.399999999999999</v>
      </c>
      <c r="AI146" s="354">
        <f t="shared" si="47"/>
        <v>21.087381049841017</v>
      </c>
    </row>
    <row r="147" spans="2:35" ht="12" customHeight="1" x14ac:dyDescent="0.15">
      <c r="B147" s="313" t="s">
        <v>25</v>
      </c>
      <c r="C147" s="309">
        <v>25.5</v>
      </c>
      <c r="D147" s="309">
        <v>24.5</v>
      </c>
      <c r="E147" s="309">
        <v>17.399999999999999</v>
      </c>
      <c r="F147" s="309">
        <v>17.399999999999999</v>
      </c>
      <c r="G147" s="309">
        <v>34.700000000000003</v>
      </c>
      <c r="H147" s="309">
        <v>33.799999999999997</v>
      </c>
      <c r="I147" s="309">
        <v>33.700000000000003</v>
      </c>
      <c r="J147" s="309">
        <v>24.3</v>
      </c>
      <c r="K147" s="309">
        <v>28.3</v>
      </c>
      <c r="L147" s="309">
        <v>26.5</v>
      </c>
      <c r="M147" s="309">
        <v>22.9</v>
      </c>
      <c r="N147" s="309">
        <v>18.3</v>
      </c>
      <c r="O147" s="310">
        <f t="shared" si="55"/>
        <v>25.608333333333334</v>
      </c>
      <c r="P147" s="310">
        <f t="shared" si="41"/>
        <v>23.149674111415681</v>
      </c>
      <c r="Q147" s="311">
        <f t="shared" si="42"/>
        <v>1</v>
      </c>
      <c r="R147" s="225">
        <f t="shared" si="52"/>
        <v>22.466666666666669</v>
      </c>
      <c r="S147" s="226">
        <f t="shared" si="43"/>
        <v>1</v>
      </c>
      <c r="T147" s="225">
        <f t="shared" si="53"/>
        <v>28.766666666666666</v>
      </c>
      <c r="U147" s="226">
        <f t="shared" si="48"/>
        <v>1</v>
      </c>
      <c r="V147" s="227">
        <f t="shared" si="54"/>
        <v>25.608333333333334</v>
      </c>
      <c r="W147" s="228">
        <f t="shared" si="44"/>
        <v>1</v>
      </c>
      <c r="X147" s="354">
        <f t="shared" si="49"/>
        <v>17.232291666666665</v>
      </c>
      <c r="Y147" s="354">
        <f t="shared" si="50"/>
        <v>26.009374999999999</v>
      </c>
      <c r="Z147" s="354">
        <f t="shared" si="51"/>
        <v>21.087381049841017</v>
      </c>
      <c r="AA147" s="205"/>
      <c r="AB147" s="357" t="str">
        <f>VLOOKUP($B147,'2007-2020 Metadata'!$A$4:$S$214,MATCH("Urban Area /Monitoring Zone",'2007-2020 Metadata'!$A$4:$S$4,0),FALSE)</f>
        <v>Christchurch</v>
      </c>
      <c r="AC147" s="229" t="str">
        <f>VLOOKUP(B147,'2007-2020 Metadata'!$A$6:$A$214,1,FALSE)</f>
        <v>CHR006</v>
      </c>
      <c r="AD147" s="356" t="str">
        <f>VLOOKUP($AC147,'2007-2020 Metadata'!$A$6:$S$214,9,FALSE)</f>
        <v>Christchurch</v>
      </c>
      <c r="AE147" s="356">
        <f>IF(ISBLANK(VLOOKUP($AC147,'2007-2020 Metadata'!$A$6:$S$214,19,FALSE)),"",VLOOKUP($AC147,'2007-2020 Metadata'!$A$6:$S$214,19,FALSE))</f>
        <v>3.4</v>
      </c>
      <c r="AF147" s="355" t="str">
        <f>VLOOKUP($B147,'2007-2020 Metadata'!$A$4:$S$214,MATCH("Site type",'2007-2020 Metadata'!$A$4:$S$4,0),FALSE)</f>
        <v>SH</v>
      </c>
      <c r="AG147" s="364">
        <f t="shared" si="45"/>
        <v>17.399999999999999</v>
      </c>
      <c r="AH147" s="364">
        <f t="shared" si="46"/>
        <v>34.700000000000003</v>
      </c>
      <c r="AI147" s="354">
        <f t="shared" si="47"/>
        <v>21.087381049841017</v>
      </c>
    </row>
    <row r="148" spans="2:35" ht="12" customHeight="1" x14ac:dyDescent="0.15">
      <c r="B148" s="313" t="s">
        <v>143</v>
      </c>
      <c r="C148" s="309">
        <v>14.3</v>
      </c>
      <c r="D148" s="309">
        <v>18.600000000000001</v>
      </c>
      <c r="E148" s="309">
        <v>14.8</v>
      </c>
      <c r="F148" s="309">
        <v>14.8</v>
      </c>
      <c r="G148" s="309">
        <v>29.8</v>
      </c>
      <c r="H148" s="309">
        <v>29.4</v>
      </c>
      <c r="I148" s="309">
        <v>30.7</v>
      </c>
      <c r="J148" s="309">
        <v>29.6</v>
      </c>
      <c r="K148" s="309">
        <v>20.3</v>
      </c>
      <c r="L148" s="309">
        <v>15.8</v>
      </c>
      <c r="M148" s="309">
        <v>15.2</v>
      </c>
      <c r="N148" s="309">
        <v>10.4</v>
      </c>
      <c r="O148" s="310">
        <f t="shared" si="55"/>
        <v>20.308333333333334</v>
      </c>
      <c r="P148" s="310">
        <f t="shared" si="41"/>
        <v>35.14688657669614</v>
      </c>
      <c r="Q148" s="311">
        <f t="shared" si="42"/>
        <v>1</v>
      </c>
      <c r="R148" s="225">
        <f t="shared" si="52"/>
        <v>15.9</v>
      </c>
      <c r="S148" s="226">
        <f t="shared" si="43"/>
        <v>1</v>
      </c>
      <c r="T148" s="225">
        <f t="shared" si="53"/>
        <v>26.866666666666664</v>
      </c>
      <c r="U148" s="226">
        <f t="shared" si="48"/>
        <v>1</v>
      </c>
      <c r="V148" s="227">
        <f t="shared" si="54"/>
        <v>20.308333333333334</v>
      </c>
      <c r="W148" s="228">
        <f t="shared" si="44"/>
        <v>1</v>
      </c>
      <c r="X148" s="354">
        <f t="shared" si="49"/>
        <v>17.232291666666665</v>
      </c>
      <c r="Y148" s="354">
        <f t="shared" si="50"/>
        <v>26.009374999999999</v>
      </c>
      <c r="Z148" s="354">
        <f t="shared" si="51"/>
        <v>21.087381049841017</v>
      </c>
      <c r="AA148" s="205"/>
      <c r="AB148" s="357" t="str">
        <f>VLOOKUP($B148,'2007-2020 Metadata'!$A$4:$S$214,MATCH("Urban Area /Monitoring Zone",'2007-2020 Metadata'!$A$4:$S$4,0),FALSE)</f>
        <v>Christchurch</v>
      </c>
      <c r="AC148" s="229" t="str">
        <f>VLOOKUP(B148,'2007-2020 Metadata'!$A$6:$A$214,1,FALSE)</f>
        <v>CHR011</v>
      </c>
      <c r="AD148" s="356" t="str">
        <f>VLOOKUP($AC148,'2007-2020 Metadata'!$A$6:$S$214,9,FALSE)</f>
        <v>Christchurch</v>
      </c>
      <c r="AE148" s="356">
        <f>IF(ISBLANK(VLOOKUP($AC148,'2007-2020 Metadata'!$A$6:$S$214,19,FALSE)),"",VLOOKUP($AC148,'2007-2020 Metadata'!$A$6:$S$214,19,FALSE))</f>
        <v>2.85</v>
      </c>
      <c r="AF148" s="355" t="str">
        <f>VLOOKUP($B148,'2007-2020 Metadata'!$A$4:$S$214,MATCH("Site type",'2007-2020 Metadata'!$A$4:$S$4,0),FALSE)</f>
        <v>SH</v>
      </c>
      <c r="AG148" s="364">
        <f t="shared" si="45"/>
        <v>10.4</v>
      </c>
      <c r="AH148" s="364">
        <f t="shared" si="46"/>
        <v>30.7</v>
      </c>
      <c r="AI148" s="354">
        <f t="shared" si="47"/>
        <v>21.087381049841017</v>
      </c>
    </row>
    <row r="149" spans="2:35" ht="12" customHeight="1" x14ac:dyDescent="0.15">
      <c r="B149" s="313" t="s">
        <v>144</v>
      </c>
      <c r="C149" s="309">
        <v>23</v>
      </c>
      <c r="D149" s="309">
        <v>24.8</v>
      </c>
      <c r="E149" s="309">
        <v>15</v>
      </c>
      <c r="F149" s="309">
        <v>15</v>
      </c>
      <c r="G149" s="309">
        <v>29.8</v>
      </c>
      <c r="H149" s="309">
        <v>36.799999999999997</v>
      </c>
      <c r="I149" s="309">
        <v>35.1</v>
      </c>
      <c r="J149" s="309">
        <v>29.5</v>
      </c>
      <c r="K149" s="309">
        <v>24.9</v>
      </c>
      <c r="L149" s="309">
        <v>24.5</v>
      </c>
      <c r="M149" s="309">
        <v>21.5</v>
      </c>
      <c r="N149" s="309">
        <v>9.6999999999999993</v>
      </c>
      <c r="O149" s="310">
        <f t="shared" si="55"/>
        <v>24.133333333333329</v>
      </c>
      <c r="P149" s="310">
        <f t="shared" si="41"/>
        <v>32.23370450308007</v>
      </c>
      <c r="Q149" s="311">
        <f t="shared" si="42"/>
        <v>1</v>
      </c>
      <c r="R149" s="225">
        <f t="shared" si="52"/>
        <v>20.933333333333334</v>
      </c>
      <c r="S149" s="226">
        <f t="shared" si="43"/>
        <v>1</v>
      </c>
      <c r="T149" s="225">
        <f t="shared" si="53"/>
        <v>29.833333333333332</v>
      </c>
      <c r="U149" s="226">
        <f t="shared" si="48"/>
        <v>1</v>
      </c>
      <c r="V149" s="227">
        <f t="shared" si="54"/>
        <v>24.133333333333329</v>
      </c>
      <c r="W149" s="228">
        <f t="shared" si="44"/>
        <v>1</v>
      </c>
      <c r="X149" s="354">
        <f t="shared" si="49"/>
        <v>17.232291666666665</v>
      </c>
      <c r="Y149" s="354">
        <f t="shared" si="50"/>
        <v>26.009374999999999</v>
      </c>
      <c r="Z149" s="354">
        <f t="shared" si="51"/>
        <v>21.087381049841017</v>
      </c>
      <c r="AA149" s="205"/>
      <c r="AB149" s="357" t="str">
        <f>VLOOKUP($B149,'2007-2020 Metadata'!$A$4:$S$214,MATCH("Urban Area /Monitoring Zone",'2007-2020 Metadata'!$A$4:$S$4,0),FALSE)</f>
        <v>Christchurch</v>
      </c>
      <c r="AC149" s="229" t="str">
        <f>VLOOKUP(B149,'2007-2020 Metadata'!$A$6:$A$214,1,FALSE)</f>
        <v>CHR012</v>
      </c>
      <c r="AD149" s="356" t="str">
        <f>VLOOKUP($AC149,'2007-2020 Metadata'!$A$6:$S$214,9,FALSE)</f>
        <v>Christchurch</v>
      </c>
      <c r="AE149" s="356">
        <f>IF(ISBLANK(VLOOKUP($AC149,'2007-2020 Metadata'!$A$6:$S$214,19,FALSE)),"",VLOOKUP($AC149,'2007-2020 Metadata'!$A$6:$S$214,19,FALSE))</f>
        <v>3</v>
      </c>
      <c r="AF149" s="355" t="str">
        <f>VLOOKUP($B149,'2007-2020 Metadata'!$A$4:$S$214,MATCH("Site type",'2007-2020 Metadata'!$A$4:$S$4,0),FALSE)</f>
        <v>Local</v>
      </c>
      <c r="AG149" s="364">
        <f t="shared" si="45"/>
        <v>9.6999999999999993</v>
      </c>
      <c r="AH149" s="364">
        <f t="shared" si="46"/>
        <v>36.799999999999997</v>
      </c>
      <c r="AI149" s="354">
        <f t="shared" si="47"/>
        <v>21.087381049841017</v>
      </c>
    </row>
    <row r="150" spans="2:35" ht="12" customHeight="1" x14ac:dyDescent="0.15">
      <c r="B150" s="313" t="s">
        <v>145</v>
      </c>
      <c r="C150" s="309">
        <v>10.7</v>
      </c>
      <c r="D150" s="309">
        <v>15.2</v>
      </c>
      <c r="E150" s="309">
        <v>12.3</v>
      </c>
      <c r="F150" s="309">
        <v>12.3</v>
      </c>
      <c r="G150" s="309">
        <v>26.4</v>
      </c>
      <c r="H150" s="309">
        <v>30.5</v>
      </c>
      <c r="I150" s="309">
        <v>27.4</v>
      </c>
      <c r="J150" s="309">
        <v>24.7</v>
      </c>
      <c r="K150" s="309"/>
      <c r="L150" s="309">
        <v>17.100000000000001</v>
      </c>
      <c r="M150" s="309">
        <v>17.399999999999999</v>
      </c>
      <c r="N150" s="309">
        <v>10.617994835722554</v>
      </c>
      <c r="O150" s="310">
        <f t="shared" si="55"/>
        <v>18.601635894156598</v>
      </c>
      <c r="P150" s="310">
        <f t="shared" si="41"/>
        <v>37.591016034780708</v>
      </c>
      <c r="Q150" s="311">
        <f t="shared" si="42"/>
        <v>0.91666666666666663</v>
      </c>
      <c r="R150" s="225">
        <f t="shared" si="52"/>
        <v>12.733333333333334</v>
      </c>
      <c r="S150" s="226">
        <f t="shared" si="43"/>
        <v>1</v>
      </c>
      <c r="T150" s="225">
        <f t="shared" si="53"/>
        <v>26.049999999999997</v>
      </c>
      <c r="U150" s="226">
        <f t="shared" si="48"/>
        <v>0.66666666666666663</v>
      </c>
      <c r="V150" s="227">
        <f t="shared" si="54"/>
        <v>18.601635894156598</v>
      </c>
      <c r="W150" s="228">
        <f t="shared" si="44"/>
        <v>0.91666666666666663</v>
      </c>
      <c r="X150" s="354">
        <f t="shared" si="49"/>
        <v>17.232291666666665</v>
      </c>
      <c r="Y150" s="354">
        <f t="shared" si="50"/>
        <v>26.009374999999999</v>
      </c>
      <c r="Z150" s="354">
        <f t="shared" si="51"/>
        <v>21.087381049841017</v>
      </c>
      <c r="AA150" s="205"/>
      <c r="AB150" s="357" t="str">
        <f>VLOOKUP($B150,'2007-2020 Metadata'!$A$4:$S$214,MATCH("Urban Area /Monitoring Zone",'2007-2020 Metadata'!$A$4:$S$4,0),FALSE)</f>
        <v>Christchurch</v>
      </c>
      <c r="AC150" s="229" t="str">
        <f>VLOOKUP(B150,'2007-2020 Metadata'!$A$6:$A$214,1,FALSE)</f>
        <v>CHR013</v>
      </c>
      <c r="AD150" s="356" t="str">
        <f>VLOOKUP($AC150,'2007-2020 Metadata'!$A$6:$S$214,9,FALSE)</f>
        <v>Christchurch</v>
      </c>
      <c r="AE150" s="356">
        <f>IF(ISBLANK(VLOOKUP($AC150,'2007-2020 Metadata'!$A$6:$S$214,19,FALSE)),"",VLOOKUP($AC150,'2007-2020 Metadata'!$A$6:$S$214,19,FALSE))</f>
        <v>3.15</v>
      </c>
      <c r="AF150" s="355" t="str">
        <f>VLOOKUP($B150,'2007-2020 Metadata'!$A$4:$S$214,MATCH("Site type",'2007-2020 Metadata'!$A$4:$S$4,0),FALSE)</f>
        <v>SH</v>
      </c>
      <c r="AG150" s="364">
        <f t="shared" si="45"/>
        <v>10.617994835722554</v>
      </c>
      <c r="AH150" s="364">
        <f t="shared" si="46"/>
        <v>30.5</v>
      </c>
      <c r="AI150" s="354">
        <f t="shared" si="47"/>
        <v>21.087381049841017</v>
      </c>
    </row>
    <row r="151" spans="2:35" ht="12" customHeight="1" x14ac:dyDescent="0.15">
      <c r="B151" s="313" t="s">
        <v>146</v>
      </c>
      <c r="C151" s="309">
        <v>23.3</v>
      </c>
      <c r="D151" s="309">
        <v>24.7</v>
      </c>
      <c r="E151" s="309">
        <v>15.3</v>
      </c>
      <c r="F151" s="309">
        <v>15.3</v>
      </c>
      <c r="G151" s="309"/>
      <c r="H151" s="309">
        <v>37.1</v>
      </c>
      <c r="I151" s="309">
        <v>33.6</v>
      </c>
      <c r="J151" s="309">
        <v>31.2</v>
      </c>
      <c r="K151" s="309">
        <v>26.1</v>
      </c>
      <c r="L151" s="309">
        <v>29.7</v>
      </c>
      <c r="M151" s="309">
        <v>23.7</v>
      </c>
      <c r="N151" s="309">
        <v>18.7</v>
      </c>
      <c r="O151" s="310">
        <f t="shared" si="55"/>
        <v>25.336363636363629</v>
      </c>
      <c r="P151" s="310">
        <f t="shared" si="41"/>
        <v>26.964328727611441</v>
      </c>
      <c r="Q151" s="311">
        <f t="shared" si="42"/>
        <v>0.91666666666666663</v>
      </c>
      <c r="R151" s="225">
        <f t="shared" si="52"/>
        <v>21.099999999999998</v>
      </c>
      <c r="S151" s="226">
        <f t="shared" si="43"/>
        <v>1</v>
      </c>
      <c r="T151" s="225">
        <f t="shared" si="53"/>
        <v>30.3</v>
      </c>
      <c r="U151" s="226">
        <f t="shared" si="48"/>
        <v>1</v>
      </c>
      <c r="V151" s="227">
        <f t="shared" si="54"/>
        <v>25.336363636363629</v>
      </c>
      <c r="W151" s="228">
        <f t="shared" si="44"/>
        <v>0.91666666666666663</v>
      </c>
      <c r="X151" s="354">
        <f t="shared" si="49"/>
        <v>17.232291666666665</v>
      </c>
      <c r="Y151" s="354">
        <f t="shared" si="50"/>
        <v>26.009374999999999</v>
      </c>
      <c r="Z151" s="354">
        <f t="shared" si="51"/>
        <v>21.087381049841017</v>
      </c>
      <c r="AA151" s="205"/>
      <c r="AB151" s="357" t="str">
        <f>VLOOKUP($B151,'2007-2020 Metadata'!$A$4:$S$214,MATCH("Urban Area /Monitoring Zone",'2007-2020 Metadata'!$A$4:$S$4,0),FALSE)</f>
        <v>Christchurch</v>
      </c>
      <c r="AC151" s="229" t="str">
        <f>VLOOKUP(B151,'2007-2020 Metadata'!$A$6:$A$214,1,FALSE)</f>
        <v>CHR014</v>
      </c>
      <c r="AD151" s="356" t="str">
        <f>VLOOKUP($AC151,'2007-2020 Metadata'!$A$6:$S$214,9,FALSE)</f>
        <v>Christchurch</v>
      </c>
      <c r="AE151" s="356">
        <f>IF(ISBLANK(VLOOKUP($AC151,'2007-2020 Metadata'!$A$6:$S$214,19,FALSE)),"",VLOOKUP($AC151,'2007-2020 Metadata'!$A$6:$S$214,19,FALSE))</f>
        <v>2.9</v>
      </c>
      <c r="AF151" s="355" t="str">
        <f>VLOOKUP($B151,'2007-2020 Metadata'!$A$4:$S$214,MATCH("Site type",'2007-2020 Metadata'!$A$4:$S$4,0),FALSE)</f>
        <v>SH</v>
      </c>
      <c r="AG151" s="364">
        <f t="shared" si="45"/>
        <v>15.3</v>
      </c>
      <c r="AH151" s="364">
        <f t="shared" si="46"/>
        <v>37.1</v>
      </c>
      <c r="AI151" s="354">
        <f t="shared" si="47"/>
        <v>21.087381049841017</v>
      </c>
    </row>
    <row r="152" spans="2:35" ht="12" customHeight="1" x14ac:dyDescent="0.15">
      <c r="B152" s="313" t="s">
        <v>147</v>
      </c>
      <c r="C152" s="309">
        <v>13.8</v>
      </c>
      <c r="D152" s="309">
        <v>19.2</v>
      </c>
      <c r="E152" s="309">
        <v>15.2</v>
      </c>
      <c r="F152" s="309">
        <v>15.2</v>
      </c>
      <c r="G152" s="309">
        <v>28.6</v>
      </c>
      <c r="H152" s="309">
        <v>32.799999999999997</v>
      </c>
      <c r="I152" s="309">
        <v>30.1</v>
      </c>
      <c r="J152" s="309">
        <v>27.9</v>
      </c>
      <c r="K152" s="309">
        <v>18.399999999999999</v>
      </c>
      <c r="L152" s="309">
        <v>18.8</v>
      </c>
      <c r="M152" s="309">
        <v>17.899999999999999</v>
      </c>
      <c r="N152" s="309">
        <v>13.246153846153845</v>
      </c>
      <c r="O152" s="310">
        <f t="shared" si="55"/>
        <v>20.928846153846155</v>
      </c>
      <c r="P152" s="310">
        <f t="shared" si="41"/>
        <v>31.785742483026024</v>
      </c>
      <c r="Q152" s="311">
        <f t="shared" si="42"/>
        <v>1</v>
      </c>
      <c r="R152" s="225">
        <f t="shared" si="52"/>
        <v>16.066666666666666</v>
      </c>
      <c r="S152" s="226">
        <f t="shared" si="43"/>
        <v>1</v>
      </c>
      <c r="T152" s="225">
        <f t="shared" si="53"/>
        <v>25.466666666666669</v>
      </c>
      <c r="U152" s="226">
        <f t="shared" si="48"/>
        <v>1</v>
      </c>
      <c r="V152" s="227">
        <f t="shared" si="54"/>
        <v>20.928846153846155</v>
      </c>
      <c r="W152" s="228">
        <f t="shared" si="44"/>
        <v>1</v>
      </c>
      <c r="X152" s="354">
        <f t="shared" si="49"/>
        <v>17.232291666666665</v>
      </c>
      <c r="Y152" s="354">
        <f t="shared" si="50"/>
        <v>26.009374999999999</v>
      </c>
      <c r="Z152" s="354">
        <f t="shared" si="51"/>
        <v>21.087381049841017</v>
      </c>
      <c r="AA152" s="205"/>
      <c r="AB152" s="357" t="str">
        <f>VLOOKUP($B152,'2007-2020 Metadata'!$A$4:$S$214,MATCH("Urban Area /Monitoring Zone",'2007-2020 Metadata'!$A$4:$S$4,0),FALSE)</f>
        <v>Christchurch</v>
      </c>
      <c r="AC152" s="229" t="str">
        <f>VLOOKUP(B152,'2007-2020 Metadata'!$A$6:$A$214,1,FALSE)</f>
        <v>CHR015</v>
      </c>
      <c r="AD152" s="356" t="str">
        <f>VLOOKUP($AC152,'2007-2020 Metadata'!$A$6:$S$214,9,FALSE)</f>
        <v>Christchurch</v>
      </c>
      <c r="AE152" s="356">
        <f>IF(ISBLANK(VLOOKUP($AC152,'2007-2020 Metadata'!$A$6:$S$214,19,FALSE)),"",VLOOKUP($AC152,'2007-2020 Metadata'!$A$6:$S$214,19,FALSE))</f>
        <v>3.1</v>
      </c>
      <c r="AF152" s="355" t="str">
        <f>VLOOKUP($B152,'2007-2020 Metadata'!$A$4:$S$214,MATCH("Site type",'2007-2020 Metadata'!$A$4:$S$4,0),FALSE)</f>
        <v>Local</v>
      </c>
      <c r="AG152" s="364">
        <f t="shared" si="45"/>
        <v>13.246153846153845</v>
      </c>
      <c r="AH152" s="364">
        <f t="shared" si="46"/>
        <v>32.799999999999997</v>
      </c>
      <c r="AI152" s="354">
        <f t="shared" si="47"/>
        <v>21.087381049841017</v>
      </c>
    </row>
    <row r="153" spans="2:35" ht="12" customHeight="1" x14ac:dyDescent="0.15">
      <c r="B153" s="313" t="s">
        <v>148</v>
      </c>
      <c r="C153" s="309">
        <v>19.399999999999999</v>
      </c>
      <c r="D153" s="309">
        <v>25.3</v>
      </c>
      <c r="E153" s="309">
        <v>20</v>
      </c>
      <c r="F153" s="309">
        <v>20</v>
      </c>
      <c r="G153" s="309">
        <v>37</v>
      </c>
      <c r="H153" s="309">
        <v>41.9</v>
      </c>
      <c r="I153" s="309">
        <v>37.9</v>
      </c>
      <c r="J153" s="309">
        <v>35.700000000000003</v>
      </c>
      <c r="K153" s="309">
        <v>28.1</v>
      </c>
      <c r="L153" s="309">
        <v>27.5</v>
      </c>
      <c r="M153" s="309">
        <v>25.4</v>
      </c>
      <c r="N153" s="309">
        <v>16.295013357079252</v>
      </c>
      <c r="O153" s="310">
        <f t="shared" si="55"/>
        <v>27.87458444642327</v>
      </c>
      <c r="P153" s="310">
        <f t="shared" si="41"/>
        <v>29.00845265320428</v>
      </c>
      <c r="Q153" s="311">
        <f t="shared" si="42"/>
        <v>1</v>
      </c>
      <c r="R153" s="225">
        <f t="shared" si="52"/>
        <v>21.566666666666666</v>
      </c>
      <c r="S153" s="226">
        <f t="shared" si="43"/>
        <v>1</v>
      </c>
      <c r="T153" s="225">
        <f t="shared" si="53"/>
        <v>33.9</v>
      </c>
      <c r="U153" s="226">
        <f t="shared" si="48"/>
        <v>1</v>
      </c>
      <c r="V153" s="227">
        <f t="shared" si="54"/>
        <v>27.87458444642327</v>
      </c>
      <c r="W153" s="228">
        <f t="shared" si="44"/>
        <v>1</v>
      </c>
      <c r="X153" s="354">
        <f t="shared" si="49"/>
        <v>17.232291666666665</v>
      </c>
      <c r="Y153" s="354">
        <f t="shared" si="50"/>
        <v>26.009374999999999</v>
      </c>
      <c r="Z153" s="354">
        <f t="shared" si="51"/>
        <v>21.087381049841017</v>
      </c>
      <c r="AA153" s="205"/>
      <c r="AB153" s="357" t="str">
        <f>VLOOKUP($B153,'2007-2020 Metadata'!$A$4:$S$214,MATCH("Urban Area /Monitoring Zone",'2007-2020 Metadata'!$A$4:$S$4,0),FALSE)</f>
        <v>Christchurch</v>
      </c>
      <c r="AC153" s="229" t="str">
        <f>VLOOKUP(B153,'2007-2020 Metadata'!$A$6:$A$214,1,FALSE)</f>
        <v>CHR016</v>
      </c>
      <c r="AD153" s="356" t="str">
        <f>VLOOKUP($AC153,'2007-2020 Metadata'!$A$6:$S$214,9,FALSE)</f>
        <v>Christchurch</v>
      </c>
      <c r="AE153" s="356">
        <f>IF(ISBLANK(VLOOKUP($AC153,'2007-2020 Metadata'!$A$6:$S$214,19,FALSE)),"",VLOOKUP($AC153,'2007-2020 Metadata'!$A$6:$S$214,19,FALSE))</f>
        <v>3</v>
      </c>
      <c r="AF153" s="355" t="str">
        <f>VLOOKUP($B153,'2007-2020 Metadata'!$A$4:$S$214,MATCH("Site type",'2007-2020 Metadata'!$A$4:$S$4,0),FALSE)</f>
        <v>Local</v>
      </c>
      <c r="AG153" s="364">
        <f t="shared" si="45"/>
        <v>16.295013357079252</v>
      </c>
      <c r="AH153" s="364">
        <f t="shared" si="46"/>
        <v>41.9</v>
      </c>
      <c r="AI153" s="354">
        <f t="shared" si="47"/>
        <v>21.087381049841017</v>
      </c>
    </row>
    <row r="154" spans="2:35" ht="12" customHeight="1" x14ac:dyDescent="0.15">
      <c r="B154" s="313" t="s">
        <v>149</v>
      </c>
      <c r="C154" s="309">
        <v>34.4</v>
      </c>
      <c r="D154" s="309">
        <v>33.799999999999997</v>
      </c>
      <c r="E154" s="309">
        <v>20.3</v>
      </c>
      <c r="F154" s="309">
        <v>20.3</v>
      </c>
      <c r="G154" s="309">
        <v>37.6</v>
      </c>
      <c r="H154" s="309">
        <v>36.5</v>
      </c>
      <c r="I154" s="309">
        <v>36.799999999999997</v>
      </c>
      <c r="J154" s="309">
        <v>37.9</v>
      </c>
      <c r="K154" s="309">
        <v>29.6</v>
      </c>
      <c r="L154" s="309">
        <v>32.1</v>
      </c>
      <c r="M154" s="309">
        <v>28.3</v>
      </c>
      <c r="N154" s="309">
        <v>23</v>
      </c>
      <c r="O154" s="310">
        <f t="shared" si="55"/>
        <v>30.883333333333336</v>
      </c>
      <c r="P154" s="310">
        <f t="shared" si="41"/>
        <v>20.430523530914531</v>
      </c>
      <c r="Q154" s="311">
        <f t="shared" si="42"/>
        <v>1</v>
      </c>
      <c r="R154" s="251">
        <f t="shared" si="52"/>
        <v>29.499999999999996</v>
      </c>
      <c r="S154" s="252">
        <f t="shared" si="43"/>
        <v>1</v>
      </c>
      <c r="T154" s="251">
        <f t="shared" si="53"/>
        <v>34.766666666666659</v>
      </c>
      <c r="U154" s="252">
        <f t="shared" si="48"/>
        <v>1</v>
      </c>
      <c r="V154" s="253">
        <f t="shared" si="54"/>
        <v>30.883333333333336</v>
      </c>
      <c r="W154" s="252">
        <f t="shared" si="44"/>
        <v>1</v>
      </c>
      <c r="X154" s="359">
        <f t="shared" si="49"/>
        <v>17.232291666666665</v>
      </c>
      <c r="Y154" s="359">
        <f t="shared" si="50"/>
        <v>26.009374999999999</v>
      </c>
      <c r="Z154" s="359">
        <f t="shared" si="51"/>
        <v>21.087381049841017</v>
      </c>
      <c r="AA154" s="366"/>
      <c r="AB154" s="357" t="str">
        <f>VLOOKUP($B154,'2007-2020 Metadata'!$A$4:$S$214,MATCH("Urban Area /Monitoring Zone",'2007-2020 Metadata'!$A$4:$S$4,0),FALSE)</f>
        <v>Christchurch</v>
      </c>
      <c r="AC154" s="255" t="str">
        <f>VLOOKUP(B154,'2007-2020 Metadata'!$A$6:$A$214,1,FALSE)</f>
        <v>CHR017</v>
      </c>
      <c r="AD154" s="361" t="str">
        <f>VLOOKUP($AC154,'2007-2020 Metadata'!$A$6:$S$214,9,FALSE)</f>
        <v>Christchurch</v>
      </c>
      <c r="AE154" s="361">
        <f>IF(ISBLANK(VLOOKUP($AC154,'2007-2020 Metadata'!$A$6:$S$214,19,FALSE)),"",VLOOKUP($AC154,'2007-2020 Metadata'!$A$6:$S$214,19,FALSE))</f>
        <v>3</v>
      </c>
      <c r="AF154" s="360" t="str">
        <f>VLOOKUP($B154,'2007-2020 Metadata'!$A$4:$S$214,MATCH("Site type",'2007-2020 Metadata'!$A$4:$S$4,0),FALSE)</f>
        <v>Local</v>
      </c>
      <c r="AG154" s="365">
        <f>MIN(AVERAGE($C$154:$C$156),AVERAGE($D$154:$D$156),AVERAGE($E$154:$E$156),AVERAGE($F$154:$F$156),AVERAGE($G$154:$G$156),AVERAGE($H$154:$H$156),AVERAGE($I$154:$I$156),AVERAGE($J$154:$J$156),AVERAGE($K$154:$K$156),AVERAGE($L$154:$L$156),AVERAGE($M$154:$M$156),AVERAGE($N$154:$N$156))</f>
        <v>20.266666666666666</v>
      </c>
      <c r="AH154" s="365">
        <f>MAX(AVERAGE($C$154:$C$156),AVERAGE($D$154:$D$156),AVERAGE($E$154:$E$156),AVERAGE($F$154:$F$156),AVERAGE($G$154:$G$156),AVERAGE($H$154:$H$156),AVERAGE($I$154:$I$156),AVERAGE($J$154:$J$156),AVERAGE($K$154:$K$156),AVERAGE($L$154:$L$156),AVERAGE($M$154:$M$156),AVERAGE($N$154:$N$156))</f>
        <v>37.199999999999996</v>
      </c>
      <c r="AI154" s="359">
        <f t="shared" si="47"/>
        <v>21.087381049841017</v>
      </c>
    </row>
    <row r="155" spans="2:35" ht="12" customHeight="1" x14ac:dyDescent="0.15">
      <c r="B155" s="313" t="s">
        <v>150</v>
      </c>
      <c r="C155" s="309">
        <v>34.299999999999997</v>
      </c>
      <c r="D155" s="309">
        <v>33.4</v>
      </c>
      <c r="E155" s="309">
        <v>19.8</v>
      </c>
      <c r="F155" s="309">
        <v>19.8</v>
      </c>
      <c r="G155" s="309">
        <v>37.1</v>
      </c>
      <c r="H155" s="309">
        <v>36.200000000000003</v>
      </c>
      <c r="I155" s="309">
        <v>36.200000000000003</v>
      </c>
      <c r="J155" s="309">
        <v>35.1</v>
      </c>
      <c r="K155" s="309">
        <v>32.6</v>
      </c>
      <c r="L155" s="309">
        <v>31.3</v>
      </c>
      <c r="M155" s="309">
        <v>28.4</v>
      </c>
      <c r="N155" s="309">
        <v>22.8</v>
      </c>
      <c r="O155" s="310">
        <f t="shared" si="55"/>
        <v>30.583333333333329</v>
      </c>
      <c r="P155" s="310">
        <f t="shared" si="41"/>
        <v>20.027451851637842</v>
      </c>
      <c r="Q155" s="311">
        <f t="shared" si="42"/>
        <v>1</v>
      </c>
      <c r="R155" s="251">
        <f t="shared" si="52"/>
        <v>29.166666666666661</v>
      </c>
      <c r="S155" s="252">
        <f t="shared" si="43"/>
        <v>1</v>
      </c>
      <c r="T155" s="251">
        <f t="shared" si="53"/>
        <v>34.633333333333333</v>
      </c>
      <c r="U155" s="252">
        <f t="shared" si="48"/>
        <v>1</v>
      </c>
      <c r="V155" s="253">
        <f t="shared" si="54"/>
        <v>30.583333333333329</v>
      </c>
      <c r="W155" s="252">
        <f t="shared" si="44"/>
        <v>1</v>
      </c>
      <c r="X155" s="359">
        <f t="shared" si="49"/>
        <v>17.232291666666665</v>
      </c>
      <c r="Y155" s="359">
        <f t="shared" si="50"/>
        <v>26.009374999999999</v>
      </c>
      <c r="Z155" s="359">
        <f t="shared" si="51"/>
        <v>21.087381049841017</v>
      </c>
      <c r="AA155" s="366"/>
      <c r="AB155" s="357" t="str">
        <f>VLOOKUP($B155,'2007-2020 Metadata'!$A$4:$S$214,MATCH("Urban Area /Monitoring Zone",'2007-2020 Metadata'!$A$4:$S$4,0),FALSE)</f>
        <v>Christchurch</v>
      </c>
      <c r="AC155" s="255" t="str">
        <f>VLOOKUP(B155,'2007-2020 Metadata'!$A$6:$A$214,1,FALSE)</f>
        <v>CHR018</v>
      </c>
      <c r="AD155" s="361" t="str">
        <f>VLOOKUP($AC155,'2007-2020 Metadata'!$A$6:$S$214,9,FALSE)</f>
        <v>Christchurch</v>
      </c>
      <c r="AE155" s="361">
        <f>IF(ISBLANK(VLOOKUP($AC155,'2007-2020 Metadata'!$A$6:$S$214,19,FALSE)),"",VLOOKUP($AC155,'2007-2020 Metadata'!$A$6:$S$214,19,FALSE))</f>
        <v>3</v>
      </c>
      <c r="AF155" s="360" t="str">
        <f>VLOOKUP($B155,'2007-2020 Metadata'!$A$4:$S$214,MATCH("Site type",'2007-2020 Metadata'!$A$4:$S$4,0),FALSE)</f>
        <v>Local</v>
      </c>
      <c r="AG155" s="365">
        <f t="shared" ref="AG155:AG156" si="56">MIN(AVERAGE($C$154:$C$156),AVERAGE($D$154:$D$156),AVERAGE($E$154:$E$156),AVERAGE($F$154:$F$156),AVERAGE($G$154:$G$156),AVERAGE($H$154:$H$156),AVERAGE($I$154:$I$156),AVERAGE($J$154:$J$156),AVERAGE($K$154:$K$156),AVERAGE($L$154:$L$156),AVERAGE($M$154:$M$156),AVERAGE($N$154:$N$156))</f>
        <v>20.266666666666666</v>
      </c>
      <c r="AH155" s="365">
        <f t="shared" ref="AH155:AH156" si="57">MAX(AVERAGE($C$154:$C$156),AVERAGE($D$154:$D$156),AVERAGE($E$154:$E$156),AVERAGE($F$154:$F$156),AVERAGE($G$154:$G$156),AVERAGE($H$154:$H$156),AVERAGE($I$154:$I$156),AVERAGE($J$154:$J$156),AVERAGE($K$154:$K$156),AVERAGE($L$154:$L$156),AVERAGE($M$154:$M$156),AVERAGE($N$154:$N$156))</f>
        <v>37.199999999999996</v>
      </c>
      <c r="AI155" s="359">
        <f t="shared" si="47"/>
        <v>21.087381049841017</v>
      </c>
    </row>
    <row r="156" spans="2:35" ht="12" customHeight="1" x14ac:dyDescent="0.15">
      <c r="B156" s="313" t="s">
        <v>151</v>
      </c>
      <c r="C156" s="309">
        <v>34</v>
      </c>
      <c r="D156" s="309">
        <v>33.5</v>
      </c>
      <c r="E156" s="309">
        <v>20.7</v>
      </c>
      <c r="F156" s="309">
        <v>20.7</v>
      </c>
      <c r="G156" s="309">
        <v>36.9</v>
      </c>
      <c r="H156" s="309">
        <v>35.5</v>
      </c>
      <c r="I156" s="309">
        <v>38.5</v>
      </c>
      <c r="J156" s="309">
        <v>34.4</v>
      </c>
      <c r="K156" s="309">
        <v>30</v>
      </c>
      <c r="L156" s="309">
        <v>31.2</v>
      </c>
      <c r="M156" s="309">
        <v>20.9</v>
      </c>
      <c r="N156" s="309">
        <v>23.1</v>
      </c>
      <c r="O156" s="310">
        <f t="shared" si="55"/>
        <v>29.950000000000003</v>
      </c>
      <c r="P156" s="310">
        <f t="shared" si="41"/>
        <v>21.606953979104158</v>
      </c>
      <c r="Q156" s="311">
        <f t="shared" si="42"/>
        <v>1</v>
      </c>
      <c r="R156" s="251">
        <f t="shared" si="52"/>
        <v>29.400000000000002</v>
      </c>
      <c r="S156" s="252">
        <f t="shared" si="43"/>
        <v>1</v>
      </c>
      <c r="T156" s="251">
        <f t="shared" si="53"/>
        <v>34.300000000000004</v>
      </c>
      <c r="U156" s="252">
        <f t="shared" si="48"/>
        <v>1</v>
      </c>
      <c r="V156" s="253">
        <f t="shared" si="54"/>
        <v>29.950000000000003</v>
      </c>
      <c r="W156" s="252">
        <f t="shared" si="44"/>
        <v>1</v>
      </c>
      <c r="X156" s="359">
        <f t="shared" si="49"/>
        <v>17.232291666666665</v>
      </c>
      <c r="Y156" s="359">
        <f t="shared" si="50"/>
        <v>26.009374999999999</v>
      </c>
      <c r="Z156" s="359">
        <f t="shared" si="51"/>
        <v>21.087381049841017</v>
      </c>
      <c r="AA156" s="366"/>
      <c r="AB156" s="357" t="str">
        <f>VLOOKUP($B156,'2007-2020 Metadata'!$A$4:$S$214,MATCH("Urban Area /Monitoring Zone",'2007-2020 Metadata'!$A$4:$S$4,0),FALSE)</f>
        <v>Christchurch</v>
      </c>
      <c r="AC156" s="255" t="str">
        <f>VLOOKUP(B156,'2007-2020 Metadata'!$A$6:$A$214,1,FALSE)</f>
        <v>CHR019</v>
      </c>
      <c r="AD156" s="361" t="str">
        <f>VLOOKUP($AC156,'2007-2020 Metadata'!$A$6:$S$214,9,FALSE)</f>
        <v>Christchurch</v>
      </c>
      <c r="AE156" s="361">
        <f>IF(ISBLANK(VLOOKUP($AC156,'2007-2020 Metadata'!$A$6:$S$214,19,FALSE)),"",VLOOKUP($AC156,'2007-2020 Metadata'!$A$6:$S$214,19,FALSE))</f>
        <v>3</v>
      </c>
      <c r="AF156" s="360" t="str">
        <f>VLOOKUP($B156,'2007-2020 Metadata'!$A$4:$S$214,MATCH("Site type",'2007-2020 Metadata'!$A$4:$S$4,0),FALSE)</f>
        <v>Local</v>
      </c>
      <c r="AG156" s="365">
        <f t="shared" si="56"/>
        <v>20.266666666666666</v>
      </c>
      <c r="AH156" s="365">
        <f t="shared" si="57"/>
        <v>37.199999999999996</v>
      </c>
      <c r="AI156" s="359">
        <f t="shared" si="47"/>
        <v>21.087381049841017</v>
      </c>
    </row>
    <row r="157" spans="2:35" ht="12" customHeight="1" x14ac:dyDescent="0.15">
      <c r="B157" s="313" t="s">
        <v>152</v>
      </c>
      <c r="C157" s="309">
        <v>5.3</v>
      </c>
      <c r="D157" s="309">
        <v>8.5</v>
      </c>
      <c r="E157" s="309">
        <v>7.6</v>
      </c>
      <c r="F157" s="309">
        <v>7.6</v>
      </c>
      <c r="G157" s="309">
        <v>15.5</v>
      </c>
      <c r="H157" s="309">
        <v>18.600000000000001</v>
      </c>
      <c r="I157" s="309">
        <v>19.8</v>
      </c>
      <c r="J157" s="309">
        <v>16.100000000000001</v>
      </c>
      <c r="K157" s="309">
        <v>10.1</v>
      </c>
      <c r="L157" s="309">
        <v>6.8</v>
      </c>
      <c r="M157" s="309">
        <v>6.9</v>
      </c>
      <c r="N157" s="309">
        <v>5.5</v>
      </c>
      <c r="O157" s="310">
        <f t="shared" si="55"/>
        <v>10.691666666666668</v>
      </c>
      <c r="P157" s="310">
        <f t="shared" si="41"/>
        <v>47.360913384877051</v>
      </c>
      <c r="Q157" s="311">
        <f t="shared" si="42"/>
        <v>1</v>
      </c>
      <c r="R157" s="251">
        <f t="shared" si="52"/>
        <v>7.1333333333333329</v>
      </c>
      <c r="S157" s="252">
        <f t="shared" si="43"/>
        <v>1</v>
      </c>
      <c r="T157" s="251">
        <f t="shared" si="53"/>
        <v>15.333333333333336</v>
      </c>
      <c r="U157" s="252">
        <f t="shared" si="48"/>
        <v>1</v>
      </c>
      <c r="V157" s="253">
        <f t="shared" si="54"/>
        <v>10.691666666666668</v>
      </c>
      <c r="W157" s="252">
        <f t="shared" si="44"/>
        <v>1</v>
      </c>
      <c r="X157" s="359">
        <f t="shared" si="49"/>
        <v>17.232291666666665</v>
      </c>
      <c r="Y157" s="359">
        <f t="shared" si="50"/>
        <v>26.009374999999999</v>
      </c>
      <c r="Z157" s="359">
        <f t="shared" si="51"/>
        <v>21.087381049841017</v>
      </c>
      <c r="AA157" s="366"/>
      <c r="AB157" s="357" t="str">
        <f>VLOOKUP($B157,'2007-2020 Metadata'!$A$4:$S$214,MATCH("Urban Area /Monitoring Zone",'2007-2020 Metadata'!$A$4:$S$4,0),FALSE)</f>
        <v>Christchurch</v>
      </c>
      <c r="AC157" s="255" t="str">
        <f>VLOOKUP(B157,'2007-2020 Metadata'!$A$6:$A$214,1,FALSE)</f>
        <v>CHR020</v>
      </c>
      <c r="AD157" s="361" t="str">
        <f>VLOOKUP($AC157,'2007-2020 Metadata'!$A$6:$S$214,9,FALSE)</f>
        <v>Christchurch</v>
      </c>
      <c r="AE157" s="361">
        <f>IF(ISBLANK(VLOOKUP($AC157,'2007-2020 Metadata'!$A$6:$S$214,19,FALSE)),"",VLOOKUP($AC157,'2007-2020 Metadata'!$A$6:$S$214,19,FALSE))</f>
        <v>3.5</v>
      </c>
      <c r="AF157" s="360" t="str">
        <f>VLOOKUP($B157,'2007-2020 Metadata'!$A$4:$S$214,MATCH("Site type",'2007-2020 Metadata'!$A$4:$S$4,0),FALSE)</f>
        <v>Background</v>
      </c>
      <c r="AG157" s="365">
        <f>MIN(AVERAGE($C$157:$C$159),AVERAGE($D$157:$D$159),AVERAGE($E$157:$E$159),AVERAGE($F$157:$F$159),AVERAGE($G$157:$G$159),AVERAGE($H$157:$H$159),AVERAGE($I$157:$I$159),AVERAGE($J$157:$J$159),AVERAGE($K$157:$K$159),AVERAGE($L$157:$L$159),AVERAGE($M$157:$M$159),AVERAGE($N$157:$N$159))</f>
        <v>5.5333333333333341</v>
      </c>
      <c r="AH157" s="365">
        <f>MAX(AVERAGE($C$157:$C$159),AVERAGE($D$157:$D$159),AVERAGE($E$157:$E$159),AVERAGE($F$157:$F$159),AVERAGE($G$157:$G$159),AVERAGE($H$157:$H$159),AVERAGE($I$157:$I$159),AVERAGE($J$157:$J$159),AVERAGE($K$157:$K$159),AVERAGE($L$157:$L$159),AVERAGE($M$157:$M$159),AVERAGE($N$157:$N$159))</f>
        <v>19.5</v>
      </c>
      <c r="AI157" s="359">
        <f t="shared" si="47"/>
        <v>21.087381049841017</v>
      </c>
    </row>
    <row r="158" spans="2:35" ht="12" customHeight="1" x14ac:dyDescent="0.15">
      <c r="B158" s="313" t="s">
        <v>153</v>
      </c>
      <c r="C158" s="309">
        <v>5.7</v>
      </c>
      <c r="D158" s="309">
        <v>7.8</v>
      </c>
      <c r="E158" s="309">
        <v>7.5</v>
      </c>
      <c r="F158" s="309">
        <v>7.5</v>
      </c>
      <c r="G158" s="309">
        <v>16.899999999999999</v>
      </c>
      <c r="H158" s="309">
        <v>18.3</v>
      </c>
      <c r="I158" s="309">
        <v>19</v>
      </c>
      <c r="J158" s="309">
        <v>15.7</v>
      </c>
      <c r="K158" s="309">
        <v>10.9</v>
      </c>
      <c r="L158" s="309">
        <v>7</v>
      </c>
      <c r="M158" s="309">
        <v>6.7</v>
      </c>
      <c r="N158" s="309">
        <v>6</v>
      </c>
      <c r="O158" s="310">
        <f t="shared" si="55"/>
        <v>10.75</v>
      </c>
      <c r="P158" s="310">
        <f t="shared" si="41"/>
        <v>46.182556836712742</v>
      </c>
      <c r="Q158" s="311">
        <f t="shared" si="42"/>
        <v>1</v>
      </c>
      <c r="R158" s="251">
        <f t="shared" si="52"/>
        <v>7</v>
      </c>
      <c r="S158" s="252">
        <f t="shared" si="43"/>
        <v>1</v>
      </c>
      <c r="T158" s="251">
        <f t="shared" si="53"/>
        <v>15.200000000000001</v>
      </c>
      <c r="U158" s="252">
        <f t="shared" si="48"/>
        <v>1</v>
      </c>
      <c r="V158" s="253">
        <f t="shared" si="54"/>
        <v>10.75</v>
      </c>
      <c r="W158" s="252">
        <f t="shared" si="44"/>
        <v>1</v>
      </c>
      <c r="X158" s="359">
        <f t="shared" si="49"/>
        <v>17.232291666666665</v>
      </c>
      <c r="Y158" s="359">
        <f t="shared" si="50"/>
        <v>26.009374999999999</v>
      </c>
      <c r="Z158" s="359">
        <f t="shared" si="51"/>
        <v>21.087381049841017</v>
      </c>
      <c r="AA158" s="366"/>
      <c r="AB158" s="357" t="str">
        <f>VLOOKUP($B158,'2007-2020 Metadata'!$A$4:$S$214,MATCH("Urban Area /Monitoring Zone",'2007-2020 Metadata'!$A$4:$S$4,0),FALSE)</f>
        <v>Christchurch</v>
      </c>
      <c r="AC158" s="255" t="str">
        <f>VLOOKUP(B158,'2007-2020 Metadata'!$A$6:$A$214,1,FALSE)</f>
        <v>CHR021</v>
      </c>
      <c r="AD158" s="361" t="str">
        <f>VLOOKUP($AC158,'2007-2020 Metadata'!$A$6:$S$214,9,FALSE)</f>
        <v>Christchurch</v>
      </c>
      <c r="AE158" s="361">
        <f>IF(ISBLANK(VLOOKUP($AC158,'2007-2020 Metadata'!$A$6:$S$214,19,FALSE)),"",VLOOKUP($AC158,'2007-2020 Metadata'!$A$6:$S$214,19,FALSE))</f>
        <v>3.5</v>
      </c>
      <c r="AF158" s="360" t="str">
        <f>VLOOKUP($B158,'2007-2020 Metadata'!$A$4:$S$214,MATCH("Site type",'2007-2020 Metadata'!$A$4:$S$4,0),FALSE)</f>
        <v>Background</v>
      </c>
      <c r="AG158" s="365">
        <f t="shared" ref="AG158:AG159" si="58">MIN(AVERAGE($C$157:$C$159),AVERAGE($D$157:$D$159),AVERAGE($E$157:$E$159),AVERAGE($F$157:$F$159),AVERAGE($G$157:$G$159),AVERAGE($H$157:$H$159),AVERAGE($I$157:$I$159),AVERAGE($J$157:$J$159),AVERAGE($K$157:$K$159),AVERAGE($L$157:$L$159),AVERAGE($M$157:$M$159),AVERAGE($N$157:$N$159))</f>
        <v>5.5333333333333341</v>
      </c>
      <c r="AH158" s="365">
        <f t="shared" ref="AH158:AH159" si="59">MAX(AVERAGE($C$157:$C$159),AVERAGE($D$157:$D$159),AVERAGE($E$157:$E$159),AVERAGE($F$157:$F$159),AVERAGE($G$157:$G$159),AVERAGE($H$157:$H$159),AVERAGE($I$157:$I$159),AVERAGE($J$157:$J$159),AVERAGE($K$157:$K$159),AVERAGE($L$157:$L$159),AVERAGE($M$157:$M$159),AVERAGE($N$157:$N$159))</f>
        <v>19.5</v>
      </c>
      <c r="AI158" s="359">
        <f t="shared" si="47"/>
        <v>21.087381049841017</v>
      </c>
    </row>
    <row r="159" spans="2:35" ht="12" customHeight="1" x14ac:dyDescent="0.15">
      <c r="B159" s="313" t="s">
        <v>154</v>
      </c>
      <c r="C159" s="309">
        <v>5.6</v>
      </c>
      <c r="D159" s="309">
        <v>7.2</v>
      </c>
      <c r="E159" s="309">
        <v>5.0999999999999996</v>
      </c>
      <c r="F159" s="309">
        <v>5.0999999999999996</v>
      </c>
      <c r="G159" s="309">
        <v>16</v>
      </c>
      <c r="H159" s="309">
        <v>18.600000000000001</v>
      </c>
      <c r="I159" s="309">
        <v>19.7</v>
      </c>
      <c r="J159" s="309">
        <v>14.9</v>
      </c>
      <c r="K159" s="309">
        <v>10.199999999999999</v>
      </c>
      <c r="L159" s="309">
        <v>6.8</v>
      </c>
      <c r="M159" s="309">
        <v>6.7</v>
      </c>
      <c r="N159" s="309">
        <v>5.2</v>
      </c>
      <c r="O159" s="310">
        <f t="shared" si="55"/>
        <v>10.091666666666667</v>
      </c>
      <c r="P159" s="310">
        <f t="shared" si="41"/>
        <v>53.315638584044919</v>
      </c>
      <c r="Q159" s="311">
        <f t="shared" si="42"/>
        <v>1</v>
      </c>
      <c r="R159" s="251">
        <f t="shared" si="52"/>
        <v>5.9666666666666659</v>
      </c>
      <c r="S159" s="252">
        <f t="shared" si="43"/>
        <v>1</v>
      </c>
      <c r="T159" s="251">
        <f t="shared" si="53"/>
        <v>14.933333333333332</v>
      </c>
      <c r="U159" s="252">
        <f t="shared" si="48"/>
        <v>1</v>
      </c>
      <c r="V159" s="253">
        <f t="shared" si="54"/>
        <v>10.091666666666667</v>
      </c>
      <c r="W159" s="252">
        <f t="shared" si="44"/>
        <v>1</v>
      </c>
      <c r="X159" s="359">
        <f t="shared" si="49"/>
        <v>17.232291666666665</v>
      </c>
      <c r="Y159" s="359">
        <f t="shared" si="50"/>
        <v>26.009374999999999</v>
      </c>
      <c r="Z159" s="359">
        <f t="shared" si="51"/>
        <v>21.087381049841017</v>
      </c>
      <c r="AA159" s="366"/>
      <c r="AB159" s="357" t="str">
        <f>VLOOKUP($B159,'2007-2020 Metadata'!$A$4:$S$214,MATCH("Urban Area /Monitoring Zone",'2007-2020 Metadata'!$A$4:$S$4,0),FALSE)</f>
        <v>Christchurch</v>
      </c>
      <c r="AC159" s="255" t="str">
        <f>VLOOKUP(B159,'2007-2020 Metadata'!$A$6:$A$214,1,FALSE)</f>
        <v>CHR022</v>
      </c>
      <c r="AD159" s="361" t="str">
        <f>VLOOKUP($AC159,'2007-2020 Metadata'!$A$6:$S$214,9,FALSE)</f>
        <v>Christchurch</v>
      </c>
      <c r="AE159" s="361">
        <f>IF(ISBLANK(VLOOKUP($AC159,'2007-2020 Metadata'!$A$6:$S$214,19,FALSE)),"",VLOOKUP($AC159,'2007-2020 Metadata'!$A$6:$S$214,19,FALSE))</f>
        <v>3.5</v>
      </c>
      <c r="AF159" s="360" t="str">
        <f>VLOOKUP($B159,'2007-2020 Metadata'!$A$4:$S$214,MATCH("Site type",'2007-2020 Metadata'!$A$4:$S$4,0),FALSE)</f>
        <v>Background</v>
      </c>
      <c r="AG159" s="365">
        <f t="shared" si="58"/>
        <v>5.5333333333333341</v>
      </c>
      <c r="AH159" s="365">
        <f t="shared" si="59"/>
        <v>19.5</v>
      </c>
      <c r="AI159" s="359">
        <f t="shared" si="47"/>
        <v>21.087381049841017</v>
      </c>
    </row>
    <row r="160" spans="2:35" ht="12" customHeight="1" x14ac:dyDescent="0.15">
      <c r="B160" s="313" t="s">
        <v>26</v>
      </c>
      <c r="C160" s="309">
        <v>17.3</v>
      </c>
      <c r="D160" s="309">
        <v>18.3</v>
      </c>
      <c r="E160" s="309">
        <v>17.899999999999999</v>
      </c>
      <c r="F160" s="309">
        <v>13.9</v>
      </c>
      <c r="G160" s="309">
        <v>34.4</v>
      </c>
      <c r="H160" s="309">
        <v>29.3</v>
      </c>
      <c r="I160" s="309">
        <v>29.8</v>
      </c>
      <c r="J160" s="309">
        <v>22</v>
      </c>
      <c r="K160" s="309">
        <v>21.8</v>
      </c>
      <c r="L160" s="309">
        <v>20.7</v>
      </c>
      <c r="M160" s="309">
        <v>16.899999999999999</v>
      </c>
      <c r="N160" s="309">
        <v>12.8</v>
      </c>
      <c r="O160" s="310">
        <f t="shared" si="55"/>
        <v>21.258333333333336</v>
      </c>
      <c r="P160" s="310">
        <f t="shared" si="41"/>
        <v>30.116532263031125</v>
      </c>
      <c r="Q160" s="311">
        <f t="shared" si="42"/>
        <v>1</v>
      </c>
      <c r="R160" s="225">
        <f t="shared" si="52"/>
        <v>17.833333333333332</v>
      </c>
      <c r="S160" s="226">
        <f t="shared" si="43"/>
        <v>1</v>
      </c>
      <c r="T160" s="225">
        <f t="shared" si="53"/>
        <v>24.533333333333331</v>
      </c>
      <c r="U160" s="226">
        <f t="shared" si="48"/>
        <v>1</v>
      </c>
      <c r="V160" s="227">
        <f t="shared" si="54"/>
        <v>21.258333333333336</v>
      </c>
      <c r="W160" s="228">
        <f t="shared" si="44"/>
        <v>1</v>
      </c>
      <c r="X160" s="354">
        <f t="shared" si="49"/>
        <v>12.752380952380951</v>
      </c>
      <c r="Y160" s="354">
        <f t="shared" si="50"/>
        <v>17.328571428571429</v>
      </c>
      <c r="Z160" s="354">
        <f t="shared" si="51"/>
        <v>14.791017316017317</v>
      </c>
      <c r="AA160" s="205"/>
      <c r="AB160" s="357" t="str">
        <f>VLOOKUP($B160,'2007-2020 Metadata'!$A$4:$S$214,MATCH("Urban Area /Monitoring Zone",'2007-2020 Metadata'!$A$4:$S$4,0),FALSE)</f>
        <v>Dunedin</v>
      </c>
      <c r="AC160" s="229" t="str">
        <f>VLOOKUP(B160,'2007-2020 Metadata'!$A$6:$A$214,1,FALSE)</f>
        <v>DUN001</v>
      </c>
      <c r="AD160" s="356" t="str">
        <f>VLOOKUP($AC160,'2007-2020 Metadata'!$A$6:$S$214,9,FALSE)</f>
        <v>Dunedin</v>
      </c>
      <c r="AE160" s="356">
        <f>IF(ISBLANK(VLOOKUP($AC160,'2007-2020 Metadata'!$A$6:$S$214,19,FALSE)),"",VLOOKUP($AC160,'2007-2020 Metadata'!$A$6:$S$214,19,FALSE))</f>
        <v>3</v>
      </c>
      <c r="AF160" s="355" t="str">
        <f>VLOOKUP($B160,'2007-2020 Metadata'!$A$4:$S$214,MATCH("Site type",'2007-2020 Metadata'!$A$4:$S$4,0),FALSE)</f>
        <v>SH</v>
      </c>
      <c r="AG160" s="364">
        <f t="shared" si="45"/>
        <v>12.8</v>
      </c>
      <c r="AH160" s="364">
        <f t="shared" si="46"/>
        <v>34.4</v>
      </c>
      <c r="AI160" s="354">
        <f t="shared" si="47"/>
        <v>14.791017316017317</v>
      </c>
    </row>
    <row r="161" spans="2:35" ht="12" customHeight="1" x14ac:dyDescent="0.15">
      <c r="B161" s="313" t="s">
        <v>27</v>
      </c>
      <c r="C161" s="309">
        <v>11.8</v>
      </c>
      <c r="D161" s="309">
        <v>13</v>
      </c>
      <c r="E161" s="309">
        <v>11.4</v>
      </c>
      <c r="F161" s="309">
        <v>9.5</v>
      </c>
      <c r="G161" s="309">
        <v>20.5</v>
      </c>
      <c r="H161" s="309">
        <v>16.3</v>
      </c>
      <c r="I161" s="309">
        <v>17.899999999999999</v>
      </c>
      <c r="J161" s="309">
        <v>12.6</v>
      </c>
      <c r="K161" s="309">
        <v>14.4</v>
      </c>
      <c r="L161" s="309">
        <v>13.9</v>
      </c>
      <c r="M161" s="309">
        <v>12.5</v>
      </c>
      <c r="N161" s="309">
        <v>6.7</v>
      </c>
      <c r="O161" s="310">
        <f t="shared" si="55"/>
        <v>13.375</v>
      </c>
      <c r="P161" s="310">
        <f t="shared" si="41"/>
        <v>26.308701713175115</v>
      </c>
      <c r="Q161" s="311">
        <f t="shared" si="42"/>
        <v>1</v>
      </c>
      <c r="R161" s="225">
        <f t="shared" si="52"/>
        <v>12.066666666666668</v>
      </c>
      <c r="S161" s="226">
        <f t="shared" si="43"/>
        <v>1</v>
      </c>
      <c r="T161" s="225">
        <f t="shared" si="53"/>
        <v>14.966666666666667</v>
      </c>
      <c r="U161" s="226">
        <f t="shared" si="48"/>
        <v>1</v>
      </c>
      <c r="V161" s="227">
        <f t="shared" si="54"/>
        <v>13.375</v>
      </c>
      <c r="W161" s="228">
        <f t="shared" si="44"/>
        <v>1</v>
      </c>
      <c r="X161" s="354">
        <f t="shared" si="49"/>
        <v>12.752380952380951</v>
      </c>
      <c r="Y161" s="354">
        <f t="shared" si="50"/>
        <v>17.328571428571429</v>
      </c>
      <c r="Z161" s="354">
        <f t="shared" si="51"/>
        <v>14.791017316017317</v>
      </c>
      <c r="AA161" s="205"/>
      <c r="AB161" s="357" t="str">
        <f>VLOOKUP($B161,'2007-2020 Metadata'!$A$4:$S$214,MATCH("Urban Area /Monitoring Zone",'2007-2020 Metadata'!$A$4:$S$4,0),FALSE)</f>
        <v>Dunedin</v>
      </c>
      <c r="AC161" s="229" t="str">
        <f>VLOOKUP(B161,'2007-2020 Metadata'!$A$6:$A$214,1,FALSE)</f>
        <v>DUN002</v>
      </c>
      <c r="AD161" s="356" t="str">
        <f>VLOOKUP($AC161,'2007-2020 Metadata'!$A$6:$S$214,9,FALSE)</f>
        <v>Dunedin</v>
      </c>
      <c r="AE161" s="356">
        <f>IF(ISBLANK(VLOOKUP($AC161,'2007-2020 Metadata'!$A$6:$S$214,19,FALSE)),"",VLOOKUP($AC161,'2007-2020 Metadata'!$A$6:$S$214,19,FALSE))</f>
        <v>3</v>
      </c>
      <c r="AF161" s="355" t="str">
        <f>VLOOKUP($B161,'2007-2020 Metadata'!$A$4:$S$214,MATCH("Site type",'2007-2020 Metadata'!$A$4:$S$4,0),FALSE)</f>
        <v>SH</v>
      </c>
      <c r="AG161" s="364">
        <f t="shared" si="45"/>
        <v>6.7</v>
      </c>
      <c r="AH161" s="364">
        <f t="shared" si="46"/>
        <v>20.5</v>
      </c>
      <c r="AI161" s="354">
        <f t="shared" si="47"/>
        <v>14.791017316017317</v>
      </c>
    </row>
    <row r="162" spans="2:35" ht="12" customHeight="1" x14ac:dyDescent="0.15">
      <c r="B162" s="313" t="s">
        <v>29</v>
      </c>
      <c r="C162" s="309"/>
      <c r="D162" s="309"/>
      <c r="E162" s="309">
        <v>12.9</v>
      </c>
      <c r="F162" s="309">
        <v>9.1</v>
      </c>
      <c r="G162" s="309"/>
      <c r="H162" s="309"/>
      <c r="I162" s="309">
        <v>33.6</v>
      </c>
      <c r="J162" s="309">
        <v>24.4</v>
      </c>
      <c r="K162" s="309">
        <v>20.6</v>
      </c>
      <c r="L162" s="309">
        <v>18.600000000000001</v>
      </c>
      <c r="M162" s="309">
        <v>14.8</v>
      </c>
      <c r="N162" s="309">
        <v>14</v>
      </c>
      <c r="O162" s="310">
        <f t="shared" si="55"/>
        <v>18.5</v>
      </c>
      <c r="P162" s="310">
        <f t="shared" si="41"/>
        <v>39.20782408762188</v>
      </c>
      <c r="Q162" s="311">
        <f t="shared" si="42"/>
        <v>0.66666666666666663</v>
      </c>
      <c r="R162" s="225" t="str">
        <f t="shared" si="52"/>
        <v>-</v>
      </c>
      <c r="S162" s="226">
        <f t="shared" si="43"/>
        <v>0.33333333333333331</v>
      </c>
      <c r="T162" s="225">
        <f t="shared" si="53"/>
        <v>26.2</v>
      </c>
      <c r="U162" s="226">
        <f t="shared" si="48"/>
        <v>1</v>
      </c>
      <c r="V162" s="227" t="str">
        <f t="shared" si="54"/>
        <v>-</v>
      </c>
      <c r="W162" s="228">
        <f t="shared" si="44"/>
        <v>0.66666666666666663</v>
      </c>
      <c r="X162" s="354" t="str">
        <f t="shared" si="49"/>
        <v/>
      </c>
      <c r="Y162" s="354">
        <f t="shared" si="50"/>
        <v>26.2</v>
      </c>
      <c r="Z162" s="354" t="str">
        <f t="shared" si="51"/>
        <v/>
      </c>
      <c r="AA162" s="205"/>
      <c r="AB162" s="357" t="str">
        <f>VLOOKUP($B162,'2007-2020 Metadata'!$A$4:$S$214,MATCH("Urban Area /Monitoring Zone",'2007-2020 Metadata'!$A$4:$S$4,0),FALSE)</f>
        <v>Queenstown</v>
      </c>
      <c r="AC162" s="229" t="str">
        <f>VLOOKUP(B162,'2007-2020 Metadata'!$A$6:$A$214,1,FALSE)</f>
        <v>DUN004</v>
      </c>
      <c r="AD162" s="356" t="str">
        <f>VLOOKUP($AC162,'2007-2020 Metadata'!$A$6:$S$214,9,FALSE)</f>
        <v>Queenstown</v>
      </c>
      <c r="AE162" s="356">
        <f>IF(ISBLANK(VLOOKUP($AC162,'2007-2020 Metadata'!$A$6:$S$214,19,FALSE)),"",VLOOKUP($AC162,'2007-2020 Metadata'!$A$6:$S$214,19,FALSE))</f>
        <v>3</v>
      </c>
      <c r="AF162" s="355" t="str">
        <f>VLOOKUP($B162,'2007-2020 Metadata'!$A$4:$S$214,MATCH("Site type",'2007-2020 Metadata'!$A$4:$S$4,0),FALSE)</f>
        <v>SH</v>
      </c>
      <c r="AG162" s="364">
        <f t="shared" si="45"/>
        <v>9.1</v>
      </c>
      <c r="AH162" s="364">
        <f t="shared" si="46"/>
        <v>33.6</v>
      </c>
      <c r="AI162" s="354" t="str">
        <f t="shared" si="47"/>
        <v xml:space="preserve"> </v>
      </c>
    </row>
    <row r="163" spans="2:35" ht="12" customHeight="1" x14ac:dyDescent="0.15">
      <c r="B163" s="313" t="s">
        <v>30</v>
      </c>
      <c r="C163" s="309">
        <v>21.2</v>
      </c>
      <c r="D163" s="309">
        <v>22.5</v>
      </c>
      <c r="E163" s="309">
        <v>13.1</v>
      </c>
      <c r="F163" s="309">
        <v>13.1</v>
      </c>
      <c r="G163" s="309">
        <v>30.9</v>
      </c>
      <c r="H163" s="309">
        <v>32.200000000000003</v>
      </c>
      <c r="I163" s="309">
        <v>38.5</v>
      </c>
      <c r="J163" s="309">
        <v>32.6</v>
      </c>
      <c r="K163" s="309">
        <v>27.3</v>
      </c>
      <c r="L163" s="309">
        <v>22.3</v>
      </c>
      <c r="M163" s="309"/>
      <c r="N163" s="309"/>
      <c r="O163" s="310">
        <f t="shared" si="55"/>
        <v>25.37</v>
      </c>
      <c r="P163" s="310">
        <f t="shared" si="41"/>
        <v>31.57715221407565</v>
      </c>
      <c r="Q163" s="311">
        <f t="shared" si="42"/>
        <v>0.83333333333333337</v>
      </c>
      <c r="R163" s="225">
        <f t="shared" si="52"/>
        <v>18.933333333333334</v>
      </c>
      <c r="S163" s="226">
        <f t="shared" si="43"/>
        <v>1</v>
      </c>
      <c r="T163" s="225">
        <f t="shared" si="53"/>
        <v>32.799999999999997</v>
      </c>
      <c r="U163" s="226">
        <f t="shared" si="48"/>
        <v>1</v>
      </c>
      <c r="V163" s="227">
        <f t="shared" si="54"/>
        <v>25.37</v>
      </c>
      <c r="W163" s="228">
        <f t="shared" si="44"/>
        <v>0.83333333333333337</v>
      </c>
      <c r="X163" s="354">
        <f t="shared" si="49"/>
        <v>11.733333333333333</v>
      </c>
      <c r="Y163" s="354">
        <f t="shared" si="50"/>
        <v>20.083333333333332</v>
      </c>
      <c r="Z163" s="354">
        <f t="shared" si="51"/>
        <v>15.630833333333333</v>
      </c>
      <c r="AA163" s="205"/>
      <c r="AB163" s="357" t="str">
        <f>VLOOKUP($B163,'2007-2020 Metadata'!$A$4:$S$214,MATCH("Urban Area /Monitoring Zone",'2007-2020 Metadata'!$A$4:$S$4,0),FALSE)</f>
        <v>Invercargill</v>
      </c>
      <c r="AC163" s="229" t="str">
        <f>VLOOKUP(B163,'2007-2020 Metadata'!$A$6:$A$214,1,FALSE)</f>
        <v>DUN005</v>
      </c>
      <c r="AD163" s="356" t="str">
        <f>VLOOKUP($AC163,'2007-2020 Metadata'!$A$6:$S$214,9,FALSE)</f>
        <v>Invercargill</v>
      </c>
      <c r="AE163" s="356">
        <f>IF(ISBLANK(VLOOKUP($AC163,'2007-2020 Metadata'!$A$6:$S$214,19,FALSE)),"",VLOOKUP($AC163,'2007-2020 Metadata'!$A$6:$S$214,19,FALSE))</f>
        <v>3</v>
      </c>
      <c r="AF163" s="355" t="str">
        <f>VLOOKUP($B163,'2007-2020 Metadata'!$A$4:$S$214,MATCH("Site type",'2007-2020 Metadata'!$A$4:$S$4,0),FALSE)</f>
        <v>SH</v>
      </c>
      <c r="AG163" s="364">
        <f t="shared" si="45"/>
        <v>13.1</v>
      </c>
      <c r="AH163" s="364">
        <f t="shared" si="46"/>
        <v>38.5</v>
      </c>
      <c r="AI163" s="354">
        <f t="shared" si="47"/>
        <v>15.630833333333333</v>
      </c>
    </row>
    <row r="164" spans="2:35" ht="12" customHeight="1" x14ac:dyDescent="0.15">
      <c r="B164" s="313" t="s">
        <v>155</v>
      </c>
      <c r="C164" s="309">
        <v>16.100000000000001</v>
      </c>
      <c r="D164" s="309">
        <v>18.2</v>
      </c>
      <c r="E164" s="309">
        <v>15.4</v>
      </c>
      <c r="F164" s="309">
        <v>12.7</v>
      </c>
      <c r="G164" s="309">
        <v>31.8</v>
      </c>
      <c r="H164" s="309">
        <v>26.1</v>
      </c>
      <c r="I164" s="309">
        <v>29.5</v>
      </c>
      <c r="J164" s="309">
        <v>21.4</v>
      </c>
      <c r="K164" s="309">
        <v>20.6</v>
      </c>
      <c r="L164" s="309">
        <v>18</v>
      </c>
      <c r="M164" s="309">
        <v>17.899999999999999</v>
      </c>
      <c r="N164" s="309">
        <v>12.4</v>
      </c>
      <c r="O164" s="310">
        <f t="shared" si="55"/>
        <v>20.008333333333333</v>
      </c>
      <c r="P164" s="310">
        <f t="shared" si="41"/>
        <v>29.851460340246504</v>
      </c>
      <c r="Q164" s="311">
        <f t="shared" si="42"/>
        <v>1</v>
      </c>
      <c r="R164" s="225">
        <f t="shared" si="52"/>
        <v>16.566666666666666</v>
      </c>
      <c r="S164" s="226">
        <f t="shared" si="43"/>
        <v>1</v>
      </c>
      <c r="T164" s="225">
        <f t="shared" si="53"/>
        <v>23.833333333333332</v>
      </c>
      <c r="U164" s="226">
        <f t="shared" si="48"/>
        <v>1</v>
      </c>
      <c r="V164" s="227">
        <f t="shared" si="54"/>
        <v>20.008333333333333</v>
      </c>
      <c r="W164" s="228">
        <f t="shared" si="44"/>
        <v>1</v>
      </c>
      <c r="X164" s="354">
        <f t="shared" si="49"/>
        <v>12.752380952380951</v>
      </c>
      <c r="Y164" s="354">
        <f t="shared" si="50"/>
        <v>17.328571428571429</v>
      </c>
      <c r="Z164" s="354">
        <f t="shared" si="51"/>
        <v>14.791017316017317</v>
      </c>
      <c r="AA164" s="205"/>
      <c r="AB164" s="357" t="str">
        <f>VLOOKUP($B164,'2007-2020 Metadata'!$A$4:$S$214,MATCH("Urban Area /Monitoring Zone",'2007-2020 Metadata'!$A$4:$S$4,0),FALSE)</f>
        <v>Dunedin</v>
      </c>
      <c r="AC164" s="229" t="str">
        <f>VLOOKUP(B164,'2007-2020 Metadata'!$A$6:$A$214,1,FALSE)</f>
        <v>DUN006</v>
      </c>
      <c r="AD164" s="356" t="str">
        <f>VLOOKUP($AC164,'2007-2020 Metadata'!$A$6:$S$214,9,FALSE)</f>
        <v>Dunedin</v>
      </c>
      <c r="AE164" s="356">
        <f>IF(ISBLANK(VLOOKUP($AC164,'2007-2020 Metadata'!$A$6:$S$214,19,FALSE)),"",VLOOKUP($AC164,'2007-2020 Metadata'!$A$6:$S$214,19,FALSE))</f>
        <v>3</v>
      </c>
      <c r="AF164" s="355" t="str">
        <f>VLOOKUP($B164,'2007-2020 Metadata'!$A$4:$S$214,MATCH("Site type",'2007-2020 Metadata'!$A$4:$S$4,0),FALSE)</f>
        <v>SH</v>
      </c>
      <c r="AG164" s="364">
        <f t="shared" si="45"/>
        <v>12.4</v>
      </c>
      <c r="AH164" s="364">
        <f t="shared" si="46"/>
        <v>31.8</v>
      </c>
      <c r="AI164" s="354">
        <f t="shared" si="47"/>
        <v>14.791017316017317</v>
      </c>
    </row>
    <row r="165" spans="2:35" ht="12" customHeight="1" x14ac:dyDescent="0.15">
      <c r="B165" s="313" t="s">
        <v>156</v>
      </c>
      <c r="C165" s="309">
        <v>7.6</v>
      </c>
      <c r="D165" s="309">
        <v>8.6</v>
      </c>
      <c r="E165" s="309">
        <v>6</v>
      </c>
      <c r="F165" s="309">
        <v>5.9</v>
      </c>
      <c r="G165" s="309">
        <v>14.4</v>
      </c>
      <c r="H165" s="309">
        <v>12.5</v>
      </c>
      <c r="I165" s="309">
        <v>12.2</v>
      </c>
      <c r="J165" s="309">
        <v>8.6</v>
      </c>
      <c r="K165" s="309">
        <v>6.4</v>
      </c>
      <c r="L165" s="309">
        <v>7.8</v>
      </c>
      <c r="M165" s="309">
        <v>6.5</v>
      </c>
      <c r="N165" s="309">
        <v>6.1</v>
      </c>
      <c r="O165" s="310">
        <f t="shared" si="55"/>
        <v>8.5499999999999989</v>
      </c>
      <c r="P165" s="310">
        <f t="shared" si="41"/>
        <v>32.554773473021761</v>
      </c>
      <c r="Q165" s="311">
        <f t="shared" si="42"/>
        <v>1</v>
      </c>
      <c r="R165" s="225">
        <f t="shared" si="52"/>
        <v>7.3999999999999995</v>
      </c>
      <c r="S165" s="226">
        <f t="shared" si="43"/>
        <v>1</v>
      </c>
      <c r="T165" s="225">
        <f t="shared" si="53"/>
        <v>9.0666666666666647</v>
      </c>
      <c r="U165" s="226">
        <f t="shared" si="48"/>
        <v>1</v>
      </c>
      <c r="V165" s="227">
        <f t="shared" si="54"/>
        <v>8.5499999999999989</v>
      </c>
      <c r="W165" s="228">
        <f t="shared" si="44"/>
        <v>1</v>
      </c>
      <c r="X165" s="354">
        <f t="shared" si="49"/>
        <v>12.752380952380951</v>
      </c>
      <c r="Y165" s="354">
        <f t="shared" si="50"/>
        <v>17.328571428571429</v>
      </c>
      <c r="Z165" s="354">
        <f t="shared" si="51"/>
        <v>14.791017316017317</v>
      </c>
      <c r="AA165" s="205"/>
      <c r="AB165" s="357" t="str">
        <f>VLOOKUP($B165,'2007-2020 Metadata'!$A$4:$S$214,MATCH("Urban Area /Monitoring Zone",'2007-2020 Metadata'!$A$4:$S$4,0),FALSE)</f>
        <v>Dunedin</v>
      </c>
      <c r="AC165" s="229" t="str">
        <f>VLOOKUP(B165,'2007-2020 Metadata'!$A$6:$A$214,1,FALSE)</f>
        <v>DUN007</v>
      </c>
      <c r="AD165" s="356" t="str">
        <f>VLOOKUP($AC165,'2007-2020 Metadata'!$A$6:$S$214,9,FALSE)</f>
        <v>Dunedin</v>
      </c>
      <c r="AE165" s="356">
        <f>IF(ISBLANK(VLOOKUP($AC165,'2007-2020 Metadata'!$A$6:$S$214,19,FALSE)),"",VLOOKUP($AC165,'2007-2020 Metadata'!$A$6:$S$214,19,FALSE))</f>
        <v>3</v>
      </c>
      <c r="AF165" s="355" t="str">
        <f>VLOOKUP($B165,'2007-2020 Metadata'!$A$4:$S$214,MATCH("Site type",'2007-2020 Metadata'!$A$4:$S$4,0),FALSE)</f>
        <v>Background</v>
      </c>
      <c r="AG165" s="364">
        <f t="shared" si="45"/>
        <v>5.9</v>
      </c>
      <c r="AH165" s="364">
        <f t="shared" si="46"/>
        <v>14.4</v>
      </c>
      <c r="AI165" s="354">
        <f t="shared" si="47"/>
        <v>14.791017316017317</v>
      </c>
    </row>
    <row r="166" spans="2:35" ht="12" customHeight="1" x14ac:dyDescent="0.15">
      <c r="B166" s="313" t="s">
        <v>157</v>
      </c>
      <c r="C166" s="309">
        <v>12.9</v>
      </c>
      <c r="D166" s="309">
        <v>14.2</v>
      </c>
      <c r="E166" s="309">
        <v>11.1</v>
      </c>
      <c r="F166" s="309">
        <v>7.2</v>
      </c>
      <c r="G166" s="309">
        <v>20.8</v>
      </c>
      <c r="H166" s="309">
        <v>14.5</v>
      </c>
      <c r="I166" s="309">
        <v>16.3</v>
      </c>
      <c r="J166" s="309">
        <v>13</v>
      </c>
      <c r="K166" s="309">
        <v>13.5</v>
      </c>
      <c r="L166" s="309">
        <v>13.6</v>
      </c>
      <c r="M166" s="309">
        <v>11.8</v>
      </c>
      <c r="N166" s="309">
        <v>9.8000000000000007</v>
      </c>
      <c r="O166" s="310">
        <f t="shared" si="55"/>
        <v>13.225000000000001</v>
      </c>
      <c r="P166" s="310">
        <f t="shared" si="41"/>
        <v>24.342121073881952</v>
      </c>
      <c r="Q166" s="311">
        <f t="shared" si="42"/>
        <v>1</v>
      </c>
      <c r="R166" s="225">
        <f t="shared" si="52"/>
        <v>12.733333333333334</v>
      </c>
      <c r="S166" s="226">
        <f t="shared" si="43"/>
        <v>1</v>
      </c>
      <c r="T166" s="225">
        <f t="shared" si="53"/>
        <v>14.266666666666666</v>
      </c>
      <c r="U166" s="226">
        <f t="shared" si="48"/>
        <v>1</v>
      </c>
      <c r="V166" s="227">
        <f t="shared" si="54"/>
        <v>13.225000000000001</v>
      </c>
      <c r="W166" s="228">
        <f t="shared" si="44"/>
        <v>1</v>
      </c>
      <c r="X166" s="354">
        <f t="shared" si="49"/>
        <v>12.752380952380951</v>
      </c>
      <c r="Y166" s="354">
        <f t="shared" si="50"/>
        <v>17.328571428571429</v>
      </c>
      <c r="Z166" s="354">
        <f t="shared" si="51"/>
        <v>14.791017316017317</v>
      </c>
      <c r="AA166" s="205"/>
      <c r="AB166" s="357" t="str">
        <f>VLOOKUP($B166,'2007-2020 Metadata'!$A$4:$S$214,MATCH("Urban Area /Monitoring Zone",'2007-2020 Metadata'!$A$4:$S$4,0),FALSE)</f>
        <v>Dunedin</v>
      </c>
      <c r="AC166" s="229" t="str">
        <f>VLOOKUP(B166,'2007-2020 Metadata'!$A$6:$A$214,1,FALSE)</f>
        <v>DUN008</v>
      </c>
      <c r="AD166" s="356" t="str">
        <f>VLOOKUP($AC166,'2007-2020 Metadata'!$A$6:$S$214,9,FALSE)</f>
        <v>Dunedin</v>
      </c>
      <c r="AE166" s="356">
        <f>IF(ISBLANK(VLOOKUP($AC166,'2007-2020 Metadata'!$A$6:$S$214,19,FALSE)),"",VLOOKUP($AC166,'2007-2020 Metadata'!$A$6:$S$214,19,FALSE))</f>
        <v>3</v>
      </c>
      <c r="AF166" s="355" t="str">
        <f>VLOOKUP($B166,'2007-2020 Metadata'!$A$4:$S$214,MATCH("Site type",'2007-2020 Metadata'!$A$4:$S$4,0),FALSE)</f>
        <v>Local</v>
      </c>
      <c r="AG166" s="364">
        <f t="shared" si="45"/>
        <v>7.2</v>
      </c>
      <c r="AH166" s="364">
        <f t="shared" si="46"/>
        <v>20.8</v>
      </c>
      <c r="AI166" s="354">
        <f t="shared" si="47"/>
        <v>14.791017316017317</v>
      </c>
    </row>
    <row r="167" spans="2:35" ht="12" customHeight="1" x14ac:dyDescent="0.15">
      <c r="B167" s="313" t="s">
        <v>158</v>
      </c>
      <c r="C167" s="309">
        <v>14.2</v>
      </c>
      <c r="D167" s="309">
        <v>12.6</v>
      </c>
      <c r="E167" s="309">
        <v>13</v>
      </c>
      <c r="F167" s="309">
        <v>12.9</v>
      </c>
      <c r="G167" s="309">
        <v>29.3</v>
      </c>
      <c r="H167" s="309">
        <v>20.6</v>
      </c>
      <c r="I167" s="309">
        <v>26.6</v>
      </c>
      <c r="J167" s="309"/>
      <c r="K167" s="309">
        <v>19.2</v>
      </c>
      <c r="L167" s="309">
        <v>12.6</v>
      </c>
      <c r="M167" s="309">
        <v>13.3</v>
      </c>
      <c r="N167" s="309">
        <v>9.9</v>
      </c>
      <c r="O167" s="310">
        <f t="shared" si="55"/>
        <v>16.745454545454546</v>
      </c>
      <c r="P167" s="310">
        <f t="shared" si="41"/>
        <v>36.191060411127964</v>
      </c>
      <c r="Q167" s="311">
        <f t="shared" si="42"/>
        <v>0.91666666666666663</v>
      </c>
      <c r="R167" s="225">
        <f t="shared" si="52"/>
        <v>13.266666666666666</v>
      </c>
      <c r="S167" s="226">
        <f t="shared" si="43"/>
        <v>1</v>
      </c>
      <c r="T167" s="225">
        <f t="shared" si="53"/>
        <v>22.9</v>
      </c>
      <c r="U167" s="226">
        <f t="shared" si="48"/>
        <v>0.66666666666666663</v>
      </c>
      <c r="V167" s="227">
        <f t="shared" si="54"/>
        <v>16.745454545454546</v>
      </c>
      <c r="W167" s="228">
        <f t="shared" si="44"/>
        <v>0.91666666666666663</v>
      </c>
      <c r="X167" s="354">
        <f t="shared" si="49"/>
        <v>12.752380952380951</v>
      </c>
      <c r="Y167" s="354">
        <f t="shared" si="50"/>
        <v>17.328571428571429</v>
      </c>
      <c r="Z167" s="354">
        <f t="shared" si="51"/>
        <v>14.791017316017317</v>
      </c>
      <c r="AA167" s="205"/>
      <c r="AB167" s="357" t="str">
        <f>VLOOKUP($B167,'2007-2020 Metadata'!$A$4:$S$214,MATCH("Urban Area /Monitoring Zone",'2007-2020 Metadata'!$A$4:$S$4,0),FALSE)</f>
        <v>Dunedin</v>
      </c>
      <c r="AC167" s="229" t="str">
        <f>VLOOKUP(B167,'2007-2020 Metadata'!$A$6:$A$214,1,FALSE)</f>
        <v>DUN009</v>
      </c>
      <c r="AD167" s="356" t="str">
        <f>VLOOKUP($AC167,'2007-2020 Metadata'!$A$6:$S$214,9,FALSE)</f>
        <v>Dunedin</v>
      </c>
      <c r="AE167" s="356">
        <f>IF(ISBLANK(VLOOKUP($AC167,'2007-2020 Metadata'!$A$6:$S$214,19,FALSE)),"",VLOOKUP($AC167,'2007-2020 Metadata'!$A$6:$S$214,19,FALSE))</f>
        <v>3</v>
      </c>
      <c r="AF167" s="355" t="str">
        <f>VLOOKUP($B167,'2007-2020 Metadata'!$A$4:$S$214,MATCH("Site type",'2007-2020 Metadata'!$A$4:$S$4,0),FALSE)</f>
        <v>Local</v>
      </c>
      <c r="AG167" s="364">
        <f t="shared" si="45"/>
        <v>9.9</v>
      </c>
      <c r="AH167" s="364">
        <f t="shared" si="46"/>
        <v>29.3</v>
      </c>
      <c r="AI167" s="354">
        <f t="shared" si="47"/>
        <v>14.791017316017317</v>
      </c>
    </row>
    <row r="168" spans="2:35" ht="12" customHeight="1" x14ac:dyDescent="0.15">
      <c r="B168" s="313" t="s">
        <v>31</v>
      </c>
      <c r="C168" s="309">
        <v>4.0999999999999996</v>
      </c>
      <c r="D168" s="309">
        <v>4.8</v>
      </c>
      <c r="E168" s="309">
        <v>4.7</v>
      </c>
      <c r="F168" s="309">
        <v>4.7</v>
      </c>
      <c r="G168" s="309">
        <v>8.3000000000000007</v>
      </c>
      <c r="H168" s="309">
        <v>9.1999999999999993</v>
      </c>
      <c r="I168" s="309">
        <v>9.9</v>
      </c>
      <c r="J168" s="309">
        <v>7.1</v>
      </c>
      <c r="K168" s="309">
        <v>5.0999999999999996</v>
      </c>
      <c r="L168" s="309">
        <v>4.7</v>
      </c>
      <c r="M168" s="309">
        <v>5</v>
      </c>
      <c r="N168" s="309">
        <v>3.1</v>
      </c>
      <c r="O168" s="310">
        <f t="shared" si="55"/>
        <v>5.8916666666666657</v>
      </c>
      <c r="P168" s="310">
        <f t="shared" si="41"/>
        <v>35.383019816623786</v>
      </c>
      <c r="Q168" s="311">
        <f t="shared" si="42"/>
        <v>1</v>
      </c>
      <c r="R168" s="225">
        <f t="shared" si="52"/>
        <v>4.5333333333333323</v>
      </c>
      <c r="S168" s="226">
        <f t="shared" si="43"/>
        <v>1</v>
      </c>
      <c r="T168" s="225">
        <f t="shared" si="53"/>
        <v>7.3666666666666671</v>
      </c>
      <c r="U168" s="226">
        <f t="shared" si="48"/>
        <v>1</v>
      </c>
      <c r="V168" s="227">
        <f t="shared" si="54"/>
        <v>5.8916666666666657</v>
      </c>
      <c r="W168" s="228">
        <f t="shared" si="44"/>
        <v>1</v>
      </c>
      <c r="X168" s="354">
        <f t="shared" si="49"/>
        <v>11.733333333333333</v>
      </c>
      <c r="Y168" s="354">
        <f t="shared" si="50"/>
        <v>20.083333333333332</v>
      </c>
      <c r="Z168" s="354">
        <f t="shared" si="51"/>
        <v>15.630833333333333</v>
      </c>
      <c r="AA168" s="205"/>
      <c r="AB168" s="357" t="str">
        <f>VLOOKUP($B168,'2007-2020 Metadata'!$A$4:$S$214,MATCH("Urban Area /Monitoring Zone",'2007-2020 Metadata'!$A$4:$S$4,0),FALSE)</f>
        <v>Invercargill</v>
      </c>
      <c r="AC168" s="229" t="str">
        <f>VLOOKUP(B168,'2007-2020 Metadata'!$A$6:$A$214,1,FALSE)</f>
        <v>DUN010</v>
      </c>
      <c r="AD168" s="356" t="str">
        <f>VLOOKUP($AC168,'2007-2020 Metadata'!$A$6:$S$214,9,FALSE)</f>
        <v>Invercargill</v>
      </c>
      <c r="AE168" s="356">
        <f>IF(ISBLANK(VLOOKUP($AC168,'2007-2020 Metadata'!$A$6:$S$214,19,FALSE)),"",VLOOKUP($AC168,'2007-2020 Metadata'!$A$6:$S$214,19,FALSE))</f>
        <v>3</v>
      </c>
      <c r="AF168" s="355" t="str">
        <f>VLOOKUP($B168,'2007-2020 Metadata'!$A$4:$S$214,MATCH("Site type",'2007-2020 Metadata'!$A$4:$S$4,0),FALSE)</f>
        <v>Background</v>
      </c>
      <c r="AG168" s="364">
        <f t="shared" si="45"/>
        <v>3.1</v>
      </c>
      <c r="AH168" s="364">
        <f t="shared" si="46"/>
        <v>9.9</v>
      </c>
      <c r="AI168" s="354">
        <f t="shared" si="47"/>
        <v>15.630833333333333</v>
      </c>
    </row>
    <row r="169" spans="2:35" ht="12" customHeight="1" x14ac:dyDescent="0.15">
      <c r="B169" s="313" t="s">
        <v>468</v>
      </c>
      <c r="C169" s="309">
        <v>9.6</v>
      </c>
      <c r="D169" s="309">
        <v>10.1</v>
      </c>
      <c r="E169" s="309">
        <v>8.5</v>
      </c>
      <c r="F169" s="309">
        <v>6.5</v>
      </c>
      <c r="G169" s="309">
        <v>15</v>
      </c>
      <c r="H169" s="309">
        <v>13.7</v>
      </c>
      <c r="I169" s="309">
        <v>15</v>
      </c>
      <c r="J169" s="309">
        <v>11.4</v>
      </c>
      <c r="K169" s="309">
        <v>8.8000000000000007</v>
      </c>
      <c r="L169" s="309">
        <v>9.6999999999999993</v>
      </c>
      <c r="M169" s="309">
        <v>9</v>
      </c>
      <c r="N169" s="309">
        <v>7.2</v>
      </c>
      <c r="O169" s="310">
        <f t="shared" si="55"/>
        <v>10.375000000000002</v>
      </c>
      <c r="P169" s="310">
        <f t="shared" si="41"/>
        <v>26.249580936593663</v>
      </c>
      <c r="Q169" s="311">
        <f t="shared" si="42"/>
        <v>1</v>
      </c>
      <c r="R169" s="225">
        <f t="shared" si="52"/>
        <v>9.4</v>
      </c>
      <c r="S169" s="226">
        <f t="shared" si="43"/>
        <v>1</v>
      </c>
      <c r="T169" s="225">
        <f t="shared" si="53"/>
        <v>11.733333333333334</v>
      </c>
      <c r="U169" s="226">
        <f t="shared" si="48"/>
        <v>1</v>
      </c>
      <c r="V169" s="227">
        <f t="shared" si="54"/>
        <v>10.375000000000002</v>
      </c>
      <c r="W169" s="228">
        <f t="shared" si="44"/>
        <v>1</v>
      </c>
      <c r="X169" s="354">
        <f t="shared" si="49"/>
        <v>12.752380952380951</v>
      </c>
      <c r="Y169" s="354">
        <f t="shared" si="50"/>
        <v>17.328571428571429</v>
      </c>
      <c r="Z169" s="354">
        <f t="shared" si="51"/>
        <v>14.791017316017317</v>
      </c>
      <c r="AA169" s="205"/>
      <c r="AB169" s="357" t="str">
        <f>VLOOKUP($B169,'2007-2020 Metadata'!$A$4:$S$214,MATCH("Urban Area /Monitoring Zone",'2007-2020 Metadata'!$A$4:$S$4,0),FALSE)</f>
        <v>Dunedin</v>
      </c>
      <c r="AC169" s="229" t="str">
        <f>VLOOKUP(B169,'2007-2020 Metadata'!$A$6:$A$214,1,FALSE)</f>
        <v>DUN011</v>
      </c>
      <c r="AD169" s="356" t="str">
        <f>VLOOKUP($AC169,'2007-2020 Metadata'!$A$6:$S$214,9,FALSE)</f>
        <v>Dunedin</v>
      </c>
      <c r="AE169" s="356">
        <f>IF(ISBLANK(VLOOKUP($AC169,'2007-2020 Metadata'!$A$6:$S$214,19,FALSE)),"",VLOOKUP($AC169,'2007-2020 Metadata'!$A$6:$S$214,19,FALSE))</f>
        <v>3</v>
      </c>
      <c r="AF169" s="355" t="str">
        <f>VLOOKUP($B169,'2007-2020 Metadata'!$A$4:$S$214,MATCH("Site type",'2007-2020 Metadata'!$A$4:$S$4,0),FALSE)</f>
        <v>SH</v>
      </c>
      <c r="AG169" s="364">
        <f t="shared" si="45"/>
        <v>6.5</v>
      </c>
      <c r="AH169" s="364">
        <f t="shared" si="46"/>
        <v>15</v>
      </c>
      <c r="AI169" s="354">
        <f t="shared" si="47"/>
        <v>14.791017316017317</v>
      </c>
    </row>
    <row r="170" spans="2:35" ht="12" customHeight="1" thickBot="1" x14ac:dyDescent="0.2">
      <c r="B170" s="316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317"/>
      <c r="P170" s="317"/>
      <c r="Q170" s="318"/>
      <c r="R170" s="317"/>
      <c r="S170" s="346"/>
      <c r="T170" s="350"/>
      <c r="U170" s="351"/>
      <c r="V170" s="348"/>
      <c r="W170" s="318"/>
      <c r="X170" s="346"/>
      <c r="Y170" s="349"/>
      <c r="Z170" s="347"/>
      <c r="AA170" s="346"/>
      <c r="AB170" s="348"/>
      <c r="AC170" s="352"/>
      <c r="AD170" s="353"/>
      <c r="AE170" s="317"/>
      <c r="AF170" s="318"/>
      <c r="AG170" s="317"/>
      <c r="AH170" s="317"/>
      <c r="AI170" s="318"/>
    </row>
    <row r="171" spans="2:35" ht="12" customHeight="1" thickTop="1" x14ac:dyDescent="0.15">
      <c r="B171" s="302"/>
      <c r="C171" s="237" t="s">
        <v>487</v>
      </c>
      <c r="D171" s="301"/>
      <c r="E171" s="301"/>
      <c r="F171" s="301"/>
      <c r="G171" s="301"/>
      <c r="H171" s="301"/>
      <c r="I171" s="301"/>
      <c r="J171" s="301"/>
      <c r="K171" s="301"/>
      <c r="L171" s="301"/>
      <c r="M171" s="301"/>
      <c r="N171" s="301"/>
      <c r="O171" s="319"/>
      <c r="P171" s="319"/>
      <c r="Q171" s="319"/>
    </row>
    <row r="172" spans="2:35" ht="12" customHeight="1" x14ac:dyDescent="0.15">
      <c r="B172" s="320" t="s">
        <v>455</v>
      </c>
      <c r="C172" s="301"/>
      <c r="D172" s="301"/>
      <c r="E172" s="301"/>
      <c r="F172" s="301"/>
      <c r="G172" s="301"/>
      <c r="H172" s="301"/>
      <c r="I172" s="301"/>
      <c r="J172" s="301"/>
      <c r="K172" s="301"/>
      <c r="L172" s="301"/>
      <c r="M172" s="301"/>
      <c r="N172" s="301"/>
      <c r="O172" s="319"/>
      <c r="P172" s="319"/>
      <c r="Q172" s="319"/>
    </row>
    <row r="173" spans="2:35" ht="11.25" customHeight="1" x14ac:dyDescent="0.15">
      <c r="B173" s="321"/>
      <c r="C173" s="301" t="s">
        <v>456</v>
      </c>
      <c r="D173" s="301"/>
      <c r="E173" s="301"/>
      <c r="F173" s="301" t="s">
        <v>456</v>
      </c>
      <c r="G173" s="301"/>
      <c r="H173" s="301"/>
      <c r="I173" s="301"/>
      <c r="J173" s="301"/>
      <c r="K173" s="301"/>
      <c r="L173" s="301"/>
      <c r="M173" s="301"/>
      <c r="N173" s="301"/>
      <c r="O173" s="319"/>
      <c r="P173" s="319"/>
      <c r="Q173" s="319"/>
    </row>
    <row r="174" spans="2:35" ht="11.25" customHeight="1" x14ac:dyDescent="0.15">
      <c r="B174" s="371"/>
      <c r="C174" s="301" t="s">
        <v>1085</v>
      </c>
      <c r="D174" s="301"/>
      <c r="E174" s="301"/>
      <c r="F174" s="301" t="s">
        <v>1085</v>
      </c>
      <c r="G174" s="301"/>
      <c r="H174" s="301"/>
      <c r="I174" s="301"/>
      <c r="J174" s="301"/>
      <c r="K174" s="301"/>
      <c r="L174" s="301"/>
      <c r="M174" s="301"/>
      <c r="N174" s="301"/>
      <c r="O174" s="319"/>
      <c r="P174" s="319"/>
      <c r="Q174" s="319"/>
    </row>
    <row r="175" spans="2:35" ht="11.25" customHeight="1" x14ac:dyDescent="0.15">
      <c r="B175" s="322"/>
      <c r="C175" s="301" t="s">
        <v>488</v>
      </c>
      <c r="D175" s="301"/>
      <c r="E175" s="301"/>
      <c r="F175" s="181" t="s">
        <v>488</v>
      </c>
      <c r="G175" s="301"/>
      <c r="H175" s="301"/>
      <c r="I175" s="301"/>
      <c r="J175" s="301"/>
      <c r="K175" s="301"/>
      <c r="L175" s="301"/>
      <c r="M175" s="301"/>
      <c r="N175" s="301"/>
      <c r="O175" s="319"/>
      <c r="P175" s="319"/>
      <c r="Q175" s="319"/>
    </row>
    <row r="176" spans="2:35" ht="11.25" customHeight="1" x14ac:dyDescent="0.15">
      <c r="B176" s="323"/>
      <c r="C176" s="301" t="s">
        <v>457</v>
      </c>
      <c r="D176" s="301"/>
      <c r="E176" s="301"/>
      <c r="F176" s="181" t="s">
        <v>457</v>
      </c>
      <c r="G176" s="301"/>
      <c r="H176" s="301"/>
      <c r="I176" s="301"/>
      <c r="J176" s="301"/>
      <c r="K176" s="301"/>
      <c r="L176" s="301"/>
      <c r="M176" s="301"/>
      <c r="N176" s="301"/>
      <c r="O176" s="319"/>
      <c r="P176" s="319"/>
      <c r="Q176" s="319"/>
    </row>
    <row r="177" spans="2:17" ht="11.25" customHeight="1" x14ac:dyDescent="0.15">
      <c r="B177" s="324"/>
      <c r="C177" s="301" t="s">
        <v>458</v>
      </c>
      <c r="D177" s="301"/>
      <c r="E177" s="301"/>
      <c r="F177" s="181" t="s">
        <v>458</v>
      </c>
      <c r="G177" s="301"/>
      <c r="H177" s="301"/>
      <c r="I177" s="301"/>
      <c r="J177" s="301"/>
      <c r="K177" s="301"/>
      <c r="L177" s="301"/>
      <c r="M177" s="301"/>
      <c r="N177" s="301"/>
      <c r="O177" s="319"/>
      <c r="P177" s="319"/>
      <c r="Q177" s="319"/>
    </row>
    <row r="178" spans="2:17" x14ac:dyDescent="0.15">
      <c r="B178" s="325"/>
      <c r="C178" s="301" t="s">
        <v>489</v>
      </c>
      <c r="D178" s="301"/>
      <c r="E178" s="301"/>
      <c r="F178" s="181" t="s">
        <v>489</v>
      </c>
      <c r="G178" s="301"/>
      <c r="H178" s="301"/>
      <c r="I178" s="301"/>
      <c r="J178" s="301"/>
      <c r="K178" s="301"/>
      <c r="L178" s="301"/>
      <c r="M178" s="301"/>
      <c r="N178" s="301"/>
      <c r="O178" s="319"/>
      <c r="P178" s="319"/>
      <c r="Q178" s="319"/>
    </row>
    <row r="179" spans="2:17" x14ac:dyDescent="0.15">
      <c r="B179" s="254"/>
      <c r="C179" s="206" t="s">
        <v>540</v>
      </c>
      <c r="D179" s="301"/>
      <c r="E179" s="301"/>
      <c r="F179" s="206" t="s">
        <v>540</v>
      </c>
      <c r="G179" s="301"/>
      <c r="H179" s="301"/>
      <c r="I179" s="301"/>
      <c r="J179" s="301"/>
      <c r="K179" s="301"/>
      <c r="L179" s="301"/>
      <c r="M179" s="301"/>
      <c r="N179" s="301"/>
      <c r="O179" s="319"/>
      <c r="P179" s="319"/>
      <c r="Q179" s="319"/>
    </row>
    <row r="180" spans="2:17" x14ac:dyDescent="0.15">
      <c r="B180" s="372"/>
      <c r="C180" s="10" t="s">
        <v>1086</v>
      </c>
      <c r="D180" s="301"/>
      <c r="E180" s="301"/>
      <c r="F180" s="10" t="s">
        <v>1086</v>
      </c>
      <c r="G180" s="301"/>
      <c r="H180" s="301"/>
      <c r="I180" s="301"/>
      <c r="J180" s="301"/>
      <c r="K180" s="301"/>
      <c r="L180" s="301"/>
      <c r="M180" s="301"/>
      <c r="N180" s="301"/>
      <c r="O180" s="319"/>
      <c r="P180" s="319"/>
      <c r="Q180" s="319"/>
    </row>
    <row r="181" spans="2:17" x14ac:dyDescent="0.15">
      <c r="B181" s="302"/>
      <c r="C181" s="301"/>
      <c r="D181" s="301"/>
      <c r="E181" s="301"/>
      <c r="F181" s="301"/>
      <c r="G181" s="301"/>
      <c r="H181" s="301"/>
      <c r="I181" s="301"/>
      <c r="J181" s="301"/>
      <c r="K181" s="301"/>
      <c r="L181" s="301"/>
      <c r="M181" s="301"/>
      <c r="N181" s="301"/>
      <c r="O181" s="319"/>
      <c r="P181" s="319"/>
      <c r="Q181" s="319"/>
    </row>
    <row r="182" spans="2:17" x14ac:dyDescent="0.15">
      <c r="B182" s="302"/>
      <c r="C182" s="301"/>
      <c r="D182" s="301"/>
      <c r="E182" s="301"/>
      <c r="F182" s="301"/>
      <c r="G182" s="301"/>
      <c r="H182" s="301"/>
      <c r="I182" s="301"/>
      <c r="J182" s="301"/>
      <c r="K182" s="301"/>
      <c r="L182" s="301"/>
      <c r="M182" s="301"/>
      <c r="N182" s="301"/>
      <c r="O182" s="319"/>
      <c r="P182" s="319"/>
      <c r="Q182" s="319"/>
    </row>
    <row r="183" spans="2:17" x14ac:dyDescent="0.15">
      <c r="B183" s="302"/>
      <c r="C183" s="301"/>
      <c r="D183" s="301"/>
      <c r="E183" s="301"/>
      <c r="F183" s="301"/>
      <c r="G183" s="301"/>
      <c r="H183" s="301"/>
      <c r="I183" s="301"/>
      <c r="J183" s="301"/>
      <c r="K183" s="301"/>
      <c r="L183" s="301"/>
      <c r="M183" s="301"/>
      <c r="N183" s="301"/>
      <c r="O183" s="319"/>
      <c r="P183" s="319"/>
      <c r="Q183" s="319"/>
    </row>
    <row r="184" spans="2:17" x14ac:dyDescent="0.15">
      <c r="B184" s="302"/>
      <c r="C184" s="301"/>
      <c r="D184" s="301"/>
      <c r="E184" s="301"/>
      <c r="F184" s="301"/>
      <c r="G184" s="301"/>
      <c r="H184" s="301"/>
      <c r="I184" s="301"/>
      <c r="J184" s="301"/>
      <c r="K184" s="301"/>
      <c r="L184" s="301"/>
      <c r="M184" s="301"/>
      <c r="N184" s="301"/>
      <c r="O184" s="319"/>
      <c r="P184" s="319"/>
      <c r="Q184" s="319"/>
    </row>
    <row r="185" spans="2:17" x14ac:dyDescent="0.15">
      <c r="B185" s="302"/>
      <c r="C185" s="301"/>
      <c r="D185" s="301"/>
      <c r="E185" s="301"/>
      <c r="F185" s="301"/>
      <c r="G185" s="301"/>
      <c r="H185" s="301"/>
      <c r="I185" s="301"/>
      <c r="J185" s="301"/>
      <c r="K185" s="301"/>
      <c r="L185" s="301"/>
      <c r="M185" s="301"/>
      <c r="N185" s="301"/>
      <c r="O185" s="319"/>
      <c r="P185" s="319"/>
      <c r="Q185" s="319"/>
    </row>
    <row r="186" spans="2:17" x14ac:dyDescent="0.15">
      <c r="B186" s="302"/>
      <c r="C186" s="301"/>
      <c r="D186" s="301"/>
      <c r="E186" s="301"/>
      <c r="F186" s="301"/>
      <c r="G186" s="301"/>
      <c r="H186" s="301"/>
      <c r="I186" s="301"/>
      <c r="J186" s="301"/>
      <c r="K186" s="301"/>
      <c r="L186" s="301"/>
      <c r="M186" s="301"/>
      <c r="N186" s="301"/>
      <c r="O186" s="319"/>
      <c r="P186" s="319"/>
      <c r="Q186" s="319"/>
    </row>
    <row r="187" spans="2:17" x14ac:dyDescent="0.15">
      <c r="B187" s="302"/>
      <c r="C187" s="301"/>
      <c r="D187" s="301"/>
      <c r="E187" s="301"/>
      <c r="F187" s="301"/>
      <c r="G187" s="301"/>
      <c r="H187" s="301"/>
      <c r="I187" s="301"/>
      <c r="J187" s="301"/>
      <c r="K187" s="301"/>
      <c r="L187" s="301"/>
      <c r="M187" s="301"/>
      <c r="N187" s="301"/>
      <c r="O187" s="319"/>
      <c r="P187" s="319"/>
      <c r="Q187" s="319"/>
    </row>
    <row r="188" spans="2:17" x14ac:dyDescent="0.15">
      <c r="B188" s="302"/>
      <c r="C188" s="301"/>
      <c r="D188" s="301"/>
      <c r="E188" s="301"/>
      <c r="F188" s="301"/>
      <c r="G188" s="301"/>
      <c r="H188" s="301"/>
      <c r="I188" s="301"/>
      <c r="J188" s="301"/>
      <c r="K188" s="301"/>
      <c r="L188" s="301"/>
      <c r="M188" s="301"/>
      <c r="N188" s="301"/>
      <c r="O188" s="319"/>
      <c r="P188" s="319"/>
      <c r="Q188" s="319"/>
    </row>
    <row r="189" spans="2:17" x14ac:dyDescent="0.15">
      <c r="B189" s="302"/>
      <c r="C189" s="301"/>
      <c r="D189" s="301"/>
      <c r="E189" s="301"/>
      <c r="F189" s="301"/>
      <c r="G189" s="301"/>
      <c r="H189" s="301"/>
      <c r="I189" s="301"/>
      <c r="J189" s="301"/>
      <c r="K189" s="301"/>
      <c r="L189" s="301"/>
      <c r="M189" s="301"/>
      <c r="N189" s="301"/>
      <c r="O189" s="319"/>
      <c r="P189" s="319"/>
      <c r="Q189" s="319"/>
    </row>
    <row r="190" spans="2:17" x14ac:dyDescent="0.15">
      <c r="B190" s="302"/>
      <c r="C190" s="301"/>
      <c r="D190" s="301"/>
      <c r="E190" s="301"/>
      <c r="F190" s="301"/>
      <c r="G190" s="301"/>
      <c r="H190" s="301"/>
      <c r="I190" s="301"/>
      <c r="J190" s="301"/>
      <c r="K190" s="301"/>
      <c r="L190" s="301"/>
      <c r="M190" s="301"/>
      <c r="N190" s="301"/>
      <c r="O190" s="319"/>
      <c r="P190" s="319"/>
      <c r="Q190" s="319"/>
    </row>
    <row r="191" spans="2:17" x14ac:dyDescent="0.15">
      <c r="B191" s="302"/>
      <c r="C191" s="301"/>
      <c r="D191" s="301"/>
      <c r="E191" s="301"/>
      <c r="F191" s="301"/>
      <c r="G191" s="301"/>
      <c r="H191" s="301"/>
      <c r="I191" s="301"/>
      <c r="J191" s="301"/>
      <c r="K191" s="301"/>
      <c r="L191" s="301"/>
      <c r="M191" s="301"/>
      <c r="N191" s="301"/>
      <c r="O191" s="319"/>
      <c r="P191" s="319"/>
      <c r="Q191" s="319"/>
    </row>
    <row r="192" spans="2:17" x14ac:dyDescent="0.15">
      <c r="B192" s="302"/>
      <c r="C192" s="301"/>
      <c r="D192" s="301"/>
      <c r="E192" s="301"/>
      <c r="F192" s="301"/>
      <c r="G192" s="301"/>
      <c r="H192" s="301"/>
      <c r="I192" s="301"/>
      <c r="J192" s="301"/>
      <c r="K192" s="301"/>
      <c r="L192" s="301"/>
      <c r="M192" s="301"/>
      <c r="N192" s="301"/>
      <c r="O192" s="319"/>
      <c r="P192" s="319"/>
      <c r="Q192" s="319"/>
    </row>
    <row r="193" spans="2:17" x14ac:dyDescent="0.15">
      <c r="B193" s="302"/>
      <c r="C193" s="301"/>
      <c r="D193" s="301"/>
      <c r="E193" s="301"/>
      <c r="F193" s="301"/>
      <c r="G193" s="301"/>
      <c r="H193" s="301"/>
      <c r="I193" s="301"/>
      <c r="J193" s="301"/>
      <c r="K193" s="301"/>
      <c r="L193" s="301"/>
      <c r="M193" s="301"/>
      <c r="N193" s="301"/>
      <c r="O193" s="319"/>
      <c r="P193" s="319"/>
      <c r="Q193" s="319"/>
    </row>
    <row r="194" spans="2:17" x14ac:dyDescent="0.15">
      <c r="B194" s="302"/>
      <c r="C194" s="301"/>
      <c r="D194" s="301"/>
      <c r="E194" s="301"/>
      <c r="F194" s="301"/>
      <c r="G194" s="301"/>
      <c r="H194" s="301"/>
      <c r="I194" s="301"/>
      <c r="J194" s="301"/>
      <c r="K194" s="301"/>
      <c r="L194" s="301"/>
      <c r="M194" s="301"/>
      <c r="N194" s="301"/>
      <c r="O194" s="319"/>
      <c r="P194" s="319"/>
      <c r="Q194" s="319"/>
    </row>
    <row r="195" spans="2:17" x14ac:dyDescent="0.15">
      <c r="B195" s="302"/>
      <c r="C195" s="301"/>
      <c r="D195" s="301"/>
      <c r="E195" s="301"/>
      <c r="F195" s="301"/>
      <c r="G195" s="301"/>
      <c r="H195" s="301"/>
      <c r="I195" s="301"/>
      <c r="J195" s="301"/>
      <c r="K195" s="301"/>
      <c r="L195" s="301"/>
      <c r="M195" s="301"/>
      <c r="N195" s="301"/>
      <c r="O195" s="319"/>
      <c r="P195" s="319"/>
      <c r="Q195" s="319"/>
    </row>
    <row r="196" spans="2:17" x14ac:dyDescent="0.15">
      <c r="B196" s="302"/>
      <c r="C196" s="301"/>
      <c r="D196" s="301"/>
      <c r="E196" s="301"/>
      <c r="F196" s="301"/>
      <c r="G196" s="301"/>
      <c r="H196" s="301"/>
      <c r="I196" s="301"/>
      <c r="J196" s="301"/>
      <c r="K196" s="301"/>
      <c r="L196" s="301"/>
      <c r="M196" s="301"/>
      <c r="N196" s="301"/>
      <c r="O196" s="319"/>
      <c r="P196" s="319"/>
      <c r="Q196" s="319"/>
    </row>
    <row r="197" spans="2:17" x14ac:dyDescent="0.15">
      <c r="B197" s="302"/>
      <c r="C197" s="301"/>
      <c r="D197" s="301"/>
      <c r="E197" s="301"/>
      <c r="F197" s="301"/>
      <c r="G197" s="301"/>
      <c r="H197" s="301"/>
      <c r="I197" s="301"/>
      <c r="J197" s="301"/>
      <c r="K197" s="301"/>
      <c r="L197" s="301"/>
      <c r="M197" s="301"/>
      <c r="N197" s="301"/>
      <c r="O197" s="319"/>
      <c r="P197" s="319"/>
      <c r="Q197" s="319"/>
    </row>
    <row r="198" spans="2:17" x14ac:dyDescent="0.15">
      <c r="B198" s="302"/>
      <c r="C198" s="301"/>
      <c r="D198" s="301"/>
      <c r="E198" s="301"/>
      <c r="F198" s="301"/>
      <c r="G198" s="301"/>
      <c r="H198" s="301"/>
      <c r="I198" s="301"/>
      <c r="J198" s="301"/>
      <c r="K198" s="301"/>
      <c r="L198" s="301"/>
      <c r="M198" s="301"/>
      <c r="N198" s="301"/>
      <c r="O198" s="319"/>
      <c r="P198" s="319"/>
      <c r="Q198" s="319"/>
    </row>
    <row r="199" spans="2:17" x14ac:dyDescent="0.15">
      <c r="B199" s="302"/>
      <c r="C199" s="301"/>
      <c r="D199" s="301"/>
      <c r="E199" s="301"/>
      <c r="F199" s="301"/>
      <c r="G199" s="301"/>
      <c r="H199" s="301"/>
      <c r="I199" s="301"/>
      <c r="J199" s="301"/>
      <c r="K199" s="301"/>
      <c r="L199" s="301"/>
      <c r="M199" s="301"/>
      <c r="N199" s="301"/>
      <c r="O199" s="319"/>
      <c r="P199" s="319"/>
      <c r="Q199" s="319"/>
    </row>
    <row r="200" spans="2:17" x14ac:dyDescent="0.15">
      <c r="B200" s="302"/>
      <c r="C200" s="301"/>
      <c r="D200" s="301"/>
      <c r="E200" s="301"/>
      <c r="F200" s="301"/>
      <c r="G200" s="301"/>
      <c r="H200" s="301"/>
      <c r="I200" s="301"/>
      <c r="J200" s="301"/>
      <c r="K200" s="301"/>
      <c r="L200" s="301"/>
      <c r="M200" s="301"/>
      <c r="N200" s="301"/>
      <c r="O200" s="319"/>
      <c r="P200" s="319"/>
      <c r="Q200" s="319"/>
    </row>
    <row r="201" spans="2:17" x14ac:dyDescent="0.15">
      <c r="B201" s="302"/>
      <c r="C201" s="301"/>
      <c r="D201" s="301"/>
      <c r="E201" s="301"/>
      <c r="F201" s="301"/>
      <c r="G201" s="301"/>
      <c r="H201" s="301"/>
      <c r="I201" s="301"/>
      <c r="J201" s="301"/>
      <c r="K201" s="301"/>
      <c r="L201" s="301"/>
      <c r="M201" s="301"/>
      <c r="N201" s="301"/>
      <c r="O201" s="319"/>
      <c r="P201" s="319"/>
      <c r="Q201" s="319"/>
    </row>
    <row r="202" spans="2:17" x14ac:dyDescent="0.15">
      <c r="B202" s="302"/>
      <c r="C202" s="301"/>
      <c r="D202" s="301"/>
      <c r="E202" s="301"/>
      <c r="F202" s="301"/>
      <c r="G202" s="301"/>
      <c r="H202" s="301"/>
      <c r="I202" s="301"/>
      <c r="J202" s="301"/>
      <c r="K202" s="301"/>
      <c r="L202" s="301"/>
      <c r="M202" s="301"/>
      <c r="N202" s="301"/>
      <c r="O202" s="319"/>
      <c r="P202" s="319"/>
      <c r="Q202" s="319"/>
    </row>
    <row r="203" spans="2:17" x14ac:dyDescent="0.15">
      <c r="B203" s="302"/>
      <c r="C203" s="301"/>
      <c r="D203" s="301"/>
      <c r="E203" s="301"/>
      <c r="F203" s="301"/>
      <c r="G203" s="301"/>
      <c r="H203" s="301"/>
      <c r="I203" s="301"/>
      <c r="J203" s="301"/>
      <c r="K203" s="301"/>
      <c r="L203" s="301"/>
      <c r="M203" s="301"/>
      <c r="N203" s="301"/>
      <c r="O203" s="319"/>
      <c r="P203" s="319"/>
      <c r="Q203" s="319"/>
    </row>
    <row r="204" spans="2:17" x14ac:dyDescent="0.15">
      <c r="B204" s="302"/>
      <c r="C204" s="301"/>
      <c r="D204" s="301"/>
      <c r="E204" s="301"/>
      <c r="F204" s="301"/>
      <c r="G204" s="301"/>
      <c r="H204" s="301"/>
      <c r="I204" s="301"/>
      <c r="J204" s="301"/>
      <c r="K204" s="301"/>
      <c r="L204" s="301"/>
      <c r="M204" s="301"/>
      <c r="N204" s="301"/>
      <c r="O204" s="319"/>
      <c r="P204" s="319"/>
      <c r="Q204" s="319"/>
    </row>
    <row r="205" spans="2:17" x14ac:dyDescent="0.15">
      <c r="B205" s="302"/>
      <c r="C205" s="301"/>
      <c r="D205" s="301"/>
      <c r="E205" s="301"/>
      <c r="F205" s="301"/>
      <c r="G205" s="301"/>
      <c r="H205" s="301"/>
      <c r="I205" s="301"/>
      <c r="J205" s="301"/>
      <c r="K205" s="301"/>
      <c r="L205" s="301"/>
      <c r="M205" s="301"/>
      <c r="N205" s="301"/>
      <c r="O205" s="319"/>
      <c r="P205" s="319"/>
      <c r="Q205" s="319"/>
    </row>
    <row r="206" spans="2:17" x14ac:dyDescent="0.15">
      <c r="B206" s="302"/>
      <c r="C206" s="301"/>
      <c r="D206" s="301"/>
      <c r="E206" s="301"/>
      <c r="F206" s="301"/>
      <c r="G206" s="301"/>
      <c r="H206" s="301"/>
      <c r="I206" s="301"/>
      <c r="J206" s="301"/>
      <c r="K206" s="301"/>
      <c r="L206" s="301"/>
      <c r="M206" s="301"/>
      <c r="N206" s="301"/>
      <c r="O206" s="319"/>
      <c r="P206" s="319"/>
      <c r="Q206" s="319"/>
    </row>
    <row r="207" spans="2:17" x14ac:dyDescent="0.15">
      <c r="B207" s="302"/>
      <c r="C207" s="301"/>
      <c r="D207" s="301"/>
      <c r="E207" s="301"/>
      <c r="F207" s="301"/>
      <c r="G207" s="301"/>
      <c r="H207" s="301"/>
      <c r="I207" s="301"/>
      <c r="J207" s="301"/>
      <c r="K207" s="301"/>
      <c r="L207" s="301"/>
      <c r="M207" s="301"/>
      <c r="N207" s="301"/>
      <c r="O207" s="319"/>
      <c r="P207" s="319"/>
      <c r="Q207" s="319"/>
    </row>
    <row r="208" spans="2:17" x14ac:dyDescent="0.15">
      <c r="B208" s="302"/>
      <c r="C208" s="301"/>
      <c r="D208" s="301"/>
      <c r="E208" s="301"/>
      <c r="F208" s="301"/>
      <c r="G208" s="301"/>
      <c r="H208" s="301"/>
      <c r="I208" s="301"/>
      <c r="J208" s="301"/>
      <c r="K208" s="301"/>
      <c r="L208" s="301"/>
      <c r="M208" s="301"/>
      <c r="N208" s="301"/>
      <c r="O208" s="319"/>
      <c r="P208" s="319"/>
      <c r="Q208" s="319"/>
    </row>
    <row r="209" spans="2:17" x14ac:dyDescent="0.15">
      <c r="B209" s="302"/>
      <c r="C209" s="301"/>
      <c r="D209" s="301"/>
      <c r="E209" s="301"/>
      <c r="F209" s="301"/>
      <c r="G209" s="301"/>
      <c r="H209" s="301"/>
      <c r="I209" s="301"/>
      <c r="J209" s="301"/>
      <c r="K209" s="301"/>
      <c r="L209" s="301"/>
      <c r="M209" s="301"/>
      <c r="N209" s="301"/>
      <c r="O209" s="319"/>
      <c r="P209" s="319"/>
      <c r="Q209" s="319"/>
    </row>
    <row r="210" spans="2:17" x14ac:dyDescent="0.15">
      <c r="B210" s="302"/>
      <c r="C210" s="301"/>
      <c r="D210" s="301"/>
      <c r="E210" s="301"/>
      <c r="F210" s="301"/>
      <c r="G210" s="301"/>
      <c r="H210" s="301"/>
      <c r="I210" s="301"/>
      <c r="J210" s="301"/>
      <c r="K210" s="301"/>
      <c r="L210" s="301"/>
      <c r="M210" s="301"/>
      <c r="N210" s="301"/>
      <c r="O210" s="319"/>
      <c r="P210" s="319"/>
      <c r="Q210" s="319"/>
    </row>
    <row r="211" spans="2:17" x14ac:dyDescent="0.15">
      <c r="B211" s="302"/>
      <c r="C211" s="301"/>
      <c r="D211" s="301"/>
      <c r="E211" s="301"/>
      <c r="F211" s="301"/>
      <c r="G211" s="301"/>
      <c r="H211" s="301"/>
      <c r="I211" s="301"/>
      <c r="J211" s="301"/>
      <c r="K211" s="301"/>
      <c r="L211" s="301"/>
      <c r="M211" s="301"/>
      <c r="N211" s="301"/>
      <c r="O211" s="319"/>
      <c r="P211" s="319"/>
      <c r="Q211" s="319"/>
    </row>
    <row r="212" spans="2:17" x14ac:dyDescent="0.15">
      <c r="B212" s="302"/>
      <c r="C212" s="301"/>
      <c r="D212" s="301"/>
      <c r="E212" s="301"/>
      <c r="F212" s="301"/>
      <c r="G212" s="301"/>
      <c r="H212" s="301"/>
      <c r="I212" s="301"/>
      <c r="J212" s="301"/>
      <c r="K212" s="301"/>
      <c r="L212" s="301"/>
      <c r="M212" s="301"/>
      <c r="N212" s="301"/>
      <c r="O212" s="319"/>
      <c r="P212" s="319"/>
      <c r="Q212" s="319"/>
    </row>
    <row r="213" spans="2:17" x14ac:dyDescent="0.15">
      <c r="B213" s="302"/>
      <c r="C213" s="301"/>
      <c r="D213" s="301"/>
      <c r="E213" s="301"/>
      <c r="F213" s="301"/>
      <c r="G213" s="301"/>
      <c r="H213" s="301"/>
      <c r="I213" s="301"/>
      <c r="J213" s="301"/>
      <c r="K213" s="301"/>
      <c r="L213" s="301"/>
      <c r="M213" s="301"/>
      <c r="N213" s="301"/>
      <c r="O213" s="319"/>
      <c r="P213" s="319"/>
      <c r="Q213" s="319"/>
    </row>
    <row r="214" spans="2:17" x14ac:dyDescent="0.15">
      <c r="B214" s="302"/>
      <c r="C214" s="301"/>
      <c r="D214" s="301"/>
      <c r="E214" s="301"/>
      <c r="F214" s="301"/>
      <c r="G214" s="301"/>
      <c r="H214" s="301"/>
      <c r="I214" s="301"/>
      <c r="J214" s="301"/>
      <c r="K214" s="301"/>
      <c r="L214" s="301"/>
      <c r="M214" s="301"/>
      <c r="N214" s="301"/>
      <c r="O214" s="319"/>
      <c r="P214" s="319"/>
      <c r="Q214" s="319"/>
    </row>
    <row r="215" spans="2:17" x14ac:dyDescent="0.15">
      <c r="B215" s="302"/>
      <c r="C215" s="301"/>
      <c r="D215" s="301"/>
      <c r="E215" s="301"/>
      <c r="F215" s="301"/>
      <c r="G215" s="301"/>
      <c r="H215" s="301"/>
      <c r="I215" s="301"/>
      <c r="J215" s="301"/>
      <c r="K215" s="301"/>
      <c r="L215" s="301"/>
      <c r="M215" s="301"/>
      <c r="N215" s="301"/>
      <c r="O215" s="319"/>
      <c r="P215" s="319"/>
      <c r="Q215" s="319"/>
    </row>
    <row r="216" spans="2:17" x14ac:dyDescent="0.15">
      <c r="B216" s="302"/>
      <c r="C216" s="301"/>
      <c r="D216" s="301"/>
      <c r="E216" s="301"/>
      <c r="F216" s="301"/>
      <c r="G216" s="301"/>
      <c r="H216" s="301"/>
      <c r="I216" s="301"/>
      <c r="J216" s="301"/>
      <c r="K216" s="301"/>
      <c r="L216" s="301"/>
      <c r="M216" s="301"/>
      <c r="N216" s="301"/>
      <c r="O216" s="319"/>
      <c r="P216" s="319"/>
      <c r="Q216" s="319"/>
    </row>
    <row r="217" spans="2:17" x14ac:dyDescent="0.15">
      <c r="B217" s="302"/>
      <c r="C217" s="301"/>
      <c r="D217" s="301"/>
      <c r="E217" s="301"/>
      <c r="F217" s="301"/>
      <c r="G217" s="301"/>
      <c r="H217" s="301"/>
      <c r="I217" s="301"/>
      <c r="J217" s="301"/>
      <c r="K217" s="301"/>
      <c r="L217" s="301"/>
      <c r="M217" s="301"/>
      <c r="N217" s="301"/>
      <c r="O217" s="319"/>
      <c r="P217" s="319"/>
      <c r="Q217" s="319"/>
    </row>
    <row r="218" spans="2:17" x14ac:dyDescent="0.15">
      <c r="B218" s="302"/>
      <c r="C218" s="301"/>
      <c r="D218" s="301"/>
      <c r="E218" s="301"/>
      <c r="F218" s="301"/>
      <c r="G218" s="301"/>
      <c r="H218" s="301"/>
      <c r="I218" s="301"/>
      <c r="J218" s="301"/>
      <c r="K218" s="301"/>
      <c r="L218" s="301"/>
      <c r="M218" s="301"/>
      <c r="N218" s="301"/>
      <c r="O218" s="319"/>
      <c r="P218" s="319"/>
      <c r="Q218" s="319"/>
    </row>
    <row r="219" spans="2:17" x14ac:dyDescent="0.15">
      <c r="B219" s="302"/>
      <c r="C219" s="301"/>
      <c r="D219" s="301"/>
      <c r="E219" s="301"/>
      <c r="F219" s="301"/>
      <c r="G219" s="301"/>
      <c r="H219" s="301"/>
      <c r="I219" s="301"/>
      <c r="J219" s="301"/>
      <c r="K219" s="301"/>
      <c r="L219" s="301"/>
      <c r="M219" s="301"/>
      <c r="N219" s="301"/>
      <c r="O219" s="319"/>
      <c r="P219" s="319"/>
      <c r="Q219" s="319"/>
    </row>
    <row r="220" spans="2:17" x14ac:dyDescent="0.15">
      <c r="B220" s="302"/>
      <c r="C220" s="301"/>
      <c r="D220" s="301"/>
      <c r="E220" s="301"/>
      <c r="F220" s="301"/>
      <c r="G220" s="301"/>
      <c r="H220" s="301"/>
      <c r="I220" s="301"/>
      <c r="J220" s="301"/>
      <c r="K220" s="301"/>
      <c r="L220" s="301"/>
      <c r="M220" s="301"/>
      <c r="N220" s="301"/>
      <c r="O220" s="319"/>
      <c r="P220" s="319"/>
      <c r="Q220" s="319"/>
    </row>
    <row r="221" spans="2:17" x14ac:dyDescent="0.15">
      <c r="B221" s="302"/>
      <c r="C221" s="301"/>
      <c r="D221" s="301"/>
      <c r="E221" s="301"/>
      <c r="F221" s="301"/>
      <c r="G221" s="301"/>
      <c r="H221" s="301"/>
      <c r="I221" s="301"/>
      <c r="J221" s="301"/>
      <c r="K221" s="301"/>
      <c r="L221" s="301"/>
      <c r="M221" s="301"/>
      <c r="N221" s="301"/>
      <c r="O221" s="319"/>
      <c r="P221" s="319"/>
      <c r="Q221" s="319"/>
    </row>
    <row r="222" spans="2:17" x14ac:dyDescent="0.15">
      <c r="B222" s="302"/>
      <c r="C222" s="301"/>
      <c r="D222" s="301"/>
      <c r="E222" s="301"/>
      <c r="F222" s="301"/>
      <c r="G222" s="301"/>
      <c r="H222" s="301"/>
      <c r="I222" s="301"/>
      <c r="J222" s="301"/>
      <c r="K222" s="301"/>
      <c r="L222" s="301"/>
      <c r="M222" s="301"/>
      <c r="N222" s="301"/>
      <c r="O222" s="319"/>
      <c r="P222" s="319"/>
      <c r="Q222" s="319"/>
    </row>
    <row r="223" spans="2:17" x14ac:dyDescent="0.15">
      <c r="B223" s="302"/>
      <c r="C223" s="301"/>
      <c r="D223" s="301"/>
      <c r="E223" s="301"/>
      <c r="F223" s="301"/>
      <c r="G223" s="301"/>
      <c r="H223" s="301"/>
      <c r="I223" s="301"/>
      <c r="J223" s="301"/>
      <c r="K223" s="301"/>
      <c r="L223" s="301"/>
      <c r="M223" s="301"/>
      <c r="N223" s="301"/>
      <c r="O223" s="319"/>
      <c r="P223" s="319"/>
      <c r="Q223" s="319"/>
    </row>
    <row r="224" spans="2:17" x14ac:dyDescent="0.15">
      <c r="B224" s="302"/>
      <c r="C224" s="301"/>
      <c r="D224" s="301"/>
      <c r="E224" s="301"/>
      <c r="F224" s="301"/>
      <c r="G224" s="301"/>
      <c r="H224" s="301"/>
      <c r="I224" s="301"/>
      <c r="J224" s="301"/>
      <c r="K224" s="301"/>
      <c r="L224" s="301"/>
      <c r="M224" s="301"/>
      <c r="N224" s="301"/>
      <c r="O224" s="319"/>
      <c r="P224" s="319"/>
      <c r="Q224" s="319"/>
    </row>
    <row r="225" spans="2:17" x14ac:dyDescent="0.15">
      <c r="B225" s="302"/>
      <c r="C225" s="301"/>
      <c r="D225" s="301"/>
      <c r="E225" s="301"/>
      <c r="F225" s="301"/>
      <c r="G225" s="301"/>
      <c r="H225" s="301"/>
      <c r="I225" s="301"/>
      <c r="J225" s="301"/>
      <c r="K225" s="301"/>
      <c r="L225" s="301"/>
      <c r="M225" s="301"/>
      <c r="N225" s="301"/>
      <c r="O225" s="319"/>
      <c r="P225" s="319"/>
      <c r="Q225" s="319"/>
    </row>
    <row r="226" spans="2:17" x14ac:dyDescent="0.15">
      <c r="B226" s="302"/>
      <c r="C226" s="301"/>
      <c r="D226" s="301"/>
      <c r="E226" s="301"/>
      <c r="F226" s="301"/>
      <c r="G226" s="301"/>
      <c r="H226" s="301"/>
      <c r="I226" s="301"/>
      <c r="J226" s="301"/>
      <c r="K226" s="301"/>
      <c r="L226" s="301"/>
      <c r="M226" s="301"/>
      <c r="N226" s="301"/>
      <c r="O226" s="319"/>
      <c r="P226" s="319"/>
      <c r="Q226" s="319"/>
    </row>
    <row r="227" spans="2:17" x14ac:dyDescent="0.15">
      <c r="B227" s="302"/>
      <c r="C227" s="301"/>
      <c r="D227" s="301"/>
      <c r="E227" s="301"/>
      <c r="F227" s="301"/>
      <c r="G227" s="301"/>
      <c r="H227" s="301"/>
      <c r="I227" s="301"/>
      <c r="J227" s="301"/>
      <c r="K227" s="301"/>
      <c r="L227" s="301"/>
      <c r="M227" s="301"/>
      <c r="N227" s="301"/>
      <c r="O227" s="319"/>
      <c r="P227" s="319"/>
      <c r="Q227" s="319"/>
    </row>
    <row r="228" spans="2:17" x14ac:dyDescent="0.15">
      <c r="B228" s="302"/>
      <c r="C228" s="301"/>
      <c r="D228" s="301"/>
      <c r="E228" s="301"/>
      <c r="F228" s="301"/>
      <c r="G228" s="301"/>
      <c r="H228" s="301"/>
      <c r="I228" s="301"/>
      <c r="J228" s="301"/>
      <c r="K228" s="301"/>
      <c r="L228" s="301"/>
      <c r="M228" s="301"/>
      <c r="N228" s="301"/>
      <c r="O228" s="319"/>
      <c r="P228" s="319"/>
      <c r="Q228" s="319"/>
    </row>
    <row r="229" spans="2:17" x14ac:dyDescent="0.15">
      <c r="B229" s="302"/>
      <c r="C229" s="301"/>
      <c r="D229" s="301"/>
      <c r="E229" s="301"/>
      <c r="F229" s="301"/>
      <c r="G229" s="301"/>
      <c r="H229" s="301"/>
      <c r="I229" s="301"/>
      <c r="J229" s="301"/>
      <c r="K229" s="301"/>
      <c r="L229" s="301"/>
      <c r="M229" s="301"/>
      <c r="N229" s="301"/>
      <c r="O229" s="319"/>
      <c r="P229" s="319"/>
      <c r="Q229" s="319"/>
    </row>
    <row r="230" spans="2:17" x14ac:dyDescent="0.15">
      <c r="B230" s="302"/>
      <c r="C230" s="301"/>
      <c r="D230" s="301"/>
      <c r="E230" s="301"/>
      <c r="F230" s="301"/>
      <c r="G230" s="301"/>
      <c r="H230" s="301"/>
      <c r="I230" s="301"/>
      <c r="J230" s="301"/>
      <c r="K230" s="301"/>
      <c r="L230" s="301"/>
      <c r="M230" s="301"/>
      <c r="N230" s="301"/>
      <c r="O230" s="319"/>
      <c r="P230" s="319"/>
      <c r="Q230" s="319"/>
    </row>
    <row r="231" spans="2:17" x14ac:dyDescent="0.15">
      <c r="B231" s="302"/>
      <c r="C231" s="301"/>
      <c r="D231" s="301"/>
      <c r="E231" s="301"/>
      <c r="F231" s="301"/>
      <c r="G231" s="301"/>
      <c r="H231" s="301"/>
      <c r="I231" s="301"/>
      <c r="J231" s="301"/>
      <c r="K231" s="301"/>
      <c r="L231" s="301"/>
      <c r="M231" s="301"/>
      <c r="N231" s="301"/>
      <c r="O231" s="319"/>
      <c r="P231" s="319"/>
      <c r="Q231" s="319"/>
    </row>
    <row r="232" spans="2:17" x14ac:dyDescent="0.15">
      <c r="B232" s="302"/>
      <c r="C232" s="301"/>
      <c r="D232" s="301"/>
      <c r="E232" s="301"/>
      <c r="F232" s="301"/>
      <c r="G232" s="301"/>
      <c r="H232" s="301"/>
      <c r="I232" s="301"/>
      <c r="J232" s="301"/>
      <c r="K232" s="301"/>
      <c r="L232" s="301"/>
      <c r="M232" s="301"/>
      <c r="N232" s="301"/>
      <c r="O232" s="319"/>
      <c r="P232" s="319"/>
      <c r="Q232" s="319"/>
    </row>
    <row r="233" spans="2:17" x14ac:dyDescent="0.15">
      <c r="B233" s="302"/>
      <c r="C233" s="301"/>
      <c r="D233" s="301"/>
      <c r="E233" s="301"/>
      <c r="F233" s="301"/>
      <c r="G233" s="301"/>
      <c r="H233" s="301"/>
      <c r="I233" s="301"/>
      <c r="J233" s="301"/>
      <c r="K233" s="301"/>
      <c r="L233" s="301"/>
      <c r="M233" s="301"/>
      <c r="N233" s="301"/>
      <c r="O233" s="319"/>
      <c r="P233" s="319"/>
      <c r="Q233" s="319"/>
    </row>
    <row r="234" spans="2:17" x14ac:dyDescent="0.15">
      <c r="B234" s="302"/>
      <c r="C234" s="301"/>
      <c r="D234" s="301"/>
      <c r="E234" s="301"/>
      <c r="F234" s="301"/>
      <c r="G234" s="301"/>
      <c r="H234" s="301"/>
      <c r="I234" s="301"/>
      <c r="J234" s="301"/>
      <c r="K234" s="301"/>
      <c r="L234" s="301"/>
      <c r="M234" s="301"/>
      <c r="N234" s="301"/>
      <c r="O234" s="319"/>
      <c r="P234" s="319"/>
      <c r="Q234" s="319"/>
    </row>
    <row r="235" spans="2:17" x14ac:dyDescent="0.15">
      <c r="B235" s="302"/>
      <c r="C235" s="301"/>
      <c r="D235" s="301"/>
      <c r="E235" s="301"/>
      <c r="F235" s="301"/>
      <c r="G235" s="301"/>
      <c r="H235" s="301"/>
      <c r="I235" s="301"/>
      <c r="J235" s="301"/>
      <c r="K235" s="301"/>
      <c r="L235" s="301"/>
      <c r="M235" s="301"/>
      <c r="N235" s="301"/>
      <c r="O235" s="319"/>
      <c r="P235" s="319"/>
      <c r="Q235" s="319"/>
    </row>
    <row r="236" spans="2:17" x14ac:dyDescent="0.15">
      <c r="B236" s="302"/>
      <c r="C236" s="301"/>
      <c r="D236" s="301"/>
      <c r="E236" s="301"/>
      <c r="F236" s="301"/>
      <c r="G236" s="301"/>
      <c r="H236" s="301"/>
      <c r="I236" s="301"/>
      <c r="J236" s="301"/>
      <c r="K236" s="301"/>
      <c r="L236" s="301"/>
      <c r="M236" s="301"/>
      <c r="N236" s="301"/>
      <c r="O236" s="319"/>
      <c r="P236" s="319"/>
      <c r="Q236" s="319"/>
    </row>
    <row r="237" spans="2:17" x14ac:dyDescent="0.15">
      <c r="B237" s="302"/>
      <c r="C237" s="301"/>
      <c r="D237" s="301"/>
      <c r="E237" s="301"/>
      <c r="F237" s="301"/>
      <c r="G237" s="301"/>
      <c r="H237" s="301"/>
      <c r="I237" s="301"/>
      <c r="J237" s="301"/>
      <c r="K237" s="301"/>
      <c r="L237" s="301"/>
      <c r="M237" s="301"/>
      <c r="N237" s="301"/>
      <c r="O237" s="319"/>
      <c r="P237" s="319"/>
      <c r="Q237" s="319"/>
    </row>
    <row r="238" spans="2:17" x14ac:dyDescent="0.15">
      <c r="B238" s="302"/>
      <c r="C238" s="301"/>
      <c r="D238" s="301"/>
      <c r="E238" s="301"/>
      <c r="F238" s="301"/>
      <c r="G238" s="301"/>
      <c r="H238" s="301"/>
      <c r="I238" s="301"/>
      <c r="J238" s="301"/>
      <c r="K238" s="301"/>
      <c r="L238" s="301"/>
      <c r="M238" s="301"/>
      <c r="N238" s="301"/>
      <c r="O238" s="319"/>
      <c r="P238" s="319"/>
      <c r="Q238" s="319"/>
    </row>
    <row r="239" spans="2:17" x14ac:dyDescent="0.15">
      <c r="B239" s="302"/>
      <c r="C239" s="301"/>
      <c r="D239" s="301"/>
      <c r="E239" s="301"/>
      <c r="F239" s="301"/>
      <c r="G239" s="301"/>
      <c r="H239" s="301"/>
      <c r="I239" s="301"/>
      <c r="J239" s="301"/>
      <c r="K239" s="301"/>
      <c r="L239" s="301"/>
      <c r="M239" s="301"/>
      <c r="N239" s="301"/>
      <c r="O239" s="319"/>
      <c r="P239" s="319"/>
      <c r="Q239" s="319"/>
    </row>
    <row r="240" spans="2:17" x14ac:dyDescent="0.15">
      <c r="B240" s="302"/>
      <c r="C240" s="301"/>
      <c r="D240" s="301"/>
      <c r="E240" s="301"/>
      <c r="F240" s="301"/>
      <c r="G240" s="301"/>
      <c r="H240" s="301"/>
      <c r="I240" s="301"/>
      <c r="J240" s="301"/>
      <c r="K240" s="301"/>
      <c r="L240" s="301"/>
      <c r="M240" s="301"/>
      <c r="N240" s="301"/>
      <c r="O240" s="319"/>
      <c r="P240" s="319"/>
      <c r="Q240" s="319"/>
    </row>
    <row r="241" spans="2:17" x14ac:dyDescent="0.15">
      <c r="B241" s="302"/>
      <c r="C241" s="301"/>
      <c r="D241" s="301"/>
      <c r="E241" s="301"/>
      <c r="F241" s="301"/>
      <c r="G241" s="301"/>
      <c r="H241" s="301"/>
      <c r="I241" s="301"/>
      <c r="J241" s="301"/>
      <c r="K241" s="301"/>
      <c r="L241" s="301"/>
      <c r="M241" s="301"/>
      <c r="N241" s="301"/>
      <c r="O241" s="319"/>
      <c r="P241" s="319"/>
      <c r="Q241" s="319"/>
    </row>
    <row r="242" spans="2:17" x14ac:dyDescent="0.15">
      <c r="B242" s="302"/>
      <c r="C242" s="301"/>
      <c r="D242" s="301"/>
      <c r="E242" s="301"/>
      <c r="F242" s="301"/>
      <c r="G242" s="301"/>
      <c r="H242" s="301"/>
      <c r="I242" s="301"/>
      <c r="J242" s="301"/>
      <c r="K242" s="301"/>
      <c r="L242" s="301"/>
      <c r="M242" s="301"/>
      <c r="N242" s="301"/>
      <c r="O242" s="319"/>
      <c r="P242" s="319"/>
      <c r="Q242" s="319"/>
    </row>
    <row r="243" spans="2:17" x14ac:dyDescent="0.15">
      <c r="B243" s="302"/>
      <c r="C243" s="301"/>
      <c r="D243" s="301"/>
      <c r="E243" s="301"/>
      <c r="F243" s="301"/>
      <c r="G243" s="301"/>
      <c r="H243" s="301"/>
      <c r="I243" s="301"/>
      <c r="J243" s="301"/>
      <c r="K243" s="301"/>
      <c r="L243" s="301"/>
      <c r="M243" s="301"/>
      <c r="N243" s="301"/>
      <c r="O243" s="319"/>
      <c r="P243" s="319"/>
      <c r="Q243" s="319"/>
    </row>
    <row r="244" spans="2:17" x14ac:dyDescent="0.15">
      <c r="B244" s="302"/>
      <c r="C244" s="301"/>
      <c r="D244" s="301"/>
      <c r="E244" s="301"/>
      <c r="F244" s="301"/>
      <c r="G244" s="301"/>
      <c r="H244" s="301"/>
      <c r="I244" s="301"/>
      <c r="J244" s="301"/>
      <c r="K244" s="301"/>
      <c r="L244" s="301"/>
      <c r="M244" s="301"/>
      <c r="N244" s="301"/>
      <c r="O244" s="319"/>
      <c r="P244" s="319"/>
      <c r="Q244" s="319"/>
    </row>
    <row r="245" spans="2:17" x14ac:dyDescent="0.15">
      <c r="B245" s="302"/>
      <c r="C245" s="301"/>
      <c r="D245" s="301"/>
      <c r="E245" s="301"/>
      <c r="F245" s="301"/>
      <c r="G245" s="301"/>
      <c r="H245" s="301"/>
      <c r="I245" s="301"/>
      <c r="J245" s="301"/>
      <c r="K245" s="301"/>
      <c r="L245" s="301"/>
      <c r="M245" s="301"/>
      <c r="N245" s="301"/>
      <c r="O245" s="319"/>
      <c r="P245" s="319"/>
      <c r="Q245" s="319"/>
    </row>
    <row r="246" spans="2:17" x14ac:dyDescent="0.15">
      <c r="B246" s="302"/>
      <c r="C246" s="301"/>
      <c r="D246" s="301"/>
      <c r="E246" s="301"/>
      <c r="F246" s="301"/>
      <c r="G246" s="301"/>
      <c r="H246" s="301"/>
      <c r="I246" s="301"/>
      <c r="J246" s="301"/>
      <c r="K246" s="301"/>
      <c r="L246" s="301"/>
      <c r="M246" s="301"/>
      <c r="N246" s="301"/>
      <c r="O246" s="319"/>
      <c r="P246" s="319"/>
      <c r="Q246" s="319"/>
    </row>
    <row r="247" spans="2:17" x14ac:dyDescent="0.15">
      <c r="B247" s="302"/>
      <c r="C247" s="301"/>
      <c r="D247" s="301"/>
      <c r="E247" s="301"/>
      <c r="F247" s="301"/>
      <c r="G247" s="301"/>
      <c r="H247" s="301"/>
      <c r="I247" s="301"/>
      <c r="J247" s="301"/>
      <c r="K247" s="301"/>
      <c r="L247" s="301"/>
      <c r="M247" s="301"/>
      <c r="N247" s="301"/>
      <c r="O247" s="319"/>
      <c r="P247" s="319"/>
      <c r="Q247" s="319"/>
    </row>
    <row r="248" spans="2:17" x14ac:dyDescent="0.15">
      <c r="B248" s="302"/>
      <c r="C248" s="301"/>
      <c r="D248" s="301"/>
      <c r="E248" s="301"/>
      <c r="F248" s="301"/>
      <c r="G248" s="301"/>
      <c r="H248" s="301"/>
      <c r="I248" s="301"/>
      <c r="J248" s="301"/>
      <c r="K248" s="301"/>
      <c r="L248" s="301"/>
      <c r="M248" s="301"/>
      <c r="N248" s="301"/>
      <c r="O248" s="319"/>
      <c r="P248" s="319"/>
      <c r="Q248" s="319"/>
    </row>
    <row r="249" spans="2:17" x14ac:dyDescent="0.15">
      <c r="B249" s="302"/>
      <c r="C249" s="301"/>
      <c r="D249" s="301"/>
      <c r="E249" s="301"/>
      <c r="F249" s="301"/>
      <c r="G249" s="301"/>
      <c r="H249" s="301"/>
      <c r="I249" s="301"/>
      <c r="J249" s="301"/>
      <c r="K249" s="301"/>
      <c r="L249" s="301"/>
      <c r="M249" s="301"/>
      <c r="N249" s="301"/>
      <c r="O249" s="319"/>
      <c r="P249" s="319"/>
      <c r="Q249" s="319"/>
    </row>
    <row r="250" spans="2:17" x14ac:dyDescent="0.15">
      <c r="B250" s="302"/>
      <c r="C250" s="301"/>
      <c r="D250" s="301"/>
      <c r="E250" s="301"/>
      <c r="F250" s="301"/>
      <c r="G250" s="301"/>
      <c r="H250" s="301"/>
      <c r="I250" s="301"/>
      <c r="J250" s="301"/>
      <c r="K250" s="301"/>
      <c r="L250" s="301"/>
      <c r="M250" s="301"/>
      <c r="N250" s="301"/>
      <c r="O250" s="319"/>
      <c r="P250" s="319"/>
      <c r="Q250" s="319"/>
    </row>
    <row r="251" spans="2:17" x14ac:dyDescent="0.15">
      <c r="B251" s="302"/>
      <c r="C251" s="301"/>
      <c r="D251" s="301"/>
      <c r="E251" s="301"/>
      <c r="F251" s="301"/>
      <c r="G251" s="301"/>
      <c r="H251" s="301"/>
      <c r="I251" s="301"/>
      <c r="J251" s="301"/>
      <c r="K251" s="301"/>
      <c r="L251" s="301"/>
      <c r="M251" s="301"/>
      <c r="N251" s="301"/>
      <c r="O251" s="319"/>
      <c r="P251" s="319"/>
      <c r="Q251" s="319"/>
    </row>
    <row r="252" spans="2:17" x14ac:dyDescent="0.15">
      <c r="B252" s="302"/>
      <c r="C252" s="301"/>
      <c r="D252" s="301"/>
      <c r="E252" s="301"/>
      <c r="F252" s="301"/>
      <c r="G252" s="301"/>
      <c r="H252" s="301"/>
      <c r="I252" s="301"/>
      <c r="J252" s="301"/>
      <c r="K252" s="301"/>
      <c r="L252" s="301"/>
      <c r="M252" s="301"/>
      <c r="N252" s="301"/>
      <c r="O252" s="319"/>
      <c r="P252" s="319"/>
      <c r="Q252" s="319"/>
    </row>
    <row r="253" spans="2:17" x14ac:dyDescent="0.15">
      <c r="B253" s="302"/>
      <c r="C253" s="301"/>
      <c r="D253" s="301"/>
      <c r="E253" s="301"/>
      <c r="F253" s="301"/>
      <c r="G253" s="301"/>
      <c r="H253" s="301"/>
      <c r="I253" s="301"/>
      <c r="J253" s="301"/>
      <c r="K253" s="301"/>
      <c r="L253" s="301"/>
      <c r="M253" s="301"/>
      <c r="N253" s="301"/>
      <c r="O253" s="319"/>
      <c r="P253" s="319"/>
      <c r="Q253" s="319"/>
    </row>
    <row r="254" spans="2:17" x14ac:dyDescent="0.15">
      <c r="B254" s="302"/>
      <c r="C254" s="301"/>
      <c r="D254" s="301"/>
      <c r="E254" s="301"/>
      <c r="F254" s="301"/>
      <c r="G254" s="301"/>
      <c r="H254" s="301"/>
      <c r="I254" s="301"/>
      <c r="J254" s="301"/>
      <c r="K254" s="301"/>
      <c r="L254" s="301"/>
      <c r="M254" s="301"/>
      <c r="N254" s="301"/>
      <c r="O254" s="319"/>
      <c r="P254" s="319"/>
      <c r="Q254" s="319"/>
    </row>
    <row r="255" spans="2:17" x14ac:dyDescent="0.15">
      <c r="B255" s="302"/>
      <c r="C255" s="301"/>
      <c r="D255" s="301"/>
      <c r="E255" s="301"/>
      <c r="F255" s="301"/>
      <c r="G255" s="301"/>
      <c r="H255" s="301"/>
      <c r="I255" s="301"/>
      <c r="J255" s="301"/>
      <c r="K255" s="301"/>
      <c r="L255" s="301"/>
      <c r="M255" s="301"/>
      <c r="N255" s="301"/>
      <c r="O255" s="319"/>
      <c r="P255" s="319"/>
      <c r="Q255" s="319"/>
    </row>
    <row r="256" spans="2:17" x14ac:dyDescent="0.15">
      <c r="B256" s="302"/>
      <c r="C256" s="301"/>
      <c r="D256" s="301"/>
      <c r="E256" s="301"/>
      <c r="F256" s="301"/>
      <c r="G256" s="301"/>
      <c r="H256" s="301"/>
      <c r="I256" s="301"/>
      <c r="J256" s="301"/>
      <c r="K256" s="301"/>
      <c r="L256" s="301"/>
      <c r="M256" s="301"/>
      <c r="N256" s="301"/>
      <c r="O256" s="319"/>
      <c r="P256" s="319"/>
      <c r="Q256" s="319"/>
    </row>
    <row r="257" spans="2:17" x14ac:dyDescent="0.15">
      <c r="B257" s="302"/>
      <c r="C257" s="301"/>
      <c r="D257" s="301"/>
      <c r="E257" s="301"/>
      <c r="F257" s="301"/>
      <c r="G257" s="301"/>
      <c r="H257" s="301"/>
      <c r="I257" s="301"/>
      <c r="J257" s="301"/>
      <c r="K257" s="301"/>
      <c r="L257" s="301"/>
      <c r="M257" s="301"/>
      <c r="N257" s="301"/>
      <c r="O257" s="319"/>
      <c r="P257" s="319"/>
      <c r="Q257" s="319"/>
    </row>
    <row r="258" spans="2:17" x14ac:dyDescent="0.15">
      <c r="B258" s="302"/>
      <c r="C258" s="301"/>
      <c r="D258" s="301"/>
      <c r="E258" s="301"/>
      <c r="F258" s="301"/>
      <c r="G258" s="301"/>
      <c r="H258" s="301"/>
      <c r="I258" s="301"/>
      <c r="J258" s="301"/>
      <c r="K258" s="301"/>
      <c r="L258" s="301"/>
      <c r="M258" s="301"/>
      <c r="N258" s="301"/>
      <c r="O258" s="319"/>
      <c r="P258" s="319"/>
      <c r="Q258" s="319"/>
    </row>
    <row r="259" spans="2:17" x14ac:dyDescent="0.15">
      <c r="B259" s="302"/>
      <c r="C259" s="301"/>
      <c r="D259" s="301"/>
      <c r="E259" s="301"/>
      <c r="F259" s="301"/>
      <c r="G259" s="301"/>
      <c r="H259" s="301"/>
      <c r="I259" s="301"/>
      <c r="J259" s="301"/>
      <c r="K259" s="301"/>
      <c r="L259" s="301"/>
      <c r="M259" s="301"/>
      <c r="N259" s="301"/>
      <c r="O259" s="319"/>
      <c r="P259" s="319"/>
      <c r="Q259" s="319"/>
    </row>
    <row r="260" spans="2:17" x14ac:dyDescent="0.15">
      <c r="B260" s="302"/>
      <c r="C260" s="301"/>
      <c r="D260" s="301"/>
      <c r="E260" s="301"/>
      <c r="F260" s="301"/>
      <c r="G260" s="301"/>
      <c r="H260" s="301"/>
      <c r="I260" s="301"/>
      <c r="J260" s="301"/>
      <c r="K260" s="301"/>
      <c r="L260" s="301"/>
      <c r="M260" s="301"/>
      <c r="N260" s="301"/>
      <c r="O260" s="319"/>
      <c r="P260" s="319"/>
      <c r="Q260" s="319"/>
    </row>
    <row r="261" spans="2:17" x14ac:dyDescent="0.15">
      <c r="B261" s="302"/>
      <c r="C261" s="301"/>
      <c r="D261" s="301"/>
      <c r="E261" s="301"/>
      <c r="F261" s="301"/>
      <c r="G261" s="301"/>
      <c r="H261" s="301"/>
      <c r="I261" s="301"/>
      <c r="J261" s="301"/>
      <c r="K261" s="301"/>
      <c r="L261" s="301"/>
      <c r="M261" s="301"/>
      <c r="N261" s="301"/>
      <c r="O261" s="319"/>
      <c r="P261" s="319"/>
      <c r="Q261" s="319"/>
    </row>
    <row r="262" spans="2:17" x14ac:dyDescent="0.15">
      <c r="B262" s="302"/>
      <c r="C262" s="301"/>
      <c r="D262" s="301"/>
      <c r="E262" s="301"/>
      <c r="F262" s="301"/>
      <c r="G262" s="301"/>
      <c r="H262" s="301"/>
      <c r="I262" s="301"/>
      <c r="J262" s="301"/>
      <c r="K262" s="301"/>
      <c r="L262" s="301"/>
      <c r="M262" s="301"/>
      <c r="N262" s="301"/>
      <c r="O262" s="319"/>
      <c r="P262" s="319"/>
      <c r="Q262" s="319"/>
    </row>
    <row r="263" spans="2:17" x14ac:dyDescent="0.15">
      <c r="B263" s="302"/>
      <c r="C263" s="301"/>
      <c r="D263" s="301"/>
      <c r="E263" s="301"/>
      <c r="F263" s="301"/>
      <c r="G263" s="301"/>
      <c r="H263" s="301"/>
      <c r="I263" s="301"/>
      <c r="J263" s="301"/>
      <c r="K263" s="301"/>
      <c r="L263" s="301"/>
      <c r="M263" s="301"/>
      <c r="N263" s="301"/>
      <c r="O263" s="319"/>
      <c r="P263" s="319"/>
      <c r="Q263" s="319"/>
    </row>
    <row r="264" spans="2:17" x14ac:dyDescent="0.15">
      <c r="B264" s="302"/>
      <c r="C264" s="301"/>
      <c r="D264" s="301"/>
      <c r="E264" s="301"/>
      <c r="F264" s="301"/>
      <c r="G264" s="301"/>
      <c r="H264" s="301"/>
      <c r="I264" s="301"/>
      <c r="J264" s="301"/>
      <c r="K264" s="301"/>
      <c r="L264" s="301"/>
      <c r="M264" s="301"/>
      <c r="N264" s="301"/>
      <c r="O264" s="319"/>
      <c r="P264" s="319"/>
      <c r="Q264" s="319"/>
    </row>
    <row r="265" spans="2:17" x14ac:dyDescent="0.15">
      <c r="B265" s="302"/>
      <c r="C265" s="301"/>
      <c r="D265" s="301"/>
      <c r="E265" s="301"/>
      <c r="F265" s="301"/>
      <c r="G265" s="301"/>
      <c r="H265" s="301"/>
      <c r="I265" s="301"/>
      <c r="J265" s="301"/>
      <c r="K265" s="301"/>
      <c r="L265" s="301"/>
      <c r="M265" s="301"/>
      <c r="N265" s="301"/>
      <c r="O265" s="319"/>
      <c r="P265" s="319"/>
      <c r="Q265" s="319"/>
    </row>
    <row r="266" spans="2:17" x14ac:dyDescent="0.15">
      <c r="B266" s="302"/>
      <c r="C266" s="301"/>
      <c r="D266" s="301"/>
      <c r="E266" s="301"/>
      <c r="F266" s="301"/>
      <c r="G266" s="301"/>
      <c r="H266" s="301"/>
      <c r="I266" s="301"/>
      <c r="J266" s="301"/>
      <c r="K266" s="301"/>
      <c r="L266" s="301"/>
      <c r="M266" s="301"/>
      <c r="N266" s="301"/>
      <c r="O266" s="319"/>
      <c r="P266" s="319"/>
      <c r="Q266" s="319"/>
    </row>
    <row r="267" spans="2:17" x14ac:dyDescent="0.15">
      <c r="B267" s="302"/>
      <c r="C267" s="301"/>
      <c r="D267" s="301"/>
      <c r="E267" s="301"/>
      <c r="F267" s="301"/>
      <c r="G267" s="301"/>
      <c r="H267" s="301"/>
      <c r="I267" s="301"/>
      <c r="J267" s="301"/>
      <c r="K267" s="301"/>
      <c r="L267" s="301"/>
      <c r="M267" s="301"/>
      <c r="N267" s="301"/>
      <c r="O267" s="319"/>
      <c r="P267" s="319"/>
      <c r="Q267" s="319"/>
    </row>
    <row r="268" spans="2:17" x14ac:dyDescent="0.15">
      <c r="B268" s="302"/>
      <c r="C268" s="301"/>
      <c r="D268" s="301"/>
      <c r="E268" s="301"/>
      <c r="F268" s="301"/>
      <c r="G268" s="301"/>
      <c r="H268" s="301"/>
      <c r="I268" s="301"/>
      <c r="J268" s="301"/>
      <c r="K268" s="301"/>
      <c r="L268" s="301"/>
      <c r="M268" s="301"/>
      <c r="N268" s="301"/>
      <c r="O268" s="319"/>
      <c r="P268" s="319"/>
      <c r="Q268" s="319"/>
    </row>
    <row r="269" spans="2:17" x14ac:dyDescent="0.15">
      <c r="B269" s="302"/>
      <c r="C269" s="301"/>
      <c r="D269" s="301"/>
      <c r="E269" s="301"/>
      <c r="F269" s="301"/>
      <c r="G269" s="301"/>
      <c r="H269" s="301"/>
      <c r="I269" s="301"/>
      <c r="J269" s="301"/>
      <c r="K269" s="301"/>
      <c r="L269" s="301"/>
      <c r="M269" s="301"/>
      <c r="N269" s="301"/>
      <c r="O269" s="319"/>
      <c r="P269" s="319"/>
      <c r="Q269" s="319"/>
    </row>
    <row r="270" spans="2:17" x14ac:dyDescent="0.15">
      <c r="B270" s="302"/>
      <c r="C270" s="301"/>
      <c r="D270" s="301"/>
      <c r="E270" s="301"/>
      <c r="F270" s="301"/>
      <c r="G270" s="301"/>
      <c r="H270" s="301"/>
      <c r="I270" s="301"/>
      <c r="J270" s="301"/>
      <c r="K270" s="301"/>
      <c r="L270" s="301"/>
      <c r="M270" s="301"/>
      <c r="N270" s="301"/>
      <c r="O270" s="319"/>
      <c r="P270" s="319"/>
      <c r="Q270" s="319"/>
    </row>
    <row r="271" spans="2:17" x14ac:dyDescent="0.15">
      <c r="B271" s="302"/>
      <c r="C271" s="301"/>
      <c r="D271" s="301"/>
      <c r="E271" s="301"/>
      <c r="F271" s="301"/>
      <c r="G271" s="301"/>
      <c r="H271" s="301"/>
      <c r="I271" s="301"/>
      <c r="J271" s="301"/>
      <c r="K271" s="301"/>
      <c r="L271" s="301"/>
      <c r="M271" s="301"/>
      <c r="N271" s="301"/>
      <c r="O271" s="319"/>
      <c r="P271" s="319"/>
      <c r="Q271" s="319"/>
    </row>
    <row r="272" spans="2:17" x14ac:dyDescent="0.15">
      <c r="B272" s="302"/>
      <c r="C272" s="301"/>
      <c r="D272" s="301"/>
      <c r="E272" s="301"/>
      <c r="F272" s="301"/>
      <c r="G272" s="301"/>
      <c r="H272" s="301"/>
      <c r="I272" s="301"/>
      <c r="J272" s="301"/>
      <c r="K272" s="301"/>
      <c r="L272" s="301"/>
      <c r="M272" s="301"/>
      <c r="N272" s="301"/>
      <c r="O272" s="319"/>
      <c r="P272" s="319"/>
      <c r="Q272" s="319"/>
    </row>
    <row r="273" spans="2:17" x14ac:dyDescent="0.15">
      <c r="B273" s="302"/>
      <c r="C273" s="301"/>
      <c r="D273" s="301"/>
      <c r="E273" s="301"/>
      <c r="F273" s="301"/>
      <c r="G273" s="301"/>
      <c r="H273" s="301"/>
      <c r="I273" s="301"/>
      <c r="J273" s="301"/>
      <c r="K273" s="301"/>
      <c r="L273" s="301"/>
      <c r="M273" s="301"/>
      <c r="N273" s="301"/>
      <c r="O273" s="319"/>
      <c r="P273" s="319"/>
      <c r="Q273" s="319"/>
    </row>
    <row r="274" spans="2:17" x14ac:dyDescent="0.15">
      <c r="B274" s="302"/>
      <c r="C274" s="301"/>
      <c r="D274" s="301"/>
      <c r="E274" s="301"/>
      <c r="F274" s="301"/>
      <c r="G274" s="301"/>
      <c r="H274" s="301"/>
      <c r="I274" s="301"/>
      <c r="J274" s="301"/>
      <c r="K274" s="301"/>
      <c r="L274" s="301"/>
      <c r="M274" s="301"/>
      <c r="N274" s="301"/>
      <c r="O274" s="319"/>
      <c r="P274" s="319"/>
      <c r="Q274" s="319"/>
    </row>
    <row r="275" spans="2:17" x14ac:dyDescent="0.15">
      <c r="B275" s="302"/>
      <c r="C275" s="301"/>
      <c r="D275" s="301"/>
      <c r="E275" s="301"/>
      <c r="F275" s="301"/>
      <c r="G275" s="301"/>
      <c r="H275" s="301"/>
      <c r="I275" s="301"/>
      <c r="J275" s="301"/>
      <c r="K275" s="301"/>
      <c r="L275" s="301"/>
      <c r="M275" s="301"/>
      <c r="N275" s="301"/>
      <c r="O275" s="319"/>
      <c r="P275" s="319"/>
      <c r="Q275" s="319"/>
    </row>
    <row r="276" spans="2:17" x14ac:dyDescent="0.15">
      <c r="B276" s="302"/>
      <c r="C276" s="301"/>
      <c r="D276" s="301"/>
      <c r="E276" s="301"/>
      <c r="F276" s="301"/>
      <c r="G276" s="301"/>
      <c r="H276" s="301"/>
      <c r="I276" s="301"/>
      <c r="J276" s="301"/>
      <c r="K276" s="301"/>
      <c r="L276" s="301"/>
      <c r="M276" s="301"/>
      <c r="N276" s="301"/>
      <c r="O276" s="319"/>
      <c r="P276" s="319"/>
      <c r="Q276" s="319"/>
    </row>
    <row r="277" spans="2:17" x14ac:dyDescent="0.15">
      <c r="B277" s="302"/>
      <c r="C277" s="301"/>
      <c r="D277" s="301"/>
      <c r="E277" s="301"/>
      <c r="F277" s="301"/>
      <c r="G277" s="301"/>
      <c r="H277" s="301"/>
      <c r="I277" s="301"/>
      <c r="J277" s="301"/>
      <c r="K277" s="301"/>
      <c r="L277" s="301"/>
      <c r="M277" s="301"/>
      <c r="N277" s="301"/>
      <c r="O277" s="319"/>
      <c r="P277" s="319"/>
      <c r="Q277" s="319"/>
    </row>
    <row r="278" spans="2:17" x14ac:dyDescent="0.15">
      <c r="B278" s="302"/>
      <c r="C278" s="301"/>
      <c r="D278" s="301"/>
      <c r="E278" s="301"/>
      <c r="F278" s="301"/>
      <c r="G278" s="301"/>
      <c r="H278" s="301"/>
      <c r="I278" s="301"/>
      <c r="J278" s="301"/>
      <c r="K278" s="301"/>
      <c r="L278" s="301"/>
      <c r="M278" s="301"/>
      <c r="N278" s="301"/>
      <c r="O278" s="319"/>
      <c r="P278" s="319"/>
      <c r="Q278" s="319"/>
    </row>
    <row r="279" spans="2:17" x14ac:dyDescent="0.15">
      <c r="B279" s="302"/>
      <c r="C279" s="301"/>
      <c r="D279" s="301"/>
      <c r="E279" s="301"/>
      <c r="F279" s="301"/>
      <c r="G279" s="301"/>
      <c r="H279" s="301"/>
      <c r="I279" s="301"/>
      <c r="J279" s="301"/>
      <c r="K279" s="301"/>
      <c r="L279" s="301"/>
      <c r="M279" s="301"/>
      <c r="N279" s="301"/>
      <c r="O279" s="319"/>
      <c r="P279" s="319"/>
      <c r="Q279" s="319"/>
    </row>
    <row r="280" spans="2:17" x14ac:dyDescent="0.15">
      <c r="B280" s="302"/>
      <c r="C280" s="301"/>
      <c r="D280" s="301"/>
      <c r="E280" s="301"/>
      <c r="F280" s="301"/>
      <c r="G280" s="301"/>
      <c r="H280" s="301"/>
      <c r="I280" s="301"/>
      <c r="J280" s="301"/>
      <c r="K280" s="301"/>
      <c r="L280" s="301"/>
      <c r="M280" s="301"/>
      <c r="N280" s="301"/>
      <c r="O280" s="319"/>
      <c r="P280" s="319"/>
      <c r="Q280" s="319"/>
    </row>
    <row r="281" spans="2:17" x14ac:dyDescent="0.15">
      <c r="B281" s="302"/>
      <c r="C281" s="301"/>
      <c r="D281" s="301"/>
      <c r="E281" s="301"/>
      <c r="F281" s="301"/>
      <c r="G281" s="301"/>
      <c r="H281" s="301"/>
      <c r="I281" s="301"/>
      <c r="J281" s="301"/>
      <c r="K281" s="301"/>
      <c r="L281" s="301"/>
      <c r="M281" s="301"/>
      <c r="N281" s="301"/>
      <c r="O281" s="319"/>
      <c r="P281" s="319"/>
      <c r="Q281" s="319"/>
    </row>
    <row r="282" spans="2:17" x14ac:dyDescent="0.15">
      <c r="B282" s="302"/>
      <c r="C282" s="301"/>
      <c r="D282" s="301"/>
      <c r="E282" s="301"/>
      <c r="F282" s="301"/>
      <c r="G282" s="301"/>
      <c r="H282" s="301"/>
      <c r="I282" s="301"/>
      <c r="J282" s="301"/>
      <c r="K282" s="301"/>
      <c r="L282" s="301"/>
      <c r="M282" s="301"/>
      <c r="N282" s="301"/>
      <c r="O282" s="319"/>
      <c r="P282" s="319"/>
      <c r="Q282" s="319"/>
    </row>
    <row r="283" spans="2:17" x14ac:dyDescent="0.15">
      <c r="B283" s="302"/>
      <c r="C283" s="301"/>
      <c r="D283" s="301"/>
      <c r="E283" s="301"/>
      <c r="F283" s="301"/>
      <c r="G283" s="301"/>
      <c r="H283" s="301"/>
      <c r="I283" s="301"/>
      <c r="J283" s="301"/>
      <c r="K283" s="301"/>
      <c r="L283" s="301"/>
      <c r="M283" s="301"/>
      <c r="N283" s="301"/>
      <c r="O283" s="319"/>
      <c r="P283" s="319"/>
      <c r="Q283" s="319"/>
    </row>
    <row r="284" spans="2:17" x14ac:dyDescent="0.15">
      <c r="B284" s="302"/>
      <c r="C284" s="301"/>
      <c r="D284" s="301"/>
      <c r="E284" s="301"/>
      <c r="F284" s="301"/>
      <c r="G284" s="301"/>
      <c r="H284" s="301"/>
      <c r="I284" s="301"/>
      <c r="J284" s="301"/>
      <c r="K284" s="301"/>
      <c r="L284" s="301"/>
      <c r="M284" s="301"/>
      <c r="N284" s="301"/>
      <c r="O284" s="319"/>
      <c r="P284" s="319"/>
      <c r="Q284" s="319"/>
    </row>
    <row r="285" spans="2:17" x14ac:dyDescent="0.15">
      <c r="B285" s="302"/>
      <c r="C285" s="301"/>
      <c r="D285" s="301"/>
      <c r="E285" s="301"/>
      <c r="F285" s="301"/>
      <c r="G285" s="301"/>
      <c r="H285" s="301"/>
      <c r="I285" s="301"/>
      <c r="J285" s="301"/>
      <c r="K285" s="301"/>
      <c r="L285" s="301"/>
      <c r="M285" s="301"/>
      <c r="N285" s="301"/>
      <c r="O285" s="319"/>
      <c r="P285" s="319"/>
      <c r="Q285" s="319"/>
    </row>
    <row r="286" spans="2:17" x14ac:dyDescent="0.15">
      <c r="B286" s="302"/>
      <c r="C286" s="301"/>
      <c r="D286" s="301"/>
      <c r="E286" s="301"/>
      <c r="F286" s="301"/>
      <c r="G286" s="301"/>
      <c r="H286" s="301"/>
      <c r="I286" s="301"/>
      <c r="J286" s="301"/>
      <c r="K286" s="301"/>
      <c r="L286" s="301"/>
      <c r="M286" s="301"/>
      <c r="N286" s="301"/>
      <c r="O286" s="319"/>
      <c r="P286" s="319"/>
      <c r="Q286" s="319"/>
    </row>
    <row r="287" spans="2:17" x14ac:dyDescent="0.15">
      <c r="B287" s="302"/>
      <c r="C287" s="301"/>
      <c r="D287" s="301"/>
      <c r="E287" s="301"/>
      <c r="F287" s="301"/>
      <c r="G287" s="301"/>
      <c r="H287" s="301"/>
      <c r="I287" s="301"/>
      <c r="J287" s="301"/>
      <c r="K287" s="301"/>
      <c r="L287" s="301"/>
      <c r="M287" s="301"/>
      <c r="N287" s="301"/>
      <c r="O287" s="319"/>
      <c r="P287" s="319"/>
      <c r="Q287" s="319"/>
    </row>
    <row r="288" spans="2:17" x14ac:dyDescent="0.15">
      <c r="B288" s="302"/>
      <c r="C288" s="301"/>
      <c r="D288" s="301"/>
      <c r="E288" s="301"/>
      <c r="F288" s="301"/>
      <c r="G288" s="301"/>
      <c r="H288" s="301"/>
      <c r="I288" s="301"/>
      <c r="J288" s="301"/>
      <c r="K288" s="301"/>
      <c r="L288" s="301"/>
      <c r="M288" s="301"/>
      <c r="N288" s="301"/>
      <c r="O288" s="319"/>
      <c r="P288" s="319"/>
      <c r="Q288" s="319"/>
    </row>
    <row r="289" spans="2:17" x14ac:dyDescent="0.15">
      <c r="B289" s="302"/>
      <c r="C289" s="301"/>
      <c r="D289" s="301"/>
      <c r="E289" s="301"/>
      <c r="F289" s="301"/>
      <c r="G289" s="301"/>
      <c r="H289" s="301"/>
      <c r="I289" s="301"/>
      <c r="J289" s="301"/>
      <c r="K289" s="301"/>
      <c r="L289" s="301"/>
      <c r="M289" s="301"/>
      <c r="N289" s="301"/>
      <c r="O289" s="319"/>
      <c r="P289" s="319"/>
      <c r="Q289" s="319"/>
    </row>
    <row r="290" spans="2:17" x14ac:dyDescent="0.15">
      <c r="B290" s="302"/>
      <c r="C290" s="301"/>
      <c r="D290" s="301"/>
      <c r="E290" s="301"/>
      <c r="F290" s="301"/>
      <c r="G290" s="301"/>
      <c r="H290" s="301"/>
      <c r="I290" s="301"/>
      <c r="J290" s="301"/>
      <c r="K290" s="301"/>
      <c r="L290" s="301"/>
      <c r="M290" s="301"/>
      <c r="N290" s="301"/>
      <c r="O290" s="319"/>
      <c r="P290" s="319"/>
      <c r="Q290" s="319"/>
    </row>
    <row r="291" spans="2:17" x14ac:dyDescent="0.15">
      <c r="B291" s="302"/>
      <c r="C291" s="301"/>
      <c r="D291" s="301"/>
      <c r="E291" s="301"/>
      <c r="F291" s="301"/>
      <c r="G291" s="301"/>
      <c r="H291" s="301"/>
      <c r="I291" s="301"/>
      <c r="J291" s="301"/>
      <c r="K291" s="301"/>
      <c r="L291" s="301"/>
      <c r="M291" s="301"/>
      <c r="N291" s="301"/>
      <c r="O291" s="319"/>
      <c r="P291" s="319"/>
      <c r="Q291" s="319"/>
    </row>
    <row r="292" spans="2:17" x14ac:dyDescent="0.15">
      <c r="B292" s="302"/>
      <c r="C292" s="301"/>
      <c r="D292" s="301"/>
      <c r="E292" s="301"/>
      <c r="F292" s="301"/>
      <c r="G292" s="301"/>
      <c r="H292" s="301"/>
      <c r="I292" s="301"/>
      <c r="J292" s="301"/>
      <c r="K292" s="301"/>
      <c r="L292" s="301"/>
      <c r="M292" s="301"/>
      <c r="N292" s="301"/>
      <c r="O292" s="319"/>
      <c r="P292" s="319"/>
      <c r="Q292" s="319"/>
    </row>
    <row r="293" spans="2:17" x14ac:dyDescent="0.15">
      <c r="B293" s="302"/>
      <c r="C293" s="301"/>
      <c r="D293" s="301"/>
      <c r="E293" s="301"/>
      <c r="F293" s="301"/>
      <c r="G293" s="301"/>
      <c r="H293" s="301"/>
      <c r="I293" s="301"/>
      <c r="J293" s="301"/>
      <c r="K293" s="301"/>
      <c r="L293" s="301"/>
      <c r="M293" s="301"/>
      <c r="N293" s="301"/>
      <c r="O293" s="319"/>
      <c r="P293" s="319"/>
      <c r="Q293" s="319"/>
    </row>
    <row r="294" spans="2:17" x14ac:dyDescent="0.15">
      <c r="B294" s="302"/>
      <c r="C294" s="301"/>
      <c r="D294" s="301"/>
      <c r="E294" s="301"/>
      <c r="F294" s="301"/>
      <c r="G294" s="301"/>
      <c r="H294" s="301"/>
      <c r="I294" s="301"/>
      <c r="J294" s="301"/>
      <c r="K294" s="301"/>
      <c r="L294" s="301"/>
      <c r="M294" s="301"/>
      <c r="N294" s="301"/>
      <c r="O294" s="319"/>
      <c r="P294" s="319"/>
      <c r="Q294" s="319"/>
    </row>
    <row r="295" spans="2:17" x14ac:dyDescent="0.15">
      <c r="B295" s="302"/>
      <c r="C295" s="301"/>
      <c r="D295" s="301"/>
      <c r="E295" s="301"/>
      <c r="F295" s="301"/>
      <c r="G295" s="301"/>
      <c r="H295" s="301"/>
      <c r="I295" s="301"/>
      <c r="J295" s="301"/>
      <c r="K295" s="301"/>
      <c r="L295" s="301"/>
      <c r="M295" s="301"/>
      <c r="N295" s="301"/>
      <c r="O295" s="319"/>
      <c r="P295" s="319"/>
      <c r="Q295" s="319"/>
    </row>
    <row r="296" spans="2:17" x14ac:dyDescent="0.15">
      <c r="B296" s="302"/>
      <c r="C296" s="301"/>
      <c r="D296" s="301"/>
      <c r="E296" s="301"/>
      <c r="F296" s="301"/>
      <c r="G296" s="301"/>
      <c r="H296" s="301"/>
      <c r="I296" s="301"/>
      <c r="J296" s="301"/>
      <c r="K296" s="301"/>
      <c r="L296" s="301"/>
      <c r="M296" s="301"/>
      <c r="N296" s="301"/>
      <c r="O296" s="319"/>
      <c r="P296" s="319"/>
      <c r="Q296" s="319"/>
    </row>
    <row r="297" spans="2:17" x14ac:dyDescent="0.15">
      <c r="B297" s="302"/>
      <c r="C297" s="301"/>
      <c r="D297" s="301"/>
      <c r="E297" s="301"/>
      <c r="F297" s="301"/>
      <c r="G297" s="301"/>
      <c r="H297" s="301"/>
      <c r="I297" s="301"/>
      <c r="J297" s="301"/>
      <c r="K297" s="301"/>
      <c r="L297" s="301"/>
      <c r="M297" s="301"/>
      <c r="N297" s="301"/>
      <c r="O297" s="319"/>
      <c r="P297" s="319"/>
      <c r="Q297" s="319"/>
    </row>
    <row r="298" spans="2:17" x14ac:dyDescent="0.15">
      <c r="B298" s="302"/>
      <c r="C298" s="301"/>
      <c r="D298" s="301"/>
      <c r="E298" s="301"/>
      <c r="F298" s="301"/>
      <c r="G298" s="301"/>
      <c r="H298" s="301"/>
      <c r="I298" s="301"/>
      <c r="J298" s="301"/>
      <c r="K298" s="301"/>
      <c r="L298" s="301"/>
      <c r="M298" s="301"/>
      <c r="N298" s="301"/>
      <c r="O298" s="319"/>
      <c r="P298" s="319"/>
      <c r="Q298" s="319"/>
    </row>
    <row r="299" spans="2:17" x14ac:dyDescent="0.15">
      <c r="B299" s="302"/>
      <c r="C299" s="301"/>
      <c r="D299" s="301"/>
      <c r="E299" s="301"/>
      <c r="F299" s="301"/>
      <c r="G299" s="301"/>
      <c r="H299" s="301"/>
      <c r="I299" s="301"/>
      <c r="J299" s="301"/>
      <c r="K299" s="301"/>
      <c r="L299" s="301"/>
      <c r="M299" s="301"/>
      <c r="N299" s="301"/>
      <c r="O299" s="319"/>
      <c r="P299" s="319"/>
      <c r="Q299" s="319"/>
    </row>
    <row r="300" spans="2:17" x14ac:dyDescent="0.15">
      <c r="B300" s="302"/>
      <c r="C300" s="301"/>
      <c r="D300" s="301"/>
      <c r="E300" s="301"/>
      <c r="F300" s="301"/>
      <c r="G300" s="301"/>
      <c r="H300" s="301"/>
      <c r="I300" s="301"/>
      <c r="J300" s="301"/>
      <c r="K300" s="301"/>
      <c r="L300" s="301"/>
      <c r="M300" s="301"/>
      <c r="N300" s="301"/>
      <c r="O300" s="319"/>
      <c r="P300" s="319"/>
      <c r="Q300" s="319"/>
    </row>
    <row r="301" spans="2:17" x14ac:dyDescent="0.15">
      <c r="B301" s="302"/>
      <c r="C301" s="301"/>
      <c r="D301" s="301"/>
      <c r="E301" s="301"/>
      <c r="F301" s="301"/>
      <c r="G301" s="301"/>
      <c r="H301" s="301"/>
      <c r="I301" s="301"/>
      <c r="J301" s="301"/>
      <c r="K301" s="301"/>
      <c r="L301" s="301"/>
      <c r="M301" s="301"/>
      <c r="N301" s="301"/>
      <c r="O301" s="319"/>
      <c r="P301" s="319"/>
      <c r="Q301" s="319"/>
    </row>
    <row r="302" spans="2:17" x14ac:dyDescent="0.15">
      <c r="B302" s="302"/>
      <c r="C302" s="301"/>
      <c r="D302" s="301"/>
      <c r="E302" s="301"/>
      <c r="F302" s="301"/>
      <c r="G302" s="301"/>
      <c r="H302" s="301"/>
      <c r="I302" s="301"/>
      <c r="J302" s="301"/>
      <c r="K302" s="301"/>
      <c r="L302" s="301"/>
      <c r="M302" s="301"/>
      <c r="N302" s="301"/>
      <c r="O302" s="319"/>
      <c r="P302" s="319"/>
      <c r="Q302" s="319"/>
    </row>
    <row r="303" spans="2:17" x14ac:dyDescent="0.15">
      <c r="B303" s="302"/>
      <c r="C303" s="301"/>
      <c r="D303" s="301"/>
      <c r="E303" s="301"/>
      <c r="F303" s="301"/>
      <c r="G303" s="301"/>
      <c r="H303" s="301"/>
      <c r="I303" s="301"/>
      <c r="J303" s="301"/>
      <c r="K303" s="301"/>
      <c r="L303" s="301"/>
      <c r="M303" s="301"/>
      <c r="N303" s="301"/>
      <c r="O303" s="319"/>
      <c r="P303" s="319"/>
      <c r="Q303" s="319"/>
    </row>
    <row r="304" spans="2:17" x14ac:dyDescent="0.15">
      <c r="B304" s="302"/>
      <c r="C304" s="301"/>
      <c r="D304" s="301"/>
      <c r="E304" s="301"/>
      <c r="F304" s="301"/>
      <c r="G304" s="301"/>
      <c r="H304" s="301"/>
      <c r="I304" s="301"/>
      <c r="J304" s="301"/>
      <c r="K304" s="301"/>
      <c r="L304" s="301"/>
      <c r="M304" s="301"/>
      <c r="N304" s="301"/>
      <c r="O304" s="319"/>
      <c r="P304" s="319"/>
      <c r="Q304" s="319"/>
    </row>
    <row r="305" spans="2:17" x14ac:dyDescent="0.15">
      <c r="B305" s="302"/>
      <c r="C305" s="301"/>
      <c r="D305" s="301"/>
      <c r="E305" s="301"/>
      <c r="F305" s="301"/>
      <c r="G305" s="301"/>
      <c r="H305" s="301"/>
      <c r="I305" s="301"/>
      <c r="J305" s="301"/>
      <c r="K305" s="301"/>
      <c r="L305" s="301"/>
      <c r="M305" s="301"/>
      <c r="N305" s="301"/>
      <c r="O305" s="319"/>
      <c r="P305" s="319"/>
      <c r="Q305" s="319"/>
    </row>
    <row r="306" spans="2:17" x14ac:dyDescent="0.15">
      <c r="B306" s="302"/>
      <c r="C306" s="301"/>
      <c r="D306" s="301"/>
      <c r="E306" s="301"/>
      <c r="F306" s="301"/>
      <c r="G306" s="301"/>
      <c r="H306" s="301"/>
      <c r="I306" s="301"/>
      <c r="J306" s="301"/>
      <c r="K306" s="301"/>
      <c r="L306" s="301"/>
      <c r="M306" s="301"/>
      <c r="N306" s="301"/>
      <c r="O306" s="319"/>
      <c r="P306" s="319"/>
      <c r="Q306" s="319"/>
    </row>
    <row r="307" spans="2:17" x14ac:dyDescent="0.15">
      <c r="B307" s="302"/>
      <c r="C307" s="301"/>
      <c r="D307" s="301"/>
      <c r="E307" s="301"/>
      <c r="F307" s="301"/>
      <c r="G307" s="301"/>
      <c r="H307" s="301"/>
      <c r="I307" s="301"/>
      <c r="J307" s="301"/>
      <c r="K307" s="301"/>
      <c r="L307" s="301"/>
      <c r="M307" s="301"/>
      <c r="N307" s="301"/>
      <c r="O307" s="319"/>
      <c r="P307" s="319"/>
      <c r="Q307" s="319"/>
    </row>
    <row r="308" spans="2:17" x14ac:dyDescent="0.15">
      <c r="B308" s="302"/>
      <c r="C308" s="301"/>
      <c r="D308" s="301"/>
      <c r="E308" s="301"/>
      <c r="F308" s="301"/>
      <c r="G308" s="301"/>
      <c r="H308" s="301"/>
      <c r="I308" s="301"/>
      <c r="J308" s="301"/>
      <c r="K308" s="301"/>
      <c r="L308" s="301"/>
      <c r="M308" s="301"/>
      <c r="N308" s="301"/>
      <c r="O308" s="319"/>
      <c r="P308" s="319"/>
      <c r="Q308" s="319"/>
    </row>
    <row r="309" spans="2:17" x14ac:dyDescent="0.15">
      <c r="B309" s="302"/>
      <c r="C309" s="301"/>
      <c r="D309" s="301"/>
      <c r="E309" s="301"/>
      <c r="F309" s="301"/>
      <c r="G309" s="301"/>
      <c r="H309" s="301"/>
      <c r="I309" s="301"/>
      <c r="J309" s="301"/>
      <c r="K309" s="301"/>
      <c r="L309" s="301"/>
      <c r="M309" s="301"/>
      <c r="N309" s="301"/>
      <c r="O309" s="319"/>
      <c r="P309" s="319"/>
      <c r="Q309" s="319"/>
    </row>
    <row r="310" spans="2:17" x14ac:dyDescent="0.15">
      <c r="B310" s="302"/>
      <c r="C310" s="301"/>
      <c r="D310" s="301"/>
      <c r="E310" s="301"/>
      <c r="F310" s="301"/>
      <c r="G310" s="301"/>
      <c r="H310" s="301"/>
      <c r="I310" s="301"/>
      <c r="J310" s="301"/>
      <c r="K310" s="301"/>
      <c r="L310" s="301"/>
      <c r="M310" s="301"/>
      <c r="N310" s="301"/>
      <c r="O310" s="319"/>
      <c r="P310" s="319"/>
      <c r="Q310" s="319"/>
    </row>
    <row r="311" spans="2:17" x14ac:dyDescent="0.15">
      <c r="B311" s="302"/>
      <c r="C311" s="301"/>
      <c r="D311" s="301"/>
      <c r="E311" s="301"/>
      <c r="F311" s="301"/>
      <c r="G311" s="301"/>
      <c r="H311" s="301"/>
      <c r="I311" s="301"/>
      <c r="J311" s="301"/>
      <c r="K311" s="301"/>
      <c r="L311" s="301"/>
      <c r="M311" s="301"/>
      <c r="N311" s="301"/>
      <c r="O311" s="312"/>
      <c r="P311" s="312"/>
      <c r="Q311" s="312"/>
    </row>
    <row r="312" spans="2:17" x14ac:dyDescent="0.15">
      <c r="B312" s="302"/>
      <c r="C312" s="301"/>
      <c r="D312" s="301"/>
      <c r="E312" s="301"/>
      <c r="F312" s="301"/>
      <c r="G312" s="301"/>
      <c r="H312" s="301"/>
      <c r="I312" s="301"/>
      <c r="J312" s="301"/>
      <c r="K312" s="301"/>
      <c r="L312" s="301"/>
      <c r="M312" s="301"/>
      <c r="N312" s="301"/>
      <c r="O312" s="312"/>
      <c r="P312" s="312"/>
      <c r="Q312" s="312"/>
    </row>
    <row r="313" spans="2:17" x14ac:dyDescent="0.15">
      <c r="B313" s="302"/>
      <c r="C313" s="301"/>
      <c r="D313" s="301"/>
      <c r="E313" s="301"/>
      <c r="F313" s="301"/>
      <c r="G313" s="301"/>
      <c r="H313" s="301"/>
      <c r="I313" s="301"/>
      <c r="J313" s="301"/>
      <c r="K313" s="301"/>
      <c r="L313" s="301"/>
      <c r="M313" s="301"/>
      <c r="N313" s="301"/>
      <c r="O313" s="312"/>
      <c r="P313" s="312"/>
      <c r="Q313" s="312"/>
    </row>
    <row r="314" spans="2:17" x14ac:dyDescent="0.15">
      <c r="B314" s="302"/>
      <c r="C314" s="301"/>
      <c r="D314" s="301"/>
      <c r="E314" s="301"/>
      <c r="F314" s="301"/>
      <c r="G314" s="301"/>
      <c r="H314" s="301"/>
      <c r="I314" s="301"/>
      <c r="J314" s="301"/>
      <c r="K314" s="301"/>
      <c r="L314" s="301"/>
      <c r="M314" s="301"/>
      <c r="N314" s="301"/>
      <c r="O314" s="312"/>
      <c r="P314" s="312"/>
      <c r="Q314" s="312"/>
    </row>
    <row r="315" spans="2:17" x14ac:dyDescent="0.15">
      <c r="B315" s="302"/>
      <c r="C315" s="301"/>
      <c r="D315" s="301"/>
      <c r="E315" s="301"/>
      <c r="F315" s="301"/>
      <c r="G315" s="301"/>
      <c r="H315" s="301"/>
      <c r="I315" s="301"/>
      <c r="J315" s="301"/>
      <c r="K315" s="301"/>
      <c r="L315" s="301"/>
      <c r="M315" s="301"/>
      <c r="N315" s="301"/>
      <c r="O315" s="312"/>
      <c r="P315" s="312"/>
      <c r="Q315" s="312"/>
    </row>
    <row r="316" spans="2:17" x14ac:dyDescent="0.15">
      <c r="B316" s="302"/>
      <c r="C316" s="301"/>
      <c r="D316" s="301"/>
      <c r="E316" s="301"/>
      <c r="F316" s="301"/>
      <c r="G316" s="301"/>
      <c r="H316" s="301"/>
      <c r="I316" s="301"/>
      <c r="J316" s="301"/>
      <c r="K316" s="301"/>
      <c r="L316" s="301"/>
      <c r="M316" s="301"/>
      <c r="N316" s="301"/>
      <c r="O316" s="312"/>
      <c r="P316" s="312"/>
      <c r="Q316" s="312"/>
    </row>
    <row r="317" spans="2:17" x14ac:dyDescent="0.15">
      <c r="B317" s="302"/>
      <c r="C317" s="301"/>
      <c r="D317" s="301"/>
      <c r="E317" s="301"/>
      <c r="F317" s="301"/>
      <c r="G317" s="301"/>
      <c r="H317" s="301"/>
      <c r="I317" s="301"/>
      <c r="J317" s="301"/>
      <c r="K317" s="301"/>
      <c r="L317" s="301"/>
      <c r="M317" s="301"/>
      <c r="N317" s="301"/>
      <c r="O317" s="312"/>
      <c r="P317" s="312"/>
      <c r="Q317" s="312"/>
    </row>
    <row r="318" spans="2:17" x14ac:dyDescent="0.15">
      <c r="B318" s="302"/>
      <c r="C318" s="301"/>
      <c r="D318" s="301"/>
      <c r="E318" s="301"/>
      <c r="F318" s="301"/>
      <c r="G318" s="301"/>
      <c r="H318" s="301"/>
      <c r="I318" s="301"/>
      <c r="J318" s="301"/>
      <c r="K318" s="301"/>
      <c r="L318" s="301"/>
      <c r="M318" s="301"/>
      <c r="N318" s="301"/>
      <c r="O318" s="312"/>
      <c r="P318" s="312"/>
      <c r="Q318" s="312"/>
    </row>
    <row r="319" spans="2:17" x14ac:dyDescent="0.15">
      <c r="B319" s="302"/>
      <c r="C319" s="301"/>
      <c r="D319" s="301"/>
      <c r="E319" s="301"/>
      <c r="F319" s="301"/>
      <c r="G319" s="301"/>
      <c r="H319" s="301"/>
      <c r="I319" s="301"/>
      <c r="J319" s="301"/>
      <c r="K319" s="301"/>
      <c r="L319" s="301"/>
      <c r="M319" s="301"/>
      <c r="N319" s="301"/>
      <c r="O319" s="312"/>
      <c r="P319" s="312"/>
      <c r="Q319" s="312"/>
    </row>
    <row r="320" spans="2:17" x14ac:dyDescent="0.15">
      <c r="B320" s="302"/>
      <c r="C320" s="301"/>
      <c r="D320" s="301"/>
      <c r="E320" s="301"/>
      <c r="F320" s="301"/>
      <c r="G320" s="301"/>
      <c r="H320" s="301"/>
      <c r="I320" s="301"/>
      <c r="J320" s="301"/>
      <c r="K320" s="301"/>
      <c r="L320" s="301"/>
      <c r="M320" s="301"/>
      <c r="N320" s="301"/>
      <c r="O320" s="312"/>
      <c r="P320" s="312"/>
      <c r="Q320" s="312"/>
    </row>
    <row r="321" spans="2:17" x14ac:dyDescent="0.15">
      <c r="B321" s="302"/>
      <c r="C321" s="301"/>
      <c r="D321" s="301"/>
      <c r="E321" s="301"/>
      <c r="F321" s="301"/>
      <c r="G321" s="301"/>
      <c r="H321" s="301"/>
      <c r="I321" s="301"/>
      <c r="J321" s="301"/>
      <c r="K321" s="301"/>
      <c r="L321" s="301"/>
      <c r="M321" s="301"/>
      <c r="N321" s="301"/>
      <c r="O321" s="312"/>
      <c r="P321" s="312"/>
      <c r="Q321" s="312"/>
    </row>
    <row r="322" spans="2:17" s="326" customFormat="1" x14ac:dyDescent="0.15">
      <c r="B322" s="302"/>
      <c r="C322" s="301"/>
      <c r="D322" s="301"/>
      <c r="E322" s="301"/>
      <c r="F322" s="301"/>
      <c r="G322" s="301"/>
      <c r="H322" s="301"/>
      <c r="I322" s="301"/>
      <c r="J322" s="301"/>
      <c r="K322" s="301"/>
      <c r="L322" s="301"/>
      <c r="M322" s="301"/>
      <c r="N322" s="301"/>
    </row>
    <row r="323" spans="2:17" s="326" customFormat="1" x14ac:dyDescent="0.15">
      <c r="B323" s="302"/>
      <c r="C323" s="301"/>
      <c r="D323" s="301"/>
      <c r="E323" s="301"/>
      <c r="F323" s="301"/>
      <c r="G323" s="301"/>
      <c r="H323" s="301"/>
      <c r="I323" s="301"/>
      <c r="J323" s="301"/>
      <c r="K323" s="301"/>
      <c r="L323" s="301"/>
      <c r="M323" s="301"/>
      <c r="N323" s="301"/>
    </row>
    <row r="324" spans="2:17" s="326" customFormat="1" x14ac:dyDescent="0.15">
      <c r="B324" s="302"/>
      <c r="C324" s="301"/>
      <c r="D324" s="301"/>
      <c r="E324" s="301"/>
      <c r="F324" s="301"/>
      <c r="G324" s="301"/>
      <c r="H324" s="301"/>
      <c r="I324" s="301"/>
      <c r="J324" s="301"/>
      <c r="K324" s="301"/>
      <c r="L324" s="301"/>
      <c r="M324" s="301"/>
      <c r="N324" s="301"/>
    </row>
    <row r="325" spans="2:17" s="326" customFormat="1" x14ac:dyDescent="0.15">
      <c r="B325" s="302"/>
      <c r="C325" s="301"/>
      <c r="D325" s="301"/>
      <c r="E325" s="301"/>
      <c r="F325" s="301"/>
      <c r="G325" s="301"/>
      <c r="H325" s="301"/>
      <c r="I325" s="301"/>
      <c r="J325" s="301"/>
      <c r="K325" s="301"/>
      <c r="L325" s="301"/>
      <c r="M325" s="301"/>
      <c r="N325" s="301"/>
    </row>
    <row r="326" spans="2:17" s="326" customFormat="1" x14ac:dyDescent="0.15">
      <c r="B326" s="302"/>
      <c r="C326" s="301"/>
      <c r="D326" s="301"/>
      <c r="E326" s="301"/>
      <c r="F326" s="301"/>
      <c r="G326" s="301"/>
      <c r="H326" s="301"/>
      <c r="I326" s="301"/>
      <c r="J326" s="301"/>
      <c r="K326" s="301"/>
      <c r="L326" s="301"/>
      <c r="M326" s="301"/>
      <c r="N326" s="301"/>
    </row>
    <row r="327" spans="2:17" s="326" customFormat="1" x14ac:dyDescent="0.15">
      <c r="B327" s="302"/>
      <c r="C327" s="301"/>
      <c r="D327" s="301"/>
      <c r="E327" s="301"/>
      <c r="F327" s="301"/>
      <c r="G327" s="301"/>
      <c r="H327" s="301"/>
      <c r="I327" s="301"/>
      <c r="J327" s="301"/>
      <c r="K327" s="301"/>
      <c r="L327" s="301"/>
      <c r="M327" s="301"/>
      <c r="N327" s="301"/>
    </row>
    <row r="328" spans="2:17" s="326" customFormat="1" x14ac:dyDescent="0.15">
      <c r="B328" s="302"/>
      <c r="C328" s="301"/>
      <c r="D328" s="301"/>
      <c r="E328" s="301"/>
      <c r="F328" s="301"/>
      <c r="G328" s="301"/>
      <c r="H328" s="301"/>
      <c r="I328" s="301"/>
      <c r="J328" s="301"/>
      <c r="K328" s="301"/>
      <c r="L328" s="301"/>
      <c r="M328" s="301"/>
      <c r="N328" s="301"/>
    </row>
    <row r="329" spans="2:17" s="326" customFormat="1" x14ac:dyDescent="0.15">
      <c r="B329" s="302"/>
      <c r="C329" s="301"/>
      <c r="D329" s="301"/>
      <c r="E329" s="301"/>
      <c r="F329" s="301"/>
      <c r="G329" s="301"/>
      <c r="H329" s="301"/>
      <c r="I329" s="301"/>
      <c r="J329" s="301"/>
      <c r="K329" s="301"/>
      <c r="L329" s="301"/>
      <c r="M329" s="301"/>
      <c r="N329" s="301"/>
    </row>
    <row r="330" spans="2:17" s="326" customFormat="1" x14ac:dyDescent="0.15">
      <c r="B330" s="302"/>
      <c r="C330" s="301"/>
      <c r="D330" s="301"/>
      <c r="E330" s="301"/>
      <c r="F330" s="301"/>
      <c r="G330" s="301"/>
      <c r="H330" s="301"/>
      <c r="I330" s="301"/>
      <c r="J330" s="301"/>
      <c r="K330" s="301"/>
      <c r="L330" s="301"/>
      <c r="M330" s="301"/>
      <c r="N330" s="301"/>
    </row>
    <row r="331" spans="2:17" s="326" customFormat="1" x14ac:dyDescent="0.15">
      <c r="B331" s="302"/>
      <c r="C331" s="301"/>
      <c r="D331" s="301"/>
      <c r="E331" s="301"/>
      <c r="F331" s="301"/>
      <c r="G331" s="301"/>
      <c r="H331" s="301"/>
      <c r="I331" s="301"/>
      <c r="J331" s="301"/>
      <c r="K331" s="301"/>
      <c r="L331" s="301"/>
      <c r="M331" s="301"/>
      <c r="N331" s="301"/>
    </row>
    <row r="332" spans="2:17" s="326" customFormat="1" x14ac:dyDescent="0.15">
      <c r="B332" s="302"/>
      <c r="C332" s="301"/>
      <c r="D332" s="301"/>
      <c r="E332" s="301"/>
      <c r="F332" s="301"/>
      <c r="G332" s="301"/>
      <c r="H332" s="301"/>
      <c r="I332" s="301"/>
      <c r="J332" s="301"/>
      <c r="K332" s="301"/>
      <c r="L332" s="301"/>
      <c r="M332" s="301"/>
      <c r="N332" s="301"/>
    </row>
    <row r="333" spans="2:17" s="326" customFormat="1" x14ac:dyDescent="0.15">
      <c r="B333" s="302"/>
      <c r="C333" s="301"/>
      <c r="D333" s="301"/>
      <c r="E333" s="301"/>
      <c r="F333" s="301"/>
      <c r="G333" s="301"/>
      <c r="H333" s="301"/>
      <c r="I333" s="301"/>
      <c r="J333" s="301"/>
      <c r="K333" s="301"/>
      <c r="L333" s="301"/>
      <c r="M333" s="301"/>
      <c r="N333" s="301"/>
    </row>
    <row r="334" spans="2:17" s="326" customFormat="1" x14ac:dyDescent="0.15">
      <c r="B334" s="302"/>
      <c r="C334" s="301"/>
      <c r="D334" s="301"/>
      <c r="E334" s="301"/>
      <c r="F334" s="301"/>
      <c r="G334" s="301"/>
      <c r="H334" s="301"/>
      <c r="I334" s="301"/>
      <c r="J334" s="301"/>
      <c r="K334" s="301"/>
      <c r="L334" s="301"/>
      <c r="M334" s="301"/>
      <c r="N334" s="301"/>
    </row>
    <row r="335" spans="2:17" s="326" customFormat="1" x14ac:dyDescent="0.15">
      <c r="B335" s="302"/>
      <c r="C335" s="301"/>
      <c r="D335" s="301"/>
      <c r="E335" s="301"/>
      <c r="F335" s="301"/>
      <c r="G335" s="301"/>
      <c r="H335" s="301"/>
      <c r="I335" s="301"/>
      <c r="J335" s="301"/>
      <c r="K335" s="301"/>
      <c r="L335" s="301"/>
      <c r="M335" s="301"/>
      <c r="N335" s="301"/>
    </row>
    <row r="336" spans="2:17" s="326" customFormat="1" x14ac:dyDescent="0.15">
      <c r="B336" s="302"/>
      <c r="C336" s="301"/>
      <c r="D336" s="301"/>
      <c r="E336" s="301"/>
      <c r="F336" s="301"/>
      <c r="G336" s="301"/>
      <c r="H336" s="301"/>
      <c r="I336" s="301"/>
      <c r="J336" s="301"/>
      <c r="K336" s="301"/>
      <c r="L336" s="301"/>
      <c r="M336" s="301"/>
      <c r="N336" s="301"/>
    </row>
    <row r="337" spans="2:14" s="326" customFormat="1" x14ac:dyDescent="0.15">
      <c r="B337" s="302"/>
      <c r="C337" s="301"/>
      <c r="D337" s="301"/>
      <c r="E337" s="301"/>
      <c r="F337" s="301"/>
      <c r="G337" s="301"/>
      <c r="H337" s="301"/>
      <c r="I337" s="301"/>
      <c r="J337" s="301"/>
      <c r="K337" s="301"/>
      <c r="L337" s="301"/>
      <c r="M337" s="301"/>
      <c r="N337" s="301"/>
    </row>
    <row r="338" spans="2:14" s="326" customFormat="1" x14ac:dyDescent="0.15">
      <c r="B338" s="302"/>
      <c r="C338" s="301"/>
      <c r="D338" s="301"/>
      <c r="E338" s="301"/>
      <c r="F338" s="301"/>
      <c r="G338" s="301"/>
      <c r="H338" s="301"/>
      <c r="I338" s="301"/>
      <c r="J338" s="301"/>
      <c r="K338" s="301"/>
      <c r="L338" s="301"/>
      <c r="M338" s="301"/>
      <c r="N338" s="301"/>
    </row>
    <row r="339" spans="2:14" s="326" customFormat="1" x14ac:dyDescent="0.15">
      <c r="B339" s="302"/>
      <c r="C339" s="301"/>
      <c r="D339" s="301"/>
      <c r="E339" s="301"/>
      <c r="F339" s="301"/>
      <c r="G339" s="301"/>
      <c r="H339" s="301"/>
      <c r="I339" s="301"/>
      <c r="J339" s="301"/>
      <c r="K339" s="301"/>
      <c r="L339" s="301"/>
      <c r="M339" s="301"/>
      <c r="N339" s="301"/>
    </row>
    <row r="340" spans="2:14" s="326" customFormat="1" x14ac:dyDescent="0.15">
      <c r="B340" s="302"/>
      <c r="C340" s="301"/>
      <c r="D340" s="301"/>
      <c r="E340" s="301"/>
      <c r="F340" s="301"/>
      <c r="G340" s="301"/>
      <c r="H340" s="301"/>
      <c r="I340" s="301"/>
      <c r="J340" s="301"/>
      <c r="K340" s="301"/>
      <c r="L340" s="301"/>
      <c r="M340" s="301"/>
      <c r="N340" s="301"/>
    </row>
    <row r="341" spans="2:14" s="326" customFormat="1" x14ac:dyDescent="0.15">
      <c r="B341" s="302"/>
      <c r="C341" s="301"/>
      <c r="D341" s="301"/>
      <c r="E341" s="301"/>
      <c r="F341" s="301"/>
      <c r="G341" s="301"/>
      <c r="H341" s="301"/>
      <c r="I341" s="301"/>
      <c r="J341" s="301"/>
      <c r="K341" s="301"/>
      <c r="L341" s="301"/>
      <c r="M341" s="301"/>
      <c r="N341" s="301"/>
    </row>
    <row r="342" spans="2:14" s="326" customFormat="1" x14ac:dyDescent="0.15">
      <c r="B342" s="302"/>
      <c r="C342" s="301"/>
      <c r="D342" s="301"/>
      <c r="E342" s="301"/>
      <c r="F342" s="301"/>
      <c r="G342" s="301"/>
      <c r="H342" s="301"/>
      <c r="I342" s="301"/>
      <c r="J342" s="301"/>
      <c r="K342" s="301"/>
      <c r="L342" s="301"/>
      <c r="M342" s="301"/>
      <c r="N342" s="301"/>
    </row>
    <row r="343" spans="2:14" s="326" customFormat="1" x14ac:dyDescent="0.15">
      <c r="B343" s="302"/>
      <c r="C343" s="301"/>
      <c r="D343" s="301"/>
      <c r="E343" s="301"/>
      <c r="F343" s="301"/>
      <c r="G343" s="301"/>
      <c r="H343" s="301"/>
      <c r="I343" s="301"/>
      <c r="J343" s="301"/>
      <c r="K343" s="301"/>
      <c r="L343" s="301"/>
      <c r="M343" s="301"/>
      <c r="N343" s="301"/>
    </row>
    <row r="344" spans="2:14" s="326" customFormat="1" x14ac:dyDescent="0.15">
      <c r="B344" s="302"/>
      <c r="C344" s="301"/>
      <c r="D344" s="301"/>
      <c r="E344" s="301"/>
      <c r="F344" s="301"/>
      <c r="G344" s="301"/>
      <c r="H344" s="301"/>
      <c r="I344" s="301"/>
      <c r="J344" s="301"/>
      <c r="K344" s="301"/>
      <c r="L344" s="301"/>
      <c r="M344" s="301"/>
      <c r="N344" s="301"/>
    </row>
    <row r="345" spans="2:14" s="326" customFormat="1" x14ac:dyDescent="0.15">
      <c r="B345" s="302"/>
      <c r="C345" s="301"/>
      <c r="D345" s="301"/>
      <c r="E345" s="301"/>
      <c r="F345" s="301"/>
      <c r="G345" s="301"/>
      <c r="H345" s="301"/>
      <c r="I345" s="301"/>
      <c r="J345" s="301"/>
      <c r="K345" s="301"/>
      <c r="L345" s="301"/>
      <c r="M345" s="301"/>
      <c r="N345" s="301"/>
    </row>
    <row r="346" spans="2:14" s="326" customFormat="1" x14ac:dyDescent="0.15">
      <c r="B346" s="302"/>
      <c r="C346" s="301"/>
      <c r="D346" s="301"/>
      <c r="E346" s="301"/>
      <c r="F346" s="301"/>
      <c r="G346" s="301"/>
      <c r="H346" s="301"/>
      <c r="I346" s="301"/>
      <c r="J346" s="301"/>
      <c r="K346" s="301"/>
      <c r="L346" s="301"/>
      <c r="M346" s="301"/>
      <c r="N346" s="301"/>
    </row>
    <row r="347" spans="2:14" s="326" customFormat="1" x14ac:dyDescent="0.15">
      <c r="B347" s="302"/>
      <c r="C347" s="301"/>
      <c r="D347" s="301"/>
      <c r="E347" s="301"/>
      <c r="F347" s="301"/>
      <c r="G347" s="301"/>
      <c r="H347" s="301"/>
      <c r="I347" s="301"/>
      <c r="J347" s="301"/>
      <c r="K347" s="301"/>
      <c r="L347" s="301"/>
      <c r="M347" s="301"/>
      <c r="N347" s="301"/>
    </row>
    <row r="348" spans="2:14" s="326" customFormat="1" x14ac:dyDescent="0.15">
      <c r="B348" s="302"/>
      <c r="C348" s="301"/>
      <c r="D348" s="301"/>
      <c r="E348" s="301"/>
      <c r="F348" s="301"/>
      <c r="G348" s="301"/>
      <c r="H348" s="301"/>
      <c r="I348" s="301"/>
      <c r="J348" s="301"/>
      <c r="K348" s="301"/>
      <c r="L348" s="301"/>
      <c r="M348" s="301"/>
      <c r="N348" s="301"/>
    </row>
    <row r="349" spans="2:14" s="326" customFormat="1" x14ac:dyDescent="0.15">
      <c r="B349" s="302"/>
      <c r="C349" s="301"/>
      <c r="D349" s="301"/>
      <c r="E349" s="301"/>
      <c r="F349" s="301"/>
      <c r="G349" s="301"/>
      <c r="H349" s="301"/>
      <c r="I349" s="301"/>
      <c r="J349" s="301"/>
      <c r="K349" s="301"/>
      <c r="L349" s="301"/>
      <c r="M349" s="301"/>
      <c r="N349" s="301"/>
    </row>
    <row r="350" spans="2:14" s="326" customFormat="1" x14ac:dyDescent="0.15">
      <c r="B350" s="302"/>
      <c r="C350" s="301"/>
      <c r="D350" s="301"/>
      <c r="E350" s="301"/>
      <c r="F350" s="301"/>
      <c r="G350" s="301"/>
      <c r="H350" s="301"/>
      <c r="I350" s="301"/>
      <c r="J350" s="301"/>
      <c r="K350" s="301"/>
      <c r="L350" s="301"/>
      <c r="M350" s="301"/>
      <c r="N350" s="301"/>
    </row>
    <row r="351" spans="2:14" s="326" customFormat="1" x14ac:dyDescent="0.15">
      <c r="B351" s="302"/>
      <c r="C351" s="301"/>
      <c r="D351" s="301"/>
      <c r="E351" s="301"/>
      <c r="F351" s="301"/>
      <c r="G351" s="301"/>
      <c r="H351" s="301"/>
      <c r="I351" s="301"/>
      <c r="J351" s="301"/>
      <c r="K351" s="301"/>
      <c r="L351" s="301"/>
      <c r="M351" s="301"/>
      <c r="N351" s="301"/>
    </row>
    <row r="352" spans="2:14" s="326" customFormat="1" x14ac:dyDescent="0.15">
      <c r="B352" s="302"/>
      <c r="C352" s="301"/>
      <c r="D352" s="301"/>
      <c r="E352" s="301"/>
      <c r="F352" s="301"/>
      <c r="G352" s="301"/>
      <c r="H352" s="301"/>
      <c r="I352" s="301"/>
      <c r="J352" s="301"/>
      <c r="K352" s="301"/>
      <c r="L352" s="301"/>
      <c r="M352" s="301"/>
      <c r="N352" s="301"/>
    </row>
    <row r="353" spans="2:14" s="326" customFormat="1" x14ac:dyDescent="0.15">
      <c r="B353" s="302"/>
      <c r="C353" s="301"/>
      <c r="D353" s="301"/>
      <c r="E353" s="301"/>
      <c r="F353" s="301"/>
      <c r="G353" s="301"/>
      <c r="H353" s="301"/>
      <c r="I353" s="301"/>
      <c r="J353" s="301"/>
      <c r="K353" s="301"/>
      <c r="L353" s="301"/>
      <c r="M353" s="301"/>
      <c r="N353" s="301"/>
    </row>
    <row r="354" spans="2:14" s="326" customFormat="1" x14ac:dyDescent="0.15">
      <c r="B354" s="302"/>
      <c r="C354" s="301"/>
      <c r="D354" s="301"/>
      <c r="E354" s="301"/>
      <c r="F354" s="301"/>
      <c r="G354" s="301"/>
      <c r="H354" s="301"/>
      <c r="I354" s="301"/>
      <c r="J354" s="301"/>
      <c r="K354" s="301"/>
      <c r="L354" s="301"/>
      <c r="M354" s="301"/>
      <c r="N354" s="301"/>
    </row>
    <row r="355" spans="2:14" s="326" customFormat="1" x14ac:dyDescent="0.15">
      <c r="B355" s="302"/>
      <c r="C355" s="301"/>
      <c r="D355" s="301"/>
      <c r="E355" s="301"/>
      <c r="F355" s="301"/>
      <c r="G355" s="301"/>
      <c r="H355" s="301"/>
      <c r="I355" s="301"/>
      <c r="J355" s="301"/>
      <c r="K355" s="301"/>
      <c r="L355" s="301"/>
      <c r="M355" s="301"/>
      <c r="N355" s="301"/>
    </row>
    <row r="356" spans="2:14" s="326" customFormat="1" x14ac:dyDescent="0.15">
      <c r="B356" s="302"/>
      <c r="C356" s="301"/>
      <c r="D356" s="301"/>
      <c r="E356" s="301"/>
      <c r="F356" s="301"/>
      <c r="G356" s="301"/>
      <c r="H356" s="301"/>
      <c r="I356" s="301"/>
      <c r="J356" s="301"/>
      <c r="K356" s="301"/>
      <c r="L356" s="301"/>
      <c r="M356" s="301"/>
      <c r="N356" s="301"/>
    </row>
    <row r="357" spans="2:14" s="326" customFormat="1" x14ac:dyDescent="0.15">
      <c r="B357" s="302"/>
      <c r="C357" s="301"/>
      <c r="D357" s="301"/>
      <c r="E357" s="301"/>
      <c r="F357" s="301"/>
      <c r="G357" s="301"/>
      <c r="H357" s="301"/>
      <c r="I357" s="301"/>
      <c r="J357" s="301"/>
      <c r="K357" s="301"/>
      <c r="L357" s="301"/>
      <c r="M357" s="301"/>
      <c r="N357" s="301"/>
    </row>
    <row r="358" spans="2:14" s="326" customFormat="1" x14ac:dyDescent="0.15">
      <c r="B358" s="302"/>
      <c r="C358" s="301"/>
      <c r="D358" s="301"/>
      <c r="E358" s="301"/>
      <c r="F358" s="301"/>
      <c r="G358" s="301"/>
      <c r="H358" s="301"/>
      <c r="I358" s="301"/>
      <c r="J358" s="301"/>
      <c r="K358" s="301"/>
      <c r="L358" s="301"/>
      <c r="M358" s="301"/>
      <c r="N358" s="301"/>
    </row>
    <row r="359" spans="2:14" s="326" customFormat="1" x14ac:dyDescent="0.15">
      <c r="B359" s="302"/>
      <c r="C359" s="301"/>
      <c r="D359" s="301"/>
      <c r="E359" s="301"/>
      <c r="F359" s="301"/>
      <c r="G359" s="301"/>
      <c r="H359" s="301"/>
      <c r="I359" s="301"/>
      <c r="J359" s="301"/>
      <c r="K359" s="301"/>
      <c r="L359" s="301"/>
      <c r="M359" s="301"/>
      <c r="N359" s="301"/>
    </row>
    <row r="360" spans="2:14" s="326" customFormat="1" x14ac:dyDescent="0.15">
      <c r="B360" s="302"/>
      <c r="C360" s="301"/>
      <c r="D360" s="301"/>
      <c r="E360" s="301"/>
      <c r="F360" s="301"/>
      <c r="G360" s="301"/>
      <c r="H360" s="301"/>
      <c r="I360" s="301"/>
      <c r="J360" s="301"/>
      <c r="K360" s="301"/>
      <c r="L360" s="301"/>
      <c r="M360" s="301"/>
      <c r="N360" s="301"/>
    </row>
    <row r="361" spans="2:14" s="326" customFormat="1" x14ac:dyDescent="0.15">
      <c r="B361" s="302"/>
      <c r="C361" s="301"/>
      <c r="D361" s="301"/>
      <c r="E361" s="301"/>
      <c r="F361" s="301"/>
      <c r="G361" s="301"/>
      <c r="H361" s="301"/>
      <c r="I361" s="301"/>
      <c r="J361" s="301"/>
      <c r="K361" s="301"/>
      <c r="L361" s="301"/>
      <c r="M361" s="301"/>
      <c r="N361" s="301"/>
    </row>
    <row r="362" spans="2:14" s="326" customFormat="1" x14ac:dyDescent="0.15">
      <c r="B362" s="302"/>
      <c r="C362" s="301"/>
      <c r="D362" s="301"/>
      <c r="E362" s="301"/>
      <c r="F362" s="301"/>
      <c r="G362" s="301"/>
      <c r="H362" s="301"/>
      <c r="I362" s="301"/>
      <c r="J362" s="301"/>
      <c r="K362" s="301"/>
      <c r="L362" s="301"/>
      <c r="M362" s="301"/>
      <c r="N362" s="301"/>
    </row>
    <row r="363" spans="2:14" s="326" customFormat="1" x14ac:dyDescent="0.15">
      <c r="B363" s="302"/>
      <c r="C363" s="301"/>
      <c r="D363" s="301"/>
      <c r="E363" s="301"/>
      <c r="F363" s="301"/>
      <c r="G363" s="301"/>
      <c r="H363" s="301"/>
      <c r="I363" s="301"/>
      <c r="J363" s="301"/>
      <c r="K363" s="301"/>
      <c r="L363" s="301"/>
      <c r="M363" s="301"/>
      <c r="N363" s="301"/>
    </row>
    <row r="364" spans="2:14" s="326" customFormat="1" x14ac:dyDescent="0.15">
      <c r="B364" s="302"/>
      <c r="C364" s="301"/>
      <c r="D364" s="301"/>
      <c r="E364" s="301"/>
      <c r="F364" s="301"/>
      <c r="G364" s="301"/>
      <c r="H364" s="301"/>
      <c r="I364" s="301"/>
      <c r="J364" s="301"/>
      <c r="K364" s="301"/>
      <c r="L364" s="301"/>
      <c r="M364" s="301"/>
      <c r="N364" s="301"/>
    </row>
    <row r="365" spans="2:14" s="326" customFormat="1" x14ac:dyDescent="0.15">
      <c r="B365" s="302"/>
      <c r="C365" s="301"/>
      <c r="D365" s="301"/>
      <c r="E365" s="301"/>
      <c r="F365" s="301"/>
      <c r="G365" s="301"/>
      <c r="H365" s="301"/>
      <c r="I365" s="301"/>
      <c r="J365" s="301"/>
      <c r="K365" s="301"/>
      <c r="L365" s="301"/>
      <c r="M365" s="301"/>
      <c r="N365" s="301"/>
    </row>
    <row r="366" spans="2:14" s="326" customFormat="1" x14ac:dyDescent="0.15">
      <c r="B366" s="302"/>
      <c r="C366" s="301"/>
      <c r="D366" s="301"/>
      <c r="E366" s="301"/>
      <c r="F366" s="301"/>
      <c r="G366" s="301"/>
      <c r="H366" s="301"/>
      <c r="I366" s="301"/>
      <c r="J366" s="301"/>
      <c r="K366" s="301"/>
      <c r="L366" s="301"/>
      <c r="M366" s="301"/>
      <c r="N366" s="301"/>
    </row>
    <row r="367" spans="2:14" s="326" customFormat="1" x14ac:dyDescent="0.15">
      <c r="B367" s="302"/>
      <c r="C367" s="301"/>
      <c r="D367" s="301"/>
      <c r="E367" s="301"/>
      <c r="F367" s="301"/>
      <c r="G367" s="301"/>
      <c r="H367" s="301"/>
      <c r="I367" s="301"/>
      <c r="J367" s="301"/>
      <c r="K367" s="301"/>
      <c r="L367" s="301"/>
      <c r="M367" s="301"/>
      <c r="N367" s="301"/>
    </row>
    <row r="368" spans="2:14" s="326" customFormat="1" x14ac:dyDescent="0.15">
      <c r="B368" s="302"/>
      <c r="C368" s="301"/>
      <c r="D368" s="301"/>
      <c r="E368" s="301"/>
      <c r="F368" s="301"/>
      <c r="G368" s="301"/>
      <c r="H368" s="301"/>
      <c r="I368" s="301"/>
      <c r="J368" s="301"/>
      <c r="K368" s="301"/>
      <c r="L368" s="301"/>
      <c r="M368" s="301"/>
      <c r="N368" s="301"/>
    </row>
    <row r="369" spans="2:14" s="326" customFormat="1" x14ac:dyDescent="0.15">
      <c r="B369" s="302"/>
      <c r="C369" s="301"/>
      <c r="D369" s="301"/>
      <c r="E369" s="301"/>
      <c r="F369" s="301"/>
      <c r="G369" s="301"/>
      <c r="H369" s="301"/>
      <c r="I369" s="301"/>
      <c r="J369" s="301"/>
      <c r="K369" s="301"/>
      <c r="L369" s="301"/>
      <c r="M369" s="301"/>
      <c r="N369" s="301"/>
    </row>
    <row r="370" spans="2:14" s="326" customFormat="1" x14ac:dyDescent="0.15">
      <c r="B370" s="302"/>
      <c r="C370" s="301"/>
      <c r="D370" s="301"/>
      <c r="E370" s="301"/>
      <c r="F370" s="301"/>
      <c r="G370" s="301"/>
      <c r="H370" s="301"/>
      <c r="I370" s="301"/>
      <c r="J370" s="301"/>
      <c r="K370" s="301"/>
      <c r="L370" s="301"/>
      <c r="M370" s="301"/>
      <c r="N370" s="301"/>
    </row>
    <row r="371" spans="2:14" s="326" customFormat="1" x14ac:dyDescent="0.15">
      <c r="B371" s="302"/>
      <c r="C371" s="301"/>
      <c r="D371" s="301"/>
      <c r="E371" s="301"/>
      <c r="F371" s="301"/>
      <c r="G371" s="301"/>
      <c r="H371" s="301"/>
      <c r="I371" s="301"/>
      <c r="J371" s="301"/>
      <c r="K371" s="301"/>
      <c r="L371" s="301"/>
      <c r="M371" s="301"/>
      <c r="N371" s="301"/>
    </row>
    <row r="372" spans="2:14" s="326" customFormat="1" x14ac:dyDescent="0.15">
      <c r="B372" s="302"/>
      <c r="C372" s="301"/>
      <c r="D372" s="301"/>
      <c r="E372" s="301"/>
      <c r="F372" s="301"/>
      <c r="G372" s="301"/>
      <c r="H372" s="301"/>
      <c r="I372" s="301"/>
      <c r="J372" s="301"/>
      <c r="K372" s="301"/>
      <c r="L372" s="301"/>
      <c r="M372" s="301"/>
      <c r="N372" s="301"/>
    </row>
    <row r="373" spans="2:14" s="326" customFormat="1" x14ac:dyDescent="0.15">
      <c r="B373" s="302"/>
      <c r="C373" s="301"/>
      <c r="D373" s="301"/>
      <c r="E373" s="301"/>
      <c r="F373" s="301"/>
      <c r="G373" s="301"/>
      <c r="H373" s="301"/>
      <c r="I373" s="301"/>
      <c r="J373" s="301"/>
      <c r="K373" s="301"/>
      <c r="L373" s="301"/>
      <c r="M373" s="301"/>
      <c r="N373" s="301"/>
    </row>
    <row r="374" spans="2:14" s="326" customFormat="1" x14ac:dyDescent="0.15">
      <c r="B374" s="302"/>
      <c r="C374" s="301"/>
      <c r="D374" s="301"/>
      <c r="E374" s="301"/>
      <c r="F374" s="301"/>
      <c r="G374" s="301"/>
      <c r="H374" s="301"/>
      <c r="I374" s="301"/>
      <c r="J374" s="301"/>
      <c r="K374" s="301"/>
      <c r="L374" s="301"/>
      <c r="M374" s="301"/>
      <c r="N374" s="301"/>
    </row>
    <row r="375" spans="2:14" s="326" customFormat="1" x14ac:dyDescent="0.15">
      <c r="B375" s="302"/>
      <c r="C375" s="301"/>
      <c r="D375" s="301"/>
      <c r="E375" s="301"/>
      <c r="F375" s="301"/>
      <c r="G375" s="301"/>
      <c r="H375" s="301"/>
      <c r="I375" s="301"/>
      <c r="J375" s="301"/>
      <c r="K375" s="301"/>
      <c r="L375" s="301"/>
      <c r="M375" s="301"/>
      <c r="N375" s="301"/>
    </row>
    <row r="376" spans="2:14" s="326" customFormat="1" x14ac:dyDescent="0.15">
      <c r="B376" s="302"/>
      <c r="C376" s="301"/>
      <c r="D376" s="301"/>
      <c r="E376" s="301"/>
      <c r="F376" s="301"/>
      <c r="G376" s="301"/>
      <c r="H376" s="301"/>
      <c r="I376" s="301"/>
      <c r="J376" s="301"/>
      <c r="K376" s="301"/>
      <c r="L376" s="301"/>
      <c r="M376" s="301"/>
      <c r="N376" s="301"/>
    </row>
    <row r="377" spans="2:14" s="326" customFormat="1" x14ac:dyDescent="0.15">
      <c r="B377" s="302"/>
      <c r="C377" s="301"/>
      <c r="D377" s="301"/>
      <c r="E377" s="301"/>
      <c r="F377" s="301"/>
      <c r="G377" s="301"/>
      <c r="H377" s="301"/>
      <c r="I377" s="301"/>
      <c r="J377" s="301"/>
      <c r="K377" s="301"/>
      <c r="L377" s="301"/>
      <c r="M377" s="301"/>
      <c r="N377" s="301"/>
    </row>
    <row r="378" spans="2:14" s="326" customFormat="1" x14ac:dyDescent="0.15">
      <c r="B378" s="302"/>
      <c r="C378" s="301"/>
      <c r="D378" s="301"/>
      <c r="E378" s="301"/>
      <c r="F378" s="301"/>
      <c r="G378" s="301"/>
      <c r="H378" s="301"/>
      <c r="I378" s="301"/>
      <c r="J378" s="301"/>
      <c r="K378" s="301"/>
      <c r="L378" s="301"/>
      <c r="M378" s="301"/>
      <c r="N378" s="301"/>
    </row>
    <row r="379" spans="2:14" s="326" customFormat="1" x14ac:dyDescent="0.15">
      <c r="B379" s="302"/>
      <c r="C379" s="301"/>
      <c r="D379" s="301"/>
      <c r="E379" s="301"/>
      <c r="F379" s="301"/>
      <c r="G379" s="301"/>
      <c r="H379" s="301"/>
      <c r="I379" s="301"/>
      <c r="J379" s="301"/>
      <c r="K379" s="301"/>
      <c r="L379" s="301"/>
      <c r="M379" s="301"/>
      <c r="N379" s="301"/>
    </row>
    <row r="380" spans="2:14" s="326" customFormat="1" x14ac:dyDescent="0.15">
      <c r="B380" s="302"/>
      <c r="C380" s="301"/>
      <c r="D380" s="301"/>
      <c r="E380" s="301"/>
      <c r="F380" s="301"/>
      <c r="G380" s="301"/>
      <c r="H380" s="301"/>
      <c r="I380" s="301"/>
      <c r="J380" s="301"/>
      <c r="K380" s="301"/>
      <c r="L380" s="301"/>
      <c r="M380" s="301"/>
      <c r="N380" s="301"/>
    </row>
    <row r="381" spans="2:14" s="326" customFormat="1" x14ac:dyDescent="0.15">
      <c r="B381" s="302"/>
      <c r="C381" s="301"/>
      <c r="D381" s="301"/>
      <c r="E381" s="301"/>
      <c r="F381" s="301"/>
      <c r="G381" s="301"/>
      <c r="H381" s="301"/>
      <c r="I381" s="301"/>
      <c r="J381" s="301"/>
      <c r="K381" s="301"/>
      <c r="L381" s="301"/>
      <c r="M381" s="301"/>
      <c r="N381" s="301"/>
    </row>
    <row r="382" spans="2:14" s="326" customFormat="1" x14ac:dyDescent="0.15">
      <c r="B382" s="302"/>
      <c r="C382" s="301"/>
      <c r="D382" s="301"/>
      <c r="E382" s="301"/>
      <c r="F382" s="301"/>
      <c r="G382" s="301"/>
      <c r="H382" s="301"/>
      <c r="I382" s="301"/>
      <c r="J382" s="301"/>
      <c r="K382" s="301"/>
      <c r="L382" s="301"/>
      <c r="M382" s="301"/>
      <c r="N382" s="301"/>
    </row>
    <row r="383" spans="2:14" s="326" customFormat="1" x14ac:dyDescent="0.15">
      <c r="B383" s="302"/>
      <c r="C383" s="301"/>
      <c r="D383" s="301"/>
      <c r="E383" s="301"/>
      <c r="F383" s="301"/>
      <c r="G383" s="301"/>
      <c r="H383" s="301"/>
      <c r="I383" s="301"/>
      <c r="J383" s="301"/>
      <c r="K383" s="301"/>
      <c r="L383" s="301"/>
      <c r="M383" s="301"/>
      <c r="N383" s="301"/>
    </row>
    <row r="384" spans="2:14" s="326" customFormat="1" x14ac:dyDescent="0.15">
      <c r="B384" s="302"/>
      <c r="C384" s="301"/>
      <c r="D384" s="301"/>
      <c r="E384" s="301"/>
      <c r="F384" s="301"/>
      <c r="G384" s="301"/>
      <c r="H384" s="301"/>
      <c r="I384" s="301"/>
      <c r="J384" s="301"/>
      <c r="K384" s="301"/>
      <c r="L384" s="301"/>
      <c r="M384" s="301"/>
      <c r="N384" s="301"/>
    </row>
    <row r="385" spans="2:14" s="326" customFormat="1" x14ac:dyDescent="0.15">
      <c r="B385" s="302"/>
      <c r="C385" s="301"/>
      <c r="D385" s="301"/>
      <c r="E385" s="301"/>
      <c r="F385" s="301"/>
      <c r="G385" s="301"/>
      <c r="H385" s="301"/>
      <c r="I385" s="301"/>
      <c r="J385" s="301"/>
      <c r="K385" s="301"/>
      <c r="L385" s="301"/>
      <c r="M385" s="301"/>
      <c r="N385" s="301"/>
    </row>
    <row r="386" spans="2:14" s="326" customFormat="1" x14ac:dyDescent="0.15">
      <c r="B386" s="302"/>
      <c r="C386" s="301"/>
      <c r="D386" s="301"/>
      <c r="E386" s="301"/>
      <c r="F386" s="301"/>
      <c r="G386" s="301"/>
      <c r="H386" s="301"/>
      <c r="I386" s="301"/>
      <c r="J386" s="301"/>
      <c r="K386" s="301"/>
      <c r="L386" s="301"/>
      <c r="M386" s="301"/>
      <c r="N386" s="301"/>
    </row>
    <row r="387" spans="2:14" s="326" customFormat="1" x14ac:dyDescent="0.15">
      <c r="B387" s="302"/>
      <c r="C387" s="301"/>
      <c r="D387" s="301"/>
      <c r="E387" s="301"/>
      <c r="F387" s="301"/>
      <c r="G387" s="301"/>
      <c r="H387" s="301"/>
      <c r="I387" s="301"/>
      <c r="J387" s="301"/>
      <c r="K387" s="301"/>
      <c r="L387" s="301"/>
      <c r="M387" s="301"/>
      <c r="N387" s="301"/>
    </row>
    <row r="388" spans="2:14" s="326" customFormat="1" x14ac:dyDescent="0.15">
      <c r="B388" s="302"/>
      <c r="C388" s="301"/>
      <c r="D388" s="301"/>
      <c r="E388" s="301"/>
      <c r="F388" s="301"/>
      <c r="G388" s="301"/>
      <c r="H388" s="301"/>
      <c r="I388" s="301"/>
      <c r="J388" s="301"/>
      <c r="K388" s="301"/>
      <c r="L388" s="301"/>
      <c r="M388" s="301"/>
      <c r="N388" s="301"/>
    </row>
    <row r="389" spans="2:14" s="326" customFormat="1" x14ac:dyDescent="0.15">
      <c r="B389" s="302"/>
      <c r="C389" s="301"/>
      <c r="D389" s="301"/>
      <c r="E389" s="301"/>
      <c r="F389" s="301"/>
      <c r="G389" s="301"/>
      <c r="H389" s="301"/>
      <c r="I389" s="301"/>
      <c r="J389" s="301"/>
      <c r="K389" s="301"/>
      <c r="L389" s="301"/>
      <c r="M389" s="301"/>
      <c r="N389" s="301"/>
    </row>
    <row r="390" spans="2:14" s="326" customFormat="1" x14ac:dyDescent="0.15">
      <c r="B390" s="302"/>
      <c r="C390" s="301"/>
      <c r="D390" s="301"/>
      <c r="E390" s="301"/>
      <c r="F390" s="301"/>
      <c r="G390" s="301"/>
      <c r="H390" s="301"/>
      <c r="I390" s="301"/>
      <c r="J390" s="301"/>
      <c r="K390" s="301"/>
      <c r="L390" s="301"/>
      <c r="M390" s="301"/>
      <c r="N390" s="301"/>
    </row>
    <row r="391" spans="2:14" s="326" customFormat="1" x14ac:dyDescent="0.15">
      <c r="B391" s="302"/>
      <c r="C391" s="301"/>
      <c r="D391" s="301"/>
      <c r="E391" s="301"/>
      <c r="F391" s="301"/>
      <c r="G391" s="301"/>
      <c r="H391" s="301"/>
      <c r="I391" s="301"/>
      <c r="J391" s="301"/>
      <c r="K391" s="301"/>
      <c r="L391" s="301"/>
      <c r="M391" s="301"/>
      <c r="N391" s="301"/>
    </row>
    <row r="392" spans="2:14" s="326" customFormat="1" x14ac:dyDescent="0.15">
      <c r="B392" s="302"/>
      <c r="C392" s="301"/>
      <c r="D392" s="301"/>
      <c r="E392" s="301"/>
      <c r="F392" s="301"/>
      <c r="G392" s="301"/>
      <c r="H392" s="301"/>
      <c r="I392" s="301"/>
      <c r="J392" s="301"/>
      <c r="K392" s="301"/>
      <c r="L392" s="301"/>
      <c r="M392" s="301"/>
      <c r="N392" s="301"/>
    </row>
    <row r="393" spans="2:14" s="326" customFormat="1" x14ac:dyDescent="0.15">
      <c r="B393" s="302"/>
      <c r="C393" s="301"/>
      <c r="D393" s="301"/>
      <c r="E393" s="301"/>
      <c r="F393" s="301"/>
      <c r="G393" s="301"/>
      <c r="H393" s="301"/>
      <c r="I393" s="301"/>
      <c r="J393" s="301"/>
      <c r="K393" s="301"/>
      <c r="L393" s="301"/>
      <c r="M393" s="301"/>
      <c r="N393" s="301"/>
    </row>
    <row r="394" spans="2:14" s="326" customFormat="1" x14ac:dyDescent="0.15">
      <c r="B394" s="302"/>
      <c r="C394" s="301"/>
      <c r="D394" s="301"/>
      <c r="E394" s="301"/>
      <c r="F394" s="301"/>
      <c r="G394" s="301"/>
      <c r="H394" s="301"/>
      <c r="I394" s="301"/>
      <c r="J394" s="301"/>
      <c r="K394" s="301"/>
      <c r="L394" s="301"/>
      <c r="M394" s="301"/>
      <c r="N394" s="301"/>
    </row>
    <row r="395" spans="2:14" s="326" customFormat="1" x14ac:dyDescent="0.15">
      <c r="B395" s="302"/>
      <c r="C395" s="301"/>
      <c r="D395" s="301"/>
      <c r="E395" s="301"/>
      <c r="F395" s="301"/>
      <c r="G395" s="301"/>
      <c r="H395" s="301"/>
      <c r="I395" s="301"/>
      <c r="J395" s="301"/>
      <c r="K395" s="301"/>
      <c r="L395" s="301"/>
      <c r="M395" s="301"/>
      <c r="N395" s="301"/>
    </row>
    <row r="396" spans="2:14" s="326" customFormat="1" x14ac:dyDescent="0.15">
      <c r="B396" s="302"/>
      <c r="C396" s="301"/>
      <c r="D396" s="301"/>
      <c r="E396" s="301"/>
      <c r="F396" s="301"/>
      <c r="G396" s="301"/>
      <c r="H396" s="301"/>
      <c r="I396" s="301"/>
      <c r="J396" s="301"/>
      <c r="K396" s="301"/>
      <c r="L396" s="301"/>
      <c r="M396" s="301"/>
      <c r="N396" s="301"/>
    </row>
    <row r="397" spans="2:14" s="326" customFormat="1" x14ac:dyDescent="0.15">
      <c r="B397" s="302"/>
      <c r="C397" s="301"/>
      <c r="D397" s="301"/>
      <c r="E397" s="301"/>
      <c r="F397" s="301"/>
      <c r="G397" s="301"/>
      <c r="H397" s="301"/>
      <c r="I397" s="301"/>
      <c r="J397" s="301"/>
      <c r="K397" s="301"/>
      <c r="L397" s="301"/>
      <c r="M397" s="301"/>
      <c r="N397" s="301"/>
    </row>
    <row r="398" spans="2:14" s="326" customFormat="1" x14ac:dyDescent="0.15">
      <c r="B398" s="302"/>
      <c r="C398" s="301"/>
      <c r="D398" s="301"/>
      <c r="E398" s="301"/>
      <c r="F398" s="301"/>
      <c r="G398" s="301"/>
      <c r="H398" s="301"/>
      <c r="I398" s="301"/>
      <c r="J398" s="301"/>
      <c r="K398" s="301"/>
      <c r="L398" s="301"/>
      <c r="M398" s="301"/>
      <c r="N398" s="301"/>
    </row>
    <row r="399" spans="2:14" s="326" customFormat="1" x14ac:dyDescent="0.15">
      <c r="B399" s="302"/>
      <c r="C399" s="301"/>
      <c r="D399" s="301"/>
      <c r="E399" s="301"/>
      <c r="F399" s="301"/>
      <c r="G399" s="301"/>
      <c r="H399" s="301"/>
      <c r="I399" s="301"/>
      <c r="J399" s="301"/>
      <c r="K399" s="301"/>
      <c r="L399" s="301"/>
      <c r="M399" s="301"/>
      <c r="N399" s="301"/>
    </row>
    <row r="400" spans="2:14" s="326" customFormat="1" x14ac:dyDescent="0.15">
      <c r="B400" s="302"/>
      <c r="C400" s="301"/>
      <c r="D400" s="301"/>
      <c r="E400" s="301"/>
      <c r="F400" s="301"/>
      <c r="G400" s="301"/>
      <c r="H400" s="301"/>
      <c r="I400" s="301"/>
      <c r="J400" s="301"/>
      <c r="K400" s="301"/>
      <c r="L400" s="301"/>
      <c r="M400" s="301"/>
      <c r="N400" s="301"/>
    </row>
    <row r="401" spans="2:14" s="326" customFormat="1" x14ac:dyDescent="0.15">
      <c r="B401" s="302"/>
      <c r="C401" s="301"/>
      <c r="D401" s="301"/>
      <c r="E401" s="301"/>
      <c r="F401" s="301"/>
      <c r="G401" s="301"/>
      <c r="H401" s="301"/>
      <c r="I401" s="301"/>
      <c r="J401" s="301"/>
      <c r="K401" s="301"/>
      <c r="L401" s="301"/>
      <c r="M401" s="301"/>
      <c r="N401" s="301"/>
    </row>
    <row r="402" spans="2:14" s="326" customFormat="1" x14ac:dyDescent="0.15">
      <c r="B402" s="302"/>
      <c r="C402" s="301"/>
      <c r="D402" s="301"/>
      <c r="E402" s="301"/>
      <c r="F402" s="301"/>
      <c r="G402" s="301"/>
      <c r="H402" s="301"/>
      <c r="I402" s="301"/>
      <c r="J402" s="301"/>
      <c r="K402" s="301"/>
      <c r="L402" s="301"/>
      <c r="M402" s="301"/>
      <c r="N402" s="301"/>
    </row>
    <row r="403" spans="2:14" s="326" customFormat="1" x14ac:dyDescent="0.15">
      <c r="B403" s="302"/>
      <c r="C403" s="301"/>
      <c r="D403" s="301"/>
      <c r="E403" s="301"/>
      <c r="F403" s="301"/>
      <c r="G403" s="301"/>
      <c r="H403" s="301"/>
      <c r="I403" s="301"/>
      <c r="J403" s="301"/>
      <c r="K403" s="301"/>
      <c r="L403" s="301"/>
      <c r="M403" s="301"/>
      <c r="N403" s="301"/>
    </row>
    <row r="404" spans="2:14" s="326" customFormat="1" x14ac:dyDescent="0.15">
      <c r="B404" s="302"/>
      <c r="C404" s="301"/>
      <c r="D404" s="301"/>
      <c r="E404" s="301"/>
      <c r="F404" s="301"/>
      <c r="G404" s="301"/>
      <c r="H404" s="301"/>
      <c r="I404" s="301"/>
      <c r="J404" s="301"/>
      <c r="K404" s="301"/>
      <c r="L404" s="301"/>
      <c r="M404" s="301"/>
      <c r="N404" s="301"/>
    </row>
    <row r="405" spans="2:14" s="326" customFormat="1" x14ac:dyDescent="0.15">
      <c r="B405" s="302"/>
      <c r="C405" s="301"/>
      <c r="D405" s="301"/>
      <c r="E405" s="301"/>
      <c r="F405" s="301"/>
      <c r="G405" s="301"/>
      <c r="H405" s="301"/>
      <c r="I405" s="301"/>
      <c r="J405" s="301"/>
      <c r="K405" s="301"/>
      <c r="L405" s="301"/>
      <c r="M405" s="301"/>
      <c r="N405" s="301"/>
    </row>
    <row r="406" spans="2:14" s="326" customFormat="1" x14ac:dyDescent="0.15">
      <c r="B406" s="302"/>
      <c r="C406" s="301"/>
      <c r="D406" s="301"/>
      <c r="E406" s="301"/>
      <c r="F406" s="301"/>
      <c r="G406" s="301"/>
      <c r="H406" s="301"/>
      <c r="I406" s="301"/>
      <c r="J406" s="301"/>
      <c r="K406" s="301"/>
      <c r="L406" s="301"/>
      <c r="M406" s="301"/>
      <c r="N406" s="301"/>
    </row>
    <row r="407" spans="2:14" s="326" customFormat="1" x14ac:dyDescent="0.15">
      <c r="B407" s="302"/>
      <c r="C407" s="301"/>
      <c r="D407" s="301"/>
      <c r="E407" s="301"/>
      <c r="F407" s="301"/>
      <c r="G407" s="301"/>
      <c r="H407" s="301"/>
      <c r="I407" s="301"/>
      <c r="J407" s="301"/>
      <c r="K407" s="301"/>
      <c r="L407" s="301"/>
      <c r="M407" s="301"/>
      <c r="N407" s="301"/>
    </row>
    <row r="408" spans="2:14" s="326" customFormat="1" x14ac:dyDescent="0.15">
      <c r="B408" s="302"/>
      <c r="C408" s="301"/>
      <c r="D408" s="301"/>
      <c r="E408" s="301"/>
      <c r="F408" s="301"/>
      <c r="G408" s="301"/>
      <c r="H408" s="301"/>
      <c r="I408" s="301"/>
      <c r="J408" s="301"/>
      <c r="K408" s="301"/>
      <c r="L408" s="301"/>
      <c r="M408" s="301"/>
      <c r="N408" s="301"/>
    </row>
    <row r="409" spans="2:14" s="326" customFormat="1" x14ac:dyDescent="0.15">
      <c r="B409" s="302"/>
      <c r="C409" s="301"/>
      <c r="D409" s="301"/>
      <c r="E409" s="301"/>
      <c r="F409" s="301"/>
      <c r="G409" s="301"/>
      <c r="H409" s="301"/>
      <c r="I409" s="301"/>
      <c r="J409" s="301"/>
      <c r="K409" s="301"/>
      <c r="L409" s="301"/>
      <c r="M409" s="301"/>
      <c r="N409" s="301"/>
    </row>
    <row r="410" spans="2:14" s="326" customFormat="1" x14ac:dyDescent="0.15">
      <c r="B410" s="302"/>
      <c r="C410" s="301"/>
      <c r="D410" s="301"/>
      <c r="E410" s="301"/>
      <c r="F410" s="301"/>
      <c r="G410" s="301"/>
      <c r="H410" s="301"/>
      <c r="I410" s="301"/>
      <c r="J410" s="301"/>
      <c r="K410" s="301"/>
      <c r="L410" s="301"/>
      <c r="M410" s="301"/>
      <c r="N410" s="301"/>
    </row>
    <row r="411" spans="2:14" s="326" customFormat="1" x14ac:dyDescent="0.15">
      <c r="B411" s="302"/>
      <c r="C411" s="301"/>
      <c r="D411" s="301"/>
      <c r="E411" s="301"/>
      <c r="F411" s="301"/>
      <c r="G411" s="301"/>
      <c r="H411" s="301"/>
      <c r="I411" s="301"/>
      <c r="J411" s="301"/>
      <c r="K411" s="301"/>
      <c r="L411" s="301"/>
      <c r="M411" s="301"/>
      <c r="N411" s="301"/>
    </row>
    <row r="412" spans="2:14" s="326" customFormat="1" x14ac:dyDescent="0.15">
      <c r="B412" s="302"/>
      <c r="C412" s="301"/>
      <c r="D412" s="301"/>
      <c r="E412" s="301"/>
      <c r="F412" s="301"/>
      <c r="G412" s="301"/>
      <c r="H412" s="301"/>
      <c r="I412" s="301"/>
      <c r="J412" s="301"/>
      <c r="K412" s="301"/>
      <c r="L412" s="301"/>
      <c r="M412" s="301"/>
      <c r="N412" s="301"/>
    </row>
    <row r="413" spans="2:14" s="326" customFormat="1" x14ac:dyDescent="0.15">
      <c r="B413" s="302"/>
      <c r="C413" s="301"/>
      <c r="D413" s="301"/>
      <c r="E413" s="301"/>
      <c r="F413" s="301"/>
      <c r="G413" s="301"/>
      <c r="H413" s="301"/>
      <c r="I413" s="301"/>
      <c r="J413" s="301"/>
      <c r="K413" s="301"/>
      <c r="L413" s="301"/>
      <c r="M413" s="301"/>
      <c r="N413" s="301"/>
    </row>
    <row r="414" spans="2:14" s="326" customFormat="1" x14ac:dyDescent="0.15">
      <c r="B414" s="302"/>
      <c r="C414" s="301"/>
      <c r="D414" s="301"/>
      <c r="E414" s="301"/>
      <c r="F414" s="301"/>
      <c r="G414" s="301"/>
      <c r="H414" s="301"/>
      <c r="I414" s="301"/>
      <c r="J414" s="301"/>
      <c r="K414" s="301"/>
      <c r="L414" s="301"/>
      <c r="M414" s="301"/>
      <c r="N414" s="301"/>
    </row>
    <row r="415" spans="2:14" s="326" customFormat="1" x14ac:dyDescent="0.15">
      <c r="B415" s="302"/>
      <c r="C415" s="301"/>
      <c r="D415" s="301"/>
      <c r="E415" s="301"/>
      <c r="F415" s="301"/>
      <c r="G415" s="301"/>
      <c r="H415" s="301"/>
      <c r="I415" s="301"/>
      <c r="J415" s="301"/>
      <c r="K415" s="301"/>
      <c r="L415" s="301"/>
      <c r="M415" s="301"/>
      <c r="N415" s="301"/>
    </row>
    <row r="416" spans="2:14" s="326" customFormat="1" x14ac:dyDescent="0.15">
      <c r="B416" s="302"/>
      <c r="C416" s="301"/>
      <c r="D416" s="301"/>
      <c r="E416" s="301"/>
      <c r="F416" s="301"/>
      <c r="G416" s="301"/>
      <c r="H416" s="301"/>
      <c r="I416" s="301"/>
      <c r="J416" s="301"/>
      <c r="K416" s="301"/>
      <c r="L416" s="301"/>
      <c r="M416" s="301"/>
      <c r="N416" s="301"/>
    </row>
    <row r="417" spans="2:14" s="326" customFormat="1" x14ac:dyDescent="0.15">
      <c r="B417" s="302"/>
      <c r="C417" s="301"/>
      <c r="D417" s="301"/>
      <c r="E417" s="301"/>
      <c r="F417" s="301"/>
      <c r="G417" s="301"/>
      <c r="H417" s="301"/>
      <c r="I417" s="301"/>
      <c r="J417" s="301"/>
      <c r="K417" s="301"/>
      <c r="L417" s="301"/>
      <c r="M417" s="301"/>
      <c r="N417" s="301"/>
    </row>
    <row r="418" spans="2:14" s="326" customFormat="1" x14ac:dyDescent="0.15">
      <c r="B418" s="302"/>
      <c r="C418" s="301"/>
      <c r="D418" s="301"/>
      <c r="E418" s="301"/>
      <c r="F418" s="301"/>
      <c r="G418" s="301"/>
      <c r="H418" s="301"/>
      <c r="I418" s="301"/>
      <c r="J418" s="301"/>
      <c r="K418" s="301"/>
      <c r="L418" s="301"/>
      <c r="M418" s="301"/>
      <c r="N418" s="301"/>
    </row>
    <row r="419" spans="2:14" s="326" customFormat="1" x14ac:dyDescent="0.15">
      <c r="B419" s="302"/>
      <c r="C419" s="301"/>
      <c r="D419" s="301"/>
      <c r="E419" s="301"/>
      <c r="F419" s="301"/>
      <c r="G419" s="301"/>
      <c r="H419" s="301"/>
      <c r="I419" s="301"/>
      <c r="J419" s="301"/>
      <c r="K419" s="301"/>
      <c r="L419" s="301"/>
      <c r="M419" s="301"/>
      <c r="N419" s="301"/>
    </row>
    <row r="420" spans="2:14" s="326" customFormat="1" x14ac:dyDescent="0.15">
      <c r="B420" s="302"/>
      <c r="C420" s="301"/>
      <c r="D420" s="301"/>
      <c r="E420" s="301"/>
      <c r="F420" s="301"/>
      <c r="G420" s="301"/>
      <c r="H420" s="301"/>
      <c r="I420" s="301"/>
      <c r="J420" s="301"/>
      <c r="K420" s="301"/>
      <c r="L420" s="301"/>
      <c r="M420" s="301"/>
      <c r="N420" s="301"/>
    </row>
    <row r="421" spans="2:14" s="326" customFormat="1" x14ac:dyDescent="0.15">
      <c r="B421" s="302"/>
      <c r="C421" s="301"/>
      <c r="D421" s="301"/>
      <c r="E421" s="301"/>
      <c r="F421" s="301"/>
      <c r="G421" s="301"/>
      <c r="H421" s="301"/>
      <c r="I421" s="301"/>
      <c r="J421" s="301"/>
      <c r="K421" s="301"/>
      <c r="L421" s="301"/>
      <c r="M421" s="301"/>
      <c r="N421" s="301"/>
    </row>
    <row r="422" spans="2:14" s="326" customFormat="1" x14ac:dyDescent="0.15">
      <c r="B422" s="302"/>
      <c r="C422" s="301"/>
      <c r="D422" s="301"/>
      <c r="E422" s="301"/>
      <c r="F422" s="301"/>
      <c r="G422" s="301"/>
      <c r="H422" s="301"/>
      <c r="I422" s="301"/>
      <c r="J422" s="301"/>
      <c r="K422" s="301"/>
      <c r="L422" s="301"/>
      <c r="M422" s="301"/>
      <c r="N422" s="301"/>
    </row>
    <row r="423" spans="2:14" s="326" customFormat="1" x14ac:dyDescent="0.15">
      <c r="B423" s="302"/>
      <c r="C423" s="301"/>
      <c r="D423" s="301"/>
      <c r="E423" s="301"/>
      <c r="F423" s="301"/>
      <c r="G423" s="301"/>
      <c r="H423" s="301"/>
      <c r="I423" s="301"/>
      <c r="J423" s="301"/>
      <c r="K423" s="301"/>
      <c r="L423" s="301"/>
      <c r="M423" s="301"/>
      <c r="N423" s="301"/>
    </row>
    <row r="424" spans="2:14" s="326" customFormat="1" x14ac:dyDescent="0.15">
      <c r="B424" s="302"/>
      <c r="C424" s="301"/>
      <c r="D424" s="301"/>
      <c r="E424" s="301"/>
      <c r="F424" s="301"/>
      <c r="G424" s="301"/>
      <c r="H424" s="301"/>
      <c r="I424" s="301"/>
      <c r="J424" s="301"/>
      <c r="K424" s="301"/>
      <c r="L424" s="301"/>
      <c r="M424" s="301"/>
      <c r="N424" s="301"/>
    </row>
    <row r="425" spans="2:14" s="326" customFormat="1" x14ac:dyDescent="0.15">
      <c r="B425" s="302"/>
      <c r="C425" s="301"/>
      <c r="D425" s="301"/>
      <c r="E425" s="301"/>
      <c r="F425" s="301"/>
      <c r="G425" s="301"/>
      <c r="H425" s="301"/>
      <c r="I425" s="301"/>
      <c r="J425" s="301"/>
      <c r="K425" s="301"/>
      <c r="L425" s="301"/>
      <c r="M425" s="301"/>
      <c r="N425" s="301"/>
    </row>
    <row r="426" spans="2:14" s="326" customFormat="1" x14ac:dyDescent="0.15">
      <c r="B426" s="302"/>
      <c r="C426" s="301"/>
      <c r="D426" s="301"/>
      <c r="E426" s="301"/>
      <c r="F426" s="301"/>
      <c r="G426" s="301"/>
      <c r="H426" s="301"/>
      <c r="I426" s="301"/>
      <c r="J426" s="301"/>
      <c r="K426" s="301"/>
      <c r="L426" s="301"/>
      <c r="M426" s="301"/>
      <c r="N426" s="301"/>
    </row>
    <row r="427" spans="2:14" s="326" customFormat="1" x14ac:dyDescent="0.15">
      <c r="B427" s="302"/>
      <c r="C427" s="301"/>
      <c r="D427" s="301"/>
      <c r="E427" s="301"/>
      <c r="F427" s="301"/>
      <c r="G427" s="301"/>
      <c r="H427" s="301"/>
      <c r="I427" s="301"/>
      <c r="J427" s="301"/>
      <c r="K427" s="301"/>
      <c r="L427" s="301"/>
      <c r="M427" s="301"/>
      <c r="N427" s="301"/>
    </row>
    <row r="428" spans="2:14" s="326" customFormat="1" x14ac:dyDescent="0.15">
      <c r="B428" s="302"/>
      <c r="C428" s="301"/>
      <c r="D428" s="301"/>
      <c r="E428" s="301"/>
      <c r="F428" s="301"/>
      <c r="G428" s="301"/>
      <c r="H428" s="301"/>
      <c r="I428" s="301"/>
      <c r="J428" s="301"/>
      <c r="K428" s="301"/>
      <c r="L428" s="301"/>
      <c r="M428" s="301"/>
      <c r="N428" s="301"/>
    </row>
    <row r="429" spans="2:14" s="326" customFormat="1" x14ac:dyDescent="0.15">
      <c r="B429" s="302"/>
      <c r="C429" s="301"/>
      <c r="D429" s="301"/>
      <c r="E429" s="301"/>
      <c r="F429" s="301"/>
      <c r="G429" s="301"/>
      <c r="H429" s="301"/>
      <c r="I429" s="301"/>
      <c r="J429" s="301"/>
      <c r="K429" s="301"/>
      <c r="L429" s="301"/>
      <c r="M429" s="301"/>
      <c r="N429" s="301"/>
    </row>
    <row r="430" spans="2:14" s="326" customFormat="1" x14ac:dyDescent="0.15">
      <c r="B430" s="327"/>
      <c r="C430" s="312"/>
      <c r="D430" s="312"/>
      <c r="E430" s="312"/>
      <c r="F430" s="312"/>
      <c r="G430" s="312"/>
      <c r="H430" s="312"/>
      <c r="I430" s="312"/>
      <c r="J430" s="312"/>
      <c r="K430" s="312"/>
      <c r="L430" s="312"/>
      <c r="M430" s="312"/>
      <c r="N430" s="312"/>
    </row>
    <row r="431" spans="2:14" s="326" customFormat="1" x14ac:dyDescent="0.15">
      <c r="B431" s="327"/>
      <c r="C431" s="312"/>
      <c r="D431" s="312"/>
      <c r="E431" s="312"/>
      <c r="F431" s="312"/>
      <c r="G431" s="312"/>
      <c r="H431" s="312"/>
      <c r="I431" s="312"/>
      <c r="J431" s="312"/>
      <c r="K431" s="312"/>
      <c r="L431" s="312"/>
      <c r="M431" s="312"/>
      <c r="N431" s="312"/>
    </row>
  </sheetData>
  <sheetProtection formatCells="0" formatColumns="0" formatRows="0" insertColumns="0" insertRows="0" insertHyperlinks="0" deleteColumns="0" deleteRows="0" sort="0" autoFilter="0" pivotTables="0"/>
  <autoFilter ref="B6:Q169" xr:uid="{00000000-0009-0000-0000-000001000000}"/>
  <dataConsolidate function="average">
    <dataRefs count="1">
      <dataRef ref="A6:B221" sheet="Monthly Summary Jan-Mar" r:id="rId1"/>
    </dataRefs>
  </dataConsolidate>
  <mergeCells count="10">
    <mergeCell ref="B1:Q1"/>
    <mergeCell ref="B2:Q2"/>
    <mergeCell ref="B3:Q3"/>
    <mergeCell ref="X4:Z4"/>
    <mergeCell ref="C5:P5"/>
    <mergeCell ref="Q5:Q6"/>
    <mergeCell ref="S5:S6"/>
    <mergeCell ref="U5:U6"/>
    <mergeCell ref="W5:W6"/>
    <mergeCell ref="Z5:Z6"/>
  </mergeCells>
  <conditionalFormatting sqref="I7:I74 I82:I169 O7:O169 I76:I80">
    <cfRule type="cellIs" dxfId="334" priority="61" stopIfTrue="1" operator="greaterThan">
      <formula>30</formula>
    </cfRule>
    <cfRule type="cellIs" dxfId="333" priority="62" stopIfTrue="1" operator="between">
      <formula>0.1</formula>
      <formula>10</formula>
    </cfRule>
    <cfRule type="cellIs" dxfId="332" priority="63" stopIfTrue="1" operator="lessThan">
      <formula>0.1</formula>
    </cfRule>
  </conditionalFormatting>
  <conditionalFormatting sqref="P7:P169">
    <cfRule type="containsBlanks" priority="60" stopIfTrue="1">
      <formula>LEN(TRIM(P7))=0</formula>
    </cfRule>
    <cfRule type="cellIs" dxfId="331" priority="64" stopIfTrue="1" operator="greaterThan">
      <formula>40</formula>
    </cfRule>
  </conditionalFormatting>
  <conditionalFormatting sqref="C7:C79 C147:C169 C82:C137">
    <cfRule type="cellIs" dxfId="330" priority="57" stopIfTrue="1" operator="greaterThan">
      <formula>30</formula>
    </cfRule>
    <cfRule type="cellIs" dxfId="329" priority="58" stopIfTrue="1" operator="between">
      <formula>0.1</formula>
      <formula>10</formula>
    </cfRule>
    <cfRule type="cellIs" dxfId="328" priority="59" stopIfTrue="1" operator="lessThan">
      <formula>0.1</formula>
    </cfRule>
  </conditionalFormatting>
  <conditionalFormatting sqref="D7:D64 D82:D169">
    <cfRule type="cellIs" dxfId="327" priority="54" stopIfTrue="1" operator="greaterThan">
      <formula>30</formula>
    </cfRule>
    <cfRule type="cellIs" dxfId="326" priority="55" stopIfTrue="1" operator="between">
      <formula>0.1</formula>
      <formula>10</formula>
    </cfRule>
    <cfRule type="cellIs" dxfId="325" priority="56" stopIfTrue="1" operator="lessThan">
      <formula>0.1</formula>
    </cfRule>
  </conditionalFormatting>
  <conditionalFormatting sqref="D65:D79">
    <cfRule type="cellIs" dxfId="324" priority="51" stopIfTrue="1" operator="greaterThan">
      <formula>30</formula>
    </cfRule>
    <cfRule type="cellIs" dxfId="323" priority="52" stopIfTrue="1" operator="between">
      <formula>0.1</formula>
      <formula>10</formula>
    </cfRule>
    <cfRule type="cellIs" dxfId="322" priority="53" stopIfTrue="1" operator="lessThan">
      <formula>0.1</formula>
    </cfRule>
  </conditionalFormatting>
  <conditionalFormatting sqref="E7:E79 E82:E169">
    <cfRule type="cellIs" dxfId="321" priority="48" stopIfTrue="1" operator="greaterThan">
      <formula>30</formula>
    </cfRule>
    <cfRule type="cellIs" dxfId="320" priority="49" stopIfTrue="1" operator="between">
      <formula>0.1</formula>
      <formula>10</formula>
    </cfRule>
    <cfRule type="cellIs" dxfId="319" priority="50" stopIfTrue="1" operator="lessThan">
      <formula>0.1</formula>
    </cfRule>
  </conditionalFormatting>
  <conditionalFormatting sqref="F7:F79 F82:F169">
    <cfRule type="cellIs" dxfId="318" priority="45" stopIfTrue="1" operator="greaterThan">
      <formula>30</formula>
    </cfRule>
    <cfRule type="cellIs" dxfId="317" priority="46" stopIfTrue="1" operator="between">
      <formula>0.1</formula>
      <formula>10</formula>
    </cfRule>
    <cfRule type="cellIs" dxfId="316" priority="47" stopIfTrue="1" operator="lessThan">
      <formula>0.1</formula>
    </cfRule>
  </conditionalFormatting>
  <conditionalFormatting sqref="G7:G79 G82:G169">
    <cfRule type="cellIs" dxfId="315" priority="42" stopIfTrue="1" operator="greaterThan">
      <formula>30</formula>
    </cfRule>
    <cfRule type="cellIs" dxfId="314" priority="43" stopIfTrue="1" operator="between">
      <formula>0.1</formula>
      <formula>10</formula>
    </cfRule>
    <cfRule type="cellIs" dxfId="313" priority="44" stopIfTrue="1" operator="lessThan">
      <formula>0.1</formula>
    </cfRule>
  </conditionalFormatting>
  <conditionalFormatting sqref="H7:H80 H82:H169">
    <cfRule type="cellIs" dxfId="312" priority="39" stopIfTrue="1" operator="greaterThan">
      <formula>30</formula>
    </cfRule>
    <cfRule type="cellIs" dxfId="311" priority="40" stopIfTrue="1" operator="between">
      <formula>0.1</formula>
      <formula>10</formula>
    </cfRule>
    <cfRule type="cellIs" dxfId="310" priority="41" stopIfTrue="1" operator="lessThan">
      <formula>0.1</formula>
    </cfRule>
  </conditionalFormatting>
  <conditionalFormatting sqref="J7:J74 J76:J169">
    <cfRule type="cellIs" dxfId="309" priority="36" stopIfTrue="1" operator="greaterThan">
      <formula>30</formula>
    </cfRule>
    <cfRule type="cellIs" dxfId="308" priority="37" stopIfTrue="1" operator="between">
      <formula>0.1</formula>
      <formula>10</formula>
    </cfRule>
    <cfRule type="cellIs" dxfId="307" priority="38" stopIfTrue="1" operator="lessThan">
      <formula>0.1</formula>
    </cfRule>
  </conditionalFormatting>
  <conditionalFormatting sqref="K7:K74 K76:K169">
    <cfRule type="cellIs" dxfId="306" priority="33" stopIfTrue="1" operator="greaterThan">
      <formula>30</formula>
    </cfRule>
    <cfRule type="cellIs" dxfId="305" priority="34" stopIfTrue="1" operator="between">
      <formula>0.1</formula>
      <formula>10</formula>
    </cfRule>
    <cfRule type="cellIs" dxfId="304" priority="35" stopIfTrue="1" operator="lessThan">
      <formula>0.1</formula>
    </cfRule>
  </conditionalFormatting>
  <conditionalFormatting sqref="L7:L74 L76:L169">
    <cfRule type="cellIs" dxfId="303" priority="30" stopIfTrue="1" operator="greaterThan">
      <formula>30</formula>
    </cfRule>
    <cfRule type="cellIs" dxfId="302" priority="31" stopIfTrue="1" operator="between">
      <formula>0.1</formula>
      <formula>10</formula>
    </cfRule>
    <cfRule type="cellIs" dxfId="301" priority="32" stopIfTrue="1" operator="lessThan">
      <formula>0.1</formula>
    </cfRule>
  </conditionalFormatting>
  <conditionalFormatting sqref="M7:M74 M76:M169">
    <cfRule type="cellIs" dxfId="300" priority="27" stopIfTrue="1" operator="greaterThan">
      <formula>30</formula>
    </cfRule>
    <cfRule type="cellIs" dxfId="299" priority="28" stopIfTrue="1" operator="between">
      <formula>0.1</formula>
      <formula>10</formula>
    </cfRule>
    <cfRule type="cellIs" dxfId="298" priority="29" stopIfTrue="1" operator="lessThan">
      <formula>0.1</formula>
    </cfRule>
  </conditionalFormatting>
  <conditionalFormatting sqref="S7:S169 U7:U169 W7:W169 Q7:Q169">
    <cfRule type="cellIs" dxfId="297" priority="22" stopIfTrue="1" operator="lessThan">
      <formula>0.5</formula>
    </cfRule>
  </conditionalFormatting>
  <conditionalFormatting sqref="W7:W169 U7:U169 S7:S169 Q7:Q169">
    <cfRule type="cellIs" dxfId="296" priority="23" stopIfTrue="1" operator="lessThan">
      <formula>0.75</formula>
    </cfRule>
  </conditionalFormatting>
  <conditionalFormatting sqref="H81">
    <cfRule type="cellIs" dxfId="295" priority="19" stopIfTrue="1" operator="greaterThan">
      <formula>30</formula>
    </cfRule>
    <cfRule type="cellIs" dxfId="294" priority="20" stopIfTrue="1" operator="between">
      <formula>0.1</formula>
      <formula>10</formula>
    </cfRule>
    <cfRule type="cellIs" dxfId="293" priority="21" stopIfTrue="1" operator="lessThan">
      <formula>0.1</formula>
    </cfRule>
  </conditionalFormatting>
  <conditionalFormatting sqref="I81">
    <cfRule type="cellIs" dxfId="292" priority="16" stopIfTrue="1" operator="greaterThan">
      <formula>30</formula>
    </cfRule>
    <cfRule type="cellIs" dxfId="291" priority="17" stopIfTrue="1" operator="between">
      <formula>0.1</formula>
      <formula>10</formula>
    </cfRule>
    <cfRule type="cellIs" dxfId="290" priority="18" stopIfTrue="1" operator="lessThan">
      <formula>0.1</formula>
    </cfRule>
  </conditionalFormatting>
  <conditionalFormatting sqref="C80:G81">
    <cfRule type="cellIs" dxfId="289" priority="13" stopIfTrue="1" operator="greaterThan">
      <formula>30</formula>
    </cfRule>
    <cfRule type="cellIs" dxfId="288" priority="14" stopIfTrue="1" operator="between">
      <formula>0.1</formula>
      <formula>10</formula>
    </cfRule>
    <cfRule type="cellIs" dxfId="287" priority="15" stopIfTrue="1" operator="lessThan">
      <formula>0.1</formula>
    </cfRule>
  </conditionalFormatting>
  <conditionalFormatting sqref="I75:M75">
    <cfRule type="cellIs" dxfId="286" priority="10" stopIfTrue="1" operator="greaterThan">
      <formula>30</formula>
    </cfRule>
    <cfRule type="cellIs" dxfId="285" priority="11" stopIfTrue="1" operator="between">
      <formula>0.1</formula>
      <formula>10</formula>
    </cfRule>
    <cfRule type="cellIs" dxfId="284" priority="12" stopIfTrue="1" operator="lessThan">
      <formula>0.1</formula>
    </cfRule>
  </conditionalFormatting>
  <conditionalFormatting sqref="C138:C146">
    <cfRule type="cellIs" dxfId="283" priority="7" stopIfTrue="1" operator="greaterThan">
      <formula>30</formula>
    </cfRule>
    <cfRule type="cellIs" dxfId="282" priority="8" stopIfTrue="1" operator="between">
      <formula>0.1</formula>
      <formula>10</formula>
    </cfRule>
    <cfRule type="cellIs" dxfId="281" priority="9" stopIfTrue="1" operator="lessThan">
      <formula>0.1</formula>
    </cfRule>
  </conditionalFormatting>
  <conditionalFormatting sqref="N7:N74 N76:N169">
    <cfRule type="cellIs" dxfId="280" priority="4" stopIfTrue="1" operator="greaterThan">
      <formula>30</formula>
    </cfRule>
    <cfRule type="cellIs" dxfId="279" priority="5" stopIfTrue="1" operator="between">
      <formula>0.1</formula>
      <formula>10</formula>
    </cfRule>
    <cfRule type="cellIs" dxfId="278" priority="6" stopIfTrue="1" operator="lessThan">
      <formula>0.1</formula>
    </cfRule>
  </conditionalFormatting>
  <conditionalFormatting sqref="N75">
    <cfRule type="cellIs" dxfId="277" priority="1" stopIfTrue="1" operator="greaterThan">
      <formula>30</formula>
    </cfRule>
    <cfRule type="cellIs" dxfId="276" priority="2" stopIfTrue="1" operator="between">
      <formula>0.1</formula>
      <formula>10</formula>
    </cfRule>
    <cfRule type="cellIs" dxfId="275" priority="3" stopIfTrue="1" operator="lessThan">
      <formula>0.1</formula>
    </cfRule>
  </conditionalFormatting>
  <printOptions horizontalCentered="1"/>
  <pageMargins left="0.74803149606299213" right="0.74803149606299213" top="0.98425196850393704" bottom="0.98425196850393704" header="0.51181102362204722" footer="0.51181102362204722"/>
  <pageSetup paperSize="9" scale="32" orientation="portrait" r:id="rId2"/>
  <headerFooter alignWithMargins="0"/>
  <rowBreaks count="1" manualBreakCount="1">
    <brk id="81" max="7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B1:AI431"/>
  <sheetViews>
    <sheetView zoomScale="70" zoomScaleNormal="70" workbookViewId="0">
      <pane xSplit="2" ySplit="6" topLeftCell="H139" activePane="bottomRight" state="frozen"/>
      <selection activeCell="J145" sqref="J145"/>
      <selection pane="topRight" activeCell="J145" sqref="J145"/>
      <selection pane="bottomLeft" activeCell="J145" sqref="J145"/>
      <selection pane="bottomRight" activeCell="R141" sqref="R141"/>
    </sheetView>
  </sheetViews>
  <sheetFormatPr defaultColWidth="10.140625" defaultRowHeight="10.5" x14ac:dyDescent="0.15"/>
  <cols>
    <col min="1" max="1" width="10.140625" style="312" customWidth="1"/>
    <col min="2" max="2" width="17.5703125" style="327" customWidth="1"/>
    <col min="3" max="14" width="17.5703125" style="312" customWidth="1"/>
    <col min="15" max="17" width="17.5703125" style="326" customWidth="1"/>
    <col min="18" max="27" width="10.140625" style="312"/>
    <col min="28" max="28" width="20.140625" style="312" bestFit="1" customWidth="1"/>
    <col min="29" max="29" width="10.140625" style="312"/>
    <col min="30" max="30" width="16.7109375" style="312" bestFit="1" customWidth="1"/>
    <col min="31" max="16384" width="10.140625" style="312"/>
  </cols>
  <sheetData>
    <row r="1" spans="2:35" s="301" customFormat="1" ht="18" customHeight="1" thickTop="1" x14ac:dyDescent="0.15">
      <c r="B1" s="407" t="s">
        <v>448</v>
      </c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9"/>
    </row>
    <row r="2" spans="2:35" s="301" customFormat="1" ht="18" customHeight="1" x14ac:dyDescent="0.15">
      <c r="B2" s="410" t="s">
        <v>449</v>
      </c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12"/>
    </row>
    <row r="3" spans="2:35" s="301" customFormat="1" ht="18" customHeight="1" thickBot="1" x14ac:dyDescent="0.2">
      <c r="B3" s="413" t="s">
        <v>986</v>
      </c>
      <c r="C3" s="414"/>
      <c r="D3" s="414"/>
      <c r="E3" s="414"/>
      <c r="F3" s="414"/>
      <c r="G3" s="414"/>
      <c r="H3" s="414"/>
      <c r="I3" s="414"/>
      <c r="J3" s="414"/>
      <c r="K3" s="414"/>
      <c r="L3" s="414"/>
      <c r="M3" s="414"/>
      <c r="N3" s="414"/>
      <c r="O3" s="414"/>
      <c r="P3" s="414"/>
      <c r="Q3" s="415"/>
    </row>
    <row r="4" spans="2:35" s="301" customFormat="1" ht="12" thickTop="1" thickBot="1" x14ac:dyDescent="0.2">
      <c r="B4" s="302"/>
      <c r="O4" s="303"/>
      <c r="P4" s="303"/>
      <c r="Q4" s="303"/>
      <c r="R4" s="204" t="s">
        <v>497</v>
      </c>
      <c r="S4" s="204"/>
      <c r="T4" s="204" t="s">
        <v>498</v>
      </c>
      <c r="U4" s="205"/>
      <c r="V4" s="205"/>
      <c r="W4" s="205"/>
      <c r="X4" s="416" t="s">
        <v>508</v>
      </c>
      <c r="Y4" s="416"/>
      <c r="Z4" s="416"/>
      <c r="AA4" s="105"/>
      <c r="AB4" s="31"/>
      <c r="AC4" s="31"/>
      <c r="AD4" s="206"/>
      <c r="AE4" s="206"/>
      <c r="AF4" s="31"/>
      <c r="AG4" s="31"/>
      <c r="AH4" s="31"/>
      <c r="AI4" s="31"/>
    </row>
    <row r="5" spans="2:35" s="301" customFormat="1" ht="11.45" customHeight="1" thickTop="1" thickBot="1" x14ac:dyDescent="0.2">
      <c r="B5" s="304"/>
      <c r="C5" s="417" t="s">
        <v>451</v>
      </c>
      <c r="D5" s="417"/>
      <c r="E5" s="417"/>
      <c r="F5" s="417"/>
      <c r="G5" s="417"/>
      <c r="H5" s="417"/>
      <c r="I5" s="417"/>
      <c r="J5" s="417"/>
      <c r="K5" s="417"/>
      <c r="L5" s="417"/>
      <c r="M5" s="417"/>
      <c r="N5" s="417"/>
      <c r="O5" s="417"/>
      <c r="P5" s="418"/>
      <c r="Q5" s="419" t="s">
        <v>452</v>
      </c>
      <c r="R5" s="214" t="s">
        <v>461</v>
      </c>
      <c r="S5" s="421" t="s">
        <v>452</v>
      </c>
      <c r="T5" s="214" t="s">
        <v>460</v>
      </c>
      <c r="U5" s="421" t="s">
        <v>452</v>
      </c>
      <c r="V5" s="215" t="s">
        <v>494</v>
      </c>
      <c r="W5" s="421" t="s">
        <v>452</v>
      </c>
      <c r="X5" s="214" t="s">
        <v>461</v>
      </c>
      <c r="Y5" s="214" t="s">
        <v>460</v>
      </c>
      <c r="Z5" s="421" t="s">
        <v>509</v>
      </c>
      <c r="AA5" s="107"/>
      <c r="AB5" s="95"/>
      <c r="AC5" s="96"/>
      <c r="AD5" s="96"/>
      <c r="AE5" s="96"/>
      <c r="AF5" s="96"/>
      <c r="AG5" s="96"/>
      <c r="AH5" s="96"/>
      <c r="AI5" s="97"/>
    </row>
    <row r="6" spans="2:35" s="301" customFormat="1" ht="14.25" customHeight="1" thickTop="1" x14ac:dyDescent="0.15">
      <c r="B6" s="305" t="s">
        <v>453</v>
      </c>
      <c r="C6" s="306">
        <v>43466</v>
      </c>
      <c r="D6" s="306">
        <v>43497</v>
      </c>
      <c r="E6" s="306">
        <v>43525</v>
      </c>
      <c r="F6" s="306">
        <v>43556</v>
      </c>
      <c r="G6" s="306">
        <v>43586</v>
      </c>
      <c r="H6" s="306">
        <v>43617</v>
      </c>
      <c r="I6" s="306">
        <v>43647</v>
      </c>
      <c r="J6" s="306">
        <v>43678</v>
      </c>
      <c r="K6" s="306">
        <v>43709</v>
      </c>
      <c r="L6" s="306">
        <v>43739</v>
      </c>
      <c r="M6" s="306">
        <v>43770</v>
      </c>
      <c r="N6" s="306">
        <v>43800</v>
      </c>
      <c r="O6" s="307" t="s">
        <v>454</v>
      </c>
      <c r="P6" s="307" t="s">
        <v>484</v>
      </c>
      <c r="Q6" s="420"/>
      <c r="R6" s="219" t="s">
        <v>454</v>
      </c>
      <c r="S6" s="422"/>
      <c r="T6" s="219" t="s">
        <v>454</v>
      </c>
      <c r="U6" s="422"/>
      <c r="V6" s="220" t="s">
        <v>454</v>
      </c>
      <c r="W6" s="422"/>
      <c r="X6" s="219" t="s">
        <v>454</v>
      </c>
      <c r="Y6" s="219" t="s">
        <v>454</v>
      </c>
      <c r="Z6" s="422"/>
      <c r="AA6" s="31"/>
      <c r="AB6" s="98" t="s">
        <v>166</v>
      </c>
      <c r="AC6" s="34" t="s">
        <v>476</v>
      </c>
      <c r="AD6" s="34" t="s">
        <v>1087</v>
      </c>
      <c r="AE6" s="34" t="s">
        <v>563</v>
      </c>
      <c r="AF6" s="34" t="s">
        <v>472</v>
      </c>
      <c r="AG6" s="34" t="s">
        <v>474</v>
      </c>
      <c r="AH6" s="34" t="s">
        <v>473</v>
      </c>
      <c r="AI6" s="99" t="s">
        <v>475</v>
      </c>
    </row>
    <row r="7" spans="2:35" ht="12" customHeight="1" x14ac:dyDescent="0.15">
      <c r="B7" s="308" t="s">
        <v>989</v>
      </c>
      <c r="C7" s="309">
        <v>9.3000000000000007</v>
      </c>
      <c r="D7" s="309">
        <v>12.4</v>
      </c>
      <c r="E7" s="309">
        <v>15.1</v>
      </c>
      <c r="F7" s="309">
        <v>16.2</v>
      </c>
      <c r="G7" s="309">
        <v>15.4</v>
      </c>
      <c r="H7" s="309">
        <v>17.7</v>
      </c>
      <c r="I7" s="309">
        <v>13.6</v>
      </c>
      <c r="J7" s="309">
        <v>12.9</v>
      </c>
      <c r="K7" s="309">
        <v>10.9</v>
      </c>
      <c r="L7" s="309">
        <v>9.6999999999999993</v>
      </c>
      <c r="M7" s="309">
        <v>12.2</v>
      </c>
      <c r="N7" s="309">
        <v>8.1</v>
      </c>
      <c r="O7" s="310">
        <f t="shared" ref="O7:O70" si="0">(AVERAGE(C7:N7))</f>
        <v>12.791666666666666</v>
      </c>
      <c r="P7" s="310">
        <f t="shared" ref="P7:P70" si="1">IFERROR((STDEVP(C7:N7)/O7)*100,"")</f>
        <v>22.151657330844479</v>
      </c>
      <c r="Q7" s="311">
        <f t="shared" ref="Q7:Q70" si="2">COUNT(C7:N7)/COUNT($C$6:$N$6)</f>
        <v>1</v>
      </c>
      <c r="R7" s="225">
        <f>IF($S7=0%,"",IF($S7&gt;66%,AVERAGE($C7:$E7),"-"))</f>
        <v>12.266666666666667</v>
      </c>
      <c r="S7" s="226">
        <f>COUNT(C7:E7)/3</f>
        <v>1</v>
      </c>
      <c r="T7" s="225">
        <f>IF($U7=0%,"",IF($U7&gt;66%,AVERAGE($I7:$K7),"-"))</f>
        <v>12.466666666666667</v>
      </c>
      <c r="U7" s="226">
        <f>COUNT(I7:K7)/3</f>
        <v>1</v>
      </c>
      <c r="V7" s="227">
        <f>IF(AND(($S7&gt;33%),($U7&gt;33%),($W7&gt;=75%)),AVERAGE($C7:$N7),"-")</f>
        <v>12.791666666666666</v>
      </c>
      <c r="W7" s="228">
        <f>Q7</f>
        <v>1</v>
      </c>
      <c r="X7" s="144">
        <f>IF(VLOOKUP($B7,$AC$6:$AI$180,3,FALSE)="",$R7,IF(ISERROR(AVERAGEIF($AD$6:$AD$180,VLOOKUP($B7,$AC$6:$AI$180,2,FALSE),$R$6:$R$180)),"",AVERAGEIF($AD$6:$AD$180,VLOOKUP($B7,$AC$6:$AI$180,2,FALSE),$R$6:$R$180)))</f>
        <v>12.266666666666667</v>
      </c>
      <c r="Y7" s="144">
        <f>IF(VLOOKUP($B7,$AC$6:$AI$180,3,FALSE)="",$T7,IF(ISERROR(AVERAGEIF($AD$6:$AD$180,VLOOKUP($B7,$AC$6:$AI$180,2,FALSE),$T$6:$T$180)),"",AVERAGEIF($AD$6:$AD$180,VLOOKUP($B7,$AC$6:$AI$180,2,FALSE),$T$6:$T$180)))</f>
        <v>12.466666666666667</v>
      </c>
      <c r="Z7" s="144">
        <f>IF(VLOOKUP($B7,$AC$6:$AI$180,3,FALSE)="",$V7,IF(ISERROR(AVERAGEIF($AD$6:$AD$180,VLOOKUP($B7,$AC$6:$AI$180,2,FALSE),$V$6:$V$180)),"",AVERAGEIF($AD$6:$AD$180,VLOOKUP($B7,$AC$6:$AI$180,2,FALSE),$V$6:$V$180)))</f>
        <v>12.791666666666666</v>
      </c>
      <c r="AA7" s="205"/>
      <c r="AB7" s="100" t="str">
        <f>VLOOKUP($B7,'2007-2020 Metadata'!$A$4:$S$214,MATCH("Urban Area /Monitoring Zone",'2007-2020 Metadata'!$A$4:$S$4,0),FALSE)</f>
        <v>Auckland - Northern</v>
      </c>
      <c r="AC7" s="229" t="str">
        <f>VLOOKUP(B7,'2007-2020 Metadata'!$A$6:$A$214,1,FALSE)</f>
        <v>AUC004a</v>
      </c>
      <c r="AD7" s="230" t="str">
        <f>VLOOKUP($AC7,'2007-2020 Metadata'!$A$6:$S$214,9,FALSE)</f>
        <v>Rodney</v>
      </c>
      <c r="AE7" s="230" t="str">
        <f>IF(ISBLANK(VLOOKUP($AC7,'2007-2020 Metadata'!$A$6:$S$214,19,FALSE)),"",VLOOKUP($AC7,'2007-2020 Metadata'!$A$6:$S$214,19,FALSE))</f>
        <v/>
      </c>
      <c r="AF7" s="88" t="str">
        <f>VLOOKUP($B7,'2007-2020 Metadata'!$A$4:$S$214,MATCH("Site type",'2007-2020 Metadata'!$A$4:$S$4,0),FALSE)</f>
        <v>Local (ex SH)</v>
      </c>
      <c r="AG7" s="143">
        <f>MIN(C7:N7)</f>
        <v>8.1</v>
      </c>
      <c r="AH7" s="143">
        <f>MAX(C7:N7)</f>
        <v>17.7</v>
      </c>
      <c r="AI7" s="144">
        <f>IF(W7&gt;=75%,Z7," ")</f>
        <v>12.791666666666666</v>
      </c>
    </row>
    <row r="8" spans="2:35" ht="12" customHeight="1" x14ac:dyDescent="0.15">
      <c r="B8" s="313" t="s">
        <v>4</v>
      </c>
      <c r="C8" s="309">
        <v>23.7</v>
      </c>
      <c r="D8" s="309">
        <v>31.3</v>
      </c>
      <c r="E8" s="309">
        <v>30</v>
      </c>
      <c r="F8" s="309">
        <v>35.4</v>
      </c>
      <c r="G8" s="309"/>
      <c r="H8" s="309">
        <v>34.6</v>
      </c>
      <c r="I8" s="309"/>
      <c r="J8" s="309">
        <v>29.4</v>
      </c>
      <c r="K8" s="309">
        <v>26.3</v>
      </c>
      <c r="L8" s="309">
        <v>25.4</v>
      </c>
      <c r="M8" s="309">
        <v>27.8</v>
      </c>
      <c r="N8" s="309">
        <v>21.6</v>
      </c>
      <c r="O8" s="310">
        <f t="shared" si="0"/>
        <v>28.550000000000004</v>
      </c>
      <c r="P8" s="310">
        <f t="shared" si="1"/>
        <v>14.913336692795578</v>
      </c>
      <c r="Q8" s="311">
        <f t="shared" si="2"/>
        <v>0.83333333333333337</v>
      </c>
      <c r="R8" s="225">
        <f>IF($S8=0%,"",IF($S8&gt;66%,AVERAGE($C8:$E8),"-"))</f>
        <v>28.333333333333332</v>
      </c>
      <c r="S8" s="226">
        <f t="shared" ref="S8:S11" si="3">COUNT(C8:E8)/3</f>
        <v>1</v>
      </c>
      <c r="T8" s="225">
        <f>IF($U8=0%,"",IF($U8&gt;66%,AVERAGE($I8:$K8),"-"))</f>
        <v>27.85</v>
      </c>
      <c r="U8" s="226">
        <f>COUNT(I8:K8)/3</f>
        <v>0.66666666666666663</v>
      </c>
      <c r="V8" s="227">
        <f>IF(AND(($S8&gt;33%),($U8&gt;33%),($W8&gt;=75%)),AVERAGE($C8:$N8),"-")</f>
        <v>28.550000000000004</v>
      </c>
      <c r="W8" s="228">
        <f t="shared" ref="W8:W11" si="4">Q8</f>
        <v>0.83333333333333337</v>
      </c>
      <c r="X8" s="144">
        <f>IF(VLOOKUP($B8,$AC$6:$AI$180,3,FALSE)="",$R8,IF(ISERROR(AVERAGEIF($AD$6:$AD$180,VLOOKUP($B8,$AC$6:$AI$180,2,FALSE),$R$6:$R$180)),"",AVERAGEIF($AD$6:$AD$180,VLOOKUP($B8,$AC$6:$AI$180,2,FALSE),$R$6:$R$180)))</f>
        <v>18.841666666666665</v>
      </c>
      <c r="Y8" s="144">
        <f>IF(VLOOKUP($B8,$AC$6:$AI$180,3,FALSE)="",$T8,IF(ISERROR(AVERAGEIF($AD$6:$AD$180,VLOOKUP($B8,$AC$6:$AI$180,2,FALSE),$T$6:$T$180)),"",AVERAGEIF($AD$6:$AD$180,VLOOKUP($B8,$AC$6:$AI$180,2,FALSE),$T$6:$T$180)))</f>
        <v>24.390909090909091</v>
      </c>
      <c r="Z8" s="144">
        <f>IF(VLOOKUP($B8,$AC$6:$AI$180,3,FALSE)="",$V8,IF(ISERROR(AVERAGEIF($AD$6:$AD$180,VLOOKUP($B8,$AC$6:$AI$180,2,FALSE),$V$6:$V$180)),"",AVERAGEIF($AD$6:$AD$180,VLOOKUP($B8,$AC$6:$AI$180,2,FALSE),$V$6:$V$180)))</f>
        <v>21.962979797979798</v>
      </c>
      <c r="AA8" s="205"/>
      <c r="AB8" s="357" t="str">
        <f>VLOOKUP($B8,'2007-2020 Metadata'!$A$4:$S$214,MATCH("Urban Area /Monitoring Zone",'2007-2020 Metadata'!$A$4:$S$4,0),FALSE)</f>
        <v>Auckland - Northern</v>
      </c>
      <c r="AC8" s="229" t="str">
        <f>VLOOKUP(B8,'2007-2020 Metadata'!$A$6:$A$214,1,FALSE)</f>
        <v>AUC005</v>
      </c>
      <c r="AD8" s="230" t="str">
        <f>VLOOKUP($AC8,'2007-2020 Metadata'!$A$6:$S$214,9,FALSE)</f>
        <v xml:space="preserve">North Shore </v>
      </c>
      <c r="AE8" s="230">
        <f>IF(ISBLANK(VLOOKUP($AC8,'2007-2020 Metadata'!$A$6:$S$214,19,FALSE)),"",VLOOKUP($AC8,'2007-2020 Metadata'!$A$6:$S$214,19,FALSE))</f>
        <v>2.1</v>
      </c>
      <c r="AF8" s="88" t="str">
        <f>VLOOKUP($B8,'2007-2020 Metadata'!$A$4:$S$214,MATCH("Site type",'2007-2020 Metadata'!$A$4:$S$4,0),FALSE)</f>
        <v>Local</v>
      </c>
      <c r="AG8" s="143">
        <f t="shared" ref="AG8:AG11" si="5">MIN(C8:N8)</f>
        <v>21.6</v>
      </c>
      <c r="AH8" s="143">
        <f t="shared" ref="AH8:AH11" si="6">MAX(C8:N8)</f>
        <v>35.4</v>
      </c>
      <c r="AI8" s="144">
        <f t="shared" ref="AI8:AI11" si="7">IF(W8&gt;=75%,Z8," ")</f>
        <v>21.962979797979798</v>
      </c>
    </row>
    <row r="9" spans="2:35" ht="12" customHeight="1" x14ac:dyDescent="0.15">
      <c r="B9" s="313" t="s">
        <v>6</v>
      </c>
      <c r="C9" s="309">
        <v>12.5</v>
      </c>
      <c r="D9" s="309">
        <v>18.5</v>
      </c>
      <c r="E9" s="309">
        <v>27.8</v>
      </c>
      <c r="F9" s="309">
        <v>29.3</v>
      </c>
      <c r="G9" s="309">
        <v>23</v>
      </c>
      <c r="H9" s="309">
        <v>31.9</v>
      </c>
      <c r="I9" s="309">
        <v>20</v>
      </c>
      <c r="J9" s="309">
        <v>19</v>
      </c>
      <c r="K9" s="309">
        <v>16.100000000000001</v>
      </c>
      <c r="L9" s="309">
        <v>13.8</v>
      </c>
      <c r="M9" s="309">
        <v>20.3</v>
      </c>
      <c r="N9" s="309">
        <v>10.8</v>
      </c>
      <c r="O9" s="310">
        <f t="shared" si="0"/>
        <v>20.250000000000004</v>
      </c>
      <c r="P9" s="310">
        <f t="shared" si="1"/>
        <v>31.718866161298177</v>
      </c>
      <c r="Q9" s="311">
        <f t="shared" si="2"/>
        <v>1</v>
      </c>
      <c r="R9" s="225">
        <f>IF($S9=0%,"",IF($S9&gt;66%,AVERAGE($C9:$E9),"-"))</f>
        <v>19.599999999999998</v>
      </c>
      <c r="S9" s="226">
        <f t="shared" si="3"/>
        <v>1</v>
      </c>
      <c r="T9" s="225">
        <f>IF($U9=0%,"",IF($U9&gt;66%,AVERAGE($I9:$K9),"-"))</f>
        <v>18.366666666666667</v>
      </c>
      <c r="U9" s="226">
        <f t="shared" ref="U9:U11" si="8">COUNT(I9:K9)/3</f>
        <v>1</v>
      </c>
      <c r="V9" s="227">
        <f>IF(AND(($S9&gt;33%),($U9&gt;33%),($W9&gt;=75%)),AVERAGE($C9:$N9),"-")</f>
        <v>20.250000000000004</v>
      </c>
      <c r="W9" s="228">
        <f t="shared" si="4"/>
        <v>1</v>
      </c>
      <c r="X9" s="144">
        <f t="shared" ref="X9:X72" si="9">IF(VLOOKUP($B9,$AC$6:$AI$180,3,FALSE)="",$R9,IF(ISERROR(AVERAGEIF($AD$6:$AD$180,VLOOKUP($B9,$AC$6:$AI$180,2,FALSE),$R$6:$R$180)),"",AVERAGEIF($AD$6:$AD$180,VLOOKUP($B9,$AC$6:$AI$180,2,FALSE),$R$6:$R$180)))</f>
        <v>18.841666666666665</v>
      </c>
      <c r="Y9" s="144">
        <f t="shared" ref="Y9:Y72" si="10">IF(VLOOKUP($B9,$AC$6:$AI$180,3,FALSE)="",$T9,IF(ISERROR(AVERAGEIF($AD$6:$AD$180,VLOOKUP($B9,$AC$6:$AI$180,2,FALSE),$T$6:$T$180)),"",AVERAGEIF($AD$6:$AD$180,VLOOKUP($B9,$AC$6:$AI$180,2,FALSE),$T$6:$T$180)))</f>
        <v>24.390909090909091</v>
      </c>
      <c r="Z9" s="144">
        <f t="shared" ref="Z9:Z72" si="11">IF(VLOOKUP($B9,$AC$6:$AI$180,3,FALSE)="",$V9,IF(ISERROR(AVERAGEIF($AD$6:$AD$180,VLOOKUP($B9,$AC$6:$AI$180,2,FALSE),$V$6:$V$180)),"",AVERAGEIF($AD$6:$AD$180,VLOOKUP($B9,$AC$6:$AI$180,2,FALSE),$V$6:$V$180)))</f>
        <v>21.962979797979798</v>
      </c>
      <c r="AA9" s="205"/>
      <c r="AB9" s="357" t="str">
        <f>VLOOKUP($B9,'2007-2020 Metadata'!$A$4:$S$214,MATCH("Urban Area /Monitoring Zone",'2007-2020 Metadata'!$A$4:$S$4,0),FALSE)</f>
        <v>Auckland - Northern</v>
      </c>
      <c r="AC9" s="229" t="str">
        <f>VLOOKUP(B9,'2007-2020 Metadata'!$A$6:$A$214,1,FALSE)</f>
        <v>AUC007</v>
      </c>
      <c r="AD9" s="230" t="str">
        <f>VLOOKUP($AC9,'2007-2020 Metadata'!$A$6:$S$214,9,FALSE)</f>
        <v xml:space="preserve">North Shore </v>
      </c>
      <c r="AE9" s="230">
        <f>IF(ISBLANK(VLOOKUP($AC9,'2007-2020 Metadata'!$A$6:$S$214,19,FALSE)),"",VLOOKUP($AC9,'2007-2020 Metadata'!$A$6:$S$214,19,FALSE))</f>
        <v>3</v>
      </c>
      <c r="AF9" s="88" t="str">
        <f>VLOOKUP($B9,'2007-2020 Metadata'!$A$4:$S$214,MATCH("Site type",'2007-2020 Metadata'!$A$4:$S$4,0),FALSE)</f>
        <v>SH</v>
      </c>
      <c r="AG9" s="143">
        <f t="shared" si="5"/>
        <v>10.8</v>
      </c>
      <c r="AH9" s="143">
        <f t="shared" si="6"/>
        <v>31.9</v>
      </c>
      <c r="AI9" s="144">
        <f t="shared" si="7"/>
        <v>21.962979797979798</v>
      </c>
    </row>
    <row r="10" spans="2:35" ht="12" customHeight="1" x14ac:dyDescent="0.15">
      <c r="B10" s="313" t="s">
        <v>7</v>
      </c>
      <c r="C10" s="309">
        <v>15.2</v>
      </c>
      <c r="D10" s="309">
        <v>20.3</v>
      </c>
      <c r="E10" s="309">
        <v>33.299999999999997</v>
      </c>
      <c r="F10" s="309">
        <v>22.3</v>
      </c>
      <c r="G10" s="309">
        <v>24.3</v>
      </c>
      <c r="H10" s="309">
        <v>33.5</v>
      </c>
      <c r="I10" s="309">
        <v>24.6</v>
      </c>
      <c r="J10" s="309">
        <v>23</v>
      </c>
      <c r="K10" s="309">
        <v>14.9</v>
      </c>
      <c r="L10" s="309">
        <v>12.9</v>
      </c>
      <c r="M10" s="309">
        <v>19.2</v>
      </c>
      <c r="N10" s="309">
        <v>7.4</v>
      </c>
      <c r="O10" s="310">
        <f t="shared" si="0"/>
        <v>20.908333333333331</v>
      </c>
      <c r="P10" s="310">
        <f t="shared" si="1"/>
        <v>35.527227838485196</v>
      </c>
      <c r="Q10" s="311">
        <f t="shared" si="2"/>
        <v>1</v>
      </c>
      <c r="R10" s="225">
        <f t="shared" ref="R10:R73" si="12">IF($S10=0%,"",IF($S10&gt;66%,AVERAGE($C10:$E10),"-"))</f>
        <v>22.933333333333334</v>
      </c>
      <c r="S10" s="226">
        <f t="shared" si="3"/>
        <v>1</v>
      </c>
      <c r="T10" s="225">
        <f t="shared" ref="T10:T73" si="13">IF($U10=0%,"",IF($U10&gt;66%,AVERAGE($I10:$K10),"-"))</f>
        <v>20.833333333333332</v>
      </c>
      <c r="U10" s="226">
        <f t="shared" si="8"/>
        <v>1</v>
      </c>
      <c r="V10" s="227">
        <f t="shared" ref="V10:V73" si="14">IF(AND(($S10&gt;33%),($U10&gt;33%),($W10&gt;=75%)),AVERAGE($C10:$N10),"-")</f>
        <v>20.908333333333331</v>
      </c>
      <c r="W10" s="228">
        <f t="shared" si="4"/>
        <v>1</v>
      </c>
      <c r="X10" s="144">
        <f t="shared" si="9"/>
        <v>22.804545454545455</v>
      </c>
      <c r="Y10" s="144">
        <f t="shared" si="10"/>
        <v>28.351515151515152</v>
      </c>
      <c r="Z10" s="144">
        <f t="shared" si="11"/>
        <v>26.143515173462706</v>
      </c>
      <c r="AA10" s="205"/>
      <c r="AB10" s="357" t="str">
        <f>VLOOKUP($B10,'2007-2020 Metadata'!$A$4:$S$214,MATCH("Urban Area /Monitoring Zone",'2007-2020 Metadata'!$A$4:$S$4,0),FALSE)</f>
        <v>Auckland - Central</v>
      </c>
      <c r="AC10" s="229" t="str">
        <f>VLOOKUP(B10,'2007-2020 Metadata'!$A$6:$A$214,1,FALSE)</f>
        <v>AUC008</v>
      </c>
      <c r="AD10" s="230" t="str">
        <f>VLOOKUP($AC10,'2007-2020 Metadata'!$A$6:$S$214,9,FALSE)</f>
        <v>Auckland</v>
      </c>
      <c r="AE10" s="230">
        <f>IF(ISBLANK(VLOOKUP($AC10,'2007-2020 Metadata'!$A$6:$S$214,19,FALSE)),"",VLOOKUP($AC10,'2007-2020 Metadata'!$A$6:$S$214,19,FALSE))</f>
        <v>3</v>
      </c>
      <c r="AF10" s="88" t="str">
        <f>VLOOKUP($B10,'2007-2020 Metadata'!$A$4:$S$214,MATCH("Site type",'2007-2020 Metadata'!$A$4:$S$4,0),FALSE)</f>
        <v>SH</v>
      </c>
      <c r="AG10" s="143">
        <f t="shared" si="5"/>
        <v>7.4</v>
      </c>
      <c r="AH10" s="143">
        <f t="shared" si="6"/>
        <v>33.5</v>
      </c>
      <c r="AI10" s="144">
        <f t="shared" si="7"/>
        <v>26.143515173462706</v>
      </c>
    </row>
    <row r="11" spans="2:35" ht="12" customHeight="1" x14ac:dyDescent="0.15">
      <c r="B11" s="313" t="s">
        <v>991</v>
      </c>
      <c r="C11" s="309">
        <v>32.9</v>
      </c>
      <c r="D11" s="309">
        <v>40.700000000000003</v>
      </c>
      <c r="E11" s="309"/>
      <c r="F11" s="309">
        <v>50.2</v>
      </c>
      <c r="G11" s="309"/>
      <c r="H11" s="309">
        <v>52.3</v>
      </c>
      <c r="I11" s="309">
        <v>44</v>
      </c>
      <c r="J11" s="309">
        <v>38</v>
      </c>
      <c r="K11" s="309">
        <v>44.1</v>
      </c>
      <c r="L11" s="309">
        <v>36.9</v>
      </c>
      <c r="M11" s="309">
        <v>36.1</v>
      </c>
      <c r="N11" s="309">
        <v>28.5</v>
      </c>
      <c r="O11" s="310">
        <f t="shared" si="0"/>
        <v>40.370000000000005</v>
      </c>
      <c r="P11" s="310">
        <f t="shared" si="1"/>
        <v>17.493583666871448</v>
      </c>
      <c r="Q11" s="311">
        <f t="shared" si="2"/>
        <v>0.83333333333333337</v>
      </c>
      <c r="R11" s="225">
        <f t="shared" si="12"/>
        <v>36.799999999999997</v>
      </c>
      <c r="S11" s="226">
        <f t="shared" si="3"/>
        <v>0.66666666666666663</v>
      </c>
      <c r="T11" s="225">
        <f t="shared" si="13"/>
        <v>42.033333333333331</v>
      </c>
      <c r="U11" s="226">
        <f t="shared" si="8"/>
        <v>1</v>
      </c>
      <c r="V11" s="227">
        <f t="shared" si="14"/>
        <v>40.370000000000005</v>
      </c>
      <c r="W11" s="228">
        <f t="shared" si="4"/>
        <v>0.83333333333333337</v>
      </c>
      <c r="X11" s="144">
        <f t="shared" si="9"/>
        <v>36.799999999999997</v>
      </c>
      <c r="Y11" s="144">
        <f t="shared" si="10"/>
        <v>42.033333333333331</v>
      </c>
      <c r="Z11" s="144">
        <f t="shared" si="11"/>
        <v>40.370000000000005</v>
      </c>
      <c r="AA11" s="205"/>
      <c r="AB11" s="357" t="str">
        <f>VLOOKUP($B11,'2007-2020 Metadata'!$A$4:$S$214,MATCH("Urban Area /Monitoring Zone",'2007-2020 Metadata'!$A$4:$S$4,0),FALSE)</f>
        <v>Auckland - Central</v>
      </c>
      <c r="AC11" s="229" t="str">
        <f>VLOOKUP(B11,'2007-2020 Metadata'!$A$6:$A$214,1,FALSE)</f>
        <v>AUC009b</v>
      </c>
      <c r="AD11" s="230" t="str">
        <f>VLOOKUP($AC11,'2007-2020 Metadata'!$A$6:$S$214,9,FALSE)</f>
        <v>Auckland</v>
      </c>
      <c r="AE11" s="230" t="str">
        <f>IF(ISBLANK(VLOOKUP($AC11,'2007-2020 Metadata'!$A$6:$S$214,19,FALSE)),"",VLOOKUP($AC11,'2007-2020 Metadata'!$A$6:$S$214,19,FALSE))</f>
        <v/>
      </c>
      <c r="AF11" s="88" t="str">
        <f>VLOOKUP($B11,'2007-2020 Metadata'!$A$4:$S$214,MATCH("Site type",'2007-2020 Metadata'!$A$4:$S$4,0),FALSE)</f>
        <v>SH</v>
      </c>
      <c r="AG11" s="143">
        <f t="shared" si="5"/>
        <v>28.5</v>
      </c>
      <c r="AH11" s="143">
        <f t="shared" si="6"/>
        <v>52.3</v>
      </c>
      <c r="AI11" s="144">
        <f t="shared" si="7"/>
        <v>40.370000000000005</v>
      </c>
    </row>
    <row r="12" spans="2:35" ht="12" customHeight="1" x14ac:dyDescent="0.15">
      <c r="B12" s="313" t="s">
        <v>9</v>
      </c>
      <c r="C12" s="309">
        <v>23.8</v>
      </c>
      <c r="D12" s="309">
        <v>28.1</v>
      </c>
      <c r="E12" s="309">
        <v>20.399999999999999</v>
      </c>
      <c r="F12" s="309">
        <v>36.4</v>
      </c>
      <c r="G12" s="309">
        <v>33.200000000000003</v>
      </c>
      <c r="H12" s="309">
        <v>40.299999999999997</v>
      </c>
      <c r="I12" s="309">
        <v>38.1</v>
      </c>
      <c r="J12" s="309">
        <v>35.6</v>
      </c>
      <c r="K12" s="309">
        <v>30.9</v>
      </c>
      <c r="L12" s="309">
        <v>28.2</v>
      </c>
      <c r="M12" s="309">
        <v>24.7</v>
      </c>
      <c r="N12" s="309">
        <v>19.600000000000001</v>
      </c>
      <c r="O12" s="310">
        <f t="shared" si="0"/>
        <v>29.941666666666666</v>
      </c>
      <c r="P12" s="310">
        <f t="shared" si="1"/>
        <v>22.169200949401642</v>
      </c>
      <c r="Q12" s="311">
        <f t="shared" si="2"/>
        <v>1</v>
      </c>
      <c r="R12" s="225">
        <f t="shared" si="12"/>
        <v>24.100000000000005</v>
      </c>
      <c r="S12" s="226">
        <f t="shared" ref="S12:S75" si="15">COUNT(C12:E12)/3</f>
        <v>1</v>
      </c>
      <c r="T12" s="225">
        <f t="shared" si="13"/>
        <v>34.866666666666667</v>
      </c>
      <c r="U12" s="226">
        <f t="shared" ref="U12:U75" si="16">COUNT(I12:K12)/3</f>
        <v>1</v>
      </c>
      <c r="V12" s="227">
        <f t="shared" si="14"/>
        <v>29.941666666666666</v>
      </c>
      <c r="W12" s="228">
        <f t="shared" ref="W12:W75" si="17">Q12</f>
        <v>1</v>
      </c>
      <c r="X12" s="144">
        <f t="shared" si="9"/>
        <v>22.804545454545455</v>
      </c>
      <c r="Y12" s="144">
        <f t="shared" si="10"/>
        <v>28.351515151515152</v>
      </c>
      <c r="Z12" s="144">
        <f t="shared" si="11"/>
        <v>26.143515173462706</v>
      </c>
      <c r="AA12" s="205"/>
      <c r="AB12" s="357" t="str">
        <f>VLOOKUP($B12,'2007-2020 Metadata'!$A$4:$S$214,MATCH("Urban Area /Monitoring Zone",'2007-2020 Metadata'!$A$4:$S$4,0),FALSE)</f>
        <v>Auckland - Central</v>
      </c>
      <c r="AC12" s="229" t="str">
        <f>VLOOKUP(B12,'2007-2020 Metadata'!$A$6:$A$214,1,FALSE)</f>
        <v>AUC011</v>
      </c>
      <c r="AD12" s="230" t="str">
        <f>VLOOKUP($AC12,'2007-2020 Metadata'!$A$6:$S$214,9,FALSE)</f>
        <v>Auckland</v>
      </c>
      <c r="AE12" s="230">
        <f>IF(ISBLANK(VLOOKUP($AC12,'2007-2020 Metadata'!$A$6:$S$214,19,FALSE)),"",VLOOKUP($AC12,'2007-2020 Metadata'!$A$6:$S$214,19,FALSE))</f>
        <v>3</v>
      </c>
      <c r="AF12" s="88" t="str">
        <f>VLOOKUP($B12,'2007-2020 Metadata'!$A$4:$S$214,MATCH("Site type",'2007-2020 Metadata'!$A$4:$S$4,0),FALSE)</f>
        <v>SH</v>
      </c>
      <c r="AG12" s="143">
        <f t="shared" ref="AG12:AG75" si="18">MIN(C12:N12)</f>
        <v>19.600000000000001</v>
      </c>
      <c r="AH12" s="143">
        <f t="shared" ref="AH12:AH75" si="19">MAX(C12:N12)</f>
        <v>40.299999999999997</v>
      </c>
      <c r="AI12" s="144">
        <f t="shared" ref="AI12:AI75" si="20">IF(W12&gt;=75%,Z12," ")</f>
        <v>26.143515173462706</v>
      </c>
    </row>
    <row r="13" spans="2:35" ht="12" customHeight="1" x14ac:dyDescent="0.15">
      <c r="B13" s="313" t="s">
        <v>10</v>
      </c>
      <c r="C13" s="309">
        <v>17.8</v>
      </c>
      <c r="D13" s="309">
        <v>25.7</v>
      </c>
      <c r="E13" s="309">
        <v>23.4</v>
      </c>
      <c r="F13" s="309">
        <v>32.200000000000003</v>
      </c>
      <c r="G13" s="309">
        <v>32.265891544542555</v>
      </c>
      <c r="H13" s="309">
        <v>36.6</v>
      </c>
      <c r="I13" s="309">
        <v>35.299999999999997</v>
      </c>
      <c r="J13" s="309">
        <v>28.4</v>
      </c>
      <c r="K13" s="309">
        <v>25.1</v>
      </c>
      <c r="L13" s="309">
        <v>24.8</v>
      </c>
      <c r="M13" s="309"/>
      <c r="N13" s="309">
        <v>18.899999999999999</v>
      </c>
      <c r="O13" s="310">
        <f t="shared" si="0"/>
        <v>27.315081049503871</v>
      </c>
      <c r="P13" s="310">
        <f t="shared" si="1"/>
        <v>21.799894349480311</v>
      </c>
      <c r="Q13" s="311">
        <f t="shared" si="2"/>
        <v>0.91666666666666663</v>
      </c>
      <c r="R13" s="251">
        <f t="shared" si="12"/>
        <v>22.3</v>
      </c>
      <c r="S13" s="252">
        <f t="shared" si="15"/>
        <v>1</v>
      </c>
      <c r="T13" s="251">
        <f t="shared" si="13"/>
        <v>29.599999999999998</v>
      </c>
      <c r="U13" s="252">
        <f t="shared" si="16"/>
        <v>1</v>
      </c>
      <c r="V13" s="253">
        <f t="shared" si="14"/>
        <v>27.315081049503871</v>
      </c>
      <c r="W13" s="252">
        <f t="shared" si="17"/>
        <v>0.91666666666666663</v>
      </c>
      <c r="X13" s="359">
        <f t="shared" si="9"/>
        <v>22.804545454545455</v>
      </c>
      <c r="Y13" s="359">
        <f t="shared" si="10"/>
        <v>28.351515151515152</v>
      </c>
      <c r="Z13" s="359">
        <f t="shared" si="11"/>
        <v>26.143515173462706</v>
      </c>
      <c r="AA13" s="366"/>
      <c r="AB13" s="357" t="str">
        <f>VLOOKUP($B13,'2007-2020 Metadata'!$A$4:$S$214,MATCH("Urban Area /Monitoring Zone",'2007-2020 Metadata'!$A$4:$S$4,0),FALSE)</f>
        <v>Auckland - Central</v>
      </c>
      <c r="AC13" s="255" t="str">
        <f>VLOOKUP(B13,'2007-2020 Metadata'!$A$6:$A$214,1,FALSE)</f>
        <v>AUC013</v>
      </c>
      <c r="AD13" s="361" t="str">
        <f>VLOOKUP($AC13,'2007-2020 Metadata'!$A$6:$S$214,9,FALSE)</f>
        <v>Auckland</v>
      </c>
      <c r="AE13" s="361">
        <f>IF(ISBLANK(VLOOKUP($AC13,'2007-2020 Metadata'!$A$6:$S$214,19,FALSE)),"",VLOOKUP($AC13,'2007-2020 Metadata'!$A$6:$S$214,19,FALSE))</f>
        <v>4</v>
      </c>
      <c r="AF13" s="360" t="str">
        <f>VLOOKUP($B13,'2007-2020 Metadata'!$A$4:$S$214,MATCH("Site type",'2007-2020 Metadata'!$A$4:$S$4,0),FALSE)</f>
        <v>SH</v>
      </c>
      <c r="AG13" s="365">
        <f>MIN(AVERAGE($C$13:$C$15),AVERAGE($D$13:$D$15),AVERAGE($E$13:$E$15),AVERAGE($F$13:$F$15),AVERAGE($G$13:$G$15),AVERAGE($H$13:$H$15),AVERAGE($I$13:$I$15),AVERAGE($J$13:$J$15),AVERAGE($K$13:$K$15),AVERAGE($L$13:$L$15),AVERAGE($N$13:$N$15))</f>
        <v>17.499999999999996</v>
      </c>
      <c r="AH13" s="365">
        <f>MAX(AVERAGE($C$13:$C$15),AVERAGE($D$13:$D$15),AVERAGE($E$13:$E$15),AVERAGE($F$13:$F$15),AVERAGE($G$13:$G$15),AVERAGE($H$13:$H$15),AVERAGE($I$13:$I$15),AVERAGE($J$13:$J$15),AVERAGE($K$13:$K$15),AVERAGE($L$13:$L$15),AVERAGE($N$13:$N$15))</f>
        <v>38.233333333333334</v>
      </c>
      <c r="AI13" s="359">
        <f t="shared" si="20"/>
        <v>26.143515173462706</v>
      </c>
    </row>
    <row r="14" spans="2:35" ht="12" customHeight="1" x14ac:dyDescent="0.15">
      <c r="B14" s="313" t="s">
        <v>11</v>
      </c>
      <c r="C14" s="309">
        <v>20.6</v>
      </c>
      <c r="D14" s="309">
        <v>24.6</v>
      </c>
      <c r="E14" s="309">
        <v>25</v>
      </c>
      <c r="F14" s="309">
        <v>33.200000000000003</v>
      </c>
      <c r="G14" s="309">
        <v>28</v>
      </c>
      <c r="H14" s="309">
        <v>39.1</v>
      </c>
      <c r="I14" s="309">
        <v>33.799999999999997</v>
      </c>
      <c r="J14" s="309">
        <v>29.4</v>
      </c>
      <c r="K14" s="309">
        <v>24.2</v>
      </c>
      <c r="L14" s="309">
        <v>20.3</v>
      </c>
      <c r="M14" s="309"/>
      <c r="N14" s="309">
        <v>15.7</v>
      </c>
      <c r="O14" s="310">
        <f t="shared" si="0"/>
        <v>26.718181818181822</v>
      </c>
      <c r="P14" s="310">
        <f t="shared" si="1"/>
        <v>24.415952303160307</v>
      </c>
      <c r="Q14" s="311">
        <f t="shared" si="2"/>
        <v>0.91666666666666663</v>
      </c>
      <c r="R14" s="251">
        <f t="shared" si="12"/>
        <v>23.400000000000002</v>
      </c>
      <c r="S14" s="252">
        <f t="shared" si="15"/>
        <v>1</v>
      </c>
      <c r="T14" s="251">
        <f t="shared" si="13"/>
        <v>29.133333333333329</v>
      </c>
      <c r="U14" s="252">
        <f t="shared" si="16"/>
        <v>1</v>
      </c>
      <c r="V14" s="253">
        <f t="shared" si="14"/>
        <v>26.718181818181822</v>
      </c>
      <c r="W14" s="252">
        <f t="shared" si="17"/>
        <v>0.91666666666666663</v>
      </c>
      <c r="X14" s="359">
        <f t="shared" si="9"/>
        <v>22.804545454545455</v>
      </c>
      <c r="Y14" s="359">
        <f t="shared" si="10"/>
        <v>28.351515151515152</v>
      </c>
      <c r="Z14" s="359">
        <f t="shared" si="11"/>
        <v>26.143515173462706</v>
      </c>
      <c r="AA14" s="366"/>
      <c r="AB14" s="357" t="str">
        <f>VLOOKUP($B14,'2007-2020 Metadata'!$A$4:$S$214,MATCH("Urban Area /Monitoring Zone",'2007-2020 Metadata'!$A$4:$S$4,0),FALSE)</f>
        <v>Auckland - Central</v>
      </c>
      <c r="AC14" s="255" t="str">
        <f>VLOOKUP(B14,'2007-2020 Metadata'!$A$6:$A$214,1,FALSE)</f>
        <v>AUC014</v>
      </c>
      <c r="AD14" s="361" t="str">
        <f>VLOOKUP($AC14,'2007-2020 Metadata'!$A$6:$S$214,9,FALSE)</f>
        <v>Auckland</v>
      </c>
      <c r="AE14" s="361">
        <f>IF(ISBLANK(VLOOKUP($AC14,'2007-2020 Metadata'!$A$6:$S$214,19,FALSE)),"",VLOOKUP($AC14,'2007-2020 Metadata'!$A$6:$S$214,19,FALSE))</f>
        <v>4</v>
      </c>
      <c r="AF14" s="360" t="str">
        <f>VLOOKUP($B14,'2007-2020 Metadata'!$A$4:$S$214,MATCH("Site type",'2007-2020 Metadata'!$A$4:$S$4,0),FALSE)</f>
        <v>SH</v>
      </c>
      <c r="AG14" s="365">
        <f t="shared" ref="AG14:AG15" si="21">MIN(AVERAGE($C$13:$C$15),AVERAGE($D$13:$D$15),AVERAGE($E$13:$E$15),AVERAGE($F$13:$F$15),AVERAGE($G$13:$G$15),AVERAGE($H$13:$H$15),AVERAGE($I$13:$I$15),AVERAGE($J$13:$J$15),AVERAGE($K$13:$K$15),AVERAGE($L$13:$L$15),AVERAGE($N$13:$N$15))</f>
        <v>17.499999999999996</v>
      </c>
      <c r="AH14" s="365">
        <f t="shared" ref="AH14:AH15" si="22">MAX(AVERAGE($C$13:$C$15),AVERAGE($D$13:$D$15),AVERAGE($E$13:$E$15),AVERAGE($F$13:$F$15),AVERAGE($G$13:$G$15),AVERAGE($H$13:$H$15),AVERAGE($I$13:$I$15),AVERAGE($J$13:$J$15),AVERAGE($K$13:$K$15),AVERAGE($L$13:$L$15),AVERAGE($N$13:$N$15))</f>
        <v>38.233333333333334</v>
      </c>
      <c r="AI14" s="359">
        <f t="shared" si="20"/>
        <v>26.143515173462706</v>
      </c>
    </row>
    <row r="15" spans="2:35" ht="12" customHeight="1" x14ac:dyDescent="0.15">
      <c r="B15" s="313" t="s">
        <v>12</v>
      </c>
      <c r="C15" s="309">
        <v>21.6</v>
      </c>
      <c r="D15" s="309">
        <v>26</v>
      </c>
      <c r="E15" s="309">
        <v>22.2</v>
      </c>
      <c r="F15" s="309">
        <v>40.700000000000003</v>
      </c>
      <c r="G15" s="309">
        <v>31.8</v>
      </c>
      <c r="H15" s="309">
        <v>39</v>
      </c>
      <c r="I15" s="309">
        <v>31.8</v>
      </c>
      <c r="J15" s="309">
        <v>29.1</v>
      </c>
      <c r="K15" s="309">
        <v>27</v>
      </c>
      <c r="L15" s="309">
        <v>22.2</v>
      </c>
      <c r="M15" s="309"/>
      <c r="N15" s="309">
        <v>17.899999999999999</v>
      </c>
      <c r="O15" s="310">
        <f t="shared" si="0"/>
        <v>28.118181818181821</v>
      </c>
      <c r="P15" s="310">
        <f t="shared" si="1"/>
        <v>24.627363711436445</v>
      </c>
      <c r="Q15" s="311">
        <f t="shared" si="2"/>
        <v>0.91666666666666663</v>
      </c>
      <c r="R15" s="251">
        <f t="shared" si="12"/>
        <v>23.266666666666666</v>
      </c>
      <c r="S15" s="252">
        <f t="shared" si="15"/>
        <v>1</v>
      </c>
      <c r="T15" s="251">
        <f t="shared" si="13"/>
        <v>29.3</v>
      </c>
      <c r="U15" s="252">
        <f t="shared" si="16"/>
        <v>1</v>
      </c>
      <c r="V15" s="253">
        <f t="shared" si="14"/>
        <v>28.118181818181821</v>
      </c>
      <c r="W15" s="252">
        <f t="shared" si="17"/>
        <v>0.91666666666666663</v>
      </c>
      <c r="X15" s="359">
        <f t="shared" si="9"/>
        <v>22.804545454545455</v>
      </c>
      <c r="Y15" s="359">
        <f t="shared" si="10"/>
        <v>28.351515151515152</v>
      </c>
      <c r="Z15" s="359">
        <f t="shared" si="11"/>
        <v>26.143515173462706</v>
      </c>
      <c r="AA15" s="366"/>
      <c r="AB15" s="357" t="str">
        <f>VLOOKUP($B15,'2007-2020 Metadata'!$A$4:$S$214,MATCH("Urban Area /Monitoring Zone",'2007-2020 Metadata'!$A$4:$S$4,0),FALSE)</f>
        <v>Auckland - Central</v>
      </c>
      <c r="AC15" s="255" t="str">
        <f>VLOOKUP(B15,'2007-2020 Metadata'!$A$6:$A$214,1,FALSE)</f>
        <v>AUC015</v>
      </c>
      <c r="AD15" s="361" t="str">
        <f>VLOOKUP($AC15,'2007-2020 Metadata'!$A$6:$S$214,9,FALSE)</f>
        <v>Auckland</v>
      </c>
      <c r="AE15" s="361">
        <f>IF(ISBLANK(VLOOKUP($AC15,'2007-2020 Metadata'!$A$6:$S$214,19,FALSE)),"",VLOOKUP($AC15,'2007-2020 Metadata'!$A$6:$S$214,19,FALSE))</f>
        <v>4</v>
      </c>
      <c r="AF15" s="360" t="str">
        <f>VLOOKUP($B15,'2007-2020 Metadata'!$A$4:$S$214,MATCH("Site type",'2007-2020 Metadata'!$A$4:$S$4,0),FALSE)</f>
        <v>SH</v>
      </c>
      <c r="AG15" s="365">
        <f t="shared" si="21"/>
        <v>17.499999999999996</v>
      </c>
      <c r="AH15" s="365">
        <f t="shared" si="22"/>
        <v>38.233333333333334</v>
      </c>
      <c r="AI15" s="359">
        <f t="shared" si="20"/>
        <v>26.143515173462706</v>
      </c>
    </row>
    <row r="16" spans="2:35" ht="12" customHeight="1" x14ac:dyDescent="0.15">
      <c r="B16" s="313" t="s">
        <v>992</v>
      </c>
      <c r="C16" s="309">
        <v>19.600000000000001</v>
      </c>
      <c r="D16" s="309">
        <v>22.6</v>
      </c>
      <c r="E16" s="309">
        <v>21.5</v>
      </c>
      <c r="F16" s="309">
        <v>30.4</v>
      </c>
      <c r="G16" s="309">
        <v>30.9</v>
      </c>
      <c r="H16" s="309">
        <v>35.799999999999997</v>
      </c>
      <c r="I16" s="309">
        <v>34.4</v>
      </c>
      <c r="J16" s="309">
        <v>35.4</v>
      </c>
      <c r="K16" s="309">
        <v>33.5</v>
      </c>
      <c r="L16" s="309">
        <v>26.1</v>
      </c>
      <c r="M16" s="309">
        <v>23.5</v>
      </c>
      <c r="N16" s="309">
        <v>20.9</v>
      </c>
      <c r="O16" s="310">
        <f t="shared" si="0"/>
        <v>27.883333333333336</v>
      </c>
      <c r="P16" s="310">
        <f t="shared" si="1"/>
        <v>21.142786304832057</v>
      </c>
      <c r="Q16" s="311">
        <f t="shared" si="2"/>
        <v>1</v>
      </c>
      <c r="R16" s="225">
        <f t="shared" si="12"/>
        <v>21.233333333333334</v>
      </c>
      <c r="S16" s="226">
        <f t="shared" si="15"/>
        <v>1</v>
      </c>
      <c r="T16" s="225">
        <f t="shared" si="13"/>
        <v>34.43333333333333</v>
      </c>
      <c r="U16" s="226">
        <f t="shared" si="16"/>
        <v>1</v>
      </c>
      <c r="V16" s="227">
        <f t="shared" si="14"/>
        <v>27.883333333333336</v>
      </c>
      <c r="W16" s="228">
        <f t="shared" si="17"/>
        <v>1</v>
      </c>
      <c r="X16" s="144">
        <f t="shared" si="9"/>
        <v>21.233333333333334</v>
      </c>
      <c r="Y16" s="144">
        <f t="shared" si="10"/>
        <v>34.43333333333333</v>
      </c>
      <c r="Z16" s="144">
        <f t="shared" si="11"/>
        <v>27.883333333333336</v>
      </c>
      <c r="AA16" s="205"/>
      <c r="AB16" s="357">
        <f>VLOOKUP($B16,'2007-2020 Metadata'!$A$4:$S$214,MATCH("Urban Area /Monitoring Zone",'2007-2020 Metadata'!$A$4:$S$4,0),FALSE)</f>
        <v>0</v>
      </c>
      <c r="AC16" s="229" t="str">
        <f>VLOOKUP(B16,'2007-2020 Metadata'!$A$6:$A$214,1,FALSE)</f>
        <v>AUC018a</v>
      </c>
      <c r="AD16" s="230">
        <f>VLOOKUP($AC16,'2007-2020 Metadata'!$A$6:$S$214,9,FALSE)</f>
        <v>0</v>
      </c>
      <c r="AE16" s="230" t="str">
        <f>IF(ISBLANK(VLOOKUP($AC16,'2007-2020 Metadata'!$A$6:$S$214,19,FALSE)),"",VLOOKUP($AC16,'2007-2020 Metadata'!$A$6:$S$214,19,FALSE))</f>
        <v/>
      </c>
      <c r="AF16" s="88" t="str">
        <f>VLOOKUP($B16,'2007-2020 Metadata'!$A$4:$S$214,MATCH("Site type",'2007-2020 Metadata'!$A$4:$S$4,0),FALSE)</f>
        <v>SH</v>
      </c>
      <c r="AG16" s="143">
        <f t="shared" si="18"/>
        <v>19.600000000000001</v>
      </c>
      <c r="AH16" s="143">
        <f t="shared" si="19"/>
        <v>35.799999999999997</v>
      </c>
      <c r="AI16" s="144">
        <f t="shared" si="20"/>
        <v>27.883333333333336</v>
      </c>
    </row>
    <row r="17" spans="2:35" ht="12" customHeight="1" x14ac:dyDescent="0.15">
      <c r="B17" s="313" t="s">
        <v>14</v>
      </c>
      <c r="C17" s="309">
        <v>12.5</v>
      </c>
      <c r="D17" s="309">
        <v>16.100000000000001</v>
      </c>
      <c r="E17" s="309">
        <v>24</v>
      </c>
      <c r="F17" s="309">
        <v>23.1</v>
      </c>
      <c r="G17" s="309">
        <v>27.5</v>
      </c>
      <c r="H17" s="309">
        <v>29.7</v>
      </c>
      <c r="I17" s="309">
        <v>32.200000000000003</v>
      </c>
      <c r="J17" s="309">
        <v>27.4</v>
      </c>
      <c r="K17" s="309">
        <v>18.2</v>
      </c>
      <c r="L17" s="309">
        <v>15.5</v>
      </c>
      <c r="M17" s="309">
        <v>21.2</v>
      </c>
      <c r="N17" s="309">
        <v>11.6</v>
      </c>
      <c r="O17" s="310">
        <f t="shared" si="0"/>
        <v>21.583333333333332</v>
      </c>
      <c r="P17" s="310">
        <f t="shared" si="1"/>
        <v>30.394218693464325</v>
      </c>
      <c r="Q17" s="311">
        <f t="shared" si="2"/>
        <v>1</v>
      </c>
      <c r="R17" s="225">
        <f t="shared" si="12"/>
        <v>17.533333333333335</v>
      </c>
      <c r="S17" s="226">
        <f t="shared" si="15"/>
        <v>1</v>
      </c>
      <c r="T17" s="225">
        <f t="shared" si="13"/>
        <v>25.933333333333334</v>
      </c>
      <c r="U17" s="226">
        <f t="shared" si="16"/>
        <v>1</v>
      </c>
      <c r="V17" s="227">
        <f t="shared" si="14"/>
        <v>21.583333333333332</v>
      </c>
      <c r="W17" s="228">
        <f t="shared" si="17"/>
        <v>1</v>
      </c>
      <c r="X17" s="144">
        <f t="shared" si="9"/>
        <v>18.087499999999999</v>
      </c>
      <c r="Y17" s="144">
        <f t="shared" si="10"/>
        <v>23.0625</v>
      </c>
      <c r="Z17" s="144">
        <f t="shared" si="11"/>
        <v>20.446969696969695</v>
      </c>
      <c r="AA17" s="205"/>
      <c r="AB17" s="357" t="str">
        <f>VLOOKUP($B17,'2007-2020 Metadata'!$A$4:$S$214,MATCH("Urban Area /Monitoring Zone",'2007-2020 Metadata'!$A$4:$S$4,0),FALSE)</f>
        <v xml:space="preserve">Auckland - Southern </v>
      </c>
      <c r="AC17" s="229" t="str">
        <f>VLOOKUP(B17,'2007-2020 Metadata'!$A$6:$A$214,1,FALSE)</f>
        <v>AUC019</v>
      </c>
      <c r="AD17" s="230" t="str">
        <f>VLOOKUP($AC17,'2007-2020 Metadata'!$A$6:$S$214,9,FALSE)</f>
        <v>Manukau</v>
      </c>
      <c r="AE17" s="230">
        <f>IF(ISBLANK(VLOOKUP($AC17,'2007-2020 Metadata'!$A$6:$S$214,19,FALSE)),"",VLOOKUP($AC17,'2007-2020 Metadata'!$A$6:$S$214,19,FALSE))</f>
        <v>2</v>
      </c>
      <c r="AF17" s="88" t="str">
        <f>VLOOKUP($B17,'2007-2020 Metadata'!$A$4:$S$214,MATCH("Site type",'2007-2020 Metadata'!$A$4:$S$4,0),FALSE)</f>
        <v>SH</v>
      </c>
      <c r="AG17" s="143">
        <f t="shared" si="18"/>
        <v>11.6</v>
      </c>
      <c r="AH17" s="143">
        <f t="shared" si="19"/>
        <v>32.200000000000003</v>
      </c>
      <c r="AI17" s="144">
        <f t="shared" si="20"/>
        <v>20.446969696969695</v>
      </c>
    </row>
    <row r="18" spans="2:35" ht="12" customHeight="1" x14ac:dyDescent="0.15">
      <c r="B18" s="313" t="s">
        <v>993</v>
      </c>
      <c r="C18" s="309">
        <v>8.8000000000000007</v>
      </c>
      <c r="D18" s="309">
        <v>11.2</v>
      </c>
      <c r="E18" s="309">
        <v>12.6</v>
      </c>
      <c r="F18" s="309">
        <v>18.100000000000001</v>
      </c>
      <c r="G18" s="309">
        <v>16.600000000000001</v>
      </c>
      <c r="H18" s="309">
        <v>17.8</v>
      </c>
      <c r="I18" s="309">
        <v>17.7</v>
      </c>
      <c r="J18" s="309">
        <v>14.7</v>
      </c>
      <c r="K18" s="309">
        <v>12.9</v>
      </c>
      <c r="L18" s="309">
        <v>10.199999999999999</v>
      </c>
      <c r="M18" s="309">
        <v>11.1</v>
      </c>
      <c r="N18" s="309">
        <v>8.8000000000000007</v>
      </c>
      <c r="O18" s="310">
        <f t="shared" si="0"/>
        <v>13.375</v>
      </c>
      <c r="P18" s="310">
        <f t="shared" si="1"/>
        <v>25.118463323926438</v>
      </c>
      <c r="Q18" s="311">
        <f t="shared" si="2"/>
        <v>1</v>
      </c>
      <c r="R18" s="225">
        <f t="shared" si="12"/>
        <v>10.866666666666667</v>
      </c>
      <c r="S18" s="226">
        <f t="shared" si="15"/>
        <v>1</v>
      </c>
      <c r="T18" s="225">
        <f t="shared" si="13"/>
        <v>15.1</v>
      </c>
      <c r="U18" s="226">
        <f t="shared" si="16"/>
        <v>1</v>
      </c>
      <c r="V18" s="227">
        <f t="shared" si="14"/>
        <v>13.375</v>
      </c>
      <c r="W18" s="228">
        <f t="shared" si="17"/>
        <v>1</v>
      </c>
      <c r="X18" s="144">
        <f t="shared" si="9"/>
        <v>10.866666666666667</v>
      </c>
      <c r="Y18" s="144">
        <f t="shared" si="10"/>
        <v>15.1</v>
      </c>
      <c r="Z18" s="144">
        <f t="shared" si="11"/>
        <v>13.375</v>
      </c>
      <c r="AA18" s="205"/>
      <c r="AB18" s="357">
        <f>VLOOKUP($B18,'2007-2020 Metadata'!$A$4:$S$214,MATCH("Urban Area /Monitoring Zone",'2007-2020 Metadata'!$A$4:$S$4,0),FALSE)</f>
        <v>0</v>
      </c>
      <c r="AC18" s="229" t="str">
        <f>VLOOKUP(B18,'2007-2020 Metadata'!$A$6:$A$214,1,FALSE)</f>
        <v>AUC020a</v>
      </c>
      <c r="AD18" s="230">
        <f>VLOOKUP($AC18,'2007-2020 Metadata'!$A$6:$S$214,9,FALSE)</f>
        <v>0</v>
      </c>
      <c r="AE18" s="230" t="str">
        <f>IF(ISBLANK(VLOOKUP($AC18,'2007-2020 Metadata'!$A$6:$S$214,19,FALSE)),"",VLOOKUP($AC18,'2007-2020 Metadata'!$A$6:$S$214,19,FALSE))</f>
        <v/>
      </c>
      <c r="AF18" s="88" t="str">
        <f>VLOOKUP($B18,'2007-2020 Metadata'!$A$4:$S$214,MATCH("Site type",'2007-2020 Metadata'!$A$4:$S$4,0),FALSE)</f>
        <v>SH</v>
      </c>
      <c r="AG18" s="143">
        <f t="shared" si="18"/>
        <v>8.8000000000000007</v>
      </c>
      <c r="AH18" s="143">
        <f t="shared" si="19"/>
        <v>18.100000000000001</v>
      </c>
      <c r="AI18" s="144">
        <f t="shared" si="20"/>
        <v>13.375</v>
      </c>
    </row>
    <row r="19" spans="2:35" ht="12" customHeight="1" x14ac:dyDescent="0.15">
      <c r="B19" s="313" t="s">
        <v>1007</v>
      </c>
      <c r="C19" s="309">
        <v>9.3000000000000007</v>
      </c>
      <c r="D19" s="309">
        <v>14.3</v>
      </c>
      <c r="E19" s="309">
        <v>21.2</v>
      </c>
      <c r="F19" s="309">
        <v>20.9</v>
      </c>
      <c r="G19" s="309">
        <v>19.2</v>
      </c>
      <c r="H19" s="309">
        <v>25.5</v>
      </c>
      <c r="I19" s="309">
        <v>18.8</v>
      </c>
      <c r="J19" s="309">
        <v>17.399999999999999</v>
      </c>
      <c r="K19" s="309">
        <v>13.5</v>
      </c>
      <c r="L19" s="309">
        <v>9.1999999999999993</v>
      </c>
      <c r="M19" s="309">
        <v>13.2</v>
      </c>
      <c r="N19" s="309">
        <v>9.6</v>
      </c>
      <c r="O19" s="310">
        <f t="shared" si="0"/>
        <v>16.008333333333329</v>
      </c>
      <c r="P19" s="310">
        <f t="shared" si="1"/>
        <v>31.770973849810773</v>
      </c>
      <c r="Q19" s="311">
        <f t="shared" si="2"/>
        <v>1</v>
      </c>
      <c r="R19" s="225">
        <f t="shared" si="12"/>
        <v>14.933333333333332</v>
      </c>
      <c r="S19" s="226">
        <f t="shared" si="15"/>
        <v>1</v>
      </c>
      <c r="T19" s="225">
        <f t="shared" si="13"/>
        <v>16.566666666666666</v>
      </c>
      <c r="U19" s="226">
        <f t="shared" si="16"/>
        <v>1</v>
      </c>
      <c r="V19" s="227">
        <f t="shared" si="14"/>
        <v>16.008333333333329</v>
      </c>
      <c r="W19" s="228">
        <f t="shared" si="17"/>
        <v>1</v>
      </c>
      <c r="X19" s="144">
        <f t="shared" si="9"/>
        <v>14.933333333333332</v>
      </c>
      <c r="Y19" s="144">
        <f t="shared" si="10"/>
        <v>16.566666666666666</v>
      </c>
      <c r="Z19" s="144">
        <f t="shared" si="11"/>
        <v>16.008333333333329</v>
      </c>
      <c r="AA19" s="205"/>
      <c r="AB19" s="357">
        <f>VLOOKUP($B19,'2007-2020 Metadata'!$A$4:$S$214,MATCH("Urban Area /Monitoring Zone",'2007-2020 Metadata'!$A$4:$S$4,0),FALSE)</f>
        <v>0</v>
      </c>
      <c r="AC19" s="229" t="str">
        <f>VLOOKUP(B19,'2007-2020 Metadata'!$A$6:$A$214,1,FALSE)</f>
        <v>AUC021b</v>
      </c>
      <c r="AD19" s="230">
        <f>VLOOKUP($AC19,'2007-2020 Metadata'!$A$6:$S$214,9,FALSE)</f>
        <v>0</v>
      </c>
      <c r="AE19" s="230" t="str">
        <f>IF(ISBLANK(VLOOKUP($AC19,'2007-2020 Metadata'!$A$6:$S$214,19,FALSE)),"",VLOOKUP($AC19,'2007-2020 Metadata'!$A$6:$S$214,19,FALSE))</f>
        <v/>
      </c>
      <c r="AF19" s="88" t="str">
        <f>VLOOKUP($B19,'2007-2020 Metadata'!$A$4:$S$214,MATCH("Site type",'2007-2020 Metadata'!$A$4:$S$4,0),FALSE)</f>
        <v>Background</v>
      </c>
      <c r="AG19" s="143">
        <f t="shared" si="18"/>
        <v>9.1999999999999993</v>
      </c>
      <c r="AH19" s="143">
        <f t="shared" si="19"/>
        <v>25.5</v>
      </c>
      <c r="AI19" s="144">
        <f t="shared" si="20"/>
        <v>16.008333333333329</v>
      </c>
    </row>
    <row r="20" spans="2:35" ht="12" customHeight="1" x14ac:dyDescent="0.15">
      <c r="B20" s="313" t="s">
        <v>996</v>
      </c>
      <c r="C20" s="309">
        <v>15.4</v>
      </c>
      <c r="D20" s="309">
        <v>24.2</v>
      </c>
      <c r="E20" s="309">
        <v>21.3</v>
      </c>
      <c r="F20" s="309">
        <v>26.7</v>
      </c>
      <c r="G20" s="309"/>
      <c r="H20" s="309">
        <v>30.5</v>
      </c>
      <c r="I20" s="309">
        <v>27</v>
      </c>
      <c r="J20" s="309">
        <v>25.2</v>
      </c>
      <c r="K20" s="309">
        <v>21.1</v>
      </c>
      <c r="L20" s="309">
        <v>17.899999999999999</v>
      </c>
      <c r="M20" s="309">
        <v>17.5</v>
      </c>
      <c r="N20" s="309">
        <v>12.1</v>
      </c>
      <c r="O20" s="310">
        <f t="shared" si="0"/>
        <v>21.718181818181819</v>
      </c>
      <c r="P20" s="310">
        <f t="shared" si="1"/>
        <v>24.580040433722168</v>
      </c>
      <c r="Q20" s="311">
        <f t="shared" si="2"/>
        <v>0.91666666666666663</v>
      </c>
      <c r="R20" s="225">
        <f t="shared" si="12"/>
        <v>20.3</v>
      </c>
      <c r="S20" s="226">
        <f t="shared" si="15"/>
        <v>1</v>
      </c>
      <c r="T20" s="225">
        <f t="shared" si="13"/>
        <v>24.433333333333337</v>
      </c>
      <c r="U20" s="226">
        <f t="shared" si="16"/>
        <v>1</v>
      </c>
      <c r="V20" s="227">
        <f t="shared" si="14"/>
        <v>21.718181818181819</v>
      </c>
      <c r="W20" s="228">
        <f t="shared" si="17"/>
        <v>0.91666666666666663</v>
      </c>
      <c r="X20" s="144">
        <f t="shared" si="9"/>
        <v>20.3</v>
      </c>
      <c r="Y20" s="144">
        <f t="shared" si="10"/>
        <v>24.433333333333337</v>
      </c>
      <c r="Z20" s="144">
        <f t="shared" si="11"/>
        <v>21.718181818181819</v>
      </c>
      <c r="AA20" s="205"/>
      <c r="AB20" s="357">
        <f>VLOOKUP($B20,'2007-2020 Metadata'!$A$4:$S$214,MATCH("Urban Area /Monitoring Zone",'2007-2020 Metadata'!$A$4:$S$4,0),FALSE)</f>
        <v>0</v>
      </c>
      <c r="AC20" s="229" t="str">
        <f>VLOOKUP(B20,'2007-2020 Metadata'!$A$6:$A$214,1,FALSE)</f>
        <v>AUC022a</v>
      </c>
      <c r="AD20" s="230">
        <f>VLOOKUP($AC20,'2007-2020 Metadata'!$A$6:$S$214,9,FALSE)</f>
        <v>0</v>
      </c>
      <c r="AE20" s="230" t="str">
        <f>IF(ISBLANK(VLOOKUP($AC20,'2007-2020 Metadata'!$A$6:$S$214,19,FALSE)),"",VLOOKUP($AC20,'2007-2020 Metadata'!$A$6:$S$214,19,FALSE))</f>
        <v/>
      </c>
      <c r="AF20" s="88" t="str">
        <f>VLOOKUP($B20,'2007-2020 Metadata'!$A$4:$S$214,MATCH("Site type",'2007-2020 Metadata'!$A$4:$S$4,0),FALSE)</f>
        <v>SH</v>
      </c>
      <c r="AG20" s="143">
        <f t="shared" si="18"/>
        <v>12.1</v>
      </c>
      <c r="AH20" s="143">
        <f t="shared" si="19"/>
        <v>30.5</v>
      </c>
      <c r="AI20" s="144">
        <f t="shared" si="20"/>
        <v>21.718181818181819</v>
      </c>
    </row>
    <row r="21" spans="2:35" ht="12" customHeight="1" x14ac:dyDescent="0.15">
      <c r="B21" s="313" t="s">
        <v>18</v>
      </c>
      <c r="C21" s="309">
        <v>9.1</v>
      </c>
      <c r="D21" s="309">
        <v>12.5</v>
      </c>
      <c r="E21" s="309">
        <v>23.5</v>
      </c>
      <c r="F21" s="309">
        <v>17.899999999999999</v>
      </c>
      <c r="G21" s="309">
        <v>23.1</v>
      </c>
      <c r="H21" s="309">
        <v>25.1</v>
      </c>
      <c r="I21" s="309">
        <v>24.9</v>
      </c>
      <c r="J21" s="309">
        <v>18.899999999999999</v>
      </c>
      <c r="K21" s="309">
        <v>14.5</v>
      </c>
      <c r="L21" s="309">
        <v>11.1</v>
      </c>
      <c r="M21" s="309">
        <v>15.9</v>
      </c>
      <c r="N21" s="309">
        <v>7.4</v>
      </c>
      <c r="O21" s="310">
        <f t="shared" si="0"/>
        <v>16.991666666666667</v>
      </c>
      <c r="P21" s="310">
        <f t="shared" si="1"/>
        <v>35.188160139305985</v>
      </c>
      <c r="Q21" s="311">
        <f t="shared" si="2"/>
        <v>1</v>
      </c>
      <c r="R21" s="225">
        <f t="shared" si="12"/>
        <v>15.033333333333333</v>
      </c>
      <c r="S21" s="226">
        <f t="shared" si="15"/>
        <v>1</v>
      </c>
      <c r="T21" s="225">
        <f t="shared" si="13"/>
        <v>19.433333333333334</v>
      </c>
      <c r="U21" s="226">
        <f t="shared" si="16"/>
        <v>1</v>
      </c>
      <c r="V21" s="227">
        <f t="shared" si="14"/>
        <v>16.991666666666667</v>
      </c>
      <c r="W21" s="228">
        <f t="shared" si="17"/>
        <v>1</v>
      </c>
      <c r="X21" s="144">
        <f t="shared" si="9"/>
        <v>22.804545454545455</v>
      </c>
      <c r="Y21" s="144">
        <f t="shared" si="10"/>
        <v>28.351515151515152</v>
      </c>
      <c r="Z21" s="144">
        <f t="shared" si="11"/>
        <v>26.143515173462706</v>
      </c>
      <c r="AA21" s="205"/>
      <c r="AB21" s="357" t="str">
        <f>VLOOKUP($B21,'2007-2020 Metadata'!$A$4:$S$214,MATCH("Urban Area /Monitoring Zone",'2007-2020 Metadata'!$A$4:$S$4,0),FALSE)</f>
        <v>Auckland - Central</v>
      </c>
      <c r="AC21" s="229" t="str">
        <f>VLOOKUP(B21,'2007-2020 Metadata'!$A$6:$A$214,1,FALSE)</f>
        <v>AUC025</v>
      </c>
      <c r="AD21" s="230" t="str">
        <f>VLOOKUP($AC21,'2007-2020 Metadata'!$A$6:$S$214,9,FALSE)</f>
        <v>Auckland</v>
      </c>
      <c r="AE21" s="230">
        <f>IF(ISBLANK(VLOOKUP($AC21,'2007-2020 Metadata'!$A$6:$S$214,19,FALSE)),"",VLOOKUP($AC21,'2007-2020 Metadata'!$A$6:$S$214,19,FALSE))</f>
        <v>3</v>
      </c>
      <c r="AF21" s="88" t="str">
        <f>VLOOKUP($B21,'2007-2020 Metadata'!$A$4:$S$214,MATCH("Site type",'2007-2020 Metadata'!$A$4:$S$4,0),FALSE)</f>
        <v>SH</v>
      </c>
      <c r="AG21" s="143">
        <f t="shared" si="18"/>
        <v>7.4</v>
      </c>
      <c r="AH21" s="143">
        <f t="shared" si="19"/>
        <v>25.1</v>
      </c>
      <c r="AI21" s="144">
        <f t="shared" si="20"/>
        <v>26.143515173462706</v>
      </c>
    </row>
    <row r="22" spans="2:35" ht="12" customHeight="1" x14ac:dyDescent="0.15">
      <c r="B22" s="313" t="s">
        <v>19</v>
      </c>
      <c r="C22" s="309">
        <v>12.8</v>
      </c>
      <c r="D22" s="309">
        <v>19.399999999999999</v>
      </c>
      <c r="E22" s="309">
        <v>28.3</v>
      </c>
      <c r="F22" s="309">
        <v>20.8</v>
      </c>
      <c r="G22" s="309">
        <v>24.5</v>
      </c>
      <c r="H22" s="309">
        <v>27.7</v>
      </c>
      <c r="I22" s="309">
        <v>21.2</v>
      </c>
      <c r="J22" s="309">
        <v>18.7</v>
      </c>
      <c r="K22" s="309">
        <v>14.5</v>
      </c>
      <c r="L22" s="309">
        <v>12.8</v>
      </c>
      <c r="M22" s="309">
        <v>16.899999999999999</v>
      </c>
      <c r="N22" s="309">
        <v>7.7</v>
      </c>
      <c r="O22" s="310">
        <f t="shared" si="0"/>
        <v>18.774999999999999</v>
      </c>
      <c r="P22" s="310">
        <f t="shared" si="1"/>
        <v>31.860427691462164</v>
      </c>
      <c r="Q22" s="311">
        <f t="shared" si="2"/>
        <v>1</v>
      </c>
      <c r="R22" s="225">
        <f t="shared" si="12"/>
        <v>20.166666666666668</v>
      </c>
      <c r="S22" s="226">
        <f t="shared" si="15"/>
        <v>1</v>
      </c>
      <c r="T22" s="225">
        <f t="shared" si="13"/>
        <v>18.133333333333333</v>
      </c>
      <c r="U22" s="226">
        <f t="shared" si="16"/>
        <v>1</v>
      </c>
      <c r="V22" s="227">
        <f t="shared" si="14"/>
        <v>18.774999999999999</v>
      </c>
      <c r="W22" s="228">
        <f t="shared" si="17"/>
        <v>1</v>
      </c>
      <c r="X22" s="144">
        <f t="shared" si="9"/>
        <v>18.087499999999999</v>
      </c>
      <c r="Y22" s="144">
        <f t="shared" si="10"/>
        <v>23.0625</v>
      </c>
      <c r="Z22" s="144">
        <f t="shared" si="11"/>
        <v>20.446969696969695</v>
      </c>
      <c r="AA22" s="205"/>
      <c r="AB22" s="357" t="str">
        <f>VLOOKUP($B22,'2007-2020 Metadata'!$A$4:$S$214,MATCH("Urban Area /Monitoring Zone",'2007-2020 Metadata'!$A$4:$S$4,0),FALSE)</f>
        <v xml:space="preserve">Auckland - Southern </v>
      </c>
      <c r="AC22" s="229" t="str">
        <f>VLOOKUP(B22,'2007-2020 Metadata'!$A$6:$A$214,1,FALSE)</f>
        <v>AUC026</v>
      </c>
      <c r="AD22" s="230" t="str">
        <f>VLOOKUP($AC22,'2007-2020 Metadata'!$A$6:$S$214,9,FALSE)</f>
        <v>Manukau</v>
      </c>
      <c r="AE22" s="230">
        <f>IF(ISBLANK(VLOOKUP($AC22,'2007-2020 Metadata'!$A$6:$S$214,19,FALSE)),"",VLOOKUP($AC22,'2007-2020 Metadata'!$A$6:$S$214,19,FALSE))</f>
        <v>3</v>
      </c>
      <c r="AF22" s="88" t="str">
        <f>VLOOKUP($B22,'2007-2020 Metadata'!$A$4:$S$214,MATCH("Site type",'2007-2020 Metadata'!$A$4:$S$4,0),FALSE)</f>
        <v>SH</v>
      </c>
      <c r="AG22" s="143">
        <f t="shared" si="18"/>
        <v>7.7</v>
      </c>
      <c r="AH22" s="143">
        <f t="shared" si="19"/>
        <v>28.3</v>
      </c>
      <c r="AI22" s="144">
        <f t="shared" si="20"/>
        <v>20.446969696969695</v>
      </c>
    </row>
    <row r="23" spans="2:35" ht="12" customHeight="1" x14ac:dyDescent="0.15">
      <c r="B23" s="313" t="s">
        <v>998</v>
      </c>
      <c r="C23" s="309"/>
      <c r="D23" s="309">
        <v>23.6</v>
      </c>
      <c r="E23" s="309"/>
      <c r="F23" s="309">
        <v>29.3</v>
      </c>
      <c r="G23" s="309">
        <v>31</v>
      </c>
      <c r="H23" s="309"/>
      <c r="I23" s="309">
        <v>34.6</v>
      </c>
      <c r="J23" s="309">
        <v>27.3</v>
      </c>
      <c r="K23" s="309"/>
      <c r="L23" s="309">
        <v>21.4</v>
      </c>
      <c r="M23" s="309"/>
      <c r="N23" s="309"/>
      <c r="O23" s="310">
        <f t="shared" si="0"/>
        <v>27.866666666666671</v>
      </c>
      <c r="P23" s="310">
        <f t="shared" si="1"/>
        <v>15.883888373014408</v>
      </c>
      <c r="Q23" s="311">
        <f t="shared" si="2"/>
        <v>0.5</v>
      </c>
      <c r="R23" s="225" t="str">
        <f t="shared" si="12"/>
        <v>-</v>
      </c>
      <c r="S23" s="226">
        <f t="shared" si="15"/>
        <v>0.33333333333333331</v>
      </c>
      <c r="T23" s="225">
        <f t="shared" si="13"/>
        <v>30.950000000000003</v>
      </c>
      <c r="U23" s="226">
        <f t="shared" si="16"/>
        <v>0.66666666666666663</v>
      </c>
      <c r="V23" s="227" t="str">
        <f t="shared" si="14"/>
        <v>-</v>
      </c>
      <c r="W23" s="228">
        <f t="shared" si="17"/>
        <v>0.5</v>
      </c>
      <c r="X23" s="144" t="str">
        <f t="shared" si="9"/>
        <v>-</v>
      </c>
      <c r="Y23" s="144">
        <f t="shared" si="10"/>
        <v>30.950000000000003</v>
      </c>
      <c r="Z23" s="144" t="str">
        <f t="shared" si="11"/>
        <v>-</v>
      </c>
      <c r="AA23" s="205"/>
      <c r="AB23" s="357">
        <f>VLOOKUP($B23,'2007-2020 Metadata'!$A$4:$S$214,MATCH("Urban Area /Monitoring Zone",'2007-2020 Metadata'!$A$4:$S$4,0),FALSE)</f>
        <v>0</v>
      </c>
      <c r="AC23" s="229" t="str">
        <f>VLOOKUP(B23,'2007-2020 Metadata'!$A$6:$A$214,1,FALSE)</f>
        <v>AUC027a</v>
      </c>
      <c r="AD23" s="230">
        <f>VLOOKUP($AC23,'2007-2020 Metadata'!$A$6:$S$214,9,FALSE)</f>
        <v>0</v>
      </c>
      <c r="AE23" s="230" t="str">
        <f>IF(ISBLANK(VLOOKUP($AC23,'2007-2020 Metadata'!$A$6:$S$214,19,FALSE)),"",VLOOKUP($AC23,'2007-2020 Metadata'!$A$6:$S$214,19,FALSE))</f>
        <v/>
      </c>
      <c r="AF23" s="88" t="str">
        <f>VLOOKUP($B23,'2007-2020 Metadata'!$A$4:$S$214,MATCH("Site type",'2007-2020 Metadata'!$A$4:$S$4,0),FALSE)</f>
        <v>SH</v>
      </c>
      <c r="AG23" s="143">
        <f t="shared" si="18"/>
        <v>21.4</v>
      </c>
      <c r="AH23" s="143">
        <f t="shared" si="19"/>
        <v>34.6</v>
      </c>
      <c r="AI23" s="144" t="str">
        <f t="shared" si="20"/>
        <v xml:space="preserve"> </v>
      </c>
    </row>
    <row r="24" spans="2:35" ht="12" customHeight="1" x14ac:dyDescent="0.15">
      <c r="B24" s="313" t="s">
        <v>1013</v>
      </c>
      <c r="C24" s="309">
        <v>9.1999999999999993</v>
      </c>
      <c r="D24" s="309">
        <v>11.1</v>
      </c>
      <c r="E24" s="309">
        <v>16.7</v>
      </c>
      <c r="F24" s="309">
        <v>16.899999999999999</v>
      </c>
      <c r="G24" s="309"/>
      <c r="H24" s="309">
        <v>20.399999999999999</v>
      </c>
      <c r="I24" s="309">
        <v>18.5</v>
      </c>
      <c r="J24" s="309">
        <v>16</v>
      </c>
      <c r="K24" s="309">
        <v>8.6999999999999993</v>
      </c>
      <c r="L24" s="309">
        <v>11.8</v>
      </c>
      <c r="M24" s="309"/>
      <c r="N24" s="309">
        <v>8.6999999999999993</v>
      </c>
      <c r="O24" s="310">
        <f t="shared" si="0"/>
        <v>13.8</v>
      </c>
      <c r="P24" s="310">
        <f t="shared" si="1"/>
        <v>30.138307522823212</v>
      </c>
      <c r="Q24" s="311">
        <f t="shared" si="2"/>
        <v>0.83333333333333337</v>
      </c>
      <c r="R24" s="225">
        <f t="shared" si="12"/>
        <v>12.333333333333334</v>
      </c>
      <c r="S24" s="226">
        <f t="shared" si="15"/>
        <v>1</v>
      </c>
      <c r="T24" s="225">
        <f t="shared" si="13"/>
        <v>14.4</v>
      </c>
      <c r="U24" s="226">
        <f t="shared" si="16"/>
        <v>1</v>
      </c>
      <c r="V24" s="227">
        <f t="shared" si="14"/>
        <v>13.8</v>
      </c>
      <c r="W24" s="228">
        <f t="shared" si="17"/>
        <v>0.83333333333333337</v>
      </c>
      <c r="X24" s="144">
        <f t="shared" si="9"/>
        <v>12.333333333333334</v>
      </c>
      <c r="Y24" s="144">
        <f t="shared" si="10"/>
        <v>14.4</v>
      </c>
      <c r="Z24" s="144">
        <f t="shared" si="11"/>
        <v>13.8</v>
      </c>
      <c r="AA24" s="205"/>
      <c r="AB24" s="357">
        <f>VLOOKUP($B24,'2007-2020 Metadata'!$A$4:$S$214,MATCH("Urban Area /Monitoring Zone",'2007-2020 Metadata'!$A$4:$S$4,0),FALSE)</f>
        <v>0</v>
      </c>
      <c r="AC24" s="229" t="str">
        <f>VLOOKUP(B24,'2007-2020 Metadata'!$A$6:$A$214,1,FALSE)</f>
        <v>AUC039a</v>
      </c>
      <c r="AD24" s="230">
        <f>VLOOKUP($AC24,'2007-2020 Metadata'!$A$6:$S$214,9,FALSE)</f>
        <v>0</v>
      </c>
      <c r="AE24" s="230" t="str">
        <f>IF(ISBLANK(VLOOKUP($AC24,'2007-2020 Metadata'!$A$6:$S$214,19,FALSE)),"",VLOOKUP($AC24,'2007-2020 Metadata'!$A$6:$S$214,19,FALSE))</f>
        <v/>
      </c>
      <c r="AF24" s="88" t="str">
        <f>VLOOKUP($B24,'2007-2020 Metadata'!$A$4:$S$214,MATCH("Site type",'2007-2020 Metadata'!$A$4:$S$4,0),FALSE)</f>
        <v>SH</v>
      </c>
      <c r="AG24" s="143">
        <f t="shared" si="18"/>
        <v>8.6999999999999993</v>
      </c>
      <c r="AH24" s="143">
        <f t="shared" si="19"/>
        <v>20.399999999999999</v>
      </c>
      <c r="AI24" s="144">
        <f t="shared" si="20"/>
        <v>13.8</v>
      </c>
    </row>
    <row r="25" spans="2:35" ht="12" customHeight="1" x14ac:dyDescent="0.15">
      <c r="B25" s="313" t="s">
        <v>61</v>
      </c>
      <c r="C25" s="309">
        <v>10.3</v>
      </c>
      <c r="D25" s="309">
        <v>11.6</v>
      </c>
      <c r="E25" s="309">
        <v>17.2</v>
      </c>
      <c r="F25" s="309">
        <v>18</v>
      </c>
      <c r="G25" s="309"/>
      <c r="H25" s="309">
        <v>23.2</v>
      </c>
      <c r="I25" s="309"/>
      <c r="J25" s="309">
        <v>20.8</v>
      </c>
      <c r="K25" s="309">
        <v>18.3</v>
      </c>
      <c r="L25" s="309">
        <v>15.4</v>
      </c>
      <c r="M25" s="309"/>
      <c r="N25" s="309">
        <v>10.9</v>
      </c>
      <c r="O25" s="310">
        <f t="shared" si="0"/>
        <v>16.188888888888886</v>
      </c>
      <c r="P25" s="310">
        <f t="shared" si="1"/>
        <v>26.328880091038947</v>
      </c>
      <c r="Q25" s="311">
        <f t="shared" si="2"/>
        <v>0.75</v>
      </c>
      <c r="R25" s="225">
        <f t="shared" si="12"/>
        <v>13.033333333333331</v>
      </c>
      <c r="S25" s="226">
        <f t="shared" si="15"/>
        <v>1</v>
      </c>
      <c r="T25" s="225">
        <f t="shared" si="13"/>
        <v>19.55</v>
      </c>
      <c r="U25" s="226">
        <f t="shared" si="16"/>
        <v>0.66666666666666663</v>
      </c>
      <c r="V25" s="227">
        <f t="shared" si="14"/>
        <v>16.188888888888886</v>
      </c>
      <c r="W25" s="228">
        <f t="shared" si="17"/>
        <v>0.75</v>
      </c>
      <c r="X25" s="144">
        <f t="shared" si="9"/>
        <v>18.841666666666665</v>
      </c>
      <c r="Y25" s="144">
        <f t="shared" si="10"/>
        <v>24.390909090909091</v>
      </c>
      <c r="Z25" s="144">
        <f t="shared" si="11"/>
        <v>21.962979797979798</v>
      </c>
      <c r="AA25" s="205"/>
      <c r="AB25" s="357" t="str">
        <f>VLOOKUP($B25,'2007-2020 Metadata'!$A$4:$S$214,MATCH("Urban Area /Monitoring Zone",'2007-2020 Metadata'!$A$4:$S$4,0),FALSE)</f>
        <v>Auckland - Northern</v>
      </c>
      <c r="AC25" s="229" t="str">
        <f>VLOOKUP(B25,'2007-2020 Metadata'!$A$6:$A$214,1,FALSE)</f>
        <v>AUC040</v>
      </c>
      <c r="AD25" s="230" t="str">
        <f>VLOOKUP($AC25,'2007-2020 Metadata'!$A$6:$S$214,9,FALSE)</f>
        <v xml:space="preserve">North Shore </v>
      </c>
      <c r="AE25" s="230">
        <f>IF(ISBLANK(VLOOKUP($AC25,'2007-2020 Metadata'!$A$6:$S$214,19,FALSE)),"",VLOOKUP($AC25,'2007-2020 Metadata'!$A$6:$S$214,19,FALSE))</f>
        <v>2.5</v>
      </c>
      <c r="AF25" s="88" t="str">
        <f>VLOOKUP($B25,'2007-2020 Metadata'!$A$4:$S$214,MATCH("Site type",'2007-2020 Metadata'!$A$4:$S$4,0),FALSE)</f>
        <v>SH</v>
      </c>
      <c r="AG25" s="143">
        <f t="shared" si="18"/>
        <v>10.3</v>
      </c>
      <c r="AH25" s="143">
        <f t="shared" si="19"/>
        <v>23.2</v>
      </c>
      <c r="AI25" s="144">
        <f t="shared" si="20"/>
        <v>21.962979797979798</v>
      </c>
    </row>
    <row r="26" spans="2:35" ht="12" customHeight="1" x14ac:dyDescent="0.15">
      <c r="B26" s="313" t="s">
        <v>62</v>
      </c>
      <c r="C26" s="309">
        <v>11.6</v>
      </c>
      <c r="D26" s="309">
        <v>13.6</v>
      </c>
      <c r="E26" s="309">
        <v>27.9</v>
      </c>
      <c r="F26" s="309">
        <v>19.7</v>
      </c>
      <c r="G26" s="309">
        <v>22.4</v>
      </c>
      <c r="H26" s="309">
        <v>21.6</v>
      </c>
      <c r="I26" s="309">
        <v>18.5</v>
      </c>
      <c r="J26" s="309">
        <v>13.7</v>
      </c>
      <c r="K26" s="309">
        <v>12.5</v>
      </c>
      <c r="L26" s="309">
        <v>10.4</v>
      </c>
      <c r="M26" s="309">
        <v>18.7</v>
      </c>
      <c r="N26" s="309">
        <v>8.1</v>
      </c>
      <c r="O26" s="310">
        <f t="shared" si="0"/>
        <v>16.55833333333333</v>
      </c>
      <c r="P26" s="310">
        <f t="shared" si="1"/>
        <v>33.708619309523705</v>
      </c>
      <c r="Q26" s="311">
        <f t="shared" si="2"/>
        <v>1</v>
      </c>
      <c r="R26" s="225">
        <f t="shared" si="12"/>
        <v>17.7</v>
      </c>
      <c r="S26" s="226">
        <f t="shared" si="15"/>
        <v>1</v>
      </c>
      <c r="T26" s="225">
        <f t="shared" si="13"/>
        <v>14.9</v>
      </c>
      <c r="U26" s="226">
        <f t="shared" si="16"/>
        <v>1</v>
      </c>
      <c r="V26" s="227">
        <f t="shared" si="14"/>
        <v>16.55833333333333</v>
      </c>
      <c r="W26" s="228">
        <f t="shared" si="17"/>
        <v>1</v>
      </c>
      <c r="X26" s="144">
        <f t="shared" si="9"/>
        <v>18.841666666666665</v>
      </c>
      <c r="Y26" s="144">
        <f t="shared" si="10"/>
        <v>24.390909090909091</v>
      </c>
      <c r="Z26" s="144">
        <f t="shared" si="11"/>
        <v>21.962979797979798</v>
      </c>
      <c r="AA26" s="205"/>
      <c r="AB26" s="357" t="str">
        <f>VLOOKUP($B26,'2007-2020 Metadata'!$A$4:$S$214,MATCH("Urban Area /Monitoring Zone",'2007-2020 Metadata'!$A$4:$S$4,0),FALSE)</f>
        <v>Auckland - Northern</v>
      </c>
      <c r="AC26" s="229" t="str">
        <f>VLOOKUP(B26,'2007-2020 Metadata'!$A$6:$A$214,1,FALSE)</f>
        <v>AUC041</v>
      </c>
      <c r="AD26" s="230" t="str">
        <f>VLOOKUP($AC26,'2007-2020 Metadata'!$A$6:$S$214,9,FALSE)</f>
        <v xml:space="preserve">North Shore </v>
      </c>
      <c r="AE26" s="230">
        <f>IF(ISBLANK(VLOOKUP($AC26,'2007-2020 Metadata'!$A$6:$S$214,19,FALSE)),"",VLOOKUP($AC26,'2007-2020 Metadata'!$A$6:$S$214,19,FALSE))</f>
        <v>3</v>
      </c>
      <c r="AF26" s="88" t="str">
        <f>VLOOKUP($B26,'2007-2020 Metadata'!$A$4:$S$214,MATCH("Site type",'2007-2020 Metadata'!$A$4:$S$4,0),FALSE)</f>
        <v>Local</v>
      </c>
      <c r="AG26" s="143">
        <f t="shared" si="18"/>
        <v>8.1</v>
      </c>
      <c r="AH26" s="143">
        <f t="shared" si="19"/>
        <v>27.9</v>
      </c>
      <c r="AI26" s="144">
        <f t="shared" si="20"/>
        <v>21.962979797979798</v>
      </c>
    </row>
    <row r="27" spans="2:35" ht="12" customHeight="1" x14ac:dyDescent="0.15">
      <c r="B27" s="313" t="s">
        <v>63</v>
      </c>
      <c r="C27" s="309">
        <v>18.8</v>
      </c>
      <c r="D27" s="309">
        <v>20.8</v>
      </c>
      <c r="E27" s="309">
        <v>24.4</v>
      </c>
      <c r="F27" s="309">
        <v>29.1</v>
      </c>
      <c r="G27" s="309">
        <v>29.2</v>
      </c>
      <c r="H27" s="309">
        <v>33.799999999999997</v>
      </c>
      <c r="I27" s="309">
        <v>28.3</v>
      </c>
      <c r="J27" s="309">
        <v>25.5</v>
      </c>
      <c r="K27" s="309">
        <v>21.7</v>
      </c>
      <c r="L27" s="309">
        <v>19.2</v>
      </c>
      <c r="M27" s="309">
        <v>14.4</v>
      </c>
      <c r="N27" s="309">
        <v>14.9</v>
      </c>
      <c r="O27" s="310">
        <f t="shared" si="0"/>
        <v>23.341666666666665</v>
      </c>
      <c r="P27" s="310">
        <f t="shared" si="1"/>
        <v>24.900202000158867</v>
      </c>
      <c r="Q27" s="311">
        <f t="shared" si="2"/>
        <v>1</v>
      </c>
      <c r="R27" s="225">
        <f t="shared" si="12"/>
        <v>21.333333333333332</v>
      </c>
      <c r="S27" s="226">
        <f t="shared" si="15"/>
        <v>1</v>
      </c>
      <c r="T27" s="225">
        <f t="shared" si="13"/>
        <v>25.166666666666668</v>
      </c>
      <c r="U27" s="226">
        <f t="shared" si="16"/>
        <v>1</v>
      </c>
      <c r="V27" s="227">
        <f t="shared" si="14"/>
        <v>23.341666666666665</v>
      </c>
      <c r="W27" s="228">
        <f t="shared" si="17"/>
        <v>1</v>
      </c>
      <c r="X27" s="144">
        <f t="shared" si="9"/>
        <v>18.841666666666665</v>
      </c>
      <c r="Y27" s="144">
        <f t="shared" si="10"/>
        <v>24.390909090909091</v>
      </c>
      <c r="Z27" s="144">
        <f t="shared" si="11"/>
        <v>21.962979797979798</v>
      </c>
      <c r="AA27" s="205"/>
      <c r="AB27" s="357" t="str">
        <f>VLOOKUP($B27,'2007-2020 Metadata'!$A$4:$S$214,MATCH("Urban Area /Monitoring Zone",'2007-2020 Metadata'!$A$4:$S$4,0),FALSE)</f>
        <v>Auckland - Northern</v>
      </c>
      <c r="AC27" s="229" t="str">
        <f>VLOOKUP(B27,'2007-2020 Metadata'!$A$6:$A$214,1,FALSE)</f>
        <v>AUC042</v>
      </c>
      <c r="AD27" s="230" t="str">
        <f>VLOOKUP($AC27,'2007-2020 Metadata'!$A$6:$S$214,9,FALSE)</f>
        <v xml:space="preserve">North Shore </v>
      </c>
      <c r="AE27" s="230">
        <f>IF(ISBLANK(VLOOKUP($AC27,'2007-2020 Metadata'!$A$6:$S$214,19,FALSE)),"",VLOOKUP($AC27,'2007-2020 Metadata'!$A$6:$S$214,19,FALSE))</f>
        <v>3</v>
      </c>
      <c r="AF27" s="88" t="str">
        <f>VLOOKUP($B27,'2007-2020 Metadata'!$A$4:$S$214,MATCH("Site type",'2007-2020 Metadata'!$A$4:$S$4,0),FALSE)</f>
        <v>Local</v>
      </c>
      <c r="AG27" s="143">
        <f t="shared" si="18"/>
        <v>14.4</v>
      </c>
      <c r="AH27" s="143">
        <f t="shared" si="19"/>
        <v>33.799999999999997</v>
      </c>
      <c r="AI27" s="144">
        <f t="shared" si="20"/>
        <v>21.962979797979798</v>
      </c>
    </row>
    <row r="28" spans="2:35" ht="12" customHeight="1" x14ac:dyDescent="0.15">
      <c r="B28" s="313" t="s">
        <v>64</v>
      </c>
      <c r="C28" s="309">
        <v>14.8</v>
      </c>
      <c r="D28" s="309"/>
      <c r="E28" s="309"/>
      <c r="F28" s="309">
        <v>27.1</v>
      </c>
      <c r="G28" s="309"/>
      <c r="H28" s="309">
        <v>29.8</v>
      </c>
      <c r="I28" s="309">
        <v>28</v>
      </c>
      <c r="J28" s="309">
        <v>29.2</v>
      </c>
      <c r="K28" s="309">
        <v>19.100000000000001</v>
      </c>
      <c r="L28" s="309">
        <v>18.7</v>
      </c>
      <c r="M28" s="309">
        <v>20.2</v>
      </c>
      <c r="N28" s="309">
        <v>15.2</v>
      </c>
      <c r="O28" s="310">
        <f t="shared" si="0"/>
        <v>22.455555555555552</v>
      </c>
      <c r="P28" s="310">
        <f t="shared" si="1"/>
        <v>25.428236537290616</v>
      </c>
      <c r="Q28" s="311">
        <f t="shared" si="2"/>
        <v>0.75</v>
      </c>
      <c r="R28" s="251" t="str">
        <f t="shared" si="12"/>
        <v>-</v>
      </c>
      <c r="S28" s="252">
        <f t="shared" si="15"/>
        <v>0.33333333333333331</v>
      </c>
      <c r="T28" s="251">
        <f t="shared" si="13"/>
        <v>25.433333333333337</v>
      </c>
      <c r="U28" s="252">
        <f t="shared" si="16"/>
        <v>1</v>
      </c>
      <c r="V28" s="253">
        <f t="shared" si="14"/>
        <v>22.455555555555552</v>
      </c>
      <c r="W28" s="252">
        <f t="shared" si="17"/>
        <v>0.75</v>
      </c>
      <c r="X28" s="359">
        <f t="shared" si="9"/>
        <v>18.841666666666665</v>
      </c>
      <c r="Y28" s="359">
        <f t="shared" si="10"/>
        <v>24.390909090909091</v>
      </c>
      <c r="Z28" s="359">
        <f t="shared" si="11"/>
        <v>21.962979797979798</v>
      </c>
      <c r="AA28" s="366"/>
      <c r="AB28" s="357" t="str">
        <f>VLOOKUP($B28,'2007-2020 Metadata'!$A$4:$S$214,MATCH("Urban Area /Monitoring Zone",'2007-2020 Metadata'!$A$4:$S$4,0),FALSE)</f>
        <v>Auckland - Northern</v>
      </c>
      <c r="AC28" s="255" t="str">
        <f>VLOOKUP(B28,'2007-2020 Metadata'!$A$6:$A$214,1,FALSE)</f>
        <v>AUC043</v>
      </c>
      <c r="AD28" s="361" t="str">
        <f>VLOOKUP($AC28,'2007-2020 Metadata'!$A$6:$S$214,9,FALSE)</f>
        <v xml:space="preserve">North Shore </v>
      </c>
      <c r="AE28" s="361">
        <f>IF(ISBLANK(VLOOKUP($AC28,'2007-2020 Metadata'!$A$6:$S$214,19,FALSE)),"",VLOOKUP($AC28,'2007-2020 Metadata'!$A$6:$S$214,19,FALSE))</f>
        <v>3</v>
      </c>
      <c r="AF28" s="360" t="str">
        <f>VLOOKUP($B28,'2007-2020 Metadata'!$A$4:$S$214,MATCH("Site type",'2007-2020 Metadata'!$A$4:$S$4,0),FALSE)</f>
        <v>SH</v>
      </c>
      <c r="AG28" s="365">
        <f>MIN(AVERAGE($C$28:$C$30),AVERAGE($E$28:$E$30),AVERAGE($F$28:$F$30),AVERAGE($G$28:$G$30),AVERAGE($H$28:$H$30),AVERAGE($I$28:$I$30),AVERAGE($J$28:$J$30),AVERAGE($K$28:$K$30),AVERAGE($L$28:$L$30),AVERAGE($M$28:$M$30),AVERAGE($N$28:$N$30))</f>
        <v>15.066666666666668</v>
      </c>
      <c r="AH28" s="365">
        <f>MAX(AVERAGE($C$28:$C$30),AVERAGE($E$28:$E$30),AVERAGE($F$28:$F$30),AVERAGE($G$28:$G$30),AVERAGE($H$28:$H$30),AVERAGE($I$28:$I$30),AVERAGE($J$28:$J$30),AVERAGE($K$28:$K$30),AVERAGE($L$28:$L$30),AVERAGE($M$28:$M$30),AVERAGE($N$28:$N$30))</f>
        <v>31.799999999999997</v>
      </c>
      <c r="AI28" s="359">
        <f t="shared" si="20"/>
        <v>21.962979797979798</v>
      </c>
    </row>
    <row r="29" spans="2:35" ht="12" customHeight="1" x14ac:dyDescent="0.15">
      <c r="B29" s="313" t="s">
        <v>65</v>
      </c>
      <c r="C29" s="309">
        <v>14.9</v>
      </c>
      <c r="D29" s="309"/>
      <c r="E29" s="309">
        <v>15.7</v>
      </c>
      <c r="F29" s="309">
        <v>26.4</v>
      </c>
      <c r="G29" s="309">
        <v>27.4</v>
      </c>
      <c r="H29" s="309"/>
      <c r="I29" s="309">
        <v>32.6</v>
      </c>
      <c r="J29" s="309">
        <v>30.7</v>
      </c>
      <c r="K29" s="309">
        <v>25.5</v>
      </c>
      <c r="L29" s="309">
        <v>20</v>
      </c>
      <c r="M29" s="309">
        <v>20</v>
      </c>
      <c r="N29" s="309">
        <v>15.6</v>
      </c>
      <c r="O29" s="310">
        <f t="shared" si="0"/>
        <v>22.88</v>
      </c>
      <c r="P29" s="310">
        <f t="shared" si="1"/>
        <v>26.947189728808524</v>
      </c>
      <c r="Q29" s="311">
        <f t="shared" si="2"/>
        <v>0.83333333333333337</v>
      </c>
      <c r="R29" s="251">
        <f t="shared" si="12"/>
        <v>15.3</v>
      </c>
      <c r="S29" s="252">
        <f t="shared" si="15"/>
        <v>0.66666666666666663</v>
      </c>
      <c r="T29" s="251">
        <f t="shared" si="13"/>
        <v>29.599999999999998</v>
      </c>
      <c r="U29" s="252">
        <f t="shared" si="16"/>
        <v>1</v>
      </c>
      <c r="V29" s="253">
        <f t="shared" si="14"/>
        <v>22.88</v>
      </c>
      <c r="W29" s="252">
        <f t="shared" si="17"/>
        <v>0.83333333333333337</v>
      </c>
      <c r="X29" s="359">
        <f t="shared" si="9"/>
        <v>18.841666666666665</v>
      </c>
      <c r="Y29" s="359">
        <f t="shared" si="10"/>
        <v>24.390909090909091</v>
      </c>
      <c r="Z29" s="359">
        <f t="shared" si="11"/>
        <v>21.962979797979798</v>
      </c>
      <c r="AA29" s="366"/>
      <c r="AB29" s="357" t="str">
        <f>VLOOKUP($B29,'2007-2020 Metadata'!$A$4:$S$214,MATCH("Urban Area /Monitoring Zone",'2007-2020 Metadata'!$A$4:$S$4,0),FALSE)</f>
        <v>Auckland - Northern</v>
      </c>
      <c r="AC29" s="255" t="str">
        <f>VLOOKUP(B29,'2007-2020 Metadata'!$A$6:$A$214,1,FALSE)</f>
        <v>AUC044</v>
      </c>
      <c r="AD29" s="361" t="str">
        <f>VLOOKUP($AC29,'2007-2020 Metadata'!$A$6:$S$214,9,FALSE)</f>
        <v xml:space="preserve">North Shore </v>
      </c>
      <c r="AE29" s="361">
        <f>IF(ISBLANK(VLOOKUP($AC29,'2007-2020 Metadata'!$A$6:$S$214,19,FALSE)),"",VLOOKUP($AC29,'2007-2020 Metadata'!$A$6:$S$214,19,FALSE))</f>
        <v>3</v>
      </c>
      <c r="AF29" s="360" t="str">
        <f>VLOOKUP($B29,'2007-2020 Metadata'!$A$4:$S$214,MATCH("Site type",'2007-2020 Metadata'!$A$4:$S$4,0),FALSE)</f>
        <v>SH</v>
      </c>
      <c r="AG29" s="365">
        <f t="shared" ref="AG29:AG30" si="23">MIN(AVERAGE($C$28:$C$30),AVERAGE($E$28:$E$30),AVERAGE($F$28:$F$30),AVERAGE($G$28:$G$30),AVERAGE($H$28:$H$30),AVERAGE($I$28:$I$30),AVERAGE($J$28:$J$30),AVERAGE($K$28:$K$30),AVERAGE($L$28:$L$30),AVERAGE($M$28:$M$30),AVERAGE($N$28:$N$30))</f>
        <v>15.066666666666668</v>
      </c>
      <c r="AH29" s="365">
        <f t="shared" ref="AH29:AH30" si="24">MAX(AVERAGE($C$28:$C$30),AVERAGE($E$28:$E$30),AVERAGE($F$28:$F$30),AVERAGE($G$28:$G$30),AVERAGE($H$28:$H$30),AVERAGE($I$28:$I$30),AVERAGE($J$28:$J$30),AVERAGE($K$28:$K$30),AVERAGE($L$28:$L$30),AVERAGE($M$28:$M$30),AVERAGE($N$28:$N$30))</f>
        <v>31.799999999999997</v>
      </c>
      <c r="AI29" s="359">
        <f t="shared" si="20"/>
        <v>21.962979797979798</v>
      </c>
    </row>
    <row r="30" spans="2:35" ht="12" customHeight="1" x14ac:dyDescent="0.15">
      <c r="B30" s="313" t="s">
        <v>66</v>
      </c>
      <c r="C30" s="309">
        <v>15.5</v>
      </c>
      <c r="D30" s="309"/>
      <c r="E30" s="309">
        <v>19.399999999999999</v>
      </c>
      <c r="F30" s="309">
        <v>25.1</v>
      </c>
      <c r="G30" s="309">
        <v>27.1</v>
      </c>
      <c r="H30" s="309">
        <v>33.799999999999997</v>
      </c>
      <c r="I30" s="309">
        <v>31.6</v>
      </c>
      <c r="J30" s="309">
        <v>31.4</v>
      </c>
      <c r="K30" s="309">
        <v>24.3</v>
      </c>
      <c r="L30" s="309">
        <v>18.7</v>
      </c>
      <c r="M30" s="309"/>
      <c r="N30" s="309">
        <v>15.7</v>
      </c>
      <c r="O30" s="310">
        <f t="shared" si="0"/>
        <v>24.259999999999998</v>
      </c>
      <c r="P30" s="310">
        <f t="shared" si="1"/>
        <v>26.367473925743507</v>
      </c>
      <c r="Q30" s="311">
        <f t="shared" si="2"/>
        <v>0.83333333333333337</v>
      </c>
      <c r="R30" s="251">
        <f t="shared" si="12"/>
        <v>17.45</v>
      </c>
      <c r="S30" s="252">
        <f t="shared" si="15"/>
        <v>0.66666666666666663</v>
      </c>
      <c r="T30" s="251">
        <f t="shared" si="13"/>
        <v>29.099999999999998</v>
      </c>
      <c r="U30" s="252">
        <f t="shared" si="16"/>
        <v>1</v>
      </c>
      <c r="V30" s="253">
        <f t="shared" si="14"/>
        <v>24.259999999999998</v>
      </c>
      <c r="W30" s="252">
        <f t="shared" si="17"/>
        <v>0.83333333333333337</v>
      </c>
      <c r="X30" s="359">
        <f t="shared" si="9"/>
        <v>18.841666666666665</v>
      </c>
      <c r="Y30" s="359">
        <f t="shared" si="10"/>
        <v>24.390909090909091</v>
      </c>
      <c r="Z30" s="359">
        <f t="shared" si="11"/>
        <v>21.962979797979798</v>
      </c>
      <c r="AA30" s="366"/>
      <c r="AB30" s="357" t="str">
        <f>VLOOKUP($B30,'2007-2020 Metadata'!$A$4:$S$214,MATCH("Urban Area /Monitoring Zone",'2007-2020 Metadata'!$A$4:$S$4,0),FALSE)</f>
        <v>Auckland - Northern</v>
      </c>
      <c r="AC30" s="255" t="str">
        <f>VLOOKUP(B30,'2007-2020 Metadata'!$A$6:$A$214,1,FALSE)</f>
        <v>AUC045</v>
      </c>
      <c r="AD30" s="361" t="str">
        <f>VLOOKUP($AC30,'2007-2020 Metadata'!$A$6:$S$214,9,FALSE)</f>
        <v xml:space="preserve">North Shore </v>
      </c>
      <c r="AE30" s="361">
        <f>IF(ISBLANK(VLOOKUP($AC30,'2007-2020 Metadata'!$A$6:$S$214,19,FALSE)),"",VLOOKUP($AC30,'2007-2020 Metadata'!$A$6:$S$214,19,FALSE))</f>
        <v>3</v>
      </c>
      <c r="AF30" s="360" t="str">
        <f>VLOOKUP($B30,'2007-2020 Metadata'!$A$4:$S$214,MATCH("Site type",'2007-2020 Metadata'!$A$4:$S$4,0),FALSE)</f>
        <v>SH</v>
      </c>
      <c r="AG30" s="365">
        <f t="shared" si="23"/>
        <v>15.066666666666668</v>
      </c>
      <c r="AH30" s="365">
        <f t="shared" si="24"/>
        <v>31.799999999999997</v>
      </c>
      <c r="AI30" s="359">
        <f t="shared" si="20"/>
        <v>21.962979797979798</v>
      </c>
    </row>
    <row r="31" spans="2:35" ht="12" customHeight="1" x14ac:dyDescent="0.15">
      <c r="B31" s="313" t="s">
        <v>67</v>
      </c>
      <c r="C31" s="309">
        <v>20</v>
      </c>
      <c r="D31" s="309">
        <v>23</v>
      </c>
      <c r="E31" s="309">
        <v>16.399999999999999</v>
      </c>
      <c r="F31" s="309">
        <v>31.7</v>
      </c>
      <c r="G31" s="309">
        <v>29.2</v>
      </c>
      <c r="H31" s="309">
        <v>36.5</v>
      </c>
      <c r="I31" s="309">
        <v>33.1</v>
      </c>
      <c r="J31" s="309">
        <v>31.8</v>
      </c>
      <c r="K31" s="309">
        <v>25.2</v>
      </c>
      <c r="L31" s="309">
        <v>21.8</v>
      </c>
      <c r="M31" s="309">
        <v>20.6</v>
      </c>
      <c r="N31" s="309">
        <v>15.7</v>
      </c>
      <c r="O31" s="310">
        <f t="shared" si="0"/>
        <v>25.416666666666668</v>
      </c>
      <c r="P31" s="310">
        <f t="shared" si="1"/>
        <v>25.989971811750706</v>
      </c>
      <c r="Q31" s="311">
        <f t="shared" si="2"/>
        <v>1</v>
      </c>
      <c r="R31" s="225">
        <f t="shared" si="12"/>
        <v>19.8</v>
      </c>
      <c r="S31" s="226">
        <f t="shared" si="15"/>
        <v>1</v>
      </c>
      <c r="T31" s="225">
        <f t="shared" si="13"/>
        <v>30.033333333333335</v>
      </c>
      <c r="U31" s="226">
        <f t="shared" si="16"/>
        <v>1</v>
      </c>
      <c r="V31" s="227">
        <f t="shared" si="14"/>
        <v>25.416666666666668</v>
      </c>
      <c r="W31" s="228">
        <f t="shared" si="17"/>
        <v>1</v>
      </c>
      <c r="X31" s="144">
        <f t="shared" si="9"/>
        <v>18.841666666666665</v>
      </c>
      <c r="Y31" s="144">
        <f t="shared" si="10"/>
        <v>24.390909090909091</v>
      </c>
      <c r="Z31" s="144">
        <f t="shared" si="11"/>
        <v>21.962979797979798</v>
      </c>
      <c r="AA31" s="205"/>
      <c r="AB31" s="357" t="str">
        <f>VLOOKUP($B31,'2007-2020 Metadata'!$A$4:$S$214,MATCH("Urban Area /Monitoring Zone",'2007-2020 Metadata'!$A$4:$S$4,0),FALSE)</f>
        <v>Auckland - Northern</v>
      </c>
      <c r="AC31" s="229" t="str">
        <f>VLOOKUP(B31,'2007-2020 Metadata'!$A$6:$A$214,1,FALSE)</f>
        <v>AUC046</v>
      </c>
      <c r="AD31" s="230" t="str">
        <f>VLOOKUP($AC31,'2007-2020 Metadata'!$A$6:$S$214,9,FALSE)</f>
        <v xml:space="preserve">North Shore </v>
      </c>
      <c r="AE31" s="230">
        <f>IF(ISBLANK(VLOOKUP($AC31,'2007-2020 Metadata'!$A$6:$S$214,19,FALSE)),"",VLOOKUP($AC31,'2007-2020 Metadata'!$A$6:$S$214,19,FALSE))</f>
        <v>3</v>
      </c>
      <c r="AF31" s="88" t="str">
        <f>VLOOKUP($B31,'2007-2020 Metadata'!$A$4:$S$214,MATCH("Site type",'2007-2020 Metadata'!$A$4:$S$4,0),FALSE)</f>
        <v>Local</v>
      </c>
      <c r="AG31" s="143">
        <f t="shared" si="18"/>
        <v>15.7</v>
      </c>
      <c r="AH31" s="143">
        <f t="shared" si="19"/>
        <v>36.5</v>
      </c>
      <c r="AI31" s="144">
        <f t="shared" si="20"/>
        <v>21.962979797979798</v>
      </c>
    </row>
    <row r="32" spans="2:35" ht="12" customHeight="1" x14ac:dyDescent="0.15">
      <c r="B32" s="313" t="s">
        <v>68</v>
      </c>
      <c r="C32" s="309">
        <v>5.6</v>
      </c>
      <c r="D32" s="309">
        <v>8.9</v>
      </c>
      <c r="E32" s="309">
        <v>10.4</v>
      </c>
      <c r="F32" s="309">
        <v>12</v>
      </c>
      <c r="G32" s="309">
        <v>8.5</v>
      </c>
      <c r="H32" s="309">
        <v>17.600000000000001</v>
      </c>
      <c r="I32" s="309">
        <v>11.2</v>
      </c>
      <c r="J32" s="309">
        <v>10.6</v>
      </c>
      <c r="K32" s="309">
        <v>8</v>
      </c>
      <c r="L32" s="309">
        <v>6.6</v>
      </c>
      <c r="M32" s="309">
        <v>6.8</v>
      </c>
      <c r="N32" s="309">
        <v>5.4</v>
      </c>
      <c r="O32" s="310">
        <f t="shared" si="0"/>
        <v>9.2999999999999989</v>
      </c>
      <c r="P32" s="310">
        <f t="shared" si="1"/>
        <v>35.065965288430824</v>
      </c>
      <c r="Q32" s="311">
        <f t="shared" si="2"/>
        <v>1</v>
      </c>
      <c r="R32" s="225">
        <f t="shared" si="12"/>
        <v>8.2999999999999989</v>
      </c>
      <c r="S32" s="226">
        <f t="shared" si="15"/>
        <v>1</v>
      </c>
      <c r="T32" s="225">
        <f t="shared" si="13"/>
        <v>9.9333333333333318</v>
      </c>
      <c r="U32" s="226">
        <f t="shared" si="16"/>
        <v>1</v>
      </c>
      <c r="V32" s="227">
        <f t="shared" si="14"/>
        <v>9.2999999999999989</v>
      </c>
      <c r="W32" s="228">
        <f t="shared" si="17"/>
        <v>1</v>
      </c>
      <c r="X32" s="144">
        <f t="shared" si="9"/>
        <v>18.841666666666665</v>
      </c>
      <c r="Y32" s="144">
        <f t="shared" si="10"/>
        <v>24.390909090909091</v>
      </c>
      <c r="Z32" s="144">
        <f t="shared" si="11"/>
        <v>21.962979797979798</v>
      </c>
      <c r="AA32" s="205"/>
      <c r="AB32" s="357" t="str">
        <f>VLOOKUP($B32,'2007-2020 Metadata'!$A$4:$S$214,MATCH("Urban Area /Monitoring Zone",'2007-2020 Metadata'!$A$4:$S$4,0),FALSE)</f>
        <v>Auckland - Northern</v>
      </c>
      <c r="AC32" s="229" t="str">
        <f>VLOOKUP(B32,'2007-2020 Metadata'!$A$6:$A$214,1,FALSE)</f>
        <v>AUC047</v>
      </c>
      <c r="AD32" s="230" t="str">
        <f>VLOOKUP($AC32,'2007-2020 Metadata'!$A$6:$S$214,9,FALSE)</f>
        <v xml:space="preserve">North Shore </v>
      </c>
      <c r="AE32" s="230">
        <f>IF(ISBLANK(VLOOKUP($AC32,'2007-2020 Metadata'!$A$6:$S$214,19,FALSE)),"",VLOOKUP($AC32,'2007-2020 Metadata'!$A$6:$S$214,19,FALSE))</f>
        <v>3</v>
      </c>
      <c r="AF32" s="88" t="str">
        <f>VLOOKUP($B32,'2007-2020 Metadata'!$A$4:$S$214,MATCH("Site type",'2007-2020 Metadata'!$A$4:$S$4,0),FALSE)</f>
        <v>Background</v>
      </c>
      <c r="AG32" s="143">
        <f t="shared" si="18"/>
        <v>5.4</v>
      </c>
      <c r="AH32" s="143">
        <f t="shared" si="19"/>
        <v>17.600000000000001</v>
      </c>
      <c r="AI32" s="144">
        <f t="shared" si="20"/>
        <v>21.962979797979798</v>
      </c>
    </row>
    <row r="33" spans="2:35" ht="12" customHeight="1" x14ac:dyDescent="0.15">
      <c r="B33" s="313" t="s">
        <v>1019</v>
      </c>
      <c r="C33" s="309">
        <v>16.100000000000001</v>
      </c>
      <c r="D33" s="309">
        <v>18.3</v>
      </c>
      <c r="E33" s="309">
        <v>27.8</v>
      </c>
      <c r="F33" s="309">
        <v>24.8</v>
      </c>
      <c r="G33" s="309">
        <v>26.4</v>
      </c>
      <c r="H33" s="309">
        <v>27.8</v>
      </c>
      <c r="I33" s="309">
        <v>27.3</v>
      </c>
      <c r="J33" s="309">
        <v>28.7</v>
      </c>
      <c r="K33" s="309">
        <v>23.3</v>
      </c>
      <c r="L33" s="309">
        <v>18.7</v>
      </c>
      <c r="M33" s="309">
        <v>21.4</v>
      </c>
      <c r="N33" s="309">
        <v>15.3</v>
      </c>
      <c r="O33" s="310">
        <f t="shared" si="0"/>
        <v>22.991666666666671</v>
      </c>
      <c r="P33" s="310">
        <f t="shared" si="1"/>
        <v>20.322661771261998</v>
      </c>
      <c r="Q33" s="311">
        <f t="shared" si="2"/>
        <v>1</v>
      </c>
      <c r="R33" s="225">
        <f t="shared" si="12"/>
        <v>20.733333333333334</v>
      </c>
      <c r="S33" s="226">
        <f t="shared" si="15"/>
        <v>1</v>
      </c>
      <c r="T33" s="225">
        <f t="shared" si="13"/>
        <v>26.433333333333334</v>
      </c>
      <c r="U33" s="226">
        <f t="shared" si="16"/>
        <v>1</v>
      </c>
      <c r="V33" s="227">
        <f t="shared" si="14"/>
        <v>22.991666666666671</v>
      </c>
      <c r="W33" s="228">
        <f t="shared" si="17"/>
        <v>1</v>
      </c>
      <c r="X33" s="144">
        <f t="shared" si="9"/>
        <v>20.733333333333334</v>
      </c>
      <c r="Y33" s="144">
        <f t="shared" si="10"/>
        <v>26.433333333333334</v>
      </c>
      <c r="Z33" s="144">
        <f t="shared" si="11"/>
        <v>22.991666666666671</v>
      </c>
      <c r="AA33" s="205"/>
      <c r="AB33" s="357" t="str">
        <f>VLOOKUP($B33,'2007-2020 Metadata'!$A$4:$S$214,MATCH("Urban Area /Monitoring Zone",'2007-2020 Metadata'!$A$4:$S$4,0),FALSE)</f>
        <v>Auckland - Western</v>
      </c>
      <c r="AC33" s="229" t="str">
        <f>VLOOKUP(B33,'2007-2020 Metadata'!$A$6:$A$214,1,FALSE)</f>
        <v>AUC049b</v>
      </c>
      <c r="AD33" s="230" t="str">
        <f>VLOOKUP($AC33,'2007-2020 Metadata'!$A$6:$S$214,9,FALSE)</f>
        <v>Waitakere</v>
      </c>
      <c r="AE33" s="230" t="str">
        <f>IF(ISBLANK(VLOOKUP($AC33,'2007-2020 Metadata'!$A$6:$S$214,19,FALSE)),"",VLOOKUP($AC33,'2007-2020 Metadata'!$A$6:$S$214,19,FALSE))</f>
        <v/>
      </c>
      <c r="AF33" s="88" t="str">
        <f>VLOOKUP($B33,'2007-2020 Metadata'!$A$4:$S$214,MATCH("Site type",'2007-2020 Metadata'!$A$4:$S$4,0),FALSE)</f>
        <v>Local (ex SH)</v>
      </c>
      <c r="AG33" s="143">
        <f t="shared" si="18"/>
        <v>15.3</v>
      </c>
      <c r="AH33" s="143">
        <f t="shared" si="19"/>
        <v>28.7</v>
      </c>
      <c r="AI33" s="144">
        <f t="shared" si="20"/>
        <v>22.991666666666671</v>
      </c>
    </row>
    <row r="34" spans="2:35" ht="12" customHeight="1" x14ac:dyDescent="0.15">
      <c r="B34" s="313" t="s">
        <v>1021</v>
      </c>
      <c r="C34" s="309">
        <v>18.2</v>
      </c>
      <c r="D34" s="309">
        <v>20.6</v>
      </c>
      <c r="E34" s="309">
        <v>19</v>
      </c>
      <c r="F34" s="309">
        <v>26.3</v>
      </c>
      <c r="G34" s="309">
        <v>25.4</v>
      </c>
      <c r="H34" s="309">
        <v>31.5</v>
      </c>
      <c r="I34" s="309">
        <v>28.2</v>
      </c>
      <c r="J34" s="309">
        <v>24.6</v>
      </c>
      <c r="K34" s="309">
        <v>24.7</v>
      </c>
      <c r="L34" s="309">
        <v>19.899999999999999</v>
      </c>
      <c r="M34" s="309"/>
      <c r="N34" s="309">
        <v>19.619789547119353</v>
      </c>
      <c r="O34" s="310">
        <f t="shared" si="0"/>
        <v>23.456344504283575</v>
      </c>
      <c r="P34" s="310">
        <f t="shared" si="1"/>
        <v>17.480464274200209</v>
      </c>
      <c r="Q34" s="311">
        <f t="shared" si="2"/>
        <v>0.91666666666666663</v>
      </c>
      <c r="R34" s="225">
        <f t="shared" si="12"/>
        <v>19.266666666666666</v>
      </c>
      <c r="S34" s="226">
        <f t="shared" si="15"/>
        <v>1</v>
      </c>
      <c r="T34" s="225">
        <f t="shared" si="13"/>
        <v>25.833333333333332</v>
      </c>
      <c r="U34" s="226">
        <f t="shared" si="16"/>
        <v>1</v>
      </c>
      <c r="V34" s="227">
        <f t="shared" si="14"/>
        <v>23.456344504283575</v>
      </c>
      <c r="W34" s="228">
        <f t="shared" si="17"/>
        <v>0.91666666666666663</v>
      </c>
      <c r="X34" s="144">
        <f t="shared" si="9"/>
        <v>19.266666666666666</v>
      </c>
      <c r="Y34" s="144">
        <f t="shared" si="10"/>
        <v>25.833333333333332</v>
      </c>
      <c r="Z34" s="144">
        <f t="shared" si="11"/>
        <v>23.456344504283575</v>
      </c>
      <c r="AA34" s="205"/>
      <c r="AB34" s="357">
        <f>VLOOKUP($B34,'2007-2020 Metadata'!$A$4:$S$214,MATCH("Urban Area /Monitoring Zone",'2007-2020 Metadata'!$A$4:$S$4,0),FALSE)</f>
        <v>0</v>
      </c>
      <c r="AC34" s="229" t="str">
        <f>VLOOKUP(B34,'2007-2020 Metadata'!$A$6:$A$214,1,FALSE)</f>
        <v>AUC050b</v>
      </c>
      <c r="AD34" s="230">
        <f>VLOOKUP($AC34,'2007-2020 Metadata'!$A$6:$S$214,9,FALSE)</f>
        <v>0</v>
      </c>
      <c r="AE34" s="230" t="str">
        <f>IF(ISBLANK(VLOOKUP($AC34,'2007-2020 Metadata'!$A$6:$S$214,19,FALSE)),"",VLOOKUP($AC34,'2007-2020 Metadata'!$A$6:$S$214,19,FALSE))</f>
        <v/>
      </c>
      <c r="AF34" s="88" t="str">
        <f>VLOOKUP($B34,'2007-2020 Metadata'!$A$4:$S$214,MATCH("Site type",'2007-2020 Metadata'!$A$4:$S$4,0),FALSE)</f>
        <v>SH</v>
      </c>
      <c r="AG34" s="143">
        <f t="shared" si="18"/>
        <v>18.2</v>
      </c>
      <c r="AH34" s="143">
        <f t="shared" si="19"/>
        <v>31.5</v>
      </c>
      <c r="AI34" s="144">
        <f t="shared" si="20"/>
        <v>23.456344504283575</v>
      </c>
    </row>
    <row r="35" spans="2:35" ht="12" customHeight="1" x14ac:dyDescent="0.15">
      <c r="B35" s="313" t="s">
        <v>1024</v>
      </c>
      <c r="C35" s="309">
        <v>11.9</v>
      </c>
      <c r="D35" s="309">
        <v>14.2</v>
      </c>
      <c r="E35" s="309">
        <v>15.3</v>
      </c>
      <c r="F35" s="309">
        <v>19.8</v>
      </c>
      <c r="G35" s="309">
        <v>21.2</v>
      </c>
      <c r="H35" s="309">
        <v>28</v>
      </c>
      <c r="I35" s="309">
        <v>23.6</v>
      </c>
      <c r="J35" s="309">
        <v>21.5</v>
      </c>
      <c r="K35" s="309">
        <v>18.100000000000001</v>
      </c>
      <c r="L35" s="309">
        <v>14.2</v>
      </c>
      <c r="M35" s="309"/>
      <c r="N35" s="309"/>
      <c r="O35" s="310">
        <f t="shared" si="0"/>
        <v>18.779999999999998</v>
      </c>
      <c r="P35" s="310">
        <f t="shared" si="1"/>
        <v>25.223884412724022</v>
      </c>
      <c r="Q35" s="311">
        <f t="shared" si="2"/>
        <v>0.83333333333333337</v>
      </c>
      <c r="R35" s="225">
        <f t="shared" si="12"/>
        <v>13.800000000000002</v>
      </c>
      <c r="S35" s="226">
        <f t="shared" si="15"/>
        <v>1</v>
      </c>
      <c r="T35" s="225">
        <f t="shared" si="13"/>
        <v>21.066666666666666</v>
      </c>
      <c r="U35" s="226">
        <f t="shared" si="16"/>
        <v>1</v>
      </c>
      <c r="V35" s="227">
        <f t="shared" si="14"/>
        <v>18.779999999999998</v>
      </c>
      <c r="W35" s="228">
        <f t="shared" si="17"/>
        <v>0.83333333333333337</v>
      </c>
      <c r="X35" s="144">
        <f t="shared" si="9"/>
        <v>13.800000000000002</v>
      </c>
      <c r="Y35" s="144">
        <f t="shared" si="10"/>
        <v>21.066666666666666</v>
      </c>
      <c r="Z35" s="144">
        <f t="shared" si="11"/>
        <v>18.779999999999998</v>
      </c>
      <c r="AA35" s="205"/>
      <c r="AB35" s="357">
        <f>VLOOKUP($B35,'2007-2020 Metadata'!$A$4:$S$214,MATCH("Urban Area /Monitoring Zone",'2007-2020 Metadata'!$A$4:$S$4,0),FALSE)</f>
        <v>0</v>
      </c>
      <c r="AC35" s="229" t="str">
        <f>VLOOKUP(B35,'2007-2020 Metadata'!$A$6:$A$214,1,FALSE)</f>
        <v>AUC051a</v>
      </c>
      <c r="AD35" s="230">
        <f>VLOOKUP($AC35,'2007-2020 Metadata'!$A$6:$S$214,9,FALSE)</f>
        <v>0</v>
      </c>
      <c r="AE35" s="230" t="str">
        <f>IF(ISBLANK(VLOOKUP($AC35,'2007-2020 Metadata'!$A$6:$S$214,19,FALSE)),"",VLOOKUP($AC35,'2007-2020 Metadata'!$A$6:$S$214,19,FALSE))</f>
        <v/>
      </c>
      <c r="AF35" s="88" t="str">
        <f>VLOOKUP($B35,'2007-2020 Metadata'!$A$4:$S$214,MATCH("Site type",'2007-2020 Metadata'!$A$4:$S$4,0),FALSE)</f>
        <v>SH</v>
      </c>
      <c r="AG35" s="143">
        <f t="shared" si="18"/>
        <v>11.9</v>
      </c>
      <c r="AH35" s="143">
        <f t="shared" si="19"/>
        <v>28</v>
      </c>
      <c r="AI35" s="144">
        <f t="shared" si="20"/>
        <v>18.779999999999998</v>
      </c>
    </row>
    <row r="36" spans="2:35" ht="12" customHeight="1" x14ac:dyDescent="0.15">
      <c r="B36" s="313" t="s">
        <v>73</v>
      </c>
      <c r="C36" s="309">
        <v>10.6</v>
      </c>
      <c r="D36" s="309">
        <v>13.9</v>
      </c>
      <c r="E36" s="309">
        <v>17.399999999999999</v>
      </c>
      <c r="F36" s="309">
        <v>17</v>
      </c>
      <c r="G36" s="309">
        <v>18.399999999999999</v>
      </c>
      <c r="H36" s="309">
        <v>22.6</v>
      </c>
      <c r="I36" s="309">
        <v>19.100000000000001</v>
      </c>
      <c r="J36" s="309">
        <v>16.5</v>
      </c>
      <c r="K36" s="309">
        <v>12</v>
      </c>
      <c r="L36" s="309">
        <v>12.1</v>
      </c>
      <c r="M36" s="309">
        <v>14.1</v>
      </c>
      <c r="N36" s="309">
        <v>9.1999999999999993</v>
      </c>
      <c r="O36" s="310">
        <f t="shared" si="0"/>
        <v>15.241666666666665</v>
      </c>
      <c r="P36" s="310">
        <f t="shared" si="1"/>
        <v>24.685060483950672</v>
      </c>
      <c r="Q36" s="311">
        <f t="shared" si="2"/>
        <v>1</v>
      </c>
      <c r="R36" s="225">
        <f t="shared" si="12"/>
        <v>13.966666666666667</v>
      </c>
      <c r="S36" s="226">
        <f t="shared" si="15"/>
        <v>1</v>
      </c>
      <c r="T36" s="225">
        <f t="shared" si="13"/>
        <v>15.866666666666667</v>
      </c>
      <c r="U36" s="226">
        <f t="shared" si="16"/>
        <v>1</v>
      </c>
      <c r="V36" s="227">
        <f t="shared" si="14"/>
        <v>15.241666666666665</v>
      </c>
      <c r="W36" s="228">
        <f t="shared" si="17"/>
        <v>1</v>
      </c>
      <c r="X36" s="144">
        <f t="shared" si="9"/>
        <v>13.894444444444446</v>
      </c>
      <c r="Y36" s="144">
        <f t="shared" si="10"/>
        <v>15.708333333333336</v>
      </c>
      <c r="Z36" s="144">
        <f t="shared" si="11"/>
        <v>11.704848484848485</v>
      </c>
      <c r="AA36" s="205"/>
      <c r="AB36" s="357" t="str">
        <f>VLOOKUP($B36,'2007-2020 Metadata'!$A$4:$S$214,MATCH("Urban Area /Monitoring Zone",'2007-2020 Metadata'!$A$4:$S$4,0),FALSE)</f>
        <v>Auckland - Western</v>
      </c>
      <c r="AC36" s="229" t="str">
        <f>VLOOKUP(B36,'2007-2020 Metadata'!$A$6:$A$214,1,FALSE)</f>
        <v>AUC052</v>
      </c>
      <c r="AD36" s="230" t="str">
        <f>VLOOKUP($AC36,'2007-2020 Metadata'!$A$6:$S$214,9,FALSE)</f>
        <v>Waitakere</v>
      </c>
      <c r="AE36" s="230">
        <f>IF(ISBLANK(VLOOKUP($AC36,'2007-2020 Metadata'!$A$6:$S$214,19,FALSE)),"",VLOOKUP($AC36,'2007-2020 Metadata'!$A$6:$S$214,19,FALSE))</f>
        <v>3</v>
      </c>
      <c r="AF36" s="88" t="str">
        <f>VLOOKUP($B36,'2007-2020 Metadata'!$A$4:$S$214,MATCH("Site type",'2007-2020 Metadata'!$A$4:$S$4,0),FALSE)</f>
        <v>Local</v>
      </c>
      <c r="AG36" s="143">
        <f t="shared" si="18"/>
        <v>9.1999999999999993</v>
      </c>
      <c r="AH36" s="143">
        <f t="shared" si="19"/>
        <v>22.6</v>
      </c>
      <c r="AI36" s="144">
        <f t="shared" si="20"/>
        <v>11.704848484848485</v>
      </c>
    </row>
    <row r="37" spans="2:35" ht="12" customHeight="1" x14ac:dyDescent="0.15">
      <c r="B37" s="313" t="s">
        <v>1028</v>
      </c>
      <c r="C37" s="309">
        <v>15.1</v>
      </c>
      <c r="D37" s="309">
        <v>20.7</v>
      </c>
      <c r="E37" s="309">
        <v>28.9</v>
      </c>
      <c r="F37" s="309">
        <v>27.5</v>
      </c>
      <c r="G37" s="309">
        <v>33.1</v>
      </c>
      <c r="H37" s="309">
        <v>33.1</v>
      </c>
      <c r="I37" s="309"/>
      <c r="J37" s="309">
        <v>36.4</v>
      </c>
      <c r="K37" s="309"/>
      <c r="L37" s="309"/>
      <c r="M37" s="309"/>
      <c r="N37" s="309"/>
      <c r="O37" s="310">
        <f t="shared" si="0"/>
        <v>27.828571428571426</v>
      </c>
      <c r="P37" s="310">
        <f t="shared" si="1"/>
        <v>25.158927565764383</v>
      </c>
      <c r="Q37" s="311">
        <f t="shared" si="2"/>
        <v>0.58333333333333337</v>
      </c>
      <c r="R37" s="225">
        <f t="shared" si="12"/>
        <v>21.566666666666663</v>
      </c>
      <c r="S37" s="226">
        <f t="shared" si="15"/>
        <v>1</v>
      </c>
      <c r="T37" s="225" t="str">
        <f t="shared" si="13"/>
        <v>-</v>
      </c>
      <c r="U37" s="226">
        <f t="shared" si="16"/>
        <v>0.33333333333333331</v>
      </c>
      <c r="V37" s="227" t="str">
        <f t="shared" si="14"/>
        <v>-</v>
      </c>
      <c r="W37" s="228">
        <f t="shared" si="17"/>
        <v>0.58333333333333337</v>
      </c>
      <c r="X37" s="144">
        <f t="shared" si="9"/>
        <v>21.566666666666663</v>
      </c>
      <c r="Y37" s="144" t="str">
        <f t="shared" si="10"/>
        <v>-</v>
      </c>
      <c r="Z37" s="144" t="str">
        <f t="shared" si="11"/>
        <v>-</v>
      </c>
      <c r="AA37" s="205"/>
      <c r="AB37" s="357">
        <f>VLOOKUP($B37,'2007-2020 Metadata'!$A$4:$S$214,MATCH("Urban Area /Monitoring Zone",'2007-2020 Metadata'!$A$4:$S$4,0),FALSE)</f>
        <v>0</v>
      </c>
      <c r="AC37" s="229" t="str">
        <f>VLOOKUP(B37,'2007-2020 Metadata'!$A$6:$A$214,1,FALSE)</f>
        <v>AUC053b</v>
      </c>
      <c r="AD37" s="230">
        <f>VLOOKUP($AC37,'2007-2020 Metadata'!$A$6:$S$214,9,FALSE)</f>
        <v>0</v>
      </c>
      <c r="AE37" s="230" t="str">
        <f>IF(ISBLANK(VLOOKUP($AC37,'2007-2020 Metadata'!$A$6:$S$214,19,FALSE)),"",VLOOKUP($AC37,'2007-2020 Metadata'!$A$6:$S$214,19,FALSE))</f>
        <v/>
      </c>
      <c r="AF37" s="88" t="str">
        <f>VLOOKUP($B37,'2007-2020 Metadata'!$A$4:$S$214,MATCH("Site type",'2007-2020 Metadata'!$A$4:$S$4,0),FALSE)</f>
        <v>Local</v>
      </c>
      <c r="AG37" s="143">
        <f t="shared" si="18"/>
        <v>15.1</v>
      </c>
      <c r="AH37" s="143">
        <f t="shared" si="19"/>
        <v>36.4</v>
      </c>
      <c r="AI37" s="144" t="str">
        <f t="shared" si="20"/>
        <v xml:space="preserve"> </v>
      </c>
    </row>
    <row r="38" spans="2:35" ht="12" customHeight="1" x14ac:dyDescent="0.15">
      <c r="B38" s="313" t="s">
        <v>1030</v>
      </c>
      <c r="C38" s="309">
        <v>7.8</v>
      </c>
      <c r="D38" s="309">
        <v>13.6</v>
      </c>
      <c r="E38" s="309">
        <v>16.7</v>
      </c>
      <c r="F38" s="309">
        <v>17.5</v>
      </c>
      <c r="G38" s="309">
        <v>16.100000000000001</v>
      </c>
      <c r="H38" s="309">
        <v>21.5</v>
      </c>
      <c r="I38" s="309">
        <v>16.100000000000001</v>
      </c>
      <c r="J38" s="309">
        <v>10.8</v>
      </c>
      <c r="K38" s="309">
        <v>9</v>
      </c>
      <c r="L38" s="309">
        <v>9.3000000000000007</v>
      </c>
      <c r="M38" s="309">
        <v>8.6999999999999993</v>
      </c>
      <c r="N38" s="309">
        <v>6.1</v>
      </c>
      <c r="O38" s="310">
        <f t="shared" si="0"/>
        <v>12.766666666666664</v>
      </c>
      <c r="P38" s="310">
        <f t="shared" si="1"/>
        <v>35.950831480679192</v>
      </c>
      <c r="Q38" s="311">
        <f t="shared" si="2"/>
        <v>1</v>
      </c>
      <c r="R38" s="251">
        <f t="shared" si="12"/>
        <v>12.699999999999998</v>
      </c>
      <c r="S38" s="252">
        <f t="shared" si="15"/>
        <v>1</v>
      </c>
      <c r="T38" s="251">
        <f t="shared" si="13"/>
        <v>11.966666666666669</v>
      </c>
      <c r="U38" s="252">
        <f t="shared" si="16"/>
        <v>1</v>
      </c>
      <c r="V38" s="253">
        <f t="shared" si="14"/>
        <v>12.766666666666664</v>
      </c>
      <c r="W38" s="252">
        <f t="shared" si="17"/>
        <v>1</v>
      </c>
      <c r="X38" s="359">
        <f t="shared" si="9"/>
        <v>12.699999999999998</v>
      </c>
      <c r="Y38" s="359">
        <f t="shared" si="10"/>
        <v>11.966666666666669</v>
      </c>
      <c r="Z38" s="359">
        <f t="shared" si="11"/>
        <v>12.766666666666664</v>
      </c>
      <c r="AA38" s="366"/>
      <c r="AB38" s="357">
        <f>VLOOKUP($B38,'2007-2020 Metadata'!$A$4:$S$214,MATCH("Urban Area /Monitoring Zone",'2007-2020 Metadata'!$A$4:$S$4,0),FALSE)</f>
        <v>0</v>
      </c>
      <c r="AC38" s="255" t="str">
        <f>VLOOKUP(B38,'2007-2020 Metadata'!$A$6:$A$214,1,FALSE)</f>
        <v>AUC054a</v>
      </c>
      <c r="AD38" s="361">
        <f>VLOOKUP($AC38,'2007-2020 Metadata'!$A$6:$S$214,9,FALSE)</f>
        <v>0</v>
      </c>
      <c r="AE38" s="361" t="str">
        <f>IF(ISBLANK(VLOOKUP($AC38,'2007-2020 Metadata'!$A$6:$S$214,19,FALSE)),"",VLOOKUP($AC38,'2007-2020 Metadata'!$A$6:$S$214,19,FALSE))</f>
        <v/>
      </c>
      <c r="AF38" s="360" t="str">
        <f>VLOOKUP($B38,'2007-2020 Metadata'!$A$4:$S$214,MATCH("Site type",'2007-2020 Metadata'!$A$4:$S$4,0),FALSE)</f>
        <v>Local</v>
      </c>
      <c r="AG38" s="365">
        <f>MIN(AVERAGE($C$38:$C$40),AVERAGE($E$38:$E$40),AVERAGE($F$38:$F$40),AVERAGE($G$38:$G$40),AVERAGE($H$38:$H$40),AVERAGE($I$38:$I$40),AVERAGE($J$38:$J$40),AVERAGE($K$38:$K$40),AVERAGE($L$38:$L$40),AVERAGE($M$38:$M$40),AVERAGE($N$38:$N$40))</f>
        <v>5.1333333333333329</v>
      </c>
      <c r="AH38" s="365">
        <f>MAX(AVERAGE($C$38:$C$40),AVERAGE($E$38:$E$40),AVERAGE($F$38:$F$40),AVERAGE($G$38:$G$40),AVERAGE($H$38:$H$40),AVERAGE($I$38:$I$40),AVERAGE($J$38:$J$40),AVERAGE($K$38:$K$40),AVERAGE($L$38:$L$40),AVERAGE($M$38:$M$40),AVERAGE($N$38:$N$40))</f>
        <v>20.266666666666666</v>
      </c>
      <c r="AI38" s="359">
        <f t="shared" si="20"/>
        <v>12.766666666666664</v>
      </c>
    </row>
    <row r="39" spans="2:35" ht="12" customHeight="1" x14ac:dyDescent="0.15">
      <c r="B39" s="313" t="s">
        <v>1031</v>
      </c>
      <c r="C39" s="309">
        <v>7.8</v>
      </c>
      <c r="D39" s="309">
        <v>14.6</v>
      </c>
      <c r="E39" s="309">
        <v>15.4</v>
      </c>
      <c r="F39" s="309">
        <v>15.9</v>
      </c>
      <c r="G39" s="309">
        <v>15.8</v>
      </c>
      <c r="H39" s="309">
        <v>19.100000000000001</v>
      </c>
      <c r="I39" s="309">
        <v>16.8</v>
      </c>
      <c r="J39" s="309">
        <v>12</v>
      </c>
      <c r="K39" s="309">
        <v>10.199999999999999</v>
      </c>
      <c r="L39" s="309">
        <v>9.6</v>
      </c>
      <c r="M39" s="309">
        <v>9.1999999999999993</v>
      </c>
      <c r="N39" s="309">
        <v>5.6</v>
      </c>
      <c r="O39" s="310">
        <f t="shared" si="0"/>
        <v>12.666666666666664</v>
      </c>
      <c r="P39" s="310">
        <f t="shared" si="1"/>
        <v>31.539997909702656</v>
      </c>
      <c r="Q39" s="311">
        <f t="shared" si="2"/>
        <v>1</v>
      </c>
      <c r="R39" s="251">
        <f t="shared" si="12"/>
        <v>12.6</v>
      </c>
      <c r="S39" s="252">
        <f t="shared" si="15"/>
        <v>1</v>
      </c>
      <c r="T39" s="251">
        <f t="shared" si="13"/>
        <v>13</v>
      </c>
      <c r="U39" s="252">
        <f t="shared" si="16"/>
        <v>1</v>
      </c>
      <c r="V39" s="253">
        <f t="shared" si="14"/>
        <v>12.666666666666664</v>
      </c>
      <c r="W39" s="252">
        <f t="shared" si="17"/>
        <v>1</v>
      </c>
      <c r="X39" s="359">
        <f t="shared" si="9"/>
        <v>12.6</v>
      </c>
      <c r="Y39" s="359">
        <f t="shared" si="10"/>
        <v>13</v>
      </c>
      <c r="Z39" s="359">
        <f t="shared" si="11"/>
        <v>12.666666666666664</v>
      </c>
      <c r="AA39" s="366"/>
      <c r="AB39" s="357">
        <f>VLOOKUP($B39,'2007-2020 Metadata'!$A$4:$S$214,MATCH("Urban Area /Monitoring Zone",'2007-2020 Metadata'!$A$4:$S$4,0),FALSE)</f>
        <v>0</v>
      </c>
      <c r="AC39" s="255" t="str">
        <f>VLOOKUP(B39,'2007-2020 Metadata'!$A$6:$A$214,1,FALSE)</f>
        <v>AUC055a</v>
      </c>
      <c r="AD39" s="361">
        <f>VLOOKUP($AC39,'2007-2020 Metadata'!$A$6:$S$214,9,FALSE)</f>
        <v>0</v>
      </c>
      <c r="AE39" s="361" t="str">
        <f>IF(ISBLANK(VLOOKUP($AC39,'2007-2020 Metadata'!$A$6:$S$214,19,FALSE)),"",VLOOKUP($AC39,'2007-2020 Metadata'!$A$6:$S$214,19,FALSE))</f>
        <v/>
      </c>
      <c r="AF39" s="360" t="str">
        <f>VLOOKUP($B39,'2007-2020 Metadata'!$A$4:$S$214,MATCH("Site type",'2007-2020 Metadata'!$A$4:$S$4,0),FALSE)</f>
        <v>Local</v>
      </c>
      <c r="AG39" s="365">
        <f t="shared" ref="AG39" si="25">MIN(AVERAGE($C$38:$C$40),AVERAGE($E$38:$E$40),AVERAGE($F$38:$F$40),AVERAGE($G$38:$G$40),AVERAGE($H$38:$H$40),AVERAGE($I$38:$I$40),AVERAGE($J$38:$J$40),AVERAGE($K$38:$K$40),AVERAGE($L$38:$L$40),AVERAGE($M$38:$M$40),AVERAGE($N$38:$N$40))</f>
        <v>5.1333333333333329</v>
      </c>
      <c r="AH39" s="365">
        <f t="shared" ref="AH39:AH40" si="26">MAX(AVERAGE($C$38:$C$40),AVERAGE($E$38:$E$40),AVERAGE($F$38:$F$40),AVERAGE($G$38:$G$40),AVERAGE($H$38:$H$40),AVERAGE($I$38:$I$40),AVERAGE($J$38:$J$40),AVERAGE($K$38:$K$40),AVERAGE($L$38:$L$40),AVERAGE($M$38:$M$40),AVERAGE($N$38:$N$40))</f>
        <v>20.266666666666666</v>
      </c>
      <c r="AI39" s="359">
        <f t="shared" si="20"/>
        <v>12.666666666666664</v>
      </c>
    </row>
    <row r="40" spans="2:35" ht="12" customHeight="1" x14ac:dyDescent="0.15">
      <c r="B40" s="313" t="s">
        <v>1032</v>
      </c>
      <c r="C40" s="309">
        <v>8</v>
      </c>
      <c r="D40" s="309">
        <v>14</v>
      </c>
      <c r="E40" s="309">
        <v>16.8</v>
      </c>
      <c r="F40" s="309">
        <v>15.9</v>
      </c>
      <c r="G40" s="309">
        <v>16</v>
      </c>
      <c r="H40" s="309">
        <v>20.2</v>
      </c>
      <c r="I40" s="309">
        <v>16.5</v>
      </c>
      <c r="J40" s="309">
        <v>13</v>
      </c>
      <c r="K40" s="309">
        <v>10.1</v>
      </c>
      <c r="L40" s="309">
        <v>9.4</v>
      </c>
      <c r="M40" s="309">
        <v>8.9</v>
      </c>
      <c r="N40" s="309">
        <v>3.7</v>
      </c>
      <c r="O40" s="310">
        <f t="shared" si="0"/>
        <v>12.708333333333334</v>
      </c>
      <c r="P40" s="310">
        <f t="shared" si="1"/>
        <v>35.597982241885987</v>
      </c>
      <c r="Q40" s="311">
        <f t="shared" si="2"/>
        <v>1</v>
      </c>
      <c r="R40" s="251">
        <f t="shared" si="12"/>
        <v>12.933333333333332</v>
      </c>
      <c r="S40" s="252">
        <f t="shared" si="15"/>
        <v>1</v>
      </c>
      <c r="T40" s="251">
        <f t="shared" si="13"/>
        <v>13.200000000000001</v>
      </c>
      <c r="U40" s="252">
        <f t="shared" si="16"/>
        <v>1</v>
      </c>
      <c r="V40" s="253">
        <f t="shared" si="14"/>
        <v>12.708333333333334</v>
      </c>
      <c r="W40" s="252">
        <f t="shared" si="17"/>
        <v>1</v>
      </c>
      <c r="X40" s="359">
        <f t="shared" si="9"/>
        <v>12.933333333333332</v>
      </c>
      <c r="Y40" s="359">
        <f t="shared" si="10"/>
        <v>13.200000000000001</v>
      </c>
      <c r="Z40" s="359">
        <f t="shared" si="11"/>
        <v>12.708333333333334</v>
      </c>
      <c r="AA40" s="366"/>
      <c r="AB40" s="357">
        <f>VLOOKUP($B40,'2007-2020 Metadata'!$A$4:$S$214,MATCH("Urban Area /Monitoring Zone",'2007-2020 Metadata'!$A$4:$S$4,0),FALSE)</f>
        <v>0</v>
      </c>
      <c r="AC40" s="255" t="str">
        <f>VLOOKUP(B40,'2007-2020 Metadata'!$A$6:$A$214,1,FALSE)</f>
        <v>AUC056a</v>
      </c>
      <c r="AD40" s="361">
        <f>VLOOKUP($AC40,'2007-2020 Metadata'!$A$6:$S$214,9,FALSE)</f>
        <v>0</v>
      </c>
      <c r="AE40" s="361" t="str">
        <f>IF(ISBLANK(VLOOKUP($AC40,'2007-2020 Metadata'!$A$6:$S$214,19,FALSE)),"",VLOOKUP($AC40,'2007-2020 Metadata'!$A$6:$S$214,19,FALSE))</f>
        <v/>
      </c>
      <c r="AF40" s="360" t="str">
        <f>VLOOKUP($B40,'2007-2020 Metadata'!$A$4:$S$214,MATCH("Site type",'2007-2020 Metadata'!$A$4:$S$4,0),FALSE)</f>
        <v>Local</v>
      </c>
      <c r="AG40" s="365">
        <f>MIN(AVERAGE($C$38:$C$40),AVERAGE($E$38:$E$40),AVERAGE($F$38:$F$40),AVERAGE($G$38:$G$40),AVERAGE($H$38:$H$40),AVERAGE($I$38:$I$40),AVERAGE($J$38:$J$40),AVERAGE($K$38:$K$40),AVERAGE($L$38:$L$40),AVERAGE($M$38:$M$40),AVERAGE($N$38:$N$40))</f>
        <v>5.1333333333333329</v>
      </c>
      <c r="AH40" s="365">
        <f t="shared" si="26"/>
        <v>20.266666666666666</v>
      </c>
      <c r="AI40" s="359">
        <f t="shared" si="20"/>
        <v>12.708333333333334</v>
      </c>
    </row>
    <row r="41" spans="2:35" ht="12" customHeight="1" x14ac:dyDescent="0.15">
      <c r="B41" s="313" t="s">
        <v>78</v>
      </c>
      <c r="C41" s="309">
        <v>3.8</v>
      </c>
      <c r="D41" s="309"/>
      <c r="E41" s="309">
        <v>7.8</v>
      </c>
      <c r="F41" s="309">
        <v>7.9</v>
      </c>
      <c r="G41" s="309">
        <v>8.8000000000000007</v>
      </c>
      <c r="H41" s="309">
        <v>9.3000000000000007</v>
      </c>
      <c r="I41" s="309">
        <v>9.1999999999999993</v>
      </c>
      <c r="J41" s="309">
        <v>7.3</v>
      </c>
      <c r="K41" s="309">
        <v>5.8</v>
      </c>
      <c r="L41" s="309">
        <v>4.4000000000000004</v>
      </c>
      <c r="M41" s="309">
        <v>4.9000000000000004</v>
      </c>
      <c r="N41" s="309">
        <v>3.1</v>
      </c>
      <c r="O41" s="310">
        <f t="shared" si="0"/>
        <v>6.5727272727272723</v>
      </c>
      <c r="P41" s="310">
        <f t="shared" si="1"/>
        <v>32.747677313461594</v>
      </c>
      <c r="Q41" s="311">
        <f t="shared" si="2"/>
        <v>0.91666666666666663</v>
      </c>
      <c r="R41" s="251">
        <f t="shared" si="12"/>
        <v>5.8</v>
      </c>
      <c r="S41" s="252">
        <f t="shared" si="15"/>
        <v>0.66666666666666663</v>
      </c>
      <c r="T41" s="251">
        <f t="shared" si="13"/>
        <v>7.4333333333333336</v>
      </c>
      <c r="U41" s="252">
        <f t="shared" si="16"/>
        <v>1</v>
      </c>
      <c r="V41" s="253">
        <f t="shared" si="14"/>
        <v>6.5727272727272723</v>
      </c>
      <c r="W41" s="252">
        <f t="shared" si="17"/>
        <v>0.91666666666666663</v>
      </c>
      <c r="X41" s="359">
        <f t="shared" si="9"/>
        <v>13.894444444444446</v>
      </c>
      <c r="Y41" s="359">
        <f t="shared" si="10"/>
        <v>15.708333333333336</v>
      </c>
      <c r="Z41" s="359">
        <f t="shared" si="11"/>
        <v>11.704848484848485</v>
      </c>
      <c r="AA41" s="366"/>
      <c r="AB41" s="357" t="str">
        <f>VLOOKUP($B41,'2007-2020 Metadata'!$A$4:$S$214,MATCH("Urban Area /Monitoring Zone",'2007-2020 Metadata'!$A$4:$S$4,0),FALSE)</f>
        <v>Auckland - Western</v>
      </c>
      <c r="AC41" s="255" t="str">
        <f>VLOOKUP(B41,'2007-2020 Metadata'!$A$6:$A$214,1,FALSE)</f>
        <v>AUC057</v>
      </c>
      <c r="AD41" s="361" t="str">
        <f>VLOOKUP($AC41,'2007-2020 Metadata'!$A$6:$S$214,9,FALSE)</f>
        <v>Waitakere</v>
      </c>
      <c r="AE41" s="361">
        <f>IF(ISBLANK(VLOOKUP($AC41,'2007-2020 Metadata'!$A$6:$S$214,19,FALSE)),"",VLOOKUP($AC41,'2007-2020 Metadata'!$A$6:$S$214,19,FALSE))</f>
        <v>3</v>
      </c>
      <c r="AF41" s="360" t="str">
        <f>VLOOKUP($B41,'2007-2020 Metadata'!$A$4:$S$214,MATCH("Site type",'2007-2020 Metadata'!$A$4:$S$4,0),FALSE)</f>
        <v>Background</v>
      </c>
      <c r="AG41" s="365">
        <f>MIN(AVERAGE($C$41:$C$43),AVERAGE($E$41:$E$43),AVERAGE($F$41:$F$43),AVERAGE($G$41:$G$43),AVERAGE($H$41:$H$43),AVERAGE($I$41:$I$43),AVERAGE($J$41:$J$43),AVERAGE($K$41:$K$43),AVERAGE($L$41:$L$43),AVERAGE($M$41:$M$43),AVERAGE($N$41:$N$43))</f>
        <v>3.4</v>
      </c>
      <c r="AH41" s="365">
        <f>MAX(AVERAGE($C$41:$C$43),AVERAGE($E$41:$E$43),AVERAGE($F$41:$F$43),AVERAGE($G$41:$G$43),AVERAGE($H$41:$H$43),AVERAGE($I$41:$I$43),AVERAGE($J$41:$J$43),AVERAGE($K$41:$K$43),AVERAGE($L$41:$L$43),AVERAGE($M$41:$M$43),AVERAGE($N$41:$N$43))</f>
        <v>10.033333333333333</v>
      </c>
      <c r="AI41" s="359">
        <f t="shared" si="20"/>
        <v>11.704848484848485</v>
      </c>
    </row>
    <row r="42" spans="2:35" ht="12" customHeight="1" x14ac:dyDescent="0.15">
      <c r="B42" s="313" t="s">
        <v>79</v>
      </c>
      <c r="C42" s="309">
        <v>3.4</v>
      </c>
      <c r="D42" s="309"/>
      <c r="E42" s="309">
        <v>8.8000000000000007</v>
      </c>
      <c r="F42" s="309">
        <v>7.8</v>
      </c>
      <c r="G42" s="309">
        <v>8.8000000000000007</v>
      </c>
      <c r="H42" s="309">
        <v>10.9</v>
      </c>
      <c r="I42" s="309">
        <v>9.1999999999999993</v>
      </c>
      <c r="J42" s="309">
        <v>7.4</v>
      </c>
      <c r="K42" s="309">
        <v>6.1</v>
      </c>
      <c r="L42" s="309">
        <v>5.2</v>
      </c>
      <c r="M42" s="309">
        <v>4.7</v>
      </c>
      <c r="N42" s="309">
        <v>4</v>
      </c>
      <c r="O42" s="310">
        <f t="shared" si="0"/>
        <v>6.9363636363636374</v>
      </c>
      <c r="P42" s="310">
        <f t="shared" si="1"/>
        <v>33.271065288475533</v>
      </c>
      <c r="Q42" s="311">
        <f t="shared" si="2"/>
        <v>0.91666666666666663</v>
      </c>
      <c r="R42" s="251">
        <f t="shared" si="12"/>
        <v>6.1000000000000005</v>
      </c>
      <c r="S42" s="252">
        <f t="shared" si="15"/>
        <v>0.66666666666666663</v>
      </c>
      <c r="T42" s="251">
        <f t="shared" si="13"/>
        <v>7.5666666666666673</v>
      </c>
      <c r="U42" s="252">
        <f t="shared" si="16"/>
        <v>1</v>
      </c>
      <c r="V42" s="253">
        <f t="shared" si="14"/>
        <v>6.9363636363636374</v>
      </c>
      <c r="W42" s="252">
        <f t="shared" si="17"/>
        <v>0.91666666666666663</v>
      </c>
      <c r="X42" s="359">
        <f t="shared" si="9"/>
        <v>13.894444444444446</v>
      </c>
      <c r="Y42" s="359">
        <f t="shared" si="10"/>
        <v>15.708333333333336</v>
      </c>
      <c r="Z42" s="359">
        <f t="shared" si="11"/>
        <v>11.704848484848485</v>
      </c>
      <c r="AA42" s="366"/>
      <c r="AB42" s="357" t="str">
        <f>VLOOKUP($B42,'2007-2020 Metadata'!$A$4:$S$214,MATCH("Urban Area /Monitoring Zone",'2007-2020 Metadata'!$A$4:$S$4,0),FALSE)</f>
        <v>Auckland - Western</v>
      </c>
      <c r="AC42" s="255" t="str">
        <f>VLOOKUP(B42,'2007-2020 Metadata'!$A$6:$A$214,1,FALSE)</f>
        <v>AUC058</v>
      </c>
      <c r="AD42" s="361" t="str">
        <f>VLOOKUP($AC42,'2007-2020 Metadata'!$A$6:$S$214,9,FALSE)</f>
        <v>Waitakere</v>
      </c>
      <c r="AE42" s="361">
        <f>IF(ISBLANK(VLOOKUP($AC42,'2007-2020 Metadata'!$A$6:$S$214,19,FALSE)),"",VLOOKUP($AC42,'2007-2020 Metadata'!$A$6:$S$214,19,FALSE))</f>
        <v>3</v>
      </c>
      <c r="AF42" s="360" t="str">
        <f>VLOOKUP($B42,'2007-2020 Metadata'!$A$4:$S$214,MATCH("Site type",'2007-2020 Metadata'!$A$4:$S$4,0),FALSE)</f>
        <v>Background</v>
      </c>
      <c r="AG42" s="365">
        <f t="shared" ref="AG42:AG43" si="27">MIN(AVERAGE($C$41:$C$43),AVERAGE($E$41:$E$43),AVERAGE($F$41:$F$43),AVERAGE($G$41:$G$43),AVERAGE($H$41:$H$43),AVERAGE($I$41:$I$43),AVERAGE($J$41:$J$43),AVERAGE($K$41:$K$43),AVERAGE($L$41:$L$43),AVERAGE($M$41:$M$43),AVERAGE($N$41:$N$43))</f>
        <v>3.4</v>
      </c>
      <c r="AH42" s="365">
        <f t="shared" ref="AH42:AH43" si="28">MAX(AVERAGE($C$41:$C$43),AVERAGE($E$41:$E$43),AVERAGE($F$41:$F$43),AVERAGE($G$41:$G$43),AVERAGE($H$41:$H$43),AVERAGE($I$41:$I$43),AVERAGE($J$41:$J$43),AVERAGE($K$41:$K$43),AVERAGE($L$41:$L$43),AVERAGE($M$41:$M$43),AVERAGE($N$41:$N$43))</f>
        <v>10.033333333333333</v>
      </c>
      <c r="AI42" s="359">
        <f t="shared" si="20"/>
        <v>11.704848484848485</v>
      </c>
    </row>
    <row r="43" spans="2:35" ht="12" customHeight="1" x14ac:dyDescent="0.15">
      <c r="B43" s="308" t="s">
        <v>80</v>
      </c>
      <c r="C43" s="309">
        <v>3.6</v>
      </c>
      <c r="D43" s="309"/>
      <c r="E43" s="309">
        <v>8.8000000000000007</v>
      </c>
      <c r="F43" s="309">
        <v>8</v>
      </c>
      <c r="G43" s="309">
        <v>9.3000000000000007</v>
      </c>
      <c r="H43" s="309">
        <v>9.9</v>
      </c>
      <c r="I43" s="309">
        <v>9.3000000000000007</v>
      </c>
      <c r="J43" s="309">
        <v>7.3</v>
      </c>
      <c r="K43" s="309">
        <v>5.9</v>
      </c>
      <c r="L43" s="309">
        <v>4.5</v>
      </c>
      <c r="M43" s="309">
        <v>4.9000000000000004</v>
      </c>
      <c r="N43" s="309">
        <v>3.1</v>
      </c>
      <c r="O43" s="310">
        <f t="shared" si="0"/>
        <v>6.7818181818181813</v>
      </c>
      <c r="P43" s="310">
        <f t="shared" si="1"/>
        <v>34.847390833288131</v>
      </c>
      <c r="Q43" s="311">
        <f t="shared" si="2"/>
        <v>0.91666666666666663</v>
      </c>
      <c r="R43" s="251">
        <f t="shared" si="12"/>
        <v>6.2</v>
      </c>
      <c r="S43" s="252">
        <f t="shared" si="15"/>
        <v>0.66666666666666663</v>
      </c>
      <c r="T43" s="251">
        <f t="shared" si="13"/>
        <v>7.5</v>
      </c>
      <c r="U43" s="252">
        <f t="shared" si="16"/>
        <v>1</v>
      </c>
      <c r="V43" s="253">
        <f t="shared" si="14"/>
        <v>6.7818181818181813</v>
      </c>
      <c r="W43" s="252">
        <f t="shared" si="17"/>
        <v>0.91666666666666663</v>
      </c>
      <c r="X43" s="359">
        <f t="shared" si="9"/>
        <v>13.894444444444446</v>
      </c>
      <c r="Y43" s="359">
        <f t="shared" si="10"/>
        <v>15.708333333333336</v>
      </c>
      <c r="Z43" s="359">
        <f t="shared" si="11"/>
        <v>11.704848484848485</v>
      </c>
      <c r="AA43" s="366"/>
      <c r="AB43" s="357" t="str">
        <f>VLOOKUP($B43,'2007-2020 Metadata'!$A$4:$S$214,MATCH("Urban Area /Monitoring Zone",'2007-2020 Metadata'!$A$4:$S$4,0),FALSE)</f>
        <v>Auckland - Western</v>
      </c>
      <c r="AC43" s="255" t="str">
        <f>VLOOKUP(B43,'2007-2020 Metadata'!$A$6:$A$214,1,FALSE)</f>
        <v>AUC059</v>
      </c>
      <c r="AD43" s="361" t="str">
        <f>VLOOKUP($AC43,'2007-2020 Metadata'!$A$6:$S$214,9,FALSE)</f>
        <v>Waitakere</v>
      </c>
      <c r="AE43" s="361">
        <f>IF(ISBLANK(VLOOKUP($AC43,'2007-2020 Metadata'!$A$6:$S$214,19,FALSE)),"",VLOOKUP($AC43,'2007-2020 Metadata'!$A$6:$S$214,19,FALSE))</f>
        <v>3</v>
      </c>
      <c r="AF43" s="360" t="str">
        <f>VLOOKUP($B43,'2007-2020 Metadata'!$A$4:$S$214,MATCH("Site type",'2007-2020 Metadata'!$A$4:$S$4,0),FALSE)</f>
        <v>Background</v>
      </c>
      <c r="AG43" s="365">
        <f t="shared" si="27"/>
        <v>3.4</v>
      </c>
      <c r="AH43" s="365">
        <f t="shared" si="28"/>
        <v>10.033333333333333</v>
      </c>
      <c r="AI43" s="359">
        <f t="shared" si="20"/>
        <v>11.704848484848485</v>
      </c>
    </row>
    <row r="44" spans="2:35" ht="12" customHeight="1" x14ac:dyDescent="0.15">
      <c r="B44" s="313" t="s">
        <v>81</v>
      </c>
      <c r="C44" s="309">
        <v>21.1</v>
      </c>
      <c r="D44" s="309">
        <v>23.6</v>
      </c>
      <c r="E44" s="309">
        <v>30.5</v>
      </c>
      <c r="F44" s="309">
        <v>32.5</v>
      </c>
      <c r="G44" s="309">
        <v>33.799999999999997</v>
      </c>
      <c r="H44" s="309">
        <v>35.799999999999997</v>
      </c>
      <c r="I44" s="309">
        <v>34.5</v>
      </c>
      <c r="J44" s="309">
        <v>32.5</v>
      </c>
      <c r="K44" s="309">
        <v>29.5</v>
      </c>
      <c r="L44" s="309">
        <v>23.9</v>
      </c>
      <c r="M44" s="309">
        <v>28</v>
      </c>
      <c r="N44" s="309">
        <v>19.7</v>
      </c>
      <c r="O44" s="310">
        <f t="shared" si="0"/>
        <v>28.783333333333331</v>
      </c>
      <c r="P44" s="310">
        <f t="shared" si="1"/>
        <v>18.247624688528081</v>
      </c>
      <c r="Q44" s="311">
        <f t="shared" si="2"/>
        <v>1</v>
      </c>
      <c r="R44" s="225">
        <f t="shared" si="12"/>
        <v>25.066666666666666</v>
      </c>
      <c r="S44" s="226">
        <f t="shared" si="15"/>
        <v>1</v>
      </c>
      <c r="T44" s="225">
        <f t="shared" si="13"/>
        <v>32.166666666666664</v>
      </c>
      <c r="U44" s="226">
        <f t="shared" si="16"/>
        <v>1</v>
      </c>
      <c r="V44" s="227">
        <f t="shared" si="14"/>
        <v>28.783333333333331</v>
      </c>
      <c r="W44" s="228">
        <f t="shared" si="17"/>
        <v>1</v>
      </c>
      <c r="X44" s="144">
        <f t="shared" si="9"/>
        <v>22.804545454545455</v>
      </c>
      <c r="Y44" s="144">
        <f t="shared" si="10"/>
        <v>28.351515151515152</v>
      </c>
      <c r="Z44" s="144">
        <f t="shared" si="11"/>
        <v>26.143515173462706</v>
      </c>
      <c r="AA44" s="205"/>
      <c r="AB44" s="357" t="str">
        <f>VLOOKUP($B44,'2007-2020 Metadata'!$A$4:$S$214,MATCH("Urban Area /Monitoring Zone",'2007-2020 Metadata'!$A$4:$S$4,0),FALSE)</f>
        <v>Auckland - Central</v>
      </c>
      <c r="AC44" s="229" t="str">
        <f>VLOOKUP(B44,'2007-2020 Metadata'!$A$6:$A$214,1,FALSE)</f>
        <v>AUC060</v>
      </c>
      <c r="AD44" s="230" t="str">
        <f>VLOOKUP($AC44,'2007-2020 Metadata'!$A$6:$S$214,9,FALSE)</f>
        <v>Auckland</v>
      </c>
      <c r="AE44" s="230">
        <f>IF(ISBLANK(VLOOKUP($AC44,'2007-2020 Metadata'!$A$6:$S$214,19,FALSE)),"",VLOOKUP($AC44,'2007-2020 Metadata'!$A$6:$S$214,19,FALSE))</f>
        <v>3</v>
      </c>
      <c r="AF44" s="88" t="str">
        <f>VLOOKUP($B44,'2007-2020 Metadata'!$A$4:$S$214,MATCH("Site type",'2007-2020 Metadata'!$A$4:$S$4,0),FALSE)</f>
        <v>Local</v>
      </c>
      <c r="AG44" s="143">
        <f t="shared" si="18"/>
        <v>19.7</v>
      </c>
      <c r="AH44" s="143">
        <f t="shared" si="19"/>
        <v>35.799999999999997</v>
      </c>
      <c r="AI44" s="144">
        <f t="shared" si="20"/>
        <v>26.143515173462706</v>
      </c>
    </row>
    <row r="45" spans="2:35" ht="12" customHeight="1" x14ac:dyDescent="0.15">
      <c r="B45" s="313" t="s">
        <v>82</v>
      </c>
      <c r="C45" s="309">
        <v>16.8</v>
      </c>
      <c r="D45" s="309">
        <v>17.3</v>
      </c>
      <c r="E45" s="309">
        <v>29.2</v>
      </c>
      <c r="F45" s="309">
        <v>26.2</v>
      </c>
      <c r="G45" s="309">
        <v>32.5</v>
      </c>
      <c r="H45" s="309">
        <v>38</v>
      </c>
      <c r="I45" s="309">
        <v>29.9</v>
      </c>
      <c r="J45" s="309">
        <v>33</v>
      </c>
      <c r="K45" s="309">
        <v>26</v>
      </c>
      <c r="L45" s="309">
        <v>20.3</v>
      </c>
      <c r="M45" s="309">
        <v>25.9</v>
      </c>
      <c r="N45" s="309">
        <v>15.1</v>
      </c>
      <c r="O45" s="310">
        <f t="shared" si="0"/>
        <v>25.849999999999998</v>
      </c>
      <c r="P45" s="310">
        <f t="shared" si="1"/>
        <v>26.710904771419418</v>
      </c>
      <c r="Q45" s="311">
        <f t="shared" si="2"/>
        <v>1</v>
      </c>
      <c r="R45" s="225">
        <f t="shared" si="12"/>
        <v>21.099999999999998</v>
      </c>
      <c r="S45" s="226">
        <f t="shared" si="15"/>
        <v>1</v>
      </c>
      <c r="T45" s="225">
        <f t="shared" si="13"/>
        <v>29.633333333333336</v>
      </c>
      <c r="U45" s="226">
        <f t="shared" si="16"/>
        <v>1</v>
      </c>
      <c r="V45" s="227">
        <f t="shared" si="14"/>
        <v>25.849999999999998</v>
      </c>
      <c r="W45" s="228">
        <f t="shared" si="17"/>
        <v>1</v>
      </c>
      <c r="X45" s="144">
        <f t="shared" si="9"/>
        <v>22.804545454545455</v>
      </c>
      <c r="Y45" s="144">
        <f t="shared" si="10"/>
        <v>28.351515151515152</v>
      </c>
      <c r="Z45" s="144">
        <f t="shared" si="11"/>
        <v>26.143515173462706</v>
      </c>
      <c r="AA45" s="205"/>
      <c r="AB45" s="357" t="str">
        <f>VLOOKUP($B45,'2007-2020 Metadata'!$A$4:$S$214,MATCH("Urban Area /Monitoring Zone",'2007-2020 Metadata'!$A$4:$S$4,0),FALSE)</f>
        <v>Auckland - Central</v>
      </c>
      <c r="AC45" s="229" t="str">
        <f>VLOOKUP(B45,'2007-2020 Metadata'!$A$6:$A$214,1,FALSE)</f>
        <v>AUC061</v>
      </c>
      <c r="AD45" s="230" t="str">
        <f>VLOOKUP($AC45,'2007-2020 Metadata'!$A$6:$S$214,9,FALSE)</f>
        <v>Auckland</v>
      </c>
      <c r="AE45" s="230">
        <f>IF(ISBLANK(VLOOKUP($AC45,'2007-2020 Metadata'!$A$6:$S$214,19,FALSE)),"",VLOOKUP($AC45,'2007-2020 Metadata'!$A$6:$S$214,19,FALSE))</f>
        <v>3</v>
      </c>
      <c r="AF45" s="88" t="str">
        <f>VLOOKUP($B45,'2007-2020 Metadata'!$A$4:$S$214,MATCH("Site type",'2007-2020 Metadata'!$A$4:$S$4,0),FALSE)</f>
        <v>Local</v>
      </c>
      <c r="AG45" s="143">
        <f t="shared" si="18"/>
        <v>15.1</v>
      </c>
      <c r="AH45" s="143">
        <f t="shared" si="19"/>
        <v>38</v>
      </c>
      <c r="AI45" s="144">
        <f t="shared" si="20"/>
        <v>26.143515173462706</v>
      </c>
    </row>
    <row r="46" spans="2:35" ht="12" customHeight="1" x14ac:dyDescent="0.15">
      <c r="B46" s="313" t="s">
        <v>83</v>
      </c>
      <c r="C46" s="309">
        <v>18.8</v>
      </c>
      <c r="D46" s="309">
        <v>23.7</v>
      </c>
      <c r="E46" s="309"/>
      <c r="F46" s="309"/>
      <c r="G46" s="309">
        <v>25.9</v>
      </c>
      <c r="H46" s="309">
        <v>28.7</v>
      </c>
      <c r="I46" s="309">
        <v>23</v>
      </c>
      <c r="J46" s="309">
        <v>23.5</v>
      </c>
      <c r="K46" s="309">
        <v>23.5</v>
      </c>
      <c r="L46" s="309">
        <v>19.3</v>
      </c>
      <c r="M46" s="309">
        <v>16.100000000000001</v>
      </c>
      <c r="N46" s="309">
        <v>14.1</v>
      </c>
      <c r="O46" s="310">
        <f t="shared" si="0"/>
        <v>21.660000000000004</v>
      </c>
      <c r="P46" s="310">
        <f t="shared" si="1"/>
        <v>19.70050869416378</v>
      </c>
      <c r="Q46" s="311">
        <f t="shared" si="2"/>
        <v>0.83333333333333337</v>
      </c>
      <c r="R46" s="225">
        <f t="shared" si="12"/>
        <v>21.25</v>
      </c>
      <c r="S46" s="226">
        <f t="shared" si="15"/>
        <v>0.66666666666666663</v>
      </c>
      <c r="T46" s="225">
        <f t="shared" si="13"/>
        <v>23.333333333333332</v>
      </c>
      <c r="U46" s="226">
        <f t="shared" si="16"/>
        <v>1</v>
      </c>
      <c r="V46" s="227">
        <f t="shared" si="14"/>
        <v>21.660000000000004</v>
      </c>
      <c r="W46" s="228">
        <f t="shared" si="17"/>
        <v>0.83333333333333337</v>
      </c>
      <c r="X46" s="144">
        <f t="shared" si="9"/>
        <v>22.804545454545455</v>
      </c>
      <c r="Y46" s="144">
        <f t="shared" si="10"/>
        <v>28.351515151515152</v>
      </c>
      <c r="Z46" s="144">
        <f t="shared" si="11"/>
        <v>26.143515173462706</v>
      </c>
      <c r="AA46" s="205"/>
      <c r="AB46" s="357" t="str">
        <f>VLOOKUP($B46,'2007-2020 Metadata'!$A$4:$S$214,MATCH("Urban Area /Monitoring Zone",'2007-2020 Metadata'!$A$4:$S$4,0),FALSE)</f>
        <v>Auckland - Central</v>
      </c>
      <c r="AC46" s="229" t="str">
        <f>VLOOKUP(B46,'2007-2020 Metadata'!$A$6:$A$214,1,FALSE)</f>
        <v>AUC062</v>
      </c>
      <c r="AD46" s="230" t="str">
        <f>VLOOKUP($AC46,'2007-2020 Metadata'!$A$6:$S$214,9,FALSE)</f>
        <v>Auckland</v>
      </c>
      <c r="AE46" s="230">
        <f>IF(ISBLANK(VLOOKUP($AC46,'2007-2020 Metadata'!$A$6:$S$214,19,FALSE)),"",VLOOKUP($AC46,'2007-2020 Metadata'!$A$6:$S$214,19,FALSE))</f>
        <v>2.5</v>
      </c>
      <c r="AF46" s="88" t="str">
        <f>VLOOKUP($B46,'2007-2020 Metadata'!$A$4:$S$214,MATCH("Site type",'2007-2020 Metadata'!$A$4:$S$4,0),FALSE)</f>
        <v>Local</v>
      </c>
      <c r="AG46" s="143">
        <f t="shared" si="18"/>
        <v>14.1</v>
      </c>
      <c r="AH46" s="143">
        <f t="shared" si="19"/>
        <v>28.7</v>
      </c>
      <c r="AI46" s="144">
        <f t="shared" si="20"/>
        <v>26.143515173462706</v>
      </c>
    </row>
    <row r="47" spans="2:35" ht="12" customHeight="1" x14ac:dyDescent="0.15">
      <c r="B47" s="313" t="s">
        <v>84</v>
      </c>
      <c r="C47" s="309">
        <v>28.9</v>
      </c>
      <c r="D47" s="309">
        <v>31.1</v>
      </c>
      <c r="E47" s="309">
        <v>31.7</v>
      </c>
      <c r="F47" s="309"/>
      <c r="G47" s="309">
        <v>29.9</v>
      </c>
      <c r="H47" s="309"/>
      <c r="I47" s="309">
        <v>30.2</v>
      </c>
      <c r="J47" s="309">
        <v>28.7</v>
      </c>
      <c r="K47" s="309"/>
      <c r="L47" s="309"/>
      <c r="M47" s="309">
        <v>25.2</v>
      </c>
      <c r="N47" s="309">
        <v>20.100000000000001</v>
      </c>
      <c r="O47" s="310">
        <f t="shared" si="0"/>
        <v>28.224999999999994</v>
      </c>
      <c r="P47" s="310">
        <f t="shared" si="1"/>
        <v>12.706273279335022</v>
      </c>
      <c r="Q47" s="311">
        <f t="shared" si="2"/>
        <v>0.66666666666666663</v>
      </c>
      <c r="R47" s="225">
        <f t="shared" si="12"/>
        <v>30.566666666666666</v>
      </c>
      <c r="S47" s="226">
        <f t="shared" si="15"/>
        <v>1</v>
      </c>
      <c r="T47" s="225">
        <f t="shared" si="13"/>
        <v>29.45</v>
      </c>
      <c r="U47" s="226">
        <f t="shared" si="16"/>
        <v>0.66666666666666663</v>
      </c>
      <c r="V47" s="227" t="str">
        <f t="shared" si="14"/>
        <v>-</v>
      </c>
      <c r="W47" s="228">
        <f t="shared" si="17"/>
        <v>0.66666666666666663</v>
      </c>
      <c r="X47" s="144">
        <f t="shared" si="9"/>
        <v>13.894444444444446</v>
      </c>
      <c r="Y47" s="144">
        <f t="shared" si="10"/>
        <v>15.708333333333336</v>
      </c>
      <c r="Z47" s="144">
        <f t="shared" si="11"/>
        <v>11.704848484848485</v>
      </c>
      <c r="AA47" s="205"/>
      <c r="AB47" s="357" t="str">
        <f>VLOOKUP($B47,'2007-2020 Metadata'!$A$4:$S$214,MATCH("Urban Area /Monitoring Zone",'2007-2020 Metadata'!$A$4:$S$4,0),FALSE)</f>
        <v>Auckland - Western</v>
      </c>
      <c r="AC47" s="229" t="str">
        <f>VLOOKUP(B47,'2007-2020 Metadata'!$A$6:$A$214,1,FALSE)</f>
        <v>AUC063</v>
      </c>
      <c r="AD47" s="230" t="str">
        <f>VLOOKUP($AC47,'2007-2020 Metadata'!$A$6:$S$214,9,FALSE)</f>
        <v>Waitakere</v>
      </c>
      <c r="AE47" s="230">
        <f>IF(ISBLANK(VLOOKUP($AC47,'2007-2020 Metadata'!$A$6:$S$214,19,FALSE)),"",VLOOKUP($AC47,'2007-2020 Metadata'!$A$6:$S$214,19,FALSE))</f>
        <v>3</v>
      </c>
      <c r="AF47" s="88" t="str">
        <f>VLOOKUP($B47,'2007-2020 Metadata'!$A$4:$S$214,MATCH("Site type",'2007-2020 Metadata'!$A$4:$S$4,0),FALSE)</f>
        <v>Local</v>
      </c>
      <c r="AG47" s="143">
        <f t="shared" si="18"/>
        <v>20.100000000000001</v>
      </c>
      <c r="AH47" s="143">
        <f t="shared" si="19"/>
        <v>31.7</v>
      </c>
      <c r="AI47" s="144" t="str">
        <f t="shared" si="20"/>
        <v xml:space="preserve"> </v>
      </c>
    </row>
    <row r="48" spans="2:35" ht="12" customHeight="1" x14ac:dyDescent="0.15">
      <c r="B48" s="313" t="s">
        <v>85</v>
      </c>
      <c r="C48" s="309">
        <v>9.6999999999999993</v>
      </c>
      <c r="D48" s="309">
        <v>14.9</v>
      </c>
      <c r="E48" s="309">
        <v>22.2</v>
      </c>
      <c r="F48" s="309">
        <v>22.6</v>
      </c>
      <c r="G48" s="309">
        <v>26.6</v>
      </c>
      <c r="H48" s="309">
        <v>27.7</v>
      </c>
      <c r="I48" s="309">
        <v>26.3</v>
      </c>
      <c r="J48" s="309">
        <v>21.8</v>
      </c>
      <c r="K48" s="309">
        <v>16.5</v>
      </c>
      <c r="L48" s="309"/>
      <c r="M48" s="309"/>
      <c r="N48" s="309"/>
      <c r="O48" s="310">
        <f t="shared" si="0"/>
        <v>20.922222222222224</v>
      </c>
      <c r="P48" s="310">
        <f t="shared" si="1"/>
        <v>27.321239462594889</v>
      </c>
      <c r="Q48" s="311">
        <f t="shared" si="2"/>
        <v>0.75</v>
      </c>
      <c r="R48" s="225">
        <f t="shared" si="12"/>
        <v>15.6</v>
      </c>
      <c r="S48" s="226">
        <f t="shared" si="15"/>
        <v>1</v>
      </c>
      <c r="T48" s="225">
        <f t="shared" si="13"/>
        <v>21.533333333333331</v>
      </c>
      <c r="U48" s="226">
        <f t="shared" si="16"/>
        <v>1</v>
      </c>
      <c r="V48" s="227">
        <f t="shared" si="14"/>
        <v>20.922222222222224</v>
      </c>
      <c r="W48" s="228">
        <f t="shared" si="17"/>
        <v>0.75</v>
      </c>
      <c r="X48" s="144">
        <f t="shared" si="9"/>
        <v>22.804545454545455</v>
      </c>
      <c r="Y48" s="144">
        <f t="shared" si="10"/>
        <v>28.351515151515152</v>
      </c>
      <c r="Z48" s="144">
        <f t="shared" si="11"/>
        <v>26.143515173462706</v>
      </c>
      <c r="AA48" s="205"/>
      <c r="AB48" s="357" t="str">
        <f>VLOOKUP($B48,'2007-2020 Metadata'!$A$4:$S$214,MATCH("Urban Area /Monitoring Zone",'2007-2020 Metadata'!$A$4:$S$4,0),FALSE)</f>
        <v>Auckland - Central</v>
      </c>
      <c r="AC48" s="229" t="str">
        <f>VLOOKUP(B48,'2007-2020 Metadata'!$A$6:$A$214,1,FALSE)</f>
        <v>AUC064</v>
      </c>
      <c r="AD48" s="230" t="str">
        <f>VLOOKUP($AC48,'2007-2020 Metadata'!$A$6:$S$214,9,FALSE)</f>
        <v>Auckland</v>
      </c>
      <c r="AE48" s="230">
        <f>IF(ISBLANK(VLOOKUP($AC48,'2007-2020 Metadata'!$A$6:$S$214,19,FALSE)),"",VLOOKUP($AC48,'2007-2020 Metadata'!$A$6:$S$214,19,FALSE))</f>
        <v>3</v>
      </c>
      <c r="AF48" s="88" t="str">
        <f>VLOOKUP($B48,'2007-2020 Metadata'!$A$4:$S$214,MATCH("Site type",'2007-2020 Metadata'!$A$4:$S$4,0),FALSE)</f>
        <v>Local</v>
      </c>
      <c r="AG48" s="143">
        <f t="shared" si="18"/>
        <v>9.6999999999999993</v>
      </c>
      <c r="AH48" s="143">
        <f t="shared" si="19"/>
        <v>27.7</v>
      </c>
      <c r="AI48" s="144">
        <f t="shared" si="20"/>
        <v>26.143515173462706</v>
      </c>
    </row>
    <row r="49" spans="2:35" ht="12" customHeight="1" x14ac:dyDescent="0.15">
      <c r="B49" s="313" t="s">
        <v>86</v>
      </c>
      <c r="C49" s="309">
        <v>18.399999999999999</v>
      </c>
      <c r="D49" s="309">
        <v>22.8</v>
      </c>
      <c r="E49" s="309">
        <v>24.2</v>
      </c>
      <c r="F49" s="309">
        <v>34</v>
      </c>
      <c r="G49" s="309">
        <v>28.7</v>
      </c>
      <c r="H49" s="309">
        <v>35.9</v>
      </c>
      <c r="I49" s="309">
        <v>36.1</v>
      </c>
      <c r="J49" s="309">
        <v>32.5</v>
      </c>
      <c r="K49" s="309">
        <v>27.5</v>
      </c>
      <c r="L49" s="309">
        <v>23.9</v>
      </c>
      <c r="M49" s="309">
        <v>25.1</v>
      </c>
      <c r="N49" s="309">
        <v>19</v>
      </c>
      <c r="O49" s="310">
        <f t="shared" si="0"/>
        <v>27.341666666666669</v>
      </c>
      <c r="P49" s="310">
        <f t="shared" si="1"/>
        <v>21.629073870461436</v>
      </c>
      <c r="Q49" s="311">
        <f t="shared" si="2"/>
        <v>1</v>
      </c>
      <c r="R49" s="225">
        <f t="shared" si="12"/>
        <v>21.8</v>
      </c>
      <c r="S49" s="226">
        <f t="shared" si="15"/>
        <v>1</v>
      </c>
      <c r="T49" s="225">
        <f t="shared" si="13"/>
        <v>32.033333333333331</v>
      </c>
      <c r="U49" s="226">
        <f t="shared" si="16"/>
        <v>1</v>
      </c>
      <c r="V49" s="227">
        <f t="shared" si="14"/>
        <v>27.341666666666669</v>
      </c>
      <c r="W49" s="228">
        <f t="shared" si="17"/>
        <v>1</v>
      </c>
      <c r="X49" s="144">
        <f t="shared" si="9"/>
        <v>18.087499999999999</v>
      </c>
      <c r="Y49" s="144">
        <f t="shared" si="10"/>
        <v>23.0625</v>
      </c>
      <c r="Z49" s="144">
        <f t="shared" si="11"/>
        <v>20.446969696969695</v>
      </c>
      <c r="AA49" s="205"/>
      <c r="AB49" s="357" t="str">
        <f>VLOOKUP($B49,'2007-2020 Metadata'!$A$4:$S$214,MATCH("Urban Area /Monitoring Zone",'2007-2020 Metadata'!$A$4:$S$4,0),FALSE)</f>
        <v xml:space="preserve">Auckland - Southern </v>
      </c>
      <c r="AC49" s="229" t="str">
        <f>VLOOKUP(B49,'2007-2020 Metadata'!$A$6:$A$214,1,FALSE)</f>
        <v>AUC067</v>
      </c>
      <c r="AD49" s="230" t="str">
        <f>VLOOKUP($AC49,'2007-2020 Metadata'!$A$6:$S$214,9,FALSE)</f>
        <v>Manukau</v>
      </c>
      <c r="AE49" s="230">
        <f>IF(ISBLANK(VLOOKUP($AC49,'2007-2020 Metadata'!$A$6:$S$214,19,FALSE)),"",VLOOKUP($AC49,'2007-2020 Metadata'!$A$6:$S$214,19,FALSE))</f>
        <v>3</v>
      </c>
      <c r="AF49" s="88" t="str">
        <f>VLOOKUP($B49,'2007-2020 Metadata'!$A$4:$S$214,MATCH("Site type",'2007-2020 Metadata'!$A$4:$S$4,0),FALSE)</f>
        <v>SH</v>
      </c>
      <c r="AG49" s="143">
        <f t="shared" si="18"/>
        <v>18.399999999999999</v>
      </c>
      <c r="AH49" s="143">
        <f t="shared" si="19"/>
        <v>36.1</v>
      </c>
      <c r="AI49" s="144">
        <f t="shared" si="20"/>
        <v>20.446969696969695</v>
      </c>
    </row>
    <row r="50" spans="2:35" ht="12" customHeight="1" x14ac:dyDescent="0.15">
      <c r="B50" s="313" t="s">
        <v>88</v>
      </c>
      <c r="C50" s="309">
        <v>15.4</v>
      </c>
      <c r="D50" s="309">
        <v>20.6</v>
      </c>
      <c r="E50" s="309">
        <v>29.3</v>
      </c>
      <c r="F50" s="309">
        <v>28.1</v>
      </c>
      <c r="G50" s="309">
        <v>29.2</v>
      </c>
      <c r="H50" s="309">
        <v>33.200000000000003</v>
      </c>
      <c r="I50" s="309">
        <v>31.2</v>
      </c>
      <c r="J50" s="309">
        <v>29.1</v>
      </c>
      <c r="K50" s="309">
        <v>18.600000000000001</v>
      </c>
      <c r="L50" s="309">
        <v>17.600000000000001</v>
      </c>
      <c r="M50" s="309">
        <v>21</v>
      </c>
      <c r="N50" s="309">
        <v>13.9</v>
      </c>
      <c r="O50" s="310">
        <f t="shared" si="0"/>
        <v>23.933333333333326</v>
      </c>
      <c r="P50" s="310">
        <f t="shared" si="1"/>
        <v>26.998311769179246</v>
      </c>
      <c r="Q50" s="311">
        <f t="shared" si="2"/>
        <v>1</v>
      </c>
      <c r="R50" s="225">
        <f t="shared" si="12"/>
        <v>21.766666666666666</v>
      </c>
      <c r="S50" s="226">
        <f t="shared" si="15"/>
        <v>1</v>
      </c>
      <c r="T50" s="225">
        <f t="shared" si="13"/>
        <v>26.3</v>
      </c>
      <c r="U50" s="226">
        <f t="shared" si="16"/>
        <v>1</v>
      </c>
      <c r="V50" s="227">
        <f t="shared" si="14"/>
        <v>23.933333333333326</v>
      </c>
      <c r="W50" s="228">
        <f t="shared" si="17"/>
        <v>1</v>
      </c>
      <c r="X50" s="144">
        <f t="shared" si="9"/>
        <v>18.087499999999999</v>
      </c>
      <c r="Y50" s="144">
        <f t="shared" si="10"/>
        <v>23.0625</v>
      </c>
      <c r="Z50" s="144">
        <f t="shared" si="11"/>
        <v>20.446969696969695</v>
      </c>
      <c r="AA50" s="205"/>
      <c r="AB50" s="357" t="str">
        <f>VLOOKUP($B50,'2007-2020 Metadata'!$A$4:$S$214,MATCH("Urban Area /Monitoring Zone",'2007-2020 Metadata'!$A$4:$S$4,0),FALSE)</f>
        <v xml:space="preserve">Auckland - Southern </v>
      </c>
      <c r="AC50" s="229" t="str">
        <f>VLOOKUP(B50,'2007-2020 Metadata'!$A$6:$A$214,1,FALSE)</f>
        <v>AUC069</v>
      </c>
      <c r="AD50" s="230" t="str">
        <f>VLOOKUP($AC50,'2007-2020 Metadata'!$A$6:$S$214,9,FALSE)</f>
        <v>Manukau</v>
      </c>
      <c r="AE50" s="230">
        <f>IF(ISBLANK(VLOOKUP($AC50,'2007-2020 Metadata'!$A$6:$S$214,19,FALSE)),"",VLOOKUP($AC50,'2007-2020 Metadata'!$A$6:$S$214,19,FALSE))</f>
        <v>3</v>
      </c>
      <c r="AF50" s="88" t="str">
        <f>VLOOKUP($B50,'2007-2020 Metadata'!$A$4:$S$214,MATCH("Site type",'2007-2020 Metadata'!$A$4:$S$4,0),FALSE)</f>
        <v>Local</v>
      </c>
      <c r="AG50" s="143">
        <f t="shared" si="18"/>
        <v>13.9</v>
      </c>
      <c r="AH50" s="143">
        <f t="shared" si="19"/>
        <v>33.200000000000003</v>
      </c>
      <c r="AI50" s="144">
        <f t="shared" si="20"/>
        <v>20.446969696969695</v>
      </c>
    </row>
    <row r="51" spans="2:35" ht="12" customHeight="1" x14ac:dyDescent="0.15">
      <c r="B51" s="313" t="s">
        <v>89</v>
      </c>
      <c r="C51" s="309">
        <v>15.1</v>
      </c>
      <c r="D51" s="309">
        <v>18.7</v>
      </c>
      <c r="E51" s="309">
        <v>17.5</v>
      </c>
      <c r="F51" s="309">
        <v>17.8</v>
      </c>
      <c r="G51" s="309">
        <v>21.5</v>
      </c>
      <c r="H51" s="309">
        <v>20.5</v>
      </c>
      <c r="I51" s="309">
        <v>20.6</v>
      </c>
      <c r="J51" s="309">
        <v>21.2</v>
      </c>
      <c r="K51" s="309">
        <v>17.100000000000001</v>
      </c>
      <c r="L51" s="309">
        <v>15.9</v>
      </c>
      <c r="M51" s="309">
        <v>13.2</v>
      </c>
      <c r="N51" s="309">
        <v>11.9</v>
      </c>
      <c r="O51" s="310">
        <f t="shared" si="0"/>
        <v>17.583333333333332</v>
      </c>
      <c r="P51" s="310">
        <f t="shared" si="1"/>
        <v>17.067666118920048</v>
      </c>
      <c r="Q51" s="311">
        <f t="shared" si="2"/>
        <v>1</v>
      </c>
      <c r="R51" s="225">
        <f t="shared" si="12"/>
        <v>17.099999999999998</v>
      </c>
      <c r="S51" s="226">
        <f t="shared" si="15"/>
        <v>1</v>
      </c>
      <c r="T51" s="225">
        <f t="shared" si="13"/>
        <v>19.633333333333333</v>
      </c>
      <c r="U51" s="226">
        <f t="shared" si="16"/>
        <v>1</v>
      </c>
      <c r="V51" s="227">
        <f t="shared" si="14"/>
        <v>17.583333333333332</v>
      </c>
      <c r="W51" s="228">
        <f t="shared" si="17"/>
        <v>1</v>
      </c>
      <c r="X51" s="144">
        <f t="shared" si="9"/>
        <v>18.087499999999999</v>
      </c>
      <c r="Y51" s="144">
        <f t="shared" si="10"/>
        <v>23.0625</v>
      </c>
      <c r="Z51" s="144">
        <f t="shared" si="11"/>
        <v>20.446969696969695</v>
      </c>
      <c r="AA51" s="205"/>
      <c r="AB51" s="357" t="str">
        <f>VLOOKUP($B51,'2007-2020 Metadata'!$A$4:$S$214,MATCH("Urban Area /Monitoring Zone",'2007-2020 Metadata'!$A$4:$S$4,0),FALSE)</f>
        <v xml:space="preserve">Auckland - Southern </v>
      </c>
      <c r="AC51" s="229" t="str">
        <f>VLOOKUP(B51,'2007-2020 Metadata'!$A$6:$A$214,1,FALSE)</f>
        <v>AUC070</v>
      </c>
      <c r="AD51" s="230" t="str">
        <f>VLOOKUP($AC51,'2007-2020 Metadata'!$A$6:$S$214,9,FALSE)</f>
        <v>Manukau</v>
      </c>
      <c r="AE51" s="230">
        <f>IF(ISBLANK(VLOOKUP($AC51,'2007-2020 Metadata'!$A$6:$S$214,19,FALSE)),"",VLOOKUP($AC51,'2007-2020 Metadata'!$A$6:$S$214,19,FALSE))</f>
        <v>2.5</v>
      </c>
      <c r="AF51" s="88" t="str">
        <f>VLOOKUP($B51,'2007-2020 Metadata'!$A$4:$S$214,MATCH("Site type",'2007-2020 Metadata'!$A$4:$S$4,0),FALSE)</f>
        <v>Local</v>
      </c>
      <c r="AG51" s="143">
        <f t="shared" si="18"/>
        <v>11.9</v>
      </c>
      <c r="AH51" s="143">
        <f t="shared" si="19"/>
        <v>21.5</v>
      </c>
      <c r="AI51" s="144">
        <f t="shared" si="20"/>
        <v>20.446969696969695</v>
      </c>
    </row>
    <row r="52" spans="2:35" ht="12" customHeight="1" x14ac:dyDescent="0.15">
      <c r="B52" s="313" t="s">
        <v>1040</v>
      </c>
      <c r="C52" s="309">
        <v>17.3</v>
      </c>
      <c r="D52" s="309">
        <v>22.1</v>
      </c>
      <c r="E52" s="309">
        <v>24.2</v>
      </c>
      <c r="F52" s="309">
        <v>26.4</v>
      </c>
      <c r="G52" s="309">
        <v>30.7</v>
      </c>
      <c r="H52" s="309">
        <v>39.299999999999997</v>
      </c>
      <c r="I52" s="309">
        <v>35.4</v>
      </c>
      <c r="J52" s="309">
        <v>31.2</v>
      </c>
      <c r="K52" s="309">
        <v>26.2</v>
      </c>
      <c r="L52" s="309">
        <v>19.2</v>
      </c>
      <c r="M52" s="309">
        <v>21.1</v>
      </c>
      <c r="N52" s="309">
        <v>16.8</v>
      </c>
      <c r="O52" s="310">
        <f t="shared" si="0"/>
        <v>25.825000000000003</v>
      </c>
      <c r="P52" s="310">
        <f t="shared" si="1"/>
        <v>26.528748072498253</v>
      </c>
      <c r="Q52" s="311">
        <f t="shared" si="2"/>
        <v>1</v>
      </c>
      <c r="R52" s="225">
        <f t="shared" si="12"/>
        <v>21.200000000000003</v>
      </c>
      <c r="S52" s="226">
        <f t="shared" si="15"/>
        <v>1</v>
      </c>
      <c r="T52" s="225">
        <f t="shared" si="13"/>
        <v>30.933333333333334</v>
      </c>
      <c r="U52" s="226">
        <f t="shared" si="16"/>
        <v>1</v>
      </c>
      <c r="V52" s="227">
        <f t="shared" si="14"/>
        <v>25.825000000000003</v>
      </c>
      <c r="W52" s="228">
        <f t="shared" si="17"/>
        <v>1</v>
      </c>
      <c r="X52" s="144">
        <f t="shared" si="9"/>
        <v>21.200000000000003</v>
      </c>
      <c r="Y52" s="144">
        <f t="shared" si="10"/>
        <v>30.933333333333334</v>
      </c>
      <c r="Z52" s="144">
        <f t="shared" si="11"/>
        <v>25.825000000000003</v>
      </c>
      <c r="AA52" s="205"/>
      <c r="AB52" s="357">
        <f>VLOOKUP($B52,'2007-2020 Metadata'!$A$4:$S$214,MATCH("Urban Area /Monitoring Zone",'2007-2020 Metadata'!$A$4:$S$4,0),FALSE)</f>
        <v>0</v>
      </c>
      <c r="AC52" s="229" t="str">
        <f>VLOOKUP(B52,'2007-2020 Metadata'!$A$6:$A$214,1,FALSE)</f>
        <v>AUC071a</v>
      </c>
      <c r="AD52" s="230">
        <f>VLOOKUP($AC52,'2007-2020 Metadata'!$A$6:$S$214,9,FALSE)</f>
        <v>0</v>
      </c>
      <c r="AE52" s="230" t="str">
        <f>IF(ISBLANK(VLOOKUP($AC52,'2007-2020 Metadata'!$A$6:$S$214,19,FALSE)),"",VLOOKUP($AC52,'2007-2020 Metadata'!$A$6:$S$214,19,FALSE))</f>
        <v/>
      </c>
      <c r="AF52" s="88" t="str">
        <f>VLOOKUP($B52,'2007-2020 Metadata'!$A$4:$S$214,MATCH("Site type",'2007-2020 Metadata'!$A$4:$S$4,0),FALSE)</f>
        <v>Local</v>
      </c>
      <c r="AG52" s="143">
        <f t="shared" si="18"/>
        <v>16.8</v>
      </c>
      <c r="AH52" s="143">
        <f t="shared" si="19"/>
        <v>39.299999999999997</v>
      </c>
      <c r="AI52" s="144">
        <f t="shared" si="20"/>
        <v>25.825000000000003</v>
      </c>
    </row>
    <row r="53" spans="2:35" ht="12" customHeight="1" x14ac:dyDescent="0.15">
      <c r="B53" s="313" t="s">
        <v>91</v>
      </c>
      <c r="C53" s="309">
        <v>15.6</v>
      </c>
      <c r="D53" s="309">
        <v>23.5</v>
      </c>
      <c r="E53" s="309">
        <v>18</v>
      </c>
      <c r="F53" s="309">
        <v>24.3</v>
      </c>
      <c r="G53" s="309">
        <v>22.8</v>
      </c>
      <c r="H53" s="309">
        <v>25.6</v>
      </c>
      <c r="I53" s="309">
        <v>22.5</v>
      </c>
      <c r="J53" s="309">
        <v>22.4</v>
      </c>
      <c r="K53" s="309">
        <v>20.5</v>
      </c>
      <c r="L53" s="309">
        <v>21</v>
      </c>
      <c r="M53" s="309">
        <v>14.7</v>
      </c>
      <c r="N53" s="309">
        <v>9</v>
      </c>
      <c r="O53" s="310">
        <f t="shared" si="0"/>
        <v>19.991666666666667</v>
      </c>
      <c r="P53" s="310">
        <f t="shared" si="1"/>
        <v>23.087800749868745</v>
      </c>
      <c r="Q53" s="311">
        <f t="shared" si="2"/>
        <v>1</v>
      </c>
      <c r="R53" s="225">
        <f t="shared" si="12"/>
        <v>19.033333333333335</v>
      </c>
      <c r="S53" s="226">
        <f t="shared" si="15"/>
        <v>1</v>
      </c>
      <c r="T53" s="225">
        <f t="shared" si="13"/>
        <v>21.8</v>
      </c>
      <c r="U53" s="226">
        <f t="shared" si="16"/>
        <v>1</v>
      </c>
      <c r="V53" s="227">
        <f t="shared" si="14"/>
        <v>19.991666666666667</v>
      </c>
      <c r="W53" s="228">
        <f t="shared" si="17"/>
        <v>1</v>
      </c>
      <c r="X53" s="144">
        <f t="shared" si="9"/>
        <v>18.087499999999999</v>
      </c>
      <c r="Y53" s="144">
        <f t="shared" si="10"/>
        <v>23.0625</v>
      </c>
      <c r="Z53" s="144">
        <f t="shared" si="11"/>
        <v>20.446969696969695</v>
      </c>
      <c r="AA53" s="205"/>
      <c r="AB53" s="357" t="str">
        <f>VLOOKUP($B53,'2007-2020 Metadata'!$A$4:$S$214,MATCH("Urban Area /Monitoring Zone",'2007-2020 Metadata'!$A$4:$S$4,0),FALSE)</f>
        <v xml:space="preserve">Auckland - Southern </v>
      </c>
      <c r="AC53" s="229" t="str">
        <f>VLOOKUP(B53,'2007-2020 Metadata'!$A$6:$A$214,1,FALSE)</f>
        <v>AUC072</v>
      </c>
      <c r="AD53" s="230" t="str">
        <f>VLOOKUP($AC53,'2007-2020 Metadata'!$A$6:$S$214,9,FALSE)</f>
        <v>Manukau</v>
      </c>
      <c r="AE53" s="230">
        <f>IF(ISBLANK(VLOOKUP($AC53,'2007-2020 Metadata'!$A$6:$S$214,19,FALSE)),"",VLOOKUP($AC53,'2007-2020 Metadata'!$A$6:$S$214,19,FALSE))</f>
        <v>3</v>
      </c>
      <c r="AF53" s="88" t="str">
        <f>VLOOKUP($B53,'2007-2020 Metadata'!$A$4:$S$214,MATCH("Site type",'2007-2020 Metadata'!$A$4:$S$4,0),FALSE)</f>
        <v>Local</v>
      </c>
      <c r="AG53" s="143">
        <f t="shared" si="18"/>
        <v>9</v>
      </c>
      <c r="AH53" s="143">
        <f t="shared" si="19"/>
        <v>25.6</v>
      </c>
      <c r="AI53" s="144">
        <f t="shared" si="20"/>
        <v>20.446969696969695</v>
      </c>
    </row>
    <row r="54" spans="2:35" ht="12" customHeight="1" x14ac:dyDescent="0.15">
      <c r="B54" s="313" t="s">
        <v>92</v>
      </c>
      <c r="C54" s="309">
        <v>7</v>
      </c>
      <c r="D54" s="309">
        <v>10.1</v>
      </c>
      <c r="E54" s="309">
        <v>9.6</v>
      </c>
      <c r="F54" s="309">
        <v>17.100000000000001</v>
      </c>
      <c r="G54" s="309">
        <v>15.3</v>
      </c>
      <c r="H54" s="309">
        <v>19.600000000000001</v>
      </c>
      <c r="I54" s="309">
        <v>16.899999999999999</v>
      </c>
      <c r="J54" s="309">
        <v>14.8</v>
      </c>
      <c r="K54" s="309">
        <v>11.8</v>
      </c>
      <c r="L54" s="309">
        <v>10.3</v>
      </c>
      <c r="M54" s="309">
        <v>8.6</v>
      </c>
      <c r="N54" s="309">
        <v>7.2</v>
      </c>
      <c r="O54" s="310">
        <f t="shared" si="0"/>
        <v>12.358333333333334</v>
      </c>
      <c r="P54" s="310">
        <f t="shared" si="1"/>
        <v>32.77466969010456</v>
      </c>
      <c r="Q54" s="311">
        <f t="shared" si="2"/>
        <v>1</v>
      </c>
      <c r="R54" s="225">
        <f t="shared" si="12"/>
        <v>8.9</v>
      </c>
      <c r="S54" s="226">
        <f t="shared" si="15"/>
        <v>1</v>
      </c>
      <c r="T54" s="225">
        <f t="shared" si="13"/>
        <v>14.5</v>
      </c>
      <c r="U54" s="226">
        <f t="shared" si="16"/>
        <v>1</v>
      </c>
      <c r="V54" s="227">
        <f t="shared" si="14"/>
        <v>12.358333333333334</v>
      </c>
      <c r="W54" s="228">
        <f t="shared" si="17"/>
        <v>1</v>
      </c>
      <c r="X54" s="144">
        <f t="shared" si="9"/>
        <v>18.087499999999999</v>
      </c>
      <c r="Y54" s="144">
        <f t="shared" si="10"/>
        <v>23.0625</v>
      </c>
      <c r="Z54" s="144">
        <f t="shared" si="11"/>
        <v>20.446969696969695</v>
      </c>
      <c r="AA54" s="205"/>
      <c r="AB54" s="357" t="str">
        <f>VLOOKUP($B54,'2007-2020 Metadata'!$A$4:$S$214,MATCH("Urban Area /Monitoring Zone",'2007-2020 Metadata'!$A$4:$S$4,0),FALSE)</f>
        <v xml:space="preserve">Auckland - Southern </v>
      </c>
      <c r="AC54" s="229" t="str">
        <f>VLOOKUP(B54,'2007-2020 Metadata'!$A$6:$A$214,1,FALSE)</f>
        <v>AUC073</v>
      </c>
      <c r="AD54" s="230" t="str">
        <f>VLOOKUP($AC54,'2007-2020 Metadata'!$A$6:$S$214,9,FALSE)</f>
        <v>Manukau</v>
      </c>
      <c r="AE54" s="230">
        <f>IF(ISBLANK(VLOOKUP($AC54,'2007-2020 Metadata'!$A$6:$S$214,19,FALSE)),"",VLOOKUP($AC54,'2007-2020 Metadata'!$A$6:$S$214,19,FALSE))</f>
        <v>3</v>
      </c>
      <c r="AF54" s="88" t="str">
        <f>VLOOKUP($B54,'2007-2020 Metadata'!$A$4:$S$214,MATCH("Site type",'2007-2020 Metadata'!$A$4:$S$4,0),FALSE)</f>
        <v>Background</v>
      </c>
      <c r="AG54" s="143">
        <f t="shared" si="18"/>
        <v>7</v>
      </c>
      <c r="AH54" s="143">
        <f t="shared" si="19"/>
        <v>19.600000000000001</v>
      </c>
      <c r="AI54" s="144">
        <f t="shared" si="20"/>
        <v>20.446969696969695</v>
      </c>
    </row>
    <row r="55" spans="2:35" ht="12" customHeight="1" x14ac:dyDescent="0.15">
      <c r="B55" s="313" t="s">
        <v>499</v>
      </c>
      <c r="C55" s="309"/>
      <c r="D55" s="309"/>
      <c r="E55" s="309">
        <v>16.399999999999999</v>
      </c>
      <c r="F55" s="309"/>
      <c r="G55" s="309">
        <v>19</v>
      </c>
      <c r="H55" s="309">
        <v>22.9</v>
      </c>
      <c r="I55" s="309"/>
      <c r="J55" s="309"/>
      <c r="K55" s="309"/>
      <c r="L55" s="309">
        <v>12.9</v>
      </c>
      <c r="M55" s="309"/>
      <c r="N55" s="309"/>
      <c r="O55" s="310">
        <f t="shared" si="0"/>
        <v>17.8</v>
      </c>
      <c r="P55" s="310">
        <f t="shared" si="1"/>
        <v>20.530614286091662</v>
      </c>
      <c r="Q55" s="311">
        <f t="shared" si="2"/>
        <v>0.33333333333333331</v>
      </c>
      <c r="R55" s="225" t="str">
        <f t="shared" si="12"/>
        <v>-</v>
      </c>
      <c r="S55" s="226">
        <f t="shared" si="15"/>
        <v>0.33333333333333331</v>
      </c>
      <c r="T55" s="225" t="str">
        <f t="shared" si="13"/>
        <v/>
      </c>
      <c r="U55" s="226">
        <f t="shared" si="16"/>
        <v>0</v>
      </c>
      <c r="V55" s="227" t="str">
        <f t="shared" si="14"/>
        <v>-</v>
      </c>
      <c r="W55" s="228">
        <f t="shared" si="17"/>
        <v>0.33333333333333331</v>
      </c>
      <c r="X55" s="144">
        <f t="shared" si="9"/>
        <v>13.894444444444446</v>
      </c>
      <c r="Y55" s="144">
        <f t="shared" si="10"/>
        <v>15.708333333333336</v>
      </c>
      <c r="Z55" s="144">
        <f t="shared" si="11"/>
        <v>11.704848484848485</v>
      </c>
      <c r="AA55" s="205"/>
      <c r="AB55" s="357" t="str">
        <f>VLOOKUP($B55,'2007-2020 Metadata'!$A$4:$S$214,MATCH("Urban Area /Monitoring Zone",'2007-2020 Metadata'!$A$4:$S$4,0),FALSE)</f>
        <v>Auckland - Western</v>
      </c>
      <c r="AC55" s="229" t="str">
        <f>VLOOKUP(B55,'2007-2020 Metadata'!$A$6:$A$214,1,FALSE)</f>
        <v>AUC115</v>
      </c>
      <c r="AD55" s="230" t="str">
        <f>VLOOKUP($AC55,'2007-2020 Metadata'!$A$6:$S$214,9,FALSE)</f>
        <v>Waitakere</v>
      </c>
      <c r="AE55" s="230">
        <f>IF(ISBLANK(VLOOKUP($AC55,'2007-2020 Metadata'!$A$6:$S$214,19,FALSE)),"",VLOOKUP($AC55,'2007-2020 Metadata'!$A$6:$S$214,19,FALSE))</f>
        <v>3</v>
      </c>
      <c r="AF55" s="88" t="str">
        <f>VLOOKUP($B55,'2007-2020 Metadata'!$A$4:$S$214,MATCH("Site type",'2007-2020 Metadata'!$A$4:$S$4,0),FALSE)</f>
        <v>SH</v>
      </c>
      <c r="AG55" s="143">
        <f t="shared" si="18"/>
        <v>12.9</v>
      </c>
      <c r="AH55" s="143">
        <f t="shared" si="19"/>
        <v>22.9</v>
      </c>
      <c r="AI55" s="144" t="str">
        <f t="shared" si="20"/>
        <v xml:space="preserve"> </v>
      </c>
    </row>
    <row r="56" spans="2:35" ht="12" customHeight="1" x14ac:dyDescent="0.15">
      <c r="B56" s="313" t="s">
        <v>93</v>
      </c>
      <c r="C56" s="309">
        <v>20.8</v>
      </c>
      <c r="D56" s="309">
        <v>25.9</v>
      </c>
      <c r="E56" s="309">
        <v>36</v>
      </c>
      <c r="F56" s="309">
        <v>35.799999999999997</v>
      </c>
      <c r="G56" s="309">
        <v>36.799999999999997</v>
      </c>
      <c r="H56" s="309">
        <v>41.6</v>
      </c>
      <c r="I56" s="309">
        <v>40.5</v>
      </c>
      <c r="J56" s="309">
        <v>42</v>
      </c>
      <c r="K56" s="309">
        <v>32.6</v>
      </c>
      <c r="L56" s="309">
        <v>25.2</v>
      </c>
      <c r="M56" s="309">
        <v>32</v>
      </c>
      <c r="N56" s="309">
        <v>19.5</v>
      </c>
      <c r="O56" s="310">
        <f t="shared" si="0"/>
        <v>32.391666666666666</v>
      </c>
      <c r="P56" s="310">
        <f t="shared" si="1"/>
        <v>23.266158262520012</v>
      </c>
      <c r="Q56" s="311">
        <f t="shared" si="2"/>
        <v>1</v>
      </c>
      <c r="R56" s="225">
        <f t="shared" si="12"/>
        <v>27.566666666666666</v>
      </c>
      <c r="S56" s="226">
        <f t="shared" si="15"/>
        <v>1</v>
      </c>
      <c r="T56" s="225">
        <f t="shared" si="13"/>
        <v>38.366666666666667</v>
      </c>
      <c r="U56" s="226">
        <f t="shared" si="16"/>
        <v>1</v>
      </c>
      <c r="V56" s="227">
        <f t="shared" si="14"/>
        <v>32.391666666666666</v>
      </c>
      <c r="W56" s="228">
        <f t="shared" si="17"/>
        <v>1</v>
      </c>
      <c r="X56" s="144">
        <f t="shared" si="9"/>
        <v>18.841666666666665</v>
      </c>
      <c r="Y56" s="144">
        <f t="shared" si="10"/>
        <v>24.390909090909091</v>
      </c>
      <c r="Z56" s="144">
        <f t="shared" si="11"/>
        <v>21.962979797979798</v>
      </c>
      <c r="AA56" s="205"/>
      <c r="AB56" s="357" t="str">
        <f>VLOOKUP($B56,'2007-2020 Metadata'!$A$4:$S$214,MATCH("Urban Area /Monitoring Zone",'2007-2020 Metadata'!$A$4:$S$4,0),FALSE)</f>
        <v>Auckland - Northern</v>
      </c>
      <c r="AC56" s="229" t="str">
        <f>VLOOKUP(B56,'2007-2020 Metadata'!$A$6:$A$214,1,FALSE)</f>
        <v>AUC170</v>
      </c>
      <c r="AD56" s="230" t="str">
        <f>VLOOKUP($AC56,'2007-2020 Metadata'!$A$6:$S$214,9,FALSE)</f>
        <v xml:space="preserve">North Shore </v>
      </c>
      <c r="AE56" s="230">
        <f>IF(ISBLANK(VLOOKUP($AC56,'2007-2020 Metadata'!$A$6:$S$214,19,FALSE)),"",VLOOKUP($AC56,'2007-2020 Metadata'!$A$6:$S$214,19,FALSE))</f>
        <v>3</v>
      </c>
      <c r="AF56" s="88" t="str">
        <f>VLOOKUP($B56,'2007-2020 Metadata'!$A$4:$S$214,MATCH("Site type",'2007-2020 Metadata'!$A$4:$S$4,0),FALSE)</f>
        <v>SH</v>
      </c>
      <c r="AG56" s="143">
        <f t="shared" si="18"/>
        <v>19.5</v>
      </c>
      <c r="AH56" s="143">
        <f t="shared" si="19"/>
        <v>42</v>
      </c>
      <c r="AI56" s="144">
        <f t="shared" si="20"/>
        <v>21.962979797979798</v>
      </c>
    </row>
    <row r="57" spans="2:35" ht="12" customHeight="1" x14ac:dyDescent="0.15">
      <c r="B57" s="313" t="s">
        <v>94</v>
      </c>
      <c r="C57" s="309">
        <v>6.6</v>
      </c>
      <c r="D57" s="309">
        <v>8.1999999999999993</v>
      </c>
      <c r="E57" s="309">
        <v>7.6</v>
      </c>
      <c r="F57" s="309">
        <v>10.1</v>
      </c>
      <c r="G57" s="309">
        <v>10.9</v>
      </c>
      <c r="H57" s="309">
        <v>12.7</v>
      </c>
      <c r="I57" s="309">
        <v>9.9</v>
      </c>
      <c r="J57" s="309">
        <v>9</v>
      </c>
      <c r="K57" s="309">
        <v>8</v>
      </c>
      <c r="L57" s="309">
        <v>6.5</v>
      </c>
      <c r="M57" s="309">
        <v>5.9</v>
      </c>
      <c r="N57" s="309"/>
      <c r="O57" s="310">
        <f t="shared" si="0"/>
        <v>8.6727272727272737</v>
      </c>
      <c r="P57" s="310">
        <f t="shared" si="1"/>
        <v>22.892947373684951</v>
      </c>
      <c r="Q57" s="311">
        <f t="shared" si="2"/>
        <v>0.91666666666666663</v>
      </c>
      <c r="R57" s="225">
        <f t="shared" si="12"/>
        <v>7.4666666666666659</v>
      </c>
      <c r="S57" s="226">
        <f t="shared" si="15"/>
        <v>1</v>
      </c>
      <c r="T57" s="225">
        <f t="shared" si="13"/>
        <v>8.9666666666666668</v>
      </c>
      <c r="U57" s="226">
        <f t="shared" si="16"/>
        <v>1</v>
      </c>
      <c r="V57" s="227">
        <f t="shared" si="14"/>
        <v>8.6727272727272737</v>
      </c>
      <c r="W57" s="228">
        <f t="shared" si="17"/>
        <v>0.91666666666666663</v>
      </c>
      <c r="X57" s="144">
        <f t="shared" si="9"/>
        <v>15.083333333333332</v>
      </c>
      <c r="Y57" s="144">
        <f t="shared" si="10"/>
        <v>18.966666666666669</v>
      </c>
      <c r="Z57" s="144">
        <f t="shared" si="11"/>
        <v>17.461363636363636</v>
      </c>
      <c r="AA57" s="205"/>
      <c r="AB57" s="357" t="str">
        <f>VLOOKUP($B57,'2007-2020 Metadata'!$A$4:$S$214,MATCH("Urban Area /Monitoring Zone",'2007-2020 Metadata'!$A$4:$S$4,0),FALSE)</f>
        <v>Whangarei</v>
      </c>
      <c r="AC57" s="229" t="str">
        <f>VLOOKUP(B57,'2007-2020 Metadata'!$A$6:$A$214,1,FALSE)</f>
        <v>AUC171</v>
      </c>
      <c r="AD57" s="230" t="str">
        <f>VLOOKUP($AC57,'2007-2020 Metadata'!$A$6:$S$214,9,FALSE)</f>
        <v>Whangarei</v>
      </c>
      <c r="AE57" s="230">
        <f>IF(ISBLANK(VLOOKUP($AC57,'2007-2020 Metadata'!$A$6:$S$214,19,FALSE)),"",VLOOKUP($AC57,'2007-2020 Metadata'!$A$6:$S$214,19,FALSE))</f>
        <v>3</v>
      </c>
      <c r="AF57" s="88" t="str">
        <f>VLOOKUP($B57,'2007-2020 Metadata'!$A$4:$S$214,MATCH("Site type",'2007-2020 Metadata'!$A$4:$S$4,0),FALSE)</f>
        <v>Background</v>
      </c>
      <c r="AG57" s="143">
        <f t="shared" si="18"/>
        <v>5.9</v>
      </c>
      <c r="AH57" s="143">
        <f t="shared" si="19"/>
        <v>12.7</v>
      </c>
      <c r="AI57" s="144">
        <f t="shared" si="20"/>
        <v>17.461363636363636</v>
      </c>
    </row>
    <row r="58" spans="2:35" ht="12" customHeight="1" x14ac:dyDescent="0.15">
      <c r="B58" s="313" t="s">
        <v>485</v>
      </c>
      <c r="C58" s="309">
        <v>16.399999999999999</v>
      </c>
      <c r="D58" s="309">
        <v>26.1</v>
      </c>
      <c r="E58" s="309">
        <v>25.6</v>
      </c>
      <c r="F58" s="309">
        <v>27.1</v>
      </c>
      <c r="G58" s="309">
        <v>32.299999999999997</v>
      </c>
      <c r="H58" s="309">
        <v>30.9</v>
      </c>
      <c r="I58" s="309">
        <v>29.2</v>
      </c>
      <c r="J58" s="309">
        <v>31.3</v>
      </c>
      <c r="K58" s="309">
        <v>26.4</v>
      </c>
      <c r="L58" s="309">
        <v>25.1</v>
      </c>
      <c r="M58" s="309">
        <v>25.7</v>
      </c>
      <c r="N58" s="309">
        <v>18.899999999999999</v>
      </c>
      <c r="O58" s="310">
        <f t="shared" si="0"/>
        <v>26.249999999999996</v>
      </c>
      <c r="P58" s="310">
        <f t="shared" si="1"/>
        <v>17.258516361473493</v>
      </c>
      <c r="Q58" s="311">
        <f t="shared" si="2"/>
        <v>1</v>
      </c>
      <c r="R58" s="225">
        <f t="shared" si="12"/>
        <v>22.7</v>
      </c>
      <c r="S58" s="226">
        <f t="shared" si="15"/>
        <v>1</v>
      </c>
      <c r="T58" s="225">
        <f t="shared" si="13"/>
        <v>28.966666666666669</v>
      </c>
      <c r="U58" s="226">
        <f t="shared" si="16"/>
        <v>1</v>
      </c>
      <c r="V58" s="227">
        <f t="shared" si="14"/>
        <v>26.249999999999996</v>
      </c>
      <c r="W58" s="228">
        <f t="shared" si="17"/>
        <v>1</v>
      </c>
      <c r="X58" s="144">
        <f t="shared" si="9"/>
        <v>15.083333333333332</v>
      </c>
      <c r="Y58" s="144">
        <f t="shared" si="10"/>
        <v>18.966666666666669</v>
      </c>
      <c r="Z58" s="144">
        <f t="shared" si="11"/>
        <v>17.461363636363636</v>
      </c>
      <c r="AA58" s="205"/>
      <c r="AB58" s="357" t="str">
        <f>VLOOKUP($B58,'2007-2020 Metadata'!$A$4:$S$214,MATCH("Urban Area /Monitoring Zone",'2007-2020 Metadata'!$A$4:$S$4,0),FALSE)</f>
        <v>Whangarei</v>
      </c>
      <c r="AC58" s="229" t="str">
        <f>VLOOKUP(B58,'2007-2020 Metadata'!$A$6:$A$214,1,FALSE)</f>
        <v>AUC187</v>
      </c>
      <c r="AD58" s="230" t="str">
        <f>VLOOKUP($AC58,'2007-2020 Metadata'!$A$6:$S$214,9,FALSE)</f>
        <v>Whangarei</v>
      </c>
      <c r="AE58" s="230">
        <f>IF(ISBLANK(VLOOKUP($AC58,'2007-2020 Metadata'!$A$6:$S$214,19,FALSE)),"",VLOOKUP($AC58,'2007-2020 Metadata'!$A$6:$S$214,19,FALSE))</f>
        <v>3</v>
      </c>
      <c r="AF58" s="88" t="str">
        <f>VLOOKUP($B58,'2007-2020 Metadata'!$A$4:$S$214,MATCH("Site type",'2007-2020 Metadata'!$A$4:$S$4,0),FALSE)</f>
        <v>SH</v>
      </c>
      <c r="AG58" s="143">
        <f t="shared" si="18"/>
        <v>16.399999999999999</v>
      </c>
      <c r="AH58" s="143">
        <f t="shared" si="19"/>
        <v>32.299999999999997</v>
      </c>
      <c r="AI58" s="144">
        <f t="shared" si="20"/>
        <v>17.461363636363636</v>
      </c>
    </row>
    <row r="59" spans="2:35" ht="12" customHeight="1" x14ac:dyDescent="0.15">
      <c r="B59" s="313" t="s">
        <v>501</v>
      </c>
      <c r="C59" s="309">
        <v>14.4</v>
      </c>
      <c r="D59" s="309">
        <v>17.7</v>
      </c>
      <c r="E59" s="309">
        <v>23.1</v>
      </c>
      <c r="F59" s="309">
        <v>26.5</v>
      </c>
      <c r="G59" s="309">
        <v>27.9</v>
      </c>
      <c r="H59" s="309"/>
      <c r="I59" s="309">
        <v>30.2</v>
      </c>
      <c r="J59" s="309">
        <v>26.1</v>
      </c>
      <c r="K59" s="309">
        <v>22.2</v>
      </c>
      <c r="L59" s="309">
        <v>19.600000000000001</v>
      </c>
      <c r="M59" s="309">
        <v>20.5</v>
      </c>
      <c r="N59" s="309">
        <v>13.9</v>
      </c>
      <c r="O59" s="310">
        <f t="shared" si="0"/>
        <v>22.009090909090904</v>
      </c>
      <c r="P59" s="310">
        <f t="shared" si="1"/>
        <v>23.338450776542725</v>
      </c>
      <c r="Q59" s="311">
        <f t="shared" si="2"/>
        <v>0.91666666666666663</v>
      </c>
      <c r="R59" s="225">
        <f t="shared" si="12"/>
        <v>18.400000000000002</v>
      </c>
      <c r="S59" s="226">
        <f t="shared" si="15"/>
        <v>1</v>
      </c>
      <c r="T59" s="225">
        <f t="shared" si="13"/>
        <v>26.166666666666668</v>
      </c>
      <c r="U59" s="226">
        <f t="shared" si="16"/>
        <v>1</v>
      </c>
      <c r="V59" s="227">
        <f t="shared" si="14"/>
        <v>22.009090909090904</v>
      </c>
      <c r="W59" s="228">
        <f t="shared" si="17"/>
        <v>0.91666666666666663</v>
      </c>
      <c r="X59" s="144">
        <f t="shared" si="9"/>
        <v>18.087499999999999</v>
      </c>
      <c r="Y59" s="144">
        <f t="shared" si="10"/>
        <v>23.0625</v>
      </c>
      <c r="Z59" s="144">
        <f t="shared" si="11"/>
        <v>20.446969696969695</v>
      </c>
      <c r="AA59" s="205"/>
      <c r="AB59" s="357" t="str">
        <f>VLOOKUP($B59,'2007-2020 Metadata'!$A$4:$S$214,MATCH("Urban Area /Monitoring Zone",'2007-2020 Metadata'!$A$4:$S$4,0),FALSE)</f>
        <v xml:space="preserve">Auckland - Southern </v>
      </c>
      <c r="AC59" s="229" t="str">
        <f>VLOOKUP(B59,'2007-2020 Metadata'!$A$6:$A$214,1,FALSE)</f>
        <v>AUC190</v>
      </c>
      <c r="AD59" s="230" t="str">
        <f>VLOOKUP($AC59,'2007-2020 Metadata'!$A$6:$S$214,9,FALSE)</f>
        <v>Manukau</v>
      </c>
      <c r="AE59" s="230">
        <f>IF(ISBLANK(VLOOKUP($AC59,'2007-2020 Metadata'!$A$6:$S$214,19,FALSE)),"",VLOOKUP($AC59,'2007-2020 Metadata'!$A$6:$S$214,19,FALSE))</f>
        <v>3</v>
      </c>
      <c r="AF59" s="88" t="str">
        <f>VLOOKUP($B59,'2007-2020 Metadata'!$A$4:$S$214,MATCH("Site type",'2007-2020 Metadata'!$A$4:$S$4,0),FALSE)</f>
        <v>SH</v>
      </c>
      <c r="AG59" s="143">
        <f t="shared" si="18"/>
        <v>13.9</v>
      </c>
      <c r="AH59" s="143">
        <f t="shared" si="19"/>
        <v>30.2</v>
      </c>
      <c r="AI59" s="144">
        <f t="shared" si="20"/>
        <v>20.446969696969695</v>
      </c>
    </row>
    <row r="60" spans="2:35" ht="12" customHeight="1" x14ac:dyDescent="0.15">
      <c r="B60" s="313" t="s">
        <v>32</v>
      </c>
      <c r="C60" s="309">
        <v>22</v>
      </c>
      <c r="D60" s="309">
        <v>30.8</v>
      </c>
      <c r="E60" s="309">
        <v>37.4</v>
      </c>
      <c r="F60" s="309">
        <v>27</v>
      </c>
      <c r="G60" s="309">
        <v>29.8</v>
      </c>
      <c r="H60" s="309">
        <v>31.4</v>
      </c>
      <c r="I60" s="309">
        <v>37.5</v>
      </c>
      <c r="J60" s="309">
        <v>32.799999999999997</v>
      </c>
      <c r="K60" s="309">
        <v>33.799999999999997</v>
      </c>
      <c r="L60" s="309">
        <v>30</v>
      </c>
      <c r="M60" s="309"/>
      <c r="N60" s="309">
        <v>25.2</v>
      </c>
      <c r="O60" s="310">
        <f t="shared" si="0"/>
        <v>30.7</v>
      </c>
      <c r="P60" s="310">
        <f t="shared" si="1"/>
        <v>14.783459238063701</v>
      </c>
      <c r="Q60" s="311">
        <f t="shared" si="2"/>
        <v>0.91666666666666663</v>
      </c>
      <c r="R60" s="225">
        <f t="shared" si="12"/>
        <v>30.066666666666663</v>
      </c>
      <c r="S60" s="226">
        <f t="shared" si="15"/>
        <v>1</v>
      </c>
      <c r="T60" s="225">
        <f t="shared" si="13"/>
        <v>34.699999999999996</v>
      </c>
      <c r="U60" s="226">
        <f t="shared" si="16"/>
        <v>1</v>
      </c>
      <c r="V60" s="227">
        <f t="shared" si="14"/>
        <v>30.7</v>
      </c>
      <c r="W60" s="228">
        <f t="shared" si="17"/>
        <v>0.91666666666666663</v>
      </c>
      <c r="X60" s="144">
        <f t="shared" si="9"/>
        <v>25.846296296296295</v>
      </c>
      <c r="Y60" s="144">
        <f t="shared" si="10"/>
        <v>29.683333333333337</v>
      </c>
      <c r="Z60" s="144">
        <f t="shared" si="11"/>
        <v>27.465387205387206</v>
      </c>
      <c r="AA60" s="205"/>
      <c r="AB60" s="357" t="str">
        <f>VLOOKUP($B60,'2007-2020 Metadata'!$A$4:$S$214,MATCH("Urban Area /Monitoring Zone",'2007-2020 Metadata'!$A$4:$S$4,0),FALSE)</f>
        <v>Hamilton</v>
      </c>
      <c r="AC60" s="229" t="str">
        <f>VLOOKUP(B60,'2007-2020 Metadata'!$A$6:$A$214,1,FALSE)</f>
        <v>HAM001</v>
      </c>
      <c r="AD60" s="230" t="str">
        <f>VLOOKUP($AC60,'2007-2020 Metadata'!$A$6:$S$214,9,FALSE)</f>
        <v>Hamilton</v>
      </c>
      <c r="AE60" s="230">
        <f>IF(ISBLANK(VLOOKUP($AC60,'2007-2020 Metadata'!$A$6:$S$214,19,FALSE)),"",VLOOKUP($AC60,'2007-2020 Metadata'!$A$6:$S$214,19,FALSE))</f>
        <v>3.8</v>
      </c>
      <c r="AF60" s="88" t="str">
        <f>VLOOKUP($B60,'2007-2020 Metadata'!$A$4:$S$214,MATCH("Site type",'2007-2020 Metadata'!$A$4:$S$4,0),FALSE)</f>
        <v>SH</v>
      </c>
      <c r="AG60" s="143">
        <f t="shared" si="18"/>
        <v>22</v>
      </c>
      <c r="AH60" s="143">
        <f t="shared" si="19"/>
        <v>37.5</v>
      </c>
      <c r="AI60" s="144">
        <f t="shared" si="20"/>
        <v>27.465387205387206</v>
      </c>
    </row>
    <row r="61" spans="2:35" ht="12" customHeight="1" x14ac:dyDescent="0.15">
      <c r="B61" s="313" t="s">
        <v>33</v>
      </c>
      <c r="C61" s="309">
        <v>18.399999999999999</v>
      </c>
      <c r="D61" s="309">
        <v>21.3</v>
      </c>
      <c r="E61" s="309">
        <v>28.8</v>
      </c>
      <c r="F61" s="309">
        <v>28.1</v>
      </c>
      <c r="G61" s="309">
        <v>28.8</v>
      </c>
      <c r="H61" s="309">
        <v>34.299999999999997</v>
      </c>
      <c r="I61" s="309">
        <v>29.8</v>
      </c>
      <c r="J61" s="309">
        <v>29.9</v>
      </c>
      <c r="K61" s="309">
        <v>22.7</v>
      </c>
      <c r="L61" s="309">
        <v>21.2</v>
      </c>
      <c r="M61" s="309">
        <v>23.9</v>
      </c>
      <c r="N61" s="309">
        <v>18.8</v>
      </c>
      <c r="O61" s="310">
        <f t="shared" si="0"/>
        <v>25.5</v>
      </c>
      <c r="P61" s="310">
        <f t="shared" si="1"/>
        <v>19.133477608577167</v>
      </c>
      <c r="Q61" s="311">
        <f t="shared" si="2"/>
        <v>1</v>
      </c>
      <c r="R61" s="225">
        <f t="shared" si="12"/>
        <v>22.833333333333332</v>
      </c>
      <c r="S61" s="226">
        <f t="shared" si="15"/>
        <v>1</v>
      </c>
      <c r="T61" s="225">
        <f t="shared" si="13"/>
        <v>27.466666666666669</v>
      </c>
      <c r="U61" s="226">
        <f t="shared" si="16"/>
        <v>1</v>
      </c>
      <c r="V61" s="227">
        <f t="shared" si="14"/>
        <v>25.5</v>
      </c>
      <c r="W61" s="228">
        <f t="shared" si="17"/>
        <v>1</v>
      </c>
      <c r="X61" s="144">
        <f t="shared" si="9"/>
        <v>25.846296296296295</v>
      </c>
      <c r="Y61" s="144">
        <f t="shared" si="10"/>
        <v>29.683333333333337</v>
      </c>
      <c r="Z61" s="144">
        <f t="shared" si="11"/>
        <v>27.465387205387206</v>
      </c>
      <c r="AA61" s="205"/>
      <c r="AB61" s="357" t="str">
        <f>VLOOKUP($B61,'2007-2020 Metadata'!$A$4:$S$214,MATCH("Urban Area /Monitoring Zone",'2007-2020 Metadata'!$A$4:$S$4,0),FALSE)</f>
        <v>Hamilton</v>
      </c>
      <c r="AC61" s="229" t="str">
        <f>VLOOKUP(B61,'2007-2020 Metadata'!$A$6:$A$214,1,FALSE)</f>
        <v>HAM002</v>
      </c>
      <c r="AD61" s="230" t="str">
        <f>VLOOKUP($AC61,'2007-2020 Metadata'!$A$6:$S$214,9,FALSE)</f>
        <v>Hamilton</v>
      </c>
      <c r="AE61" s="230">
        <f>IF(ISBLANK(VLOOKUP($AC61,'2007-2020 Metadata'!$A$6:$S$214,19,FALSE)),"",VLOOKUP($AC61,'2007-2020 Metadata'!$A$6:$S$214,19,FALSE))</f>
        <v>2.6</v>
      </c>
      <c r="AF61" s="88" t="str">
        <f>VLOOKUP($B61,'2007-2020 Metadata'!$A$4:$S$214,MATCH("Site type",'2007-2020 Metadata'!$A$4:$S$4,0),FALSE)</f>
        <v>Local (ex SH)</v>
      </c>
      <c r="AG61" s="143">
        <f t="shared" si="18"/>
        <v>18.399999999999999</v>
      </c>
      <c r="AH61" s="143">
        <f t="shared" si="19"/>
        <v>34.299999999999997</v>
      </c>
      <c r="AI61" s="144">
        <f t="shared" si="20"/>
        <v>27.465387205387206</v>
      </c>
    </row>
    <row r="62" spans="2:35" ht="12" customHeight="1" x14ac:dyDescent="0.15">
      <c r="B62" s="313" t="s">
        <v>34</v>
      </c>
      <c r="C62" s="309">
        <v>36.299999999999997</v>
      </c>
      <c r="D62" s="309">
        <v>37</v>
      </c>
      <c r="E62" s="309">
        <v>39.299999999999997</v>
      </c>
      <c r="F62" s="309">
        <v>41.7</v>
      </c>
      <c r="G62" s="309">
        <v>41.6</v>
      </c>
      <c r="H62" s="309">
        <v>48.5</v>
      </c>
      <c r="I62" s="309">
        <v>46.3</v>
      </c>
      <c r="J62" s="309">
        <v>48.1</v>
      </c>
      <c r="K62" s="309">
        <v>45.9</v>
      </c>
      <c r="L62" s="309">
        <v>37.700000000000003</v>
      </c>
      <c r="M62" s="309"/>
      <c r="N62" s="309">
        <v>32.700000000000003</v>
      </c>
      <c r="O62" s="310">
        <f t="shared" si="0"/>
        <v>41.372727272727268</v>
      </c>
      <c r="P62" s="310">
        <f t="shared" si="1"/>
        <v>12.169380208925032</v>
      </c>
      <c r="Q62" s="311">
        <f t="shared" si="2"/>
        <v>0.91666666666666663</v>
      </c>
      <c r="R62" s="225">
        <f t="shared" si="12"/>
        <v>37.533333333333331</v>
      </c>
      <c r="S62" s="226">
        <f t="shared" si="15"/>
        <v>1</v>
      </c>
      <c r="T62" s="225">
        <f t="shared" si="13"/>
        <v>46.766666666666673</v>
      </c>
      <c r="U62" s="226">
        <f t="shared" si="16"/>
        <v>1</v>
      </c>
      <c r="V62" s="227">
        <f t="shared" si="14"/>
        <v>41.372727272727268</v>
      </c>
      <c r="W62" s="228">
        <f t="shared" si="17"/>
        <v>0.91666666666666663</v>
      </c>
      <c r="X62" s="144">
        <f t="shared" si="9"/>
        <v>25.846296296296295</v>
      </c>
      <c r="Y62" s="144">
        <f t="shared" si="10"/>
        <v>29.683333333333337</v>
      </c>
      <c r="Z62" s="144">
        <f t="shared" si="11"/>
        <v>27.465387205387206</v>
      </c>
      <c r="AA62" s="205"/>
      <c r="AB62" s="357" t="str">
        <f>VLOOKUP($B62,'2007-2020 Metadata'!$A$4:$S$214,MATCH("Urban Area /Monitoring Zone",'2007-2020 Metadata'!$A$4:$S$4,0),FALSE)</f>
        <v>Hamilton</v>
      </c>
      <c r="AC62" s="229" t="str">
        <f>VLOOKUP(B62,'2007-2020 Metadata'!$A$6:$A$214,1,FALSE)</f>
        <v>HAM003</v>
      </c>
      <c r="AD62" s="230" t="str">
        <f>VLOOKUP($AC62,'2007-2020 Metadata'!$A$6:$S$214,9,FALSE)</f>
        <v>Hamilton</v>
      </c>
      <c r="AE62" s="230">
        <f>IF(ISBLANK(VLOOKUP($AC62,'2007-2020 Metadata'!$A$6:$S$214,19,FALSE)),"",VLOOKUP($AC62,'2007-2020 Metadata'!$A$6:$S$214,19,FALSE))</f>
        <v>2.9</v>
      </c>
      <c r="AF62" s="88" t="str">
        <f>VLOOKUP($B62,'2007-2020 Metadata'!$A$4:$S$214,MATCH("Site type",'2007-2020 Metadata'!$A$4:$S$4,0),FALSE)</f>
        <v>SH</v>
      </c>
      <c r="AG62" s="143">
        <f t="shared" si="18"/>
        <v>32.700000000000003</v>
      </c>
      <c r="AH62" s="143">
        <f t="shared" si="19"/>
        <v>48.5</v>
      </c>
      <c r="AI62" s="144">
        <f t="shared" si="20"/>
        <v>27.465387205387206</v>
      </c>
    </row>
    <row r="63" spans="2:35" ht="12" customHeight="1" x14ac:dyDescent="0.15">
      <c r="B63" s="313" t="s">
        <v>1045</v>
      </c>
      <c r="C63" s="309">
        <v>21.1</v>
      </c>
      <c r="D63" s="309">
        <v>25.8</v>
      </c>
      <c r="E63" s="309">
        <v>32.6</v>
      </c>
      <c r="F63" s="309">
        <v>31.1</v>
      </c>
      <c r="G63" s="309">
        <v>41.7</v>
      </c>
      <c r="H63" s="309">
        <v>33.9</v>
      </c>
      <c r="I63" s="309">
        <v>28.3</v>
      </c>
      <c r="J63" s="309">
        <v>26.3</v>
      </c>
      <c r="K63" s="309">
        <v>25.3</v>
      </c>
      <c r="L63" s="309">
        <v>22.1</v>
      </c>
      <c r="M63" s="309">
        <v>25.7</v>
      </c>
      <c r="N63" s="309">
        <v>11.8</v>
      </c>
      <c r="O63" s="310">
        <f t="shared" si="0"/>
        <v>27.141666666666669</v>
      </c>
      <c r="P63" s="310">
        <f t="shared" si="1"/>
        <v>26.261958069871334</v>
      </c>
      <c r="Q63" s="311">
        <f t="shared" si="2"/>
        <v>1</v>
      </c>
      <c r="R63" s="225">
        <f t="shared" si="12"/>
        <v>26.5</v>
      </c>
      <c r="S63" s="226">
        <f t="shared" si="15"/>
        <v>1</v>
      </c>
      <c r="T63" s="225">
        <f t="shared" si="13"/>
        <v>26.633333333333336</v>
      </c>
      <c r="U63" s="226">
        <f t="shared" si="16"/>
        <v>1</v>
      </c>
      <c r="V63" s="227">
        <f t="shared" si="14"/>
        <v>27.141666666666669</v>
      </c>
      <c r="W63" s="228">
        <f t="shared" si="17"/>
        <v>1</v>
      </c>
      <c r="X63" s="144">
        <f t="shared" si="9"/>
        <v>26.5</v>
      </c>
      <c r="Y63" s="144">
        <f t="shared" si="10"/>
        <v>26.633333333333336</v>
      </c>
      <c r="Z63" s="144">
        <f t="shared" si="11"/>
        <v>27.141666666666669</v>
      </c>
      <c r="AA63" s="205"/>
      <c r="AB63" s="357">
        <f>VLOOKUP($B63,'2007-2020 Metadata'!$A$4:$S$214,MATCH("Urban Area /Monitoring Zone",'2007-2020 Metadata'!$A$4:$S$4,0),FALSE)</f>
        <v>0</v>
      </c>
      <c r="AC63" s="229" t="str">
        <f>VLOOKUP(B63,'2007-2020 Metadata'!$A$6:$A$214,1,FALSE)</f>
        <v>HAM004a</v>
      </c>
      <c r="AD63" s="230">
        <f>VLOOKUP($AC63,'2007-2020 Metadata'!$A$6:$S$214,9,FALSE)</f>
        <v>0</v>
      </c>
      <c r="AE63" s="230" t="str">
        <f>IF(ISBLANK(VLOOKUP($AC63,'2007-2020 Metadata'!$A$6:$S$214,19,FALSE)),"",VLOOKUP($AC63,'2007-2020 Metadata'!$A$6:$S$214,19,FALSE))</f>
        <v/>
      </c>
      <c r="AF63" s="88" t="str">
        <f>VLOOKUP($B63,'2007-2020 Metadata'!$A$4:$S$214,MATCH("Site type",'2007-2020 Metadata'!$A$4:$S$4,0),FALSE)</f>
        <v>Local (ex SH)</v>
      </c>
      <c r="AG63" s="143">
        <f t="shared" si="18"/>
        <v>11.8</v>
      </c>
      <c r="AH63" s="143">
        <f t="shared" si="19"/>
        <v>41.7</v>
      </c>
      <c r="AI63" s="144">
        <f t="shared" si="20"/>
        <v>27.141666666666669</v>
      </c>
    </row>
    <row r="64" spans="2:35" ht="12" customHeight="1" x14ac:dyDescent="0.15">
      <c r="B64" s="313" t="s">
        <v>36</v>
      </c>
      <c r="C64" s="309">
        <v>11.2</v>
      </c>
      <c r="D64" s="309">
        <v>14.1</v>
      </c>
      <c r="E64" s="309">
        <v>20</v>
      </c>
      <c r="F64" s="309">
        <v>16.899999999999999</v>
      </c>
      <c r="G64" s="309">
        <v>18.100000000000001</v>
      </c>
      <c r="H64" s="309">
        <v>21.9</v>
      </c>
      <c r="I64" s="309">
        <v>18.899999999999999</v>
      </c>
      <c r="J64" s="309">
        <v>13.8</v>
      </c>
      <c r="K64" s="309">
        <v>13.5</v>
      </c>
      <c r="L64" s="309">
        <v>12.8</v>
      </c>
      <c r="M64" s="309">
        <v>16</v>
      </c>
      <c r="N64" s="309">
        <v>11.9</v>
      </c>
      <c r="O64" s="310">
        <f t="shared" si="0"/>
        <v>15.758333333333335</v>
      </c>
      <c r="P64" s="310">
        <f t="shared" si="1"/>
        <v>20.768251771184143</v>
      </c>
      <c r="Q64" s="311">
        <f t="shared" si="2"/>
        <v>1</v>
      </c>
      <c r="R64" s="225">
        <f t="shared" si="12"/>
        <v>15.1</v>
      </c>
      <c r="S64" s="226">
        <f t="shared" si="15"/>
        <v>1</v>
      </c>
      <c r="T64" s="225">
        <f t="shared" si="13"/>
        <v>15.4</v>
      </c>
      <c r="U64" s="226">
        <f t="shared" si="16"/>
        <v>1</v>
      </c>
      <c r="V64" s="227">
        <f t="shared" si="14"/>
        <v>15.758333333333335</v>
      </c>
      <c r="W64" s="228">
        <f t="shared" si="17"/>
        <v>1</v>
      </c>
      <c r="X64" s="144">
        <f t="shared" si="9"/>
        <v>15.1</v>
      </c>
      <c r="Y64" s="144">
        <f t="shared" si="10"/>
        <v>15.4</v>
      </c>
      <c r="Z64" s="144">
        <f t="shared" si="11"/>
        <v>15.758333333333335</v>
      </c>
      <c r="AA64" s="205"/>
      <c r="AB64" s="357" t="str">
        <f>VLOOKUP($B64,'2007-2020 Metadata'!$A$4:$S$214,MATCH("Urban Area /Monitoring Zone",'2007-2020 Metadata'!$A$4:$S$4,0),FALSE)</f>
        <v>Taupo</v>
      </c>
      <c r="AC64" s="229" t="str">
        <f>VLOOKUP(B64,'2007-2020 Metadata'!$A$6:$A$214,1,FALSE)</f>
        <v>HAM005</v>
      </c>
      <c r="AD64" s="230" t="str">
        <f>VLOOKUP($AC64,'2007-2020 Metadata'!$A$6:$S$214,9,FALSE)</f>
        <v>Taupo</v>
      </c>
      <c r="AE64" s="230">
        <f>IF(ISBLANK(VLOOKUP($AC64,'2007-2020 Metadata'!$A$6:$S$214,19,FALSE)),"",VLOOKUP($AC64,'2007-2020 Metadata'!$A$6:$S$214,19,FALSE))</f>
        <v>3.5</v>
      </c>
      <c r="AF64" s="88" t="str">
        <f>VLOOKUP($B64,'2007-2020 Metadata'!$A$4:$S$214,MATCH("Site type",'2007-2020 Metadata'!$A$4:$S$4,0),FALSE)</f>
        <v>Local (ex SH)</v>
      </c>
      <c r="AG64" s="143">
        <f t="shared" si="18"/>
        <v>11.2</v>
      </c>
      <c r="AH64" s="143">
        <f t="shared" si="19"/>
        <v>21.9</v>
      </c>
      <c r="AI64" s="144">
        <f t="shared" si="20"/>
        <v>15.758333333333335</v>
      </c>
    </row>
    <row r="65" spans="2:35" ht="12" customHeight="1" x14ac:dyDescent="0.15">
      <c r="B65" s="313" t="s">
        <v>37</v>
      </c>
      <c r="C65" s="309">
        <v>13.3</v>
      </c>
      <c r="D65" s="309">
        <v>19</v>
      </c>
      <c r="E65" s="309">
        <v>22.2</v>
      </c>
      <c r="F65" s="309">
        <v>20.2</v>
      </c>
      <c r="G65" s="309">
        <v>23.9</v>
      </c>
      <c r="H65" s="309">
        <v>25.9</v>
      </c>
      <c r="I65" s="309">
        <v>30.2</v>
      </c>
      <c r="J65" s="309">
        <v>26.5</v>
      </c>
      <c r="K65" s="309">
        <v>21.6</v>
      </c>
      <c r="L65" s="309">
        <v>17.8</v>
      </c>
      <c r="M65" s="309">
        <v>21.5</v>
      </c>
      <c r="N65" s="309">
        <v>13.1</v>
      </c>
      <c r="O65" s="310">
        <f t="shared" si="0"/>
        <v>21.266666666666666</v>
      </c>
      <c r="P65" s="310">
        <f t="shared" si="1"/>
        <v>22.919144672944991</v>
      </c>
      <c r="Q65" s="311">
        <f t="shared" si="2"/>
        <v>1</v>
      </c>
      <c r="R65" s="225">
        <f t="shared" si="12"/>
        <v>18.166666666666668</v>
      </c>
      <c r="S65" s="226">
        <f t="shared" si="15"/>
        <v>1</v>
      </c>
      <c r="T65" s="225">
        <f t="shared" si="13"/>
        <v>26.100000000000005</v>
      </c>
      <c r="U65" s="226">
        <f t="shared" si="16"/>
        <v>1</v>
      </c>
      <c r="V65" s="227">
        <f t="shared" si="14"/>
        <v>21.266666666666666</v>
      </c>
      <c r="W65" s="228">
        <f t="shared" si="17"/>
        <v>1</v>
      </c>
      <c r="X65" s="144">
        <f t="shared" si="9"/>
        <v>12.5</v>
      </c>
      <c r="Y65" s="144">
        <f t="shared" si="10"/>
        <v>17.683333333333337</v>
      </c>
      <c r="Z65" s="144">
        <f t="shared" si="11"/>
        <v>14.691666666666666</v>
      </c>
      <c r="AA65" s="205"/>
      <c r="AB65" s="357" t="str">
        <f>VLOOKUP($B65,'2007-2020 Metadata'!$A$4:$S$214,MATCH("Urban Area /Monitoring Zone",'2007-2020 Metadata'!$A$4:$S$4,0),FALSE)</f>
        <v>Rotorua</v>
      </c>
      <c r="AC65" s="229" t="str">
        <f>VLOOKUP(B65,'2007-2020 Metadata'!$A$6:$A$214,1,FALSE)</f>
        <v>HAM006</v>
      </c>
      <c r="AD65" s="230" t="str">
        <f>VLOOKUP($AC65,'2007-2020 Metadata'!$A$6:$S$214,9,FALSE)</f>
        <v>Rotorua</v>
      </c>
      <c r="AE65" s="230">
        <f>IF(ISBLANK(VLOOKUP($AC65,'2007-2020 Metadata'!$A$6:$S$214,19,FALSE)),"",VLOOKUP($AC65,'2007-2020 Metadata'!$A$6:$S$214,19,FALSE))</f>
        <v>3</v>
      </c>
      <c r="AF65" s="88" t="str">
        <f>VLOOKUP($B65,'2007-2020 Metadata'!$A$4:$S$214,MATCH("Site type",'2007-2020 Metadata'!$A$4:$S$4,0),FALSE)</f>
        <v>SH</v>
      </c>
      <c r="AG65" s="143">
        <f t="shared" si="18"/>
        <v>13.1</v>
      </c>
      <c r="AH65" s="143">
        <f t="shared" si="19"/>
        <v>30.2</v>
      </c>
      <c r="AI65" s="144">
        <f t="shared" si="20"/>
        <v>14.691666666666666</v>
      </c>
    </row>
    <row r="66" spans="2:35" ht="12" customHeight="1" x14ac:dyDescent="0.15">
      <c r="B66" s="313" t="s">
        <v>39</v>
      </c>
      <c r="C66" s="309">
        <v>24.5</v>
      </c>
      <c r="D66" s="309">
        <v>24.9</v>
      </c>
      <c r="E66" s="309">
        <v>24.9</v>
      </c>
      <c r="F66" s="309">
        <v>29.6</v>
      </c>
      <c r="G66" s="309">
        <v>34.6</v>
      </c>
      <c r="H66" s="309">
        <v>37.700000000000003</v>
      </c>
      <c r="I66" s="309">
        <v>34.5</v>
      </c>
      <c r="J66" s="309">
        <v>30.4</v>
      </c>
      <c r="K66" s="309">
        <v>30.4</v>
      </c>
      <c r="L66" s="309">
        <v>25</v>
      </c>
      <c r="M66" s="309">
        <v>26.2</v>
      </c>
      <c r="N66" s="309">
        <v>20</v>
      </c>
      <c r="O66" s="310">
        <f t="shared" si="0"/>
        <v>28.558333333333334</v>
      </c>
      <c r="P66" s="310">
        <f t="shared" si="1"/>
        <v>17.448078485674092</v>
      </c>
      <c r="Q66" s="311">
        <f t="shared" si="2"/>
        <v>1</v>
      </c>
      <c r="R66" s="225">
        <f t="shared" si="12"/>
        <v>24.766666666666666</v>
      </c>
      <c r="S66" s="226">
        <f t="shared" si="15"/>
        <v>1</v>
      </c>
      <c r="T66" s="225">
        <f t="shared" si="13"/>
        <v>31.766666666666669</v>
      </c>
      <c r="U66" s="226">
        <f t="shared" si="16"/>
        <v>1</v>
      </c>
      <c r="V66" s="227">
        <f t="shared" si="14"/>
        <v>28.558333333333334</v>
      </c>
      <c r="W66" s="228">
        <f t="shared" si="17"/>
        <v>1</v>
      </c>
      <c r="X66" s="144">
        <f t="shared" si="9"/>
        <v>20.45</v>
      </c>
      <c r="Y66" s="144">
        <f t="shared" si="10"/>
        <v>23.707142857142856</v>
      </c>
      <c r="Z66" s="144">
        <f t="shared" si="11"/>
        <v>22.056848827079833</v>
      </c>
      <c r="AA66" s="205"/>
      <c r="AB66" s="357" t="str">
        <f>VLOOKUP($B66,'2007-2020 Metadata'!$A$4:$S$214,MATCH("Urban Area /Monitoring Zone",'2007-2020 Metadata'!$A$4:$S$4,0),FALSE)</f>
        <v>Tauranga</v>
      </c>
      <c r="AC66" s="229" t="str">
        <f>VLOOKUP(B66,'2007-2020 Metadata'!$A$6:$A$214,1,FALSE)</f>
        <v>HAM007</v>
      </c>
      <c r="AD66" s="230" t="str">
        <f>VLOOKUP($AC66,'2007-2020 Metadata'!$A$6:$S$214,9,FALSE)</f>
        <v>Tauranga</v>
      </c>
      <c r="AE66" s="230">
        <f>IF(ISBLANK(VLOOKUP($AC66,'2007-2020 Metadata'!$A$6:$S$214,19,FALSE)),"",VLOOKUP($AC66,'2007-2020 Metadata'!$A$6:$S$214,19,FALSE))</f>
        <v>2.9</v>
      </c>
      <c r="AF66" s="88" t="str">
        <f>VLOOKUP($B66,'2007-2020 Metadata'!$A$4:$S$214,MATCH("Site type",'2007-2020 Metadata'!$A$4:$S$4,0),FALSE)</f>
        <v>SH</v>
      </c>
      <c r="AG66" s="143">
        <f t="shared" si="18"/>
        <v>20</v>
      </c>
      <c r="AH66" s="143">
        <f t="shared" si="19"/>
        <v>37.700000000000003</v>
      </c>
      <c r="AI66" s="144">
        <f t="shared" si="20"/>
        <v>22.056848827079833</v>
      </c>
    </row>
    <row r="67" spans="2:35" ht="12" customHeight="1" x14ac:dyDescent="0.15">
      <c r="B67" s="313" t="s">
        <v>40</v>
      </c>
      <c r="C67" s="309"/>
      <c r="D67" s="309"/>
      <c r="E67" s="309"/>
      <c r="F67" s="309"/>
      <c r="G67" s="309">
        <v>30.1</v>
      </c>
      <c r="H67" s="309">
        <v>35.799999999999997</v>
      </c>
      <c r="I67" s="309">
        <v>31.5</v>
      </c>
      <c r="J67" s="309">
        <v>30.2</v>
      </c>
      <c r="K67" s="309">
        <v>25.4</v>
      </c>
      <c r="L67" s="309">
        <v>23.6</v>
      </c>
      <c r="M67" s="309">
        <v>20.6</v>
      </c>
      <c r="N67" s="309">
        <v>17.2</v>
      </c>
      <c r="O67" s="310">
        <f t="shared" si="0"/>
        <v>26.799999999999997</v>
      </c>
      <c r="P67" s="310">
        <f t="shared" si="1"/>
        <v>21.610405703329825</v>
      </c>
      <c r="Q67" s="311">
        <f t="shared" si="2"/>
        <v>0.66666666666666663</v>
      </c>
      <c r="R67" s="225" t="str">
        <f t="shared" si="12"/>
        <v/>
      </c>
      <c r="S67" s="226">
        <f t="shared" si="15"/>
        <v>0</v>
      </c>
      <c r="T67" s="225">
        <f t="shared" si="13"/>
        <v>29.033333333333331</v>
      </c>
      <c r="U67" s="226">
        <f t="shared" si="16"/>
        <v>1</v>
      </c>
      <c r="V67" s="227" t="str">
        <f t="shared" si="14"/>
        <v>-</v>
      </c>
      <c r="W67" s="228">
        <f t="shared" si="17"/>
        <v>0.66666666666666663</v>
      </c>
      <c r="X67" s="144">
        <f t="shared" si="9"/>
        <v>20.45</v>
      </c>
      <c r="Y67" s="144">
        <f t="shared" si="10"/>
        <v>23.707142857142856</v>
      </c>
      <c r="Z67" s="144">
        <f t="shared" si="11"/>
        <v>22.056848827079833</v>
      </c>
      <c r="AA67" s="205"/>
      <c r="AB67" s="357" t="str">
        <f>VLOOKUP($B67,'2007-2020 Metadata'!$A$4:$S$214,MATCH("Urban Area /Monitoring Zone",'2007-2020 Metadata'!$A$4:$S$4,0),FALSE)</f>
        <v>Tauranga</v>
      </c>
      <c r="AC67" s="229" t="str">
        <f>VLOOKUP(B67,'2007-2020 Metadata'!$A$6:$A$214,1,FALSE)</f>
        <v>HAM008</v>
      </c>
      <c r="AD67" s="230" t="str">
        <f>VLOOKUP($AC67,'2007-2020 Metadata'!$A$6:$S$214,9,FALSE)</f>
        <v>Tauranga</v>
      </c>
      <c r="AE67" s="230">
        <f>IF(ISBLANK(VLOOKUP($AC67,'2007-2020 Metadata'!$A$6:$S$214,19,FALSE)),"",VLOOKUP($AC67,'2007-2020 Metadata'!$A$6:$S$214,19,FALSE))</f>
        <v>2.9</v>
      </c>
      <c r="AF67" s="88" t="str">
        <f>VLOOKUP($B67,'2007-2020 Metadata'!$A$4:$S$214,MATCH("Site type",'2007-2020 Metadata'!$A$4:$S$4,0),FALSE)</f>
        <v>SH</v>
      </c>
      <c r="AG67" s="143">
        <f t="shared" si="18"/>
        <v>17.2</v>
      </c>
      <c r="AH67" s="143">
        <f t="shared" si="19"/>
        <v>35.799999999999997</v>
      </c>
      <c r="AI67" s="144" t="str">
        <f t="shared" si="20"/>
        <v xml:space="preserve"> </v>
      </c>
    </row>
    <row r="68" spans="2:35" ht="12" customHeight="1" x14ac:dyDescent="0.15">
      <c r="B68" s="313" t="s">
        <v>41</v>
      </c>
      <c r="C68" s="309"/>
      <c r="D68" s="309">
        <v>31.9</v>
      </c>
      <c r="E68" s="309">
        <v>31.9</v>
      </c>
      <c r="F68" s="309">
        <v>30.7</v>
      </c>
      <c r="G68" s="309">
        <v>31</v>
      </c>
      <c r="H68" s="309">
        <v>39.799999999999997</v>
      </c>
      <c r="I68" s="309">
        <v>34.299999999999997</v>
      </c>
      <c r="J68" s="309">
        <v>34.200000000000003</v>
      </c>
      <c r="K68" s="309">
        <v>25.8</v>
      </c>
      <c r="L68" s="309"/>
      <c r="M68" s="309">
        <v>26.6</v>
      </c>
      <c r="N68" s="309">
        <v>24</v>
      </c>
      <c r="O68" s="310">
        <f t="shared" si="0"/>
        <v>31.020000000000003</v>
      </c>
      <c r="P68" s="310">
        <f t="shared" si="1"/>
        <v>14.260245015327037</v>
      </c>
      <c r="Q68" s="311">
        <f t="shared" si="2"/>
        <v>0.83333333333333337</v>
      </c>
      <c r="R68" s="225">
        <f t="shared" si="12"/>
        <v>31.9</v>
      </c>
      <c r="S68" s="226">
        <f t="shared" si="15"/>
        <v>0.66666666666666663</v>
      </c>
      <c r="T68" s="225">
        <f t="shared" si="13"/>
        <v>31.433333333333334</v>
      </c>
      <c r="U68" s="226">
        <f t="shared" si="16"/>
        <v>1</v>
      </c>
      <c r="V68" s="227">
        <f t="shared" si="14"/>
        <v>31.020000000000003</v>
      </c>
      <c r="W68" s="228">
        <f t="shared" si="17"/>
        <v>0.83333333333333337</v>
      </c>
      <c r="X68" s="144">
        <f t="shared" si="9"/>
        <v>20.45</v>
      </c>
      <c r="Y68" s="144">
        <f t="shared" si="10"/>
        <v>23.707142857142856</v>
      </c>
      <c r="Z68" s="144">
        <f t="shared" si="11"/>
        <v>22.056848827079833</v>
      </c>
      <c r="AA68" s="205"/>
      <c r="AB68" s="357" t="str">
        <f>VLOOKUP($B68,'2007-2020 Metadata'!$A$4:$S$214,MATCH("Urban Area /Monitoring Zone",'2007-2020 Metadata'!$A$4:$S$4,0),FALSE)</f>
        <v>Tauranga</v>
      </c>
      <c r="AC68" s="229" t="str">
        <f>VLOOKUP(B68,'2007-2020 Metadata'!$A$6:$A$214,1,FALSE)</f>
        <v>HAM010</v>
      </c>
      <c r="AD68" s="230" t="str">
        <f>VLOOKUP($AC68,'2007-2020 Metadata'!$A$6:$S$214,9,FALSE)</f>
        <v>Tauranga</v>
      </c>
      <c r="AE68" s="230">
        <f>IF(ISBLANK(VLOOKUP($AC68,'2007-2020 Metadata'!$A$6:$S$214,19,FALSE)),"",VLOOKUP($AC68,'2007-2020 Metadata'!$A$6:$S$214,19,FALSE))</f>
        <v>2.7</v>
      </c>
      <c r="AF68" s="88" t="str">
        <f>VLOOKUP($B68,'2007-2020 Metadata'!$A$4:$S$214,MATCH("Site type",'2007-2020 Metadata'!$A$4:$S$4,0),FALSE)</f>
        <v>SH</v>
      </c>
      <c r="AG68" s="143">
        <f t="shared" si="18"/>
        <v>24</v>
      </c>
      <c r="AH68" s="143">
        <f t="shared" si="19"/>
        <v>39.799999999999997</v>
      </c>
      <c r="AI68" s="144">
        <f t="shared" si="20"/>
        <v>22.056848827079833</v>
      </c>
    </row>
    <row r="69" spans="2:35" ht="12" customHeight="1" x14ac:dyDescent="0.15">
      <c r="B69" s="313" t="s">
        <v>95</v>
      </c>
      <c r="C69" s="309">
        <v>15.6</v>
      </c>
      <c r="D69" s="309">
        <v>16.399999999999999</v>
      </c>
      <c r="E69" s="309">
        <v>23.3</v>
      </c>
      <c r="F69" s="309">
        <v>23.3</v>
      </c>
      <c r="G69" s="309">
        <v>24.8</v>
      </c>
      <c r="H69" s="309">
        <v>27.8</v>
      </c>
      <c r="I69" s="309">
        <v>23.3</v>
      </c>
      <c r="J69" s="309">
        <v>22</v>
      </c>
      <c r="K69" s="309">
        <v>16.100000000000001</v>
      </c>
      <c r="L69" s="309">
        <v>14.6</v>
      </c>
      <c r="M69" s="309">
        <v>17.100000000000001</v>
      </c>
      <c r="N69" s="309">
        <v>11.6</v>
      </c>
      <c r="O69" s="310">
        <f t="shared" si="0"/>
        <v>19.658333333333331</v>
      </c>
      <c r="P69" s="310">
        <f t="shared" si="1"/>
        <v>24.343234893892323</v>
      </c>
      <c r="Q69" s="311">
        <f t="shared" si="2"/>
        <v>1</v>
      </c>
      <c r="R69" s="225">
        <f t="shared" si="12"/>
        <v>18.433333333333334</v>
      </c>
      <c r="S69" s="226">
        <f t="shared" si="15"/>
        <v>1</v>
      </c>
      <c r="T69" s="225">
        <f t="shared" si="13"/>
        <v>20.466666666666665</v>
      </c>
      <c r="U69" s="226">
        <f t="shared" si="16"/>
        <v>1</v>
      </c>
      <c r="V69" s="227">
        <f t="shared" si="14"/>
        <v>19.658333333333331</v>
      </c>
      <c r="W69" s="228">
        <f t="shared" si="17"/>
        <v>1</v>
      </c>
      <c r="X69" s="144">
        <f t="shared" si="9"/>
        <v>25.846296296296295</v>
      </c>
      <c r="Y69" s="144">
        <f t="shared" si="10"/>
        <v>29.683333333333337</v>
      </c>
      <c r="Z69" s="144">
        <f t="shared" si="11"/>
        <v>27.465387205387206</v>
      </c>
      <c r="AA69" s="205"/>
      <c r="AB69" s="357" t="str">
        <f>VLOOKUP($B69,'2007-2020 Metadata'!$A$4:$S$214,MATCH("Urban Area /Monitoring Zone",'2007-2020 Metadata'!$A$4:$S$4,0),FALSE)</f>
        <v>Hamilton</v>
      </c>
      <c r="AC69" s="229" t="str">
        <f>VLOOKUP(B69,'2007-2020 Metadata'!$A$6:$A$214,1,FALSE)</f>
        <v>HAM012</v>
      </c>
      <c r="AD69" s="230" t="str">
        <f>VLOOKUP($AC69,'2007-2020 Metadata'!$A$6:$S$214,9,FALSE)</f>
        <v>Hamilton</v>
      </c>
      <c r="AE69" s="230">
        <f>IF(ISBLANK(VLOOKUP($AC69,'2007-2020 Metadata'!$A$6:$S$214,19,FALSE)),"",VLOOKUP($AC69,'2007-2020 Metadata'!$A$6:$S$214,19,FALSE))</f>
        <v>2.8</v>
      </c>
      <c r="AF69" s="88" t="str">
        <f>VLOOKUP($B69,'2007-2020 Metadata'!$A$4:$S$214,MATCH("Site type",'2007-2020 Metadata'!$A$4:$S$4,0),FALSE)</f>
        <v>Local (ex SH)</v>
      </c>
      <c r="AG69" s="143">
        <f t="shared" si="18"/>
        <v>11.6</v>
      </c>
      <c r="AH69" s="143">
        <f t="shared" si="19"/>
        <v>27.8</v>
      </c>
      <c r="AI69" s="144">
        <f t="shared" si="20"/>
        <v>27.465387205387206</v>
      </c>
    </row>
    <row r="70" spans="2:35" ht="12" customHeight="1" x14ac:dyDescent="0.15">
      <c r="B70" s="313" t="s">
        <v>96</v>
      </c>
      <c r="C70" s="309">
        <v>37.4</v>
      </c>
      <c r="D70" s="309">
        <v>41.1</v>
      </c>
      <c r="E70" s="309">
        <v>42.8</v>
      </c>
      <c r="F70" s="309">
        <v>45.7</v>
      </c>
      <c r="G70" s="309"/>
      <c r="H70" s="309">
        <v>41.9</v>
      </c>
      <c r="I70" s="309">
        <v>50.7</v>
      </c>
      <c r="J70" s="309">
        <v>46.6</v>
      </c>
      <c r="K70" s="309">
        <v>40.299999999999997</v>
      </c>
      <c r="L70" s="309">
        <v>40.1</v>
      </c>
      <c r="M70" s="309">
        <v>46</v>
      </c>
      <c r="N70" s="309">
        <v>33.9</v>
      </c>
      <c r="O70" s="310">
        <f t="shared" si="0"/>
        <v>42.409090909090914</v>
      </c>
      <c r="P70" s="310">
        <f t="shared" si="1"/>
        <v>10.531537934462404</v>
      </c>
      <c r="Q70" s="311">
        <f t="shared" si="2"/>
        <v>0.91666666666666663</v>
      </c>
      <c r="R70" s="225">
        <f t="shared" si="12"/>
        <v>40.43333333333333</v>
      </c>
      <c r="S70" s="226">
        <f t="shared" si="15"/>
        <v>1</v>
      </c>
      <c r="T70" s="225">
        <f t="shared" si="13"/>
        <v>45.866666666666674</v>
      </c>
      <c r="U70" s="226">
        <f t="shared" si="16"/>
        <v>1</v>
      </c>
      <c r="V70" s="227">
        <f t="shared" si="14"/>
        <v>42.409090909090914</v>
      </c>
      <c r="W70" s="228">
        <f t="shared" si="17"/>
        <v>0.91666666666666663</v>
      </c>
      <c r="X70" s="144">
        <f t="shared" si="9"/>
        <v>25.846296296296295</v>
      </c>
      <c r="Y70" s="144">
        <f t="shared" si="10"/>
        <v>29.683333333333337</v>
      </c>
      <c r="Z70" s="144">
        <f t="shared" si="11"/>
        <v>27.465387205387206</v>
      </c>
      <c r="AA70" s="205"/>
      <c r="AB70" s="357" t="str">
        <f>VLOOKUP($B70,'2007-2020 Metadata'!$A$4:$S$214,MATCH("Urban Area /Monitoring Zone",'2007-2020 Metadata'!$A$4:$S$4,0),FALSE)</f>
        <v>Hamilton</v>
      </c>
      <c r="AC70" s="229" t="str">
        <f>VLOOKUP(B70,'2007-2020 Metadata'!$A$6:$A$214,1,FALSE)</f>
        <v>HAM013</v>
      </c>
      <c r="AD70" s="230" t="str">
        <f>VLOOKUP($AC70,'2007-2020 Metadata'!$A$6:$S$214,9,FALSE)</f>
        <v>Hamilton</v>
      </c>
      <c r="AE70" s="230">
        <f>IF(ISBLANK(VLOOKUP($AC70,'2007-2020 Metadata'!$A$6:$S$214,19,FALSE)),"",VLOOKUP($AC70,'2007-2020 Metadata'!$A$6:$S$214,19,FALSE))</f>
        <v>2.8</v>
      </c>
      <c r="AF70" s="88" t="str">
        <f>VLOOKUP($B70,'2007-2020 Metadata'!$A$4:$S$214,MATCH("Site type",'2007-2020 Metadata'!$A$4:$S$4,0),FALSE)</f>
        <v>SH</v>
      </c>
      <c r="AG70" s="143">
        <f t="shared" si="18"/>
        <v>33.9</v>
      </c>
      <c r="AH70" s="143">
        <f t="shared" si="19"/>
        <v>50.7</v>
      </c>
      <c r="AI70" s="144">
        <f t="shared" si="20"/>
        <v>27.465387205387206</v>
      </c>
    </row>
    <row r="71" spans="2:35" ht="12" customHeight="1" x14ac:dyDescent="0.15">
      <c r="B71" s="313" t="s">
        <v>97</v>
      </c>
      <c r="C71" s="309">
        <v>26</v>
      </c>
      <c r="D71" s="309">
        <v>30.8</v>
      </c>
      <c r="E71" s="309">
        <v>38</v>
      </c>
      <c r="F71" s="309">
        <v>35.299999999999997</v>
      </c>
      <c r="G71" s="309">
        <v>36.299999999999997</v>
      </c>
      <c r="H71" s="309"/>
      <c r="I71" s="309"/>
      <c r="J71" s="309">
        <v>33.9</v>
      </c>
      <c r="K71" s="309">
        <v>29.6</v>
      </c>
      <c r="L71" s="309">
        <v>27</v>
      </c>
      <c r="M71" s="309">
        <v>34.299999999999997</v>
      </c>
      <c r="N71" s="309">
        <v>23.8</v>
      </c>
      <c r="O71" s="310">
        <f t="shared" ref="O71:O74" si="29">(AVERAGE(C71:N71))</f>
        <v>31.5</v>
      </c>
      <c r="P71" s="310">
        <f t="shared" ref="P71:P134" si="30">IFERROR((STDEVP(C71:N71)/O71)*100,"")</f>
        <v>14.451245564390206</v>
      </c>
      <c r="Q71" s="311">
        <f t="shared" ref="Q71:Q134" si="31">COUNT(C71:N71)/COUNT($C$6:$N$6)</f>
        <v>0.83333333333333337</v>
      </c>
      <c r="R71" s="225">
        <f t="shared" si="12"/>
        <v>31.599999999999998</v>
      </c>
      <c r="S71" s="226">
        <f t="shared" si="15"/>
        <v>1</v>
      </c>
      <c r="T71" s="225">
        <f t="shared" si="13"/>
        <v>31.75</v>
      </c>
      <c r="U71" s="226">
        <f t="shared" si="16"/>
        <v>0.66666666666666663</v>
      </c>
      <c r="V71" s="227">
        <f t="shared" si="14"/>
        <v>31.5</v>
      </c>
      <c r="W71" s="228">
        <f t="shared" si="17"/>
        <v>0.83333333333333337</v>
      </c>
      <c r="X71" s="144">
        <f t="shared" si="9"/>
        <v>25.846296296296295</v>
      </c>
      <c r="Y71" s="144">
        <f t="shared" si="10"/>
        <v>29.683333333333337</v>
      </c>
      <c r="Z71" s="144">
        <f t="shared" si="11"/>
        <v>27.465387205387206</v>
      </c>
      <c r="AA71" s="205"/>
      <c r="AB71" s="357" t="str">
        <f>VLOOKUP($B71,'2007-2020 Metadata'!$A$4:$S$214,MATCH("Urban Area /Monitoring Zone",'2007-2020 Metadata'!$A$4:$S$4,0),FALSE)</f>
        <v>Hamilton</v>
      </c>
      <c r="AC71" s="229" t="str">
        <f>VLOOKUP(B71,'2007-2020 Metadata'!$A$6:$A$214,1,FALSE)</f>
        <v>HAM014</v>
      </c>
      <c r="AD71" s="230" t="str">
        <f>VLOOKUP($AC71,'2007-2020 Metadata'!$A$6:$S$214,9,FALSE)</f>
        <v>Hamilton</v>
      </c>
      <c r="AE71" s="230">
        <f>IF(ISBLANK(VLOOKUP($AC71,'2007-2020 Metadata'!$A$6:$S$214,19,FALSE)),"",VLOOKUP($AC71,'2007-2020 Metadata'!$A$6:$S$214,19,FALSE))</f>
        <v>2.2000000000000002</v>
      </c>
      <c r="AF71" s="88" t="str">
        <f>VLOOKUP($B71,'2007-2020 Metadata'!$A$4:$S$214,MATCH("Site type",'2007-2020 Metadata'!$A$4:$S$4,0),FALSE)</f>
        <v>Local</v>
      </c>
      <c r="AG71" s="143">
        <f t="shared" si="18"/>
        <v>23.8</v>
      </c>
      <c r="AH71" s="143">
        <f t="shared" si="19"/>
        <v>38</v>
      </c>
      <c r="AI71" s="144">
        <f t="shared" si="20"/>
        <v>27.465387205387206</v>
      </c>
    </row>
    <row r="72" spans="2:35" ht="12" customHeight="1" x14ac:dyDescent="0.15">
      <c r="B72" s="313" t="s">
        <v>98</v>
      </c>
      <c r="C72" s="309">
        <v>18.600000000000001</v>
      </c>
      <c r="D72" s="309">
        <v>25.7</v>
      </c>
      <c r="E72" s="309">
        <v>29.2</v>
      </c>
      <c r="F72" s="309">
        <v>25.9</v>
      </c>
      <c r="G72" s="309">
        <v>25.2</v>
      </c>
      <c r="H72" s="309">
        <v>30.9</v>
      </c>
      <c r="I72" s="309">
        <v>30.7</v>
      </c>
      <c r="J72" s="309">
        <v>27.1</v>
      </c>
      <c r="K72" s="309">
        <v>22.7</v>
      </c>
      <c r="L72" s="309">
        <v>21.6</v>
      </c>
      <c r="M72" s="309">
        <v>24.2</v>
      </c>
      <c r="N72" s="309">
        <v>16.8</v>
      </c>
      <c r="O72" s="310">
        <f t="shared" si="29"/>
        <v>24.883333333333329</v>
      </c>
      <c r="P72" s="310">
        <f t="shared" si="30"/>
        <v>17.058679255485142</v>
      </c>
      <c r="Q72" s="311">
        <f t="shared" si="31"/>
        <v>1</v>
      </c>
      <c r="R72" s="225">
        <f t="shared" si="12"/>
        <v>24.5</v>
      </c>
      <c r="S72" s="226">
        <f t="shared" si="15"/>
        <v>1</v>
      </c>
      <c r="T72" s="225">
        <f t="shared" si="13"/>
        <v>26.833333333333332</v>
      </c>
      <c r="U72" s="226">
        <f t="shared" si="16"/>
        <v>1</v>
      </c>
      <c r="V72" s="227">
        <f t="shared" si="14"/>
        <v>24.883333333333329</v>
      </c>
      <c r="W72" s="228">
        <f t="shared" si="17"/>
        <v>1</v>
      </c>
      <c r="X72" s="144">
        <f t="shared" si="9"/>
        <v>25.846296296296295</v>
      </c>
      <c r="Y72" s="144">
        <f t="shared" si="10"/>
        <v>29.683333333333337</v>
      </c>
      <c r="Z72" s="144">
        <f t="shared" si="11"/>
        <v>27.465387205387206</v>
      </c>
      <c r="AA72" s="205"/>
      <c r="AB72" s="357" t="str">
        <f>VLOOKUP($B72,'2007-2020 Metadata'!$A$4:$S$214,MATCH("Urban Area /Monitoring Zone",'2007-2020 Metadata'!$A$4:$S$4,0),FALSE)</f>
        <v>Hamilton</v>
      </c>
      <c r="AC72" s="229" t="str">
        <f>VLOOKUP(B72,'2007-2020 Metadata'!$A$6:$A$214,1,FALSE)</f>
        <v>HAM015</v>
      </c>
      <c r="AD72" s="230" t="str">
        <f>VLOOKUP($AC72,'2007-2020 Metadata'!$A$6:$S$214,9,FALSE)</f>
        <v>Hamilton</v>
      </c>
      <c r="AE72" s="230">
        <f>IF(ISBLANK(VLOOKUP($AC72,'2007-2020 Metadata'!$A$6:$S$214,19,FALSE)),"",VLOOKUP($AC72,'2007-2020 Metadata'!$A$6:$S$214,19,FALSE))</f>
        <v>2.7</v>
      </c>
      <c r="AF72" s="88" t="str">
        <f>VLOOKUP($B72,'2007-2020 Metadata'!$A$4:$S$214,MATCH("Site type",'2007-2020 Metadata'!$A$4:$S$4,0),FALSE)</f>
        <v>Local</v>
      </c>
      <c r="AG72" s="143">
        <f t="shared" si="18"/>
        <v>16.8</v>
      </c>
      <c r="AH72" s="143">
        <f t="shared" si="19"/>
        <v>30.9</v>
      </c>
      <c r="AI72" s="144">
        <f t="shared" si="20"/>
        <v>27.465387205387206</v>
      </c>
    </row>
    <row r="73" spans="2:35" ht="12" customHeight="1" x14ac:dyDescent="0.15">
      <c r="B73" s="313" t="s">
        <v>99</v>
      </c>
      <c r="C73" s="309">
        <v>12.4</v>
      </c>
      <c r="D73" s="309">
        <v>20.9</v>
      </c>
      <c r="E73" s="309"/>
      <c r="F73" s="309"/>
      <c r="G73" s="309">
        <v>27.4</v>
      </c>
      <c r="H73" s="309">
        <v>29.9</v>
      </c>
      <c r="I73" s="309">
        <v>24.2</v>
      </c>
      <c r="J73" s="309">
        <v>23</v>
      </c>
      <c r="K73" s="309">
        <v>17.5</v>
      </c>
      <c r="L73" s="309">
        <v>13.9</v>
      </c>
      <c r="M73" s="309">
        <v>16.899999999999999</v>
      </c>
      <c r="N73" s="309">
        <v>12.8</v>
      </c>
      <c r="O73" s="310">
        <f t="shared" si="29"/>
        <v>19.890000000000004</v>
      </c>
      <c r="P73" s="310">
        <f t="shared" si="30"/>
        <v>29.435131857111248</v>
      </c>
      <c r="Q73" s="311">
        <f t="shared" si="31"/>
        <v>0.83333333333333337</v>
      </c>
      <c r="R73" s="225">
        <f t="shared" si="12"/>
        <v>16.649999999999999</v>
      </c>
      <c r="S73" s="226">
        <f t="shared" si="15"/>
        <v>0.66666666666666663</v>
      </c>
      <c r="T73" s="225">
        <f t="shared" si="13"/>
        <v>21.566666666666666</v>
      </c>
      <c r="U73" s="226">
        <f t="shared" si="16"/>
        <v>1</v>
      </c>
      <c r="V73" s="227">
        <f t="shared" si="14"/>
        <v>19.890000000000004</v>
      </c>
      <c r="W73" s="228">
        <f t="shared" si="17"/>
        <v>0.83333333333333337</v>
      </c>
      <c r="X73" s="144">
        <f t="shared" ref="X73:X136" si="32">IF(VLOOKUP($B73,$AC$6:$AI$180,3,FALSE)="",$R73,IF(ISERROR(AVERAGEIF($AD$6:$AD$180,VLOOKUP($B73,$AC$6:$AI$180,2,FALSE),$R$6:$R$180)),"",AVERAGEIF($AD$6:$AD$180,VLOOKUP($B73,$AC$6:$AI$180,2,FALSE),$R$6:$R$180)))</f>
        <v>25.846296296296295</v>
      </c>
      <c r="Y73" s="144">
        <f t="shared" ref="Y73:Y136" si="33">IF(VLOOKUP($B73,$AC$6:$AI$180,3,FALSE)="",$T73,IF(ISERROR(AVERAGEIF($AD$6:$AD$180,VLOOKUP($B73,$AC$6:$AI$180,2,FALSE),$T$6:$T$180)),"",AVERAGEIF($AD$6:$AD$180,VLOOKUP($B73,$AC$6:$AI$180,2,FALSE),$T$6:$T$180)))</f>
        <v>29.683333333333337</v>
      </c>
      <c r="Z73" s="144">
        <f t="shared" ref="Z73:Z136" si="34">IF(VLOOKUP($B73,$AC$6:$AI$180,3,FALSE)="",$V73,IF(ISERROR(AVERAGEIF($AD$6:$AD$180,VLOOKUP($B73,$AC$6:$AI$180,2,FALSE),$V$6:$V$180)),"",AVERAGEIF($AD$6:$AD$180,VLOOKUP($B73,$AC$6:$AI$180,2,FALSE),$V$6:$V$180)))</f>
        <v>27.465387205387206</v>
      </c>
      <c r="AA73" s="205"/>
      <c r="AB73" s="357" t="str">
        <f>VLOOKUP($B73,'2007-2020 Metadata'!$A$4:$S$214,MATCH("Urban Area /Monitoring Zone",'2007-2020 Metadata'!$A$4:$S$4,0),FALSE)</f>
        <v>Hamilton</v>
      </c>
      <c r="AC73" s="229" t="str">
        <f>VLOOKUP(B73,'2007-2020 Metadata'!$A$6:$A$214,1,FALSE)</f>
        <v>HAM016</v>
      </c>
      <c r="AD73" s="230" t="str">
        <f>VLOOKUP($AC73,'2007-2020 Metadata'!$A$6:$S$214,9,FALSE)</f>
        <v>Hamilton</v>
      </c>
      <c r="AE73" s="230">
        <f>IF(ISBLANK(VLOOKUP($AC73,'2007-2020 Metadata'!$A$6:$S$214,19,FALSE)),"",VLOOKUP($AC73,'2007-2020 Metadata'!$A$6:$S$214,19,FALSE))</f>
        <v>2.6</v>
      </c>
      <c r="AF73" s="88" t="str">
        <f>VLOOKUP($B73,'2007-2020 Metadata'!$A$4:$S$214,MATCH("Site type",'2007-2020 Metadata'!$A$4:$S$4,0),FALSE)</f>
        <v>Local</v>
      </c>
      <c r="AG73" s="143">
        <f t="shared" si="18"/>
        <v>12.4</v>
      </c>
      <c r="AH73" s="143">
        <f t="shared" si="19"/>
        <v>29.9</v>
      </c>
      <c r="AI73" s="144">
        <f t="shared" si="20"/>
        <v>27.465387205387206</v>
      </c>
    </row>
    <row r="74" spans="2:35" ht="12" customHeight="1" x14ac:dyDescent="0.15">
      <c r="B74" s="313" t="s">
        <v>100</v>
      </c>
      <c r="C74" s="309">
        <v>7.6</v>
      </c>
      <c r="D74" s="309">
        <v>9.4</v>
      </c>
      <c r="E74" s="309">
        <v>14.7</v>
      </c>
      <c r="F74" s="309">
        <v>15.1</v>
      </c>
      <c r="G74" s="309">
        <v>15.1</v>
      </c>
      <c r="H74" s="309">
        <v>16.100000000000001</v>
      </c>
      <c r="I74" s="309">
        <v>13</v>
      </c>
      <c r="J74" s="309">
        <v>12.2</v>
      </c>
      <c r="K74" s="309">
        <v>10</v>
      </c>
      <c r="L74" s="309">
        <v>7.5</v>
      </c>
      <c r="M74" s="309">
        <v>8.6999999999999993</v>
      </c>
      <c r="N74" s="309">
        <v>5.9</v>
      </c>
      <c r="O74" s="310">
        <f t="shared" si="29"/>
        <v>11.275</v>
      </c>
      <c r="P74" s="310">
        <f t="shared" si="30"/>
        <v>29.91540885009271</v>
      </c>
      <c r="Q74" s="311">
        <f t="shared" si="31"/>
        <v>1</v>
      </c>
      <c r="R74" s="225">
        <f t="shared" ref="R74:R137" si="35">IF($S74=0%,"",IF($S74&gt;66%,AVERAGE($C74:$E74),"-"))</f>
        <v>10.566666666666666</v>
      </c>
      <c r="S74" s="226">
        <f t="shared" si="15"/>
        <v>1</v>
      </c>
      <c r="T74" s="225">
        <f t="shared" ref="T74:T137" si="36">IF($U74=0%,"",IF($U74&gt;66%,AVERAGE($I74:$K74),"-"))</f>
        <v>11.733333333333334</v>
      </c>
      <c r="U74" s="226">
        <f t="shared" si="16"/>
        <v>1</v>
      </c>
      <c r="V74" s="227">
        <f t="shared" ref="V74:V137" si="37">IF(AND(($S74&gt;33%),($U74&gt;33%),($W74&gt;=75%)),AVERAGE($C74:$N74),"-")</f>
        <v>11.275</v>
      </c>
      <c r="W74" s="228">
        <f t="shared" si="17"/>
        <v>1</v>
      </c>
      <c r="X74" s="144">
        <f t="shared" si="32"/>
        <v>25.846296296296295</v>
      </c>
      <c r="Y74" s="144">
        <f t="shared" si="33"/>
        <v>29.683333333333337</v>
      </c>
      <c r="Z74" s="144">
        <f t="shared" si="34"/>
        <v>27.465387205387206</v>
      </c>
      <c r="AA74" s="205"/>
      <c r="AB74" s="357" t="str">
        <f>VLOOKUP($B74,'2007-2020 Metadata'!$A$4:$S$214,MATCH("Urban Area /Monitoring Zone",'2007-2020 Metadata'!$A$4:$S$4,0),FALSE)</f>
        <v>Hamilton</v>
      </c>
      <c r="AC74" s="229" t="str">
        <f>VLOOKUP(B74,'2007-2020 Metadata'!$A$6:$A$214,1,FALSE)</f>
        <v>HAM017</v>
      </c>
      <c r="AD74" s="230" t="str">
        <f>VLOOKUP($AC74,'2007-2020 Metadata'!$A$6:$S$214,9,FALSE)</f>
        <v>Hamilton</v>
      </c>
      <c r="AE74" s="230">
        <f>IF(ISBLANK(VLOOKUP($AC74,'2007-2020 Metadata'!$A$6:$S$214,19,FALSE)),"",VLOOKUP($AC74,'2007-2020 Metadata'!$A$6:$S$214,19,FALSE))</f>
        <v>5</v>
      </c>
      <c r="AF74" s="88" t="str">
        <f>VLOOKUP($B74,'2007-2020 Metadata'!$A$4:$S$214,MATCH("Site type",'2007-2020 Metadata'!$A$4:$S$4,0),FALSE)</f>
        <v>Background</v>
      </c>
      <c r="AG74" s="143">
        <f t="shared" si="18"/>
        <v>5.9</v>
      </c>
      <c r="AH74" s="143">
        <f t="shared" si="19"/>
        <v>16.100000000000001</v>
      </c>
      <c r="AI74" s="144">
        <f t="shared" si="20"/>
        <v>27.465387205387206</v>
      </c>
    </row>
    <row r="75" spans="2:35" ht="12" customHeight="1" x14ac:dyDescent="0.15">
      <c r="B75" s="313" t="s">
        <v>101</v>
      </c>
      <c r="C75" s="309"/>
      <c r="D75" s="309"/>
      <c r="E75" s="309"/>
      <c r="F75" s="309"/>
      <c r="G75" s="309"/>
      <c r="H75" s="309"/>
      <c r="I75" s="309"/>
      <c r="J75" s="314"/>
      <c r="K75" s="314"/>
      <c r="L75" s="314"/>
      <c r="M75" s="314"/>
      <c r="N75" s="314"/>
      <c r="O75" s="310"/>
      <c r="P75" s="310" t="str">
        <f t="shared" si="30"/>
        <v/>
      </c>
      <c r="Q75" s="311">
        <f t="shared" si="31"/>
        <v>0</v>
      </c>
      <c r="R75" s="225" t="str">
        <f t="shared" si="35"/>
        <v/>
      </c>
      <c r="S75" s="226">
        <f t="shared" si="15"/>
        <v>0</v>
      </c>
      <c r="T75" s="225" t="str">
        <f t="shared" si="36"/>
        <v/>
      </c>
      <c r="U75" s="226">
        <f t="shared" si="16"/>
        <v>0</v>
      </c>
      <c r="V75" s="227" t="str">
        <f t="shared" si="37"/>
        <v>-</v>
      </c>
      <c r="W75" s="228">
        <f t="shared" si="17"/>
        <v>0</v>
      </c>
      <c r="X75" s="144">
        <f t="shared" si="32"/>
        <v>20.45</v>
      </c>
      <c r="Y75" s="144">
        <f t="shared" si="33"/>
        <v>23.707142857142856</v>
      </c>
      <c r="Z75" s="144">
        <f t="shared" si="34"/>
        <v>22.056848827079833</v>
      </c>
      <c r="AA75" s="205"/>
      <c r="AB75" s="357" t="str">
        <f>VLOOKUP($B75,'2007-2020 Metadata'!$A$4:$S$214,MATCH("Urban Area /Monitoring Zone",'2007-2020 Metadata'!$A$4:$S$4,0),FALSE)</f>
        <v>Tauranga</v>
      </c>
      <c r="AC75" s="229" t="str">
        <f>VLOOKUP(B75,'2007-2020 Metadata'!$A$6:$A$214,1,FALSE)</f>
        <v>HAM018</v>
      </c>
      <c r="AD75" s="230" t="str">
        <f>VLOOKUP($AC75,'2007-2020 Metadata'!$A$6:$S$214,9,FALSE)</f>
        <v>Tauranga</v>
      </c>
      <c r="AE75" s="230">
        <f>IF(ISBLANK(VLOOKUP($AC75,'2007-2020 Metadata'!$A$6:$S$214,19,FALSE)),"",VLOOKUP($AC75,'2007-2020 Metadata'!$A$6:$S$214,19,FALSE))</f>
        <v>2.5</v>
      </c>
      <c r="AF75" s="88" t="str">
        <f>VLOOKUP($B75,'2007-2020 Metadata'!$A$4:$S$214,MATCH("Site type",'2007-2020 Metadata'!$A$4:$S$4,0),FALSE)</f>
        <v>SH</v>
      </c>
      <c r="AG75" s="143">
        <f t="shared" si="18"/>
        <v>0</v>
      </c>
      <c r="AH75" s="143">
        <f t="shared" si="19"/>
        <v>0</v>
      </c>
      <c r="AI75" s="144" t="str">
        <f t="shared" si="20"/>
        <v xml:space="preserve"> </v>
      </c>
    </row>
    <row r="76" spans="2:35" ht="12" customHeight="1" x14ac:dyDescent="0.15">
      <c r="B76" s="313" t="s">
        <v>102</v>
      </c>
      <c r="C76" s="309">
        <v>15</v>
      </c>
      <c r="D76" s="309">
        <v>16</v>
      </c>
      <c r="E76" s="309">
        <v>16</v>
      </c>
      <c r="F76" s="309"/>
      <c r="G76" s="309">
        <v>26.982340862422994</v>
      </c>
      <c r="H76" s="309">
        <v>26.982340862422994</v>
      </c>
      <c r="I76" s="309">
        <v>22.8</v>
      </c>
      <c r="J76" s="309">
        <v>22.1</v>
      </c>
      <c r="K76" s="309">
        <v>15.2</v>
      </c>
      <c r="L76" s="309">
        <v>14.9</v>
      </c>
      <c r="M76" s="309">
        <v>15.3</v>
      </c>
      <c r="N76" s="309">
        <v>12.5</v>
      </c>
      <c r="O76" s="310">
        <f t="shared" ref="O76:O139" si="38">(AVERAGE(C76:N76))</f>
        <v>18.524061974986001</v>
      </c>
      <c r="P76" s="310">
        <f t="shared" si="30"/>
        <v>26.754517330995821</v>
      </c>
      <c r="Q76" s="311">
        <f t="shared" si="31"/>
        <v>0.91666666666666663</v>
      </c>
      <c r="R76" s="225">
        <f t="shared" si="35"/>
        <v>15.666666666666666</v>
      </c>
      <c r="S76" s="226">
        <f t="shared" ref="S76:S139" si="39">COUNT(C76:E76)/3</f>
        <v>1</v>
      </c>
      <c r="T76" s="225">
        <f t="shared" si="36"/>
        <v>20.033333333333335</v>
      </c>
      <c r="U76" s="226">
        <f t="shared" ref="U76:U139" si="40">COUNT(I76:K76)/3</f>
        <v>1</v>
      </c>
      <c r="V76" s="227">
        <f t="shared" si="37"/>
        <v>18.524061974986001</v>
      </c>
      <c r="W76" s="228">
        <f t="shared" ref="W76:W139" si="41">Q76</f>
        <v>0.91666666666666663</v>
      </c>
      <c r="X76" s="144">
        <f t="shared" si="32"/>
        <v>20.45</v>
      </c>
      <c r="Y76" s="144">
        <f t="shared" si="33"/>
        <v>23.707142857142856</v>
      </c>
      <c r="Z76" s="144">
        <f t="shared" si="34"/>
        <v>22.056848827079833</v>
      </c>
      <c r="AA76" s="205"/>
      <c r="AB76" s="357" t="str">
        <f>VLOOKUP($B76,'2007-2020 Metadata'!$A$4:$S$214,MATCH("Urban Area /Monitoring Zone",'2007-2020 Metadata'!$A$4:$S$4,0),FALSE)</f>
        <v>Tauranga</v>
      </c>
      <c r="AC76" s="229" t="str">
        <f>VLOOKUP(B76,'2007-2020 Metadata'!$A$6:$A$214,1,FALSE)</f>
        <v>HAM019</v>
      </c>
      <c r="AD76" s="230" t="str">
        <f>VLOOKUP($AC76,'2007-2020 Metadata'!$A$6:$S$214,9,FALSE)</f>
        <v>Tauranga</v>
      </c>
      <c r="AE76" s="230">
        <f>IF(ISBLANK(VLOOKUP($AC76,'2007-2020 Metadata'!$A$6:$S$214,19,FALSE)),"",VLOOKUP($AC76,'2007-2020 Metadata'!$A$6:$S$214,19,FALSE))</f>
        <v>2.7</v>
      </c>
      <c r="AF76" s="88" t="str">
        <f>VLOOKUP($B76,'2007-2020 Metadata'!$A$4:$S$214,MATCH("Site type",'2007-2020 Metadata'!$A$4:$S$4,0),FALSE)</f>
        <v>Local</v>
      </c>
      <c r="AG76" s="143">
        <f t="shared" ref="AG76:AG139" si="42">MIN(C76:N76)</f>
        <v>12.5</v>
      </c>
      <c r="AH76" s="143">
        <f t="shared" ref="AH76:AH139" si="43">MAX(C76:N76)</f>
        <v>26.982340862422994</v>
      </c>
      <c r="AI76" s="144">
        <f t="shared" ref="AI76:AI139" si="44">IF(W76&gt;=75%,Z76," ")</f>
        <v>22.056848827079833</v>
      </c>
    </row>
    <row r="77" spans="2:35" ht="12" customHeight="1" x14ac:dyDescent="0.15">
      <c r="B77" s="313" t="s">
        <v>103</v>
      </c>
      <c r="C77" s="309"/>
      <c r="D77" s="309"/>
      <c r="E77" s="309"/>
      <c r="F77" s="309"/>
      <c r="G77" s="309"/>
      <c r="H77" s="309">
        <v>27.1</v>
      </c>
      <c r="I77" s="309">
        <v>18.7</v>
      </c>
      <c r="J77" s="309">
        <v>20.2</v>
      </c>
      <c r="K77" s="309">
        <v>16.399999999999999</v>
      </c>
      <c r="L77" s="309">
        <v>14.3</v>
      </c>
      <c r="M77" s="309">
        <v>14.3</v>
      </c>
      <c r="N77" s="309"/>
      <c r="O77" s="310">
        <f t="shared" si="38"/>
        <v>18.5</v>
      </c>
      <c r="P77" s="310">
        <f t="shared" si="30"/>
        <v>23.826742530307225</v>
      </c>
      <c r="Q77" s="311">
        <f t="shared" si="31"/>
        <v>0.5</v>
      </c>
      <c r="R77" s="225" t="str">
        <f t="shared" si="35"/>
        <v/>
      </c>
      <c r="S77" s="226">
        <f t="shared" si="39"/>
        <v>0</v>
      </c>
      <c r="T77" s="225">
        <f t="shared" si="36"/>
        <v>18.433333333333334</v>
      </c>
      <c r="U77" s="226">
        <f t="shared" si="40"/>
        <v>1</v>
      </c>
      <c r="V77" s="227" t="str">
        <f t="shared" si="37"/>
        <v>-</v>
      </c>
      <c r="W77" s="228">
        <f t="shared" si="41"/>
        <v>0.5</v>
      </c>
      <c r="X77" s="144">
        <f t="shared" si="32"/>
        <v>20.45</v>
      </c>
      <c r="Y77" s="144">
        <f t="shared" si="33"/>
        <v>23.707142857142856</v>
      </c>
      <c r="Z77" s="144">
        <f t="shared" si="34"/>
        <v>22.056848827079833</v>
      </c>
      <c r="AA77" s="205"/>
      <c r="AB77" s="357" t="str">
        <f>VLOOKUP($B77,'2007-2020 Metadata'!$A$4:$S$214,MATCH("Urban Area /Monitoring Zone",'2007-2020 Metadata'!$A$4:$S$4,0),FALSE)</f>
        <v>Tauranga</v>
      </c>
      <c r="AC77" s="229" t="str">
        <f>VLOOKUP(B77,'2007-2020 Metadata'!$A$6:$A$214,1,FALSE)</f>
        <v>HAM020</v>
      </c>
      <c r="AD77" s="230" t="str">
        <f>VLOOKUP($AC77,'2007-2020 Metadata'!$A$6:$S$214,9,FALSE)</f>
        <v>Tauranga</v>
      </c>
      <c r="AE77" s="230">
        <f>IF(ISBLANK(VLOOKUP($AC77,'2007-2020 Metadata'!$A$6:$S$214,19,FALSE)),"",VLOOKUP($AC77,'2007-2020 Metadata'!$A$6:$S$214,19,FALSE))</f>
        <v>2.8</v>
      </c>
      <c r="AF77" s="88" t="str">
        <f>VLOOKUP($B77,'2007-2020 Metadata'!$A$4:$S$214,MATCH("Site type",'2007-2020 Metadata'!$A$4:$S$4,0),FALSE)</f>
        <v>Local</v>
      </c>
      <c r="AG77" s="143">
        <f t="shared" si="42"/>
        <v>14.3</v>
      </c>
      <c r="AH77" s="143">
        <f t="shared" si="43"/>
        <v>27.1</v>
      </c>
      <c r="AI77" s="144" t="str">
        <f t="shared" si="44"/>
        <v xml:space="preserve"> </v>
      </c>
    </row>
    <row r="78" spans="2:35" ht="12" customHeight="1" x14ac:dyDescent="0.15">
      <c r="B78" s="313" t="s">
        <v>104</v>
      </c>
      <c r="C78" s="309">
        <v>9.8000000000000007</v>
      </c>
      <c r="D78" s="309">
        <v>9.3000000000000007</v>
      </c>
      <c r="E78" s="309">
        <v>9.3000000000000007</v>
      </c>
      <c r="F78" s="309">
        <v>10.3</v>
      </c>
      <c r="G78" s="309">
        <v>13</v>
      </c>
      <c r="H78" s="309">
        <v>15.7</v>
      </c>
      <c r="I78" s="309">
        <v>11</v>
      </c>
      <c r="J78" s="309">
        <v>10.199999999999999</v>
      </c>
      <c r="K78" s="309">
        <v>8.5</v>
      </c>
      <c r="L78" s="309">
        <v>8.4</v>
      </c>
      <c r="M78" s="309">
        <v>9.1</v>
      </c>
      <c r="N78" s="309">
        <v>6.9</v>
      </c>
      <c r="O78" s="310">
        <f t="shared" si="38"/>
        <v>10.125000000000002</v>
      </c>
      <c r="P78" s="310">
        <f t="shared" si="30"/>
        <v>21.840805373262622</v>
      </c>
      <c r="Q78" s="311">
        <f t="shared" si="31"/>
        <v>1</v>
      </c>
      <c r="R78" s="225">
        <f t="shared" si="35"/>
        <v>9.4666666666666668</v>
      </c>
      <c r="S78" s="226">
        <f t="shared" si="39"/>
        <v>1</v>
      </c>
      <c r="T78" s="225">
        <f t="shared" si="36"/>
        <v>9.9</v>
      </c>
      <c r="U78" s="226">
        <f t="shared" si="40"/>
        <v>1</v>
      </c>
      <c r="V78" s="227">
        <f t="shared" si="37"/>
        <v>10.125000000000002</v>
      </c>
      <c r="W78" s="228">
        <f t="shared" si="41"/>
        <v>1</v>
      </c>
      <c r="X78" s="144">
        <f t="shared" si="32"/>
        <v>20.45</v>
      </c>
      <c r="Y78" s="144">
        <f t="shared" si="33"/>
        <v>23.707142857142856</v>
      </c>
      <c r="Z78" s="144">
        <f t="shared" si="34"/>
        <v>22.056848827079833</v>
      </c>
      <c r="AA78" s="205"/>
      <c r="AB78" s="357" t="str">
        <f>VLOOKUP($B78,'2007-2020 Metadata'!$A$4:$S$214,MATCH("Urban Area /Monitoring Zone",'2007-2020 Metadata'!$A$4:$S$4,0),FALSE)</f>
        <v>Tauranga</v>
      </c>
      <c r="AC78" s="229" t="str">
        <f>VLOOKUP(B78,'2007-2020 Metadata'!$A$6:$A$214,1,FALSE)</f>
        <v>HAM021</v>
      </c>
      <c r="AD78" s="230" t="str">
        <f>VLOOKUP($AC78,'2007-2020 Metadata'!$A$6:$S$214,9,FALSE)</f>
        <v>Tauranga</v>
      </c>
      <c r="AE78" s="230">
        <f>IF(ISBLANK(VLOOKUP($AC78,'2007-2020 Metadata'!$A$6:$S$214,19,FALSE)),"",VLOOKUP($AC78,'2007-2020 Metadata'!$A$6:$S$214,19,FALSE))</f>
        <v>3</v>
      </c>
      <c r="AF78" s="88" t="str">
        <f>VLOOKUP($B78,'2007-2020 Metadata'!$A$4:$S$214,MATCH("Site type",'2007-2020 Metadata'!$A$4:$S$4,0),FALSE)</f>
        <v>Background</v>
      </c>
      <c r="AG78" s="143">
        <f t="shared" si="42"/>
        <v>6.9</v>
      </c>
      <c r="AH78" s="143">
        <f t="shared" si="43"/>
        <v>15.7</v>
      </c>
      <c r="AI78" s="144">
        <f t="shared" si="44"/>
        <v>22.056848827079833</v>
      </c>
    </row>
    <row r="79" spans="2:35" ht="12" customHeight="1" x14ac:dyDescent="0.15">
      <c r="B79" s="313" t="s">
        <v>105</v>
      </c>
      <c r="C79" s="309"/>
      <c r="D79" s="309">
        <v>25.5</v>
      </c>
      <c r="E79" s="309">
        <v>20.100000000000001</v>
      </c>
      <c r="F79" s="309">
        <v>18</v>
      </c>
      <c r="G79" s="309">
        <v>22.9</v>
      </c>
      <c r="H79" s="309">
        <v>22.9</v>
      </c>
      <c r="I79" s="309">
        <v>21.7</v>
      </c>
      <c r="J79" s="309">
        <v>20.100000000000001</v>
      </c>
      <c r="K79" s="309"/>
      <c r="L79" s="309"/>
      <c r="M79" s="309">
        <v>17.8</v>
      </c>
      <c r="N79" s="309">
        <v>13</v>
      </c>
      <c r="O79" s="310">
        <f t="shared" si="38"/>
        <v>20.222222222222221</v>
      </c>
      <c r="P79" s="310">
        <f t="shared" si="30"/>
        <v>17.080578617892062</v>
      </c>
      <c r="Q79" s="311">
        <f t="shared" si="31"/>
        <v>0.75</v>
      </c>
      <c r="R79" s="225">
        <f t="shared" si="35"/>
        <v>22.8</v>
      </c>
      <c r="S79" s="226">
        <f t="shared" si="39"/>
        <v>0.66666666666666663</v>
      </c>
      <c r="T79" s="225">
        <f t="shared" si="36"/>
        <v>20.9</v>
      </c>
      <c r="U79" s="226">
        <f t="shared" si="40"/>
        <v>0.66666666666666663</v>
      </c>
      <c r="V79" s="227">
        <f t="shared" si="37"/>
        <v>20.222222222222221</v>
      </c>
      <c r="W79" s="228">
        <f t="shared" si="41"/>
        <v>0.75</v>
      </c>
      <c r="X79" s="144">
        <f t="shared" si="32"/>
        <v>22.8</v>
      </c>
      <c r="Y79" s="144">
        <f t="shared" si="33"/>
        <v>20.9</v>
      </c>
      <c r="Z79" s="144">
        <f t="shared" si="34"/>
        <v>20.222222222222221</v>
      </c>
      <c r="AA79" s="205"/>
      <c r="AB79" s="357" t="str">
        <f>VLOOKUP($B79,'2007-2020 Metadata'!$A$4:$S$214,MATCH("Urban Area /Monitoring Zone",'2007-2020 Metadata'!$A$4:$S$4,0),FALSE)</f>
        <v>Te Awamutu</v>
      </c>
      <c r="AC79" s="229" t="str">
        <f>VLOOKUP(B79,'2007-2020 Metadata'!$A$6:$A$214,1,FALSE)</f>
        <v>HAM022</v>
      </c>
      <c r="AD79" s="230" t="str">
        <f>VLOOKUP($AC79,'2007-2020 Metadata'!$A$6:$S$214,9,FALSE)</f>
        <v>Te Awamutu</v>
      </c>
      <c r="AE79" s="230">
        <f>IF(ISBLANK(VLOOKUP($AC79,'2007-2020 Metadata'!$A$6:$S$214,19,FALSE)),"",VLOOKUP($AC79,'2007-2020 Metadata'!$A$6:$S$214,19,FALSE))</f>
        <v>3</v>
      </c>
      <c r="AF79" s="88" t="str">
        <f>VLOOKUP($B79,'2007-2020 Metadata'!$A$4:$S$214,MATCH("Site type",'2007-2020 Metadata'!$A$4:$S$4,0),FALSE)</f>
        <v>SH</v>
      </c>
      <c r="AG79" s="143">
        <f t="shared" si="42"/>
        <v>13</v>
      </c>
      <c r="AH79" s="143">
        <f t="shared" si="43"/>
        <v>25.5</v>
      </c>
      <c r="AI79" s="144">
        <f t="shared" si="44"/>
        <v>20.222222222222221</v>
      </c>
    </row>
    <row r="80" spans="2:35" ht="12" customHeight="1" x14ac:dyDescent="0.15">
      <c r="B80" s="313" t="s">
        <v>106</v>
      </c>
      <c r="C80" s="309">
        <v>4.5</v>
      </c>
      <c r="D80" s="309">
        <v>6.6</v>
      </c>
      <c r="E80" s="309">
        <v>9.4</v>
      </c>
      <c r="F80" s="309">
        <v>8.6</v>
      </c>
      <c r="G80" s="309">
        <v>13.3</v>
      </c>
      <c r="H80" s="309">
        <v>11</v>
      </c>
      <c r="I80" s="309">
        <v>12.1</v>
      </c>
      <c r="J80" s="309">
        <v>9.1</v>
      </c>
      <c r="K80" s="309">
        <v>6.6</v>
      </c>
      <c r="L80" s="309">
        <v>5.5</v>
      </c>
      <c r="M80" s="309">
        <v>6.6</v>
      </c>
      <c r="N80" s="309">
        <v>4.0999999999999996</v>
      </c>
      <c r="O80" s="310">
        <f t="shared" si="38"/>
        <v>8.1166666666666654</v>
      </c>
      <c r="P80" s="310">
        <f t="shared" si="30"/>
        <v>35.002287323696734</v>
      </c>
      <c r="Q80" s="311">
        <f t="shared" si="31"/>
        <v>1</v>
      </c>
      <c r="R80" s="225">
        <f t="shared" si="35"/>
        <v>6.833333333333333</v>
      </c>
      <c r="S80" s="226">
        <f t="shared" si="39"/>
        <v>1</v>
      </c>
      <c r="T80" s="225">
        <f t="shared" si="36"/>
        <v>9.2666666666666657</v>
      </c>
      <c r="U80" s="226">
        <f t="shared" si="40"/>
        <v>1</v>
      </c>
      <c r="V80" s="227">
        <f t="shared" si="37"/>
        <v>8.1166666666666654</v>
      </c>
      <c r="W80" s="228">
        <f t="shared" si="41"/>
        <v>1</v>
      </c>
      <c r="X80" s="144">
        <f t="shared" si="32"/>
        <v>12.5</v>
      </c>
      <c r="Y80" s="144">
        <f t="shared" si="33"/>
        <v>17.683333333333337</v>
      </c>
      <c r="Z80" s="144">
        <f t="shared" si="34"/>
        <v>14.691666666666666</v>
      </c>
      <c r="AA80" s="205"/>
      <c r="AB80" s="357" t="str">
        <f>VLOOKUP($B80,'2007-2020 Metadata'!$A$4:$S$214,MATCH("Urban Area /Monitoring Zone",'2007-2020 Metadata'!$A$4:$S$4,0),FALSE)</f>
        <v>Rotorua</v>
      </c>
      <c r="AC80" s="229" t="str">
        <f>VLOOKUP(B80,'2007-2020 Metadata'!$A$6:$A$214,1,FALSE)</f>
        <v>HAM023</v>
      </c>
      <c r="AD80" s="230" t="str">
        <f>VLOOKUP($AC80,'2007-2020 Metadata'!$A$6:$S$214,9,FALSE)</f>
        <v>Rotorua</v>
      </c>
      <c r="AE80" s="230">
        <f>IF(ISBLANK(VLOOKUP($AC80,'2007-2020 Metadata'!$A$6:$S$214,19,FALSE)),"",VLOOKUP($AC80,'2007-2020 Metadata'!$A$6:$S$214,19,FALSE))</f>
        <v>2.5</v>
      </c>
      <c r="AF80" s="88" t="str">
        <f>VLOOKUP($B80,'2007-2020 Metadata'!$A$4:$S$214,MATCH("Site type",'2007-2020 Metadata'!$A$4:$S$4,0),FALSE)</f>
        <v>Background</v>
      </c>
      <c r="AG80" s="143">
        <f t="shared" si="42"/>
        <v>4.0999999999999996</v>
      </c>
      <c r="AH80" s="143">
        <f t="shared" si="43"/>
        <v>13.3</v>
      </c>
      <c r="AI80" s="144">
        <f t="shared" si="44"/>
        <v>14.691666666666666</v>
      </c>
    </row>
    <row r="81" spans="2:35" ht="12" customHeight="1" x14ac:dyDescent="0.15">
      <c r="B81" s="313" t="s">
        <v>987</v>
      </c>
      <c r="C81" s="314"/>
      <c r="D81" s="314"/>
      <c r="E81" s="314"/>
      <c r="F81" s="314"/>
      <c r="G81" s="314"/>
      <c r="H81" s="314"/>
      <c r="I81" s="314"/>
      <c r="J81" s="309">
        <v>30.9</v>
      </c>
      <c r="K81" s="309">
        <v>19.8</v>
      </c>
      <c r="L81" s="309">
        <v>19.899999999999999</v>
      </c>
      <c r="M81" s="309">
        <v>18.7</v>
      </c>
      <c r="N81" s="309">
        <v>17.8</v>
      </c>
      <c r="O81" s="310">
        <f t="shared" si="38"/>
        <v>21.419999999999998</v>
      </c>
      <c r="P81" s="310">
        <f t="shared" si="30"/>
        <v>22.419465326345946</v>
      </c>
      <c r="Q81" s="311">
        <f t="shared" si="31"/>
        <v>0.41666666666666669</v>
      </c>
      <c r="R81" s="225" t="str">
        <f t="shared" si="35"/>
        <v/>
      </c>
      <c r="S81" s="226">
        <f t="shared" si="39"/>
        <v>0</v>
      </c>
      <c r="T81" s="225">
        <f t="shared" si="36"/>
        <v>25.35</v>
      </c>
      <c r="U81" s="226">
        <f t="shared" si="40"/>
        <v>0.66666666666666663</v>
      </c>
      <c r="V81" s="227" t="str">
        <f t="shared" si="37"/>
        <v>-</v>
      </c>
      <c r="W81" s="228">
        <f t="shared" si="41"/>
        <v>0.41666666666666669</v>
      </c>
      <c r="X81" s="144">
        <f t="shared" si="32"/>
        <v>20.45</v>
      </c>
      <c r="Y81" s="144">
        <f t="shared" si="33"/>
        <v>23.707142857142856</v>
      </c>
      <c r="Z81" s="144">
        <f t="shared" si="34"/>
        <v>22.056848827079833</v>
      </c>
      <c r="AA81" s="205"/>
      <c r="AB81" s="357" t="str">
        <f>VLOOKUP($B81,'2007-2020 Metadata'!$A$4:$S$214,MATCH("Urban Area /Monitoring Zone",'2007-2020 Metadata'!$A$4:$S$4,0),FALSE)</f>
        <v>Tauranga</v>
      </c>
      <c r="AC81" s="229" t="str">
        <f>VLOOKUP(B81,'2007-2020 Metadata'!$A$6:$A$214,1,FALSE)</f>
        <v>HAM024</v>
      </c>
      <c r="AD81" s="230" t="str">
        <f>VLOOKUP($AC81,'2007-2020 Metadata'!$A$6:$S$214,9,FALSE)</f>
        <v>Tauranga</v>
      </c>
      <c r="AE81" s="230">
        <f>IF(ISBLANK(VLOOKUP($AC81,'2007-2020 Metadata'!$A$6:$S$214,19,FALSE)),"",VLOOKUP($AC81,'2007-2020 Metadata'!$A$6:$S$214,19,FALSE))</f>
        <v>3</v>
      </c>
      <c r="AF81" s="88" t="str">
        <f>VLOOKUP($B81,'2007-2020 Metadata'!$A$4:$S$214,MATCH("Site type",'2007-2020 Metadata'!$A$4:$S$4,0),FALSE)</f>
        <v>SH</v>
      </c>
      <c r="AG81" s="143">
        <f t="shared" si="42"/>
        <v>17.8</v>
      </c>
      <c r="AH81" s="143">
        <f t="shared" si="43"/>
        <v>30.9</v>
      </c>
      <c r="AI81" s="144" t="str">
        <f t="shared" si="44"/>
        <v xml:space="preserve"> </v>
      </c>
    </row>
    <row r="82" spans="2:35" ht="12" customHeight="1" x14ac:dyDescent="0.15">
      <c r="B82" s="313" t="s">
        <v>1048</v>
      </c>
      <c r="C82" s="309">
        <v>10.3</v>
      </c>
      <c r="D82" s="309">
        <v>14.1</v>
      </c>
      <c r="E82" s="309">
        <v>15.5</v>
      </c>
      <c r="F82" s="309">
        <v>15.7</v>
      </c>
      <c r="G82" s="309">
        <v>15.7</v>
      </c>
      <c r="H82" s="309"/>
      <c r="I82" s="309"/>
      <c r="J82" s="309"/>
      <c r="K82" s="309">
        <v>14.6</v>
      </c>
      <c r="L82" s="309">
        <v>13.6</v>
      </c>
      <c r="M82" s="309">
        <v>10.3</v>
      </c>
      <c r="N82" s="309">
        <v>12.1</v>
      </c>
      <c r="O82" s="310">
        <f t="shared" si="38"/>
        <v>13.544444444444443</v>
      </c>
      <c r="P82" s="310">
        <f t="shared" si="30"/>
        <v>15.107263433310131</v>
      </c>
      <c r="Q82" s="311">
        <f t="shared" si="31"/>
        <v>0.75</v>
      </c>
      <c r="R82" s="225">
        <f t="shared" si="35"/>
        <v>13.299999999999999</v>
      </c>
      <c r="S82" s="226">
        <f t="shared" si="39"/>
        <v>1</v>
      </c>
      <c r="T82" s="225" t="str">
        <f t="shared" si="36"/>
        <v>-</v>
      </c>
      <c r="U82" s="226">
        <f t="shared" si="40"/>
        <v>0.33333333333333331</v>
      </c>
      <c r="V82" s="227">
        <f t="shared" si="37"/>
        <v>13.544444444444443</v>
      </c>
      <c r="W82" s="228">
        <f t="shared" si="41"/>
        <v>0.75</v>
      </c>
      <c r="X82" s="144">
        <f t="shared" si="32"/>
        <v>13.299999999999999</v>
      </c>
      <c r="Y82" s="144" t="str">
        <f t="shared" si="33"/>
        <v>-</v>
      </c>
      <c r="Z82" s="144">
        <f t="shared" si="34"/>
        <v>13.544444444444443</v>
      </c>
      <c r="AA82" s="205"/>
      <c r="AB82" s="357">
        <f>VLOOKUP($B82,'2007-2020 Metadata'!$A$4:$S$214,MATCH("Urban Area /Monitoring Zone",'2007-2020 Metadata'!$A$4:$S$4,0),FALSE)</f>
        <v>0</v>
      </c>
      <c r="AC82" s="229" t="str">
        <f>VLOOKUP(B82,'2007-2020 Metadata'!$A$6:$A$214,1,FALSE)</f>
        <v>NAP001a</v>
      </c>
      <c r="AD82" s="230">
        <f>VLOOKUP($AC82,'2007-2020 Metadata'!$A$6:$S$214,9,FALSE)</f>
        <v>0</v>
      </c>
      <c r="AE82" s="230" t="str">
        <f>IF(ISBLANK(VLOOKUP($AC82,'2007-2020 Metadata'!$A$6:$S$214,19,FALSE)),"",VLOOKUP($AC82,'2007-2020 Metadata'!$A$6:$S$214,19,FALSE))</f>
        <v/>
      </c>
      <c r="AF82" s="88" t="str">
        <f>VLOOKUP($B82,'2007-2020 Metadata'!$A$4:$S$214,MATCH("Site type",'2007-2020 Metadata'!$A$4:$S$4,0),FALSE)</f>
        <v>SH</v>
      </c>
      <c r="AG82" s="143">
        <f t="shared" si="42"/>
        <v>10.3</v>
      </c>
      <c r="AH82" s="143">
        <f t="shared" si="43"/>
        <v>15.7</v>
      </c>
      <c r="AI82" s="144">
        <f t="shared" si="44"/>
        <v>13.544444444444443</v>
      </c>
    </row>
    <row r="83" spans="2:35" ht="12" customHeight="1" x14ac:dyDescent="0.15">
      <c r="B83" s="313" t="s">
        <v>43</v>
      </c>
      <c r="C83" s="309">
        <v>14.3</v>
      </c>
      <c r="D83" s="309">
        <v>17.8</v>
      </c>
      <c r="E83" s="309">
        <v>21</v>
      </c>
      <c r="F83" s="309">
        <v>27.2</v>
      </c>
      <c r="G83" s="309">
        <v>21.9</v>
      </c>
      <c r="H83" s="309">
        <v>30.3</v>
      </c>
      <c r="I83" s="309">
        <v>25.3</v>
      </c>
      <c r="J83" s="309">
        <v>24</v>
      </c>
      <c r="K83" s="309">
        <v>17.8</v>
      </c>
      <c r="L83" s="309">
        <v>17</v>
      </c>
      <c r="M83" s="309">
        <v>16</v>
      </c>
      <c r="N83" s="309">
        <v>13.1</v>
      </c>
      <c r="O83" s="310">
        <f t="shared" si="38"/>
        <v>20.475000000000001</v>
      </c>
      <c r="P83" s="310">
        <f t="shared" si="30"/>
        <v>25.169709416239034</v>
      </c>
      <c r="Q83" s="311">
        <f t="shared" si="31"/>
        <v>1</v>
      </c>
      <c r="R83" s="225">
        <f t="shared" si="35"/>
        <v>17.7</v>
      </c>
      <c r="S83" s="226">
        <f t="shared" si="39"/>
        <v>1</v>
      </c>
      <c r="T83" s="225">
        <f t="shared" si="36"/>
        <v>22.366666666666664</v>
      </c>
      <c r="U83" s="226">
        <f t="shared" si="40"/>
        <v>1</v>
      </c>
      <c r="V83" s="227">
        <f t="shared" si="37"/>
        <v>20.475000000000001</v>
      </c>
      <c r="W83" s="228">
        <f t="shared" si="41"/>
        <v>1</v>
      </c>
      <c r="X83" s="144">
        <f t="shared" si="32"/>
        <v>16.888888888888889</v>
      </c>
      <c r="Y83" s="144">
        <f t="shared" si="33"/>
        <v>17.811111111111106</v>
      </c>
      <c r="Z83" s="144">
        <f t="shared" si="34"/>
        <v>17.872222222222224</v>
      </c>
      <c r="AA83" s="205"/>
      <c r="AB83" s="357" t="str">
        <f>VLOOKUP($B83,'2007-2020 Metadata'!$A$4:$S$214,MATCH("Urban Area /Monitoring Zone",'2007-2020 Metadata'!$A$4:$S$4,0),FALSE)</f>
        <v>Napier</v>
      </c>
      <c r="AC83" s="229" t="str">
        <f>VLOOKUP(B83,'2007-2020 Metadata'!$A$6:$A$214,1,FALSE)</f>
        <v>NAP002</v>
      </c>
      <c r="AD83" s="230" t="str">
        <f>VLOOKUP($AC83,'2007-2020 Metadata'!$A$6:$S$214,9,FALSE)</f>
        <v>Napier</v>
      </c>
      <c r="AE83" s="230">
        <f>IF(ISBLANK(VLOOKUP($AC83,'2007-2020 Metadata'!$A$6:$S$214,19,FALSE)),"",VLOOKUP($AC83,'2007-2020 Metadata'!$A$6:$S$214,19,FALSE))</f>
        <v>3</v>
      </c>
      <c r="AF83" s="88" t="str">
        <f>VLOOKUP($B83,'2007-2020 Metadata'!$A$4:$S$214,MATCH("Site type",'2007-2020 Metadata'!$A$4:$S$4,0),FALSE)</f>
        <v>SH</v>
      </c>
      <c r="AG83" s="143">
        <f t="shared" si="42"/>
        <v>13.1</v>
      </c>
      <c r="AH83" s="143">
        <f t="shared" si="43"/>
        <v>30.3</v>
      </c>
      <c r="AI83" s="144">
        <f t="shared" si="44"/>
        <v>17.872222222222224</v>
      </c>
    </row>
    <row r="84" spans="2:35" ht="12" customHeight="1" x14ac:dyDescent="0.15">
      <c r="B84" s="313" t="s">
        <v>44</v>
      </c>
      <c r="C84" s="309">
        <v>22.1</v>
      </c>
      <c r="D84" s="309">
        <v>24.8</v>
      </c>
      <c r="E84" s="309">
        <v>29.4</v>
      </c>
      <c r="F84" s="309">
        <v>23</v>
      </c>
      <c r="G84" s="309">
        <v>25.1</v>
      </c>
      <c r="H84" s="309">
        <v>31.9</v>
      </c>
      <c r="I84" s="309">
        <v>28.9</v>
      </c>
      <c r="J84" s="309">
        <v>22</v>
      </c>
      <c r="K84" s="309">
        <v>13.7</v>
      </c>
      <c r="L84" s="309">
        <v>23.5</v>
      </c>
      <c r="M84" s="309">
        <v>26.5</v>
      </c>
      <c r="N84" s="309">
        <v>20.2</v>
      </c>
      <c r="O84" s="310">
        <f t="shared" si="38"/>
        <v>24.258333333333329</v>
      </c>
      <c r="P84" s="310">
        <f t="shared" si="30"/>
        <v>18.900813807089012</v>
      </c>
      <c r="Q84" s="311">
        <f t="shared" si="31"/>
        <v>1</v>
      </c>
      <c r="R84" s="225">
        <f t="shared" si="35"/>
        <v>25.433333333333337</v>
      </c>
      <c r="S84" s="226">
        <f t="shared" si="39"/>
        <v>1</v>
      </c>
      <c r="T84" s="225">
        <f t="shared" si="36"/>
        <v>21.533333333333331</v>
      </c>
      <c r="U84" s="226">
        <f t="shared" si="40"/>
        <v>1</v>
      </c>
      <c r="V84" s="227">
        <f t="shared" si="37"/>
        <v>24.258333333333329</v>
      </c>
      <c r="W84" s="228">
        <f t="shared" si="41"/>
        <v>1</v>
      </c>
      <c r="X84" s="144">
        <f t="shared" si="32"/>
        <v>16.888888888888889</v>
      </c>
      <c r="Y84" s="144">
        <f t="shared" si="33"/>
        <v>17.811111111111106</v>
      </c>
      <c r="Z84" s="144">
        <f t="shared" si="34"/>
        <v>17.872222222222224</v>
      </c>
      <c r="AA84" s="205"/>
      <c r="AB84" s="357" t="str">
        <f>VLOOKUP($B84,'2007-2020 Metadata'!$A$4:$S$214,MATCH("Urban Area /Monitoring Zone",'2007-2020 Metadata'!$A$4:$S$4,0),FALSE)</f>
        <v>Napier</v>
      </c>
      <c r="AC84" s="229" t="str">
        <f>VLOOKUP(B84,'2007-2020 Metadata'!$A$6:$A$214,1,FALSE)</f>
        <v>NAP003</v>
      </c>
      <c r="AD84" s="230" t="str">
        <f>VLOOKUP($AC84,'2007-2020 Metadata'!$A$6:$S$214,9,FALSE)</f>
        <v>Napier</v>
      </c>
      <c r="AE84" s="230">
        <f>IF(ISBLANK(VLOOKUP($AC84,'2007-2020 Metadata'!$A$6:$S$214,19,FALSE)),"",VLOOKUP($AC84,'2007-2020 Metadata'!$A$6:$S$214,19,FALSE))</f>
        <v>3</v>
      </c>
      <c r="AF84" s="88" t="str">
        <f>VLOOKUP($B84,'2007-2020 Metadata'!$A$4:$S$214,MATCH("Site type",'2007-2020 Metadata'!$A$4:$S$4,0),FALSE)</f>
        <v>SH</v>
      </c>
      <c r="AG84" s="143">
        <f t="shared" si="42"/>
        <v>13.7</v>
      </c>
      <c r="AH84" s="143">
        <f t="shared" si="43"/>
        <v>31.9</v>
      </c>
      <c r="AI84" s="144">
        <f t="shared" si="44"/>
        <v>17.872222222222224</v>
      </c>
    </row>
    <row r="85" spans="2:35" ht="12" customHeight="1" x14ac:dyDescent="0.15">
      <c r="B85" s="313" t="s">
        <v>45</v>
      </c>
      <c r="C85" s="309">
        <v>19.8</v>
      </c>
      <c r="D85" s="309">
        <v>21.2</v>
      </c>
      <c r="E85" s="309">
        <v>33.4</v>
      </c>
      <c r="F85" s="309">
        <v>24.6</v>
      </c>
      <c r="G85" s="309">
        <v>28.2</v>
      </c>
      <c r="H85" s="309">
        <v>29.5</v>
      </c>
      <c r="I85" s="309">
        <v>23.5</v>
      </c>
      <c r="J85" s="309">
        <v>21.6</v>
      </c>
      <c r="K85" s="309">
        <v>19.8</v>
      </c>
      <c r="L85" s="309">
        <v>17.8</v>
      </c>
      <c r="M85" s="309">
        <v>17.100000000000001</v>
      </c>
      <c r="N85" s="309">
        <v>14.1</v>
      </c>
      <c r="O85" s="310">
        <f t="shared" si="38"/>
        <v>22.55</v>
      </c>
      <c r="P85" s="310">
        <f t="shared" si="30"/>
        <v>23.763016097495193</v>
      </c>
      <c r="Q85" s="311">
        <f t="shared" si="31"/>
        <v>1</v>
      </c>
      <c r="R85" s="225">
        <f t="shared" si="35"/>
        <v>24.8</v>
      </c>
      <c r="S85" s="226">
        <f t="shared" si="39"/>
        <v>1</v>
      </c>
      <c r="T85" s="225">
        <f t="shared" si="36"/>
        <v>21.633333333333336</v>
      </c>
      <c r="U85" s="226">
        <f t="shared" si="40"/>
        <v>1</v>
      </c>
      <c r="V85" s="227">
        <f t="shared" si="37"/>
        <v>22.55</v>
      </c>
      <c r="W85" s="228">
        <f t="shared" si="41"/>
        <v>1</v>
      </c>
      <c r="X85" s="144">
        <f t="shared" si="32"/>
        <v>17.116666666666667</v>
      </c>
      <c r="Y85" s="144">
        <f t="shared" si="33"/>
        <v>16.683333333333337</v>
      </c>
      <c r="Z85" s="144">
        <f t="shared" si="34"/>
        <v>16.616666666666667</v>
      </c>
      <c r="AA85" s="205"/>
      <c r="AB85" s="357" t="str">
        <f>VLOOKUP($B85,'2007-2020 Metadata'!$A$4:$S$214,MATCH("Urban Area /Monitoring Zone",'2007-2020 Metadata'!$A$4:$S$4,0),FALSE)</f>
        <v>Hastings</v>
      </c>
      <c r="AC85" s="229" t="str">
        <f>VLOOKUP(B85,'2007-2020 Metadata'!$A$6:$A$214,1,FALSE)</f>
        <v>NAP004</v>
      </c>
      <c r="AD85" s="230" t="str">
        <f>VLOOKUP($AC85,'2007-2020 Metadata'!$A$6:$S$214,9,FALSE)</f>
        <v>Hastings</v>
      </c>
      <c r="AE85" s="230">
        <f>IF(ISBLANK(VLOOKUP($AC85,'2007-2020 Metadata'!$A$6:$S$214,19,FALSE)),"",VLOOKUP($AC85,'2007-2020 Metadata'!$A$6:$S$214,19,FALSE))</f>
        <v>3</v>
      </c>
      <c r="AF85" s="88" t="str">
        <f>VLOOKUP($B85,'2007-2020 Metadata'!$A$4:$S$214,MATCH("Site type",'2007-2020 Metadata'!$A$4:$S$4,0),FALSE)</f>
        <v>SH</v>
      </c>
      <c r="AG85" s="143">
        <f t="shared" si="42"/>
        <v>14.1</v>
      </c>
      <c r="AH85" s="143">
        <f t="shared" si="43"/>
        <v>33.4</v>
      </c>
      <c r="AI85" s="144">
        <f t="shared" si="44"/>
        <v>16.616666666666667</v>
      </c>
    </row>
    <row r="86" spans="2:35" ht="12" customHeight="1" x14ac:dyDescent="0.15">
      <c r="B86" s="313" t="s">
        <v>107</v>
      </c>
      <c r="C86" s="309">
        <v>8.9</v>
      </c>
      <c r="D86" s="309">
        <v>8.9</v>
      </c>
      <c r="E86" s="309">
        <v>10.5</v>
      </c>
      <c r="F86" s="309">
        <v>10.4</v>
      </c>
      <c r="G86" s="309">
        <v>15.5</v>
      </c>
      <c r="H86" s="309">
        <v>16.100000000000001</v>
      </c>
      <c r="I86" s="309">
        <v>15.4</v>
      </c>
      <c r="J86" s="309">
        <v>12.2</v>
      </c>
      <c r="K86" s="309">
        <v>7.6</v>
      </c>
      <c r="L86" s="309">
        <v>7.7</v>
      </c>
      <c r="M86" s="309">
        <v>8.6999999999999993</v>
      </c>
      <c r="N86" s="309">
        <v>6.3</v>
      </c>
      <c r="O86" s="310">
        <f t="shared" si="38"/>
        <v>10.683333333333335</v>
      </c>
      <c r="P86" s="310">
        <f t="shared" si="30"/>
        <v>30.224573454816507</v>
      </c>
      <c r="Q86" s="311">
        <f t="shared" si="31"/>
        <v>1</v>
      </c>
      <c r="R86" s="225">
        <f t="shared" si="35"/>
        <v>9.4333333333333336</v>
      </c>
      <c r="S86" s="226">
        <f t="shared" si="39"/>
        <v>1</v>
      </c>
      <c r="T86" s="225">
        <f t="shared" si="36"/>
        <v>11.733333333333334</v>
      </c>
      <c r="U86" s="226">
        <f t="shared" si="40"/>
        <v>1</v>
      </c>
      <c r="V86" s="227">
        <f t="shared" si="37"/>
        <v>10.683333333333335</v>
      </c>
      <c r="W86" s="228">
        <f t="shared" si="41"/>
        <v>1</v>
      </c>
      <c r="X86" s="144">
        <f t="shared" si="32"/>
        <v>17.116666666666667</v>
      </c>
      <c r="Y86" s="144">
        <f t="shared" si="33"/>
        <v>16.683333333333337</v>
      </c>
      <c r="Z86" s="144">
        <f t="shared" si="34"/>
        <v>16.616666666666667</v>
      </c>
      <c r="AA86" s="205"/>
      <c r="AB86" s="357" t="str">
        <f>VLOOKUP($B86,'2007-2020 Metadata'!$A$4:$S$214,MATCH("Urban Area /Monitoring Zone",'2007-2020 Metadata'!$A$4:$S$4,0),FALSE)</f>
        <v>Hastings</v>
      </c>
      <c r="AC86" s="229" t="str">
        <f>VLOOKUP(B86,'2007-2020 Metadata'!$A$6:$A$214,1,FALSE)</f>
        <v>NAP005</v>
      </c>
      <c r="AD86" s="230" t="str">
        <f>VLOOKUP($AC86,'2007-2020 Metadata'!$A$6:$S$214,9,FALSE)</f>
        <v>Hastings</v>
      </c>
      <c r="AE86" s="230">
        <f>IF(ISBLANK(VLOOKUP($AC86,'2007-2020 Metadata'!$A$6:$S$214,19,FALSE)),"",VLOOKUP($AC86,'2007-2020 Metadata'!$A$6:$S$214,19,FALSE))</f>
        <v>2.7</v>
      </c>
      <c r="AF86" s="88" t="str">
        <f>VLOOKUP($B86,'2007-2020 Metadata'!$A$4:$S$214,MATCH("Site type",'2007-2020 Metadata'!$A$4:$S$4,0),FALSE)</f>
        <v>Background</v>
      </c>
      <c r="AG86" s="143">
        <f t="shared" si="42"/>
        <v>6.3</v>
      </c>
      <c r="AH86" s="143">
        <f t="shared" si="43"/>
        <v>16.100000000000001</v>
      </c>
      <c r="AI86" s="144">
        <f t="shared" si="44"/>
        <v>16.616666666666667</v>
      </c>
    </row>
    <row r="87" spans="2:35" ht="12" customHeight="1" x14ac:dyDescent="0.15">
      <c r="B87" s="313" t="s">
        <v>108</v>
      </c>
      <c r="C87" s="309">
        <v>6.1</v>
      </c>
      <c r="D87" s="309">
        <v>7.8</v>
      </c>
      <c r="E87" s="309">
        <v>8.6999999999999993</v>
      </c>
      <c r="F87" s="309">
        <v>8.8000000000000007</v>
      </c>
      <c r="G87" s="309">
        <v>11.6</v>
      </c>
      <c r="H87" s="309">
        <v>14.5</v>
      </c>
      <c r="I87" s="309">
        <v>13.1</v>
      </c>
      <c r="J87" s="309">
        <v>8.9</v>
      </c>
      <c r="K87" s="309">
        <v>6.6</v>
      </c>
      <c r="L87" s="309">
        <v>7.1</v>
      </c>
      <c r="M87" s="309">
        <v>7.7</v>
      </c>
      <c r="N87" s="309">
        <v>5.7</v>
      </c>
      <c r="O87" s="310">
        <f t="shared" si="38"/>
        <v>8.8833333333333329</v>
      </c>
      <c r="P87" s="310">
        <f t="shared" si="30"/>
        <v>30.065044058743617</v>
      </c>
      <c r="Q87" s="311">
        <f t="shared" si="31"/>
        <v>1</v>
      </c>
      <c r="R87" s="225">
        <f t="shared" si="35"/>
        <v>7.5333333333333323</v>
      </c>
      <c r="S87" s="226">
        <f t="shared" si="39"/>
        <v>1</v>
      </c>
      <c r="T87" s="225">
        <f t="shared" si="36"/>
        <v>9.5333333333333332</v>
      </c>
      <c r="U87" s="226">
        <f t="shared" si="40"/>
        <v>1</v>
      </c>
      <c r="V87" s="227">
        <f t="shared" si="37"/>
        <v>8.8833333333333329</v>
      </c>
      <c r="W87" s="228">
        <f t="shared" si="41"/>
        <v>1</v>
      </c>
      <c r="X87" s="144">
        <f t="shared" si="32"/>
        <v>16.888888888888889</v>
      </c>
      <c r="Y87" s="144">
        <f t="shared" si="33"/>
        <v>17.811111111111106</v>
      </c>
      <c r="Z87" s="144">
        <f t="shared" si="34"/>
        <v>17.872222222222224</v>
      </c>
      <c r="AA87" s="205"/>
      <c r="AB87" s="357" t="str">
        <f>VLOOKUP($B87,'2007-2020 Metadata'!$A$4:$S$214,MATCH("Urban Area /Monitoring Zone",'2007-2020 Metadata'!$A$4:$S$4,0),FALSE)</f>
        <v>Napier</v>
      </c>
      <c r="AC87" s="229" t="str">
        <f>VLOOKUP(B87,'2007-2020 Metadata'!$A$6:$A$214,1,FALSE)</f>
        <v>NAP006</v>
      </c>
      <c r="AD87" s="230" t="str">
        <f>VLOOKUP($AC87,'2007-2020 Metadata'!$A$6:$S$214,9,FALSE)</f>
        <v>Napier</v>
      </c>
      <c r="AE87" s="230">
        <f>IF(ISBLANK(VLOOKUP($AC87,'2007-2020 Metadata'!$A$6:$S$214,19,FALSE)),"",VLOOKUP($AC87,'2007-2020 Metadata'!$A$6:$S$214,19,FALSE))</f>
        <v>3</v>
      </c>
      <c r="AF87" s="88" t="str">
        <f>VLOOKUP($B87,'2007-2020 Metadata'!$A$4:$S$214,MATCH("Site type",'2007-2020 Metadata'!$A$4:$S$4,0),FALSE)</f>
        <v>Background</v>
      </c>
      <c r="AG87" s="143">
        <f t="shared" si="42"/>
        <v>5.7</v>
      </c>
      <c r="AH87" s="143">
        <f t="shared" si="43"/>
        <v>14.5</v>
      </c>
      <c r="AI87" s="144">
        <f t="shared" si="44"/>
        <v>17.872222222222224</v>
      </c>
    </row>
    <row r="88" spans="2:35" ht="12" customHeight="1" x14ac:dyDescent="0.15">
      <c r="B88" s="313" t="s">
        <v>48</v>
      </c>
      <c r="C88" s="309"/>
      <c r="D88" s="309"/>
      <c r="E88" s="309"/>
      <c r="F88" s="309"/>
      <c r="G88" s="309"/>
      <c r="H88" s="309"/>
      <c r="I88" s="309">
        <v>29.9</v>
      </c>
      <c r="J88" s="309">
        <v>24.2</v>
      </c>
      <c r="K88" s="309">
        <v>18.899999999999999</v>
      </c>
      <c r="L88" s="309">
        <v>17.899999999999999</v>
      </c>
      <c r="M88" s="309">
        <v>18.5</v>
      </c>
      <c r="N88" s="309">
        <v>13.5</v>
      </c>
      <c r="O88" s="310">
        <f t="shared" si="38"/>
        <v>20.483333333333334</v>
      </c>
      <c r="P88" s="310">
        <f t="shared" si="30"/>
        <v>25.55246593930265</v>
      </c>
      <c r="Q88" s="311">
        <f t="shared" si="31"/>
        <v>0.5</v>
      </c>
      <c r="R88" s="225" t="str">
        <f t="shared" si="35"/>
        <v/>
      </c>
      <c r="S88" s="226">
        <f t="shared" si="39"/>
        <v>0</v>
      </c>
      <c r="T88" s="225">
        <f t="shared" si="36"/>
        <v>24.333333333333332</v>
      </c>
      <c r="U88" s="226">
        <f t="shared" si="40"/>
        <v>1</v>
      </c>
      <c r="V88" s="227" t="str">
        <f t="shared" si="37"/>
        <v>-</v>
      </c>
      <c r="W88" s="228">
        <f t="shared" si="41"/>
        <v>0.5</v>
      </c>
      <c r="X88" s="144">
        <f t="shared" si="32"/>
        <v>13.966666666666669</v>
      </c>
      <c r="Y88" s="144">
        <f t="shared" si="33"/>
        <v>18.14</v>
      </c>
      <c r="Z88" s="144">
        <f t="shared" si="34"/>
        <v>14.85962962962963</v>
      </c>
      <c r="AA88" s="205"/>
      <c r="AB88" s="357" t="str">
        <f>VLOOKUP($B88,'2007-2020 Metadata'!$A$4:$S$214,MATCH("Urban Area /Monitoring Zone",'2007-2020 Metadata'!$A$4:$S$4,0),FALSE)</f>
        <v>Palmerston North</v>
      </c>
      <c r="AC88" s="229" t="str">
        <f>VLOOKUP(B88,'2007-2020 Metadata'!$A$6:$A$214,1,FALSE)</f>
        <v>WAN004</v>
      </c>
      <c r="AD88" s="230" t="str">
        <f>VLOOKUP($AC88,'2007-2020 Metadata'!$A$6:$S$214,9,FALSE)</f>
        <v>Palmerston North</v>
      </c>
      <c r="AE88" s="230">
        <f>IF(ISBLANK(VLOOKUP($AC88,'2007-2020 Metadata'!$A$6:$S$214,19,FALSE)),"",VLOOKUP($AC88,'2007-2020 Metadata'!$A$6:$S$214,19,FALSE))</f>
        <v>3</v>
      </c>
      <c r="AF88" s="88" t="str">
        <f>VLOOKUP($B88,'2007-2020 Metadata'!$A$4:$S$214,MATCH("Site type",'2007-2020 Metadata'!$A$4:$S$4,0),FALSE)</f>
        <v>SH</v>
      </c>
      <c r="AG88" s="143">
        <f t="shared" si="42"/>
        <v>13.5</v>
      </c>
      <c r="AH88" s="143">
        <f t="shared" si="43"/>
        <v>29.9</v>
      </c>
      <c r="AI88" s="144" t="str">
        <f t="shared" si="44"/>
        <v xml:space="preserve"> </v>
      </c>
    </row>
    <row r="89" spans="2:35" ht="12" customHeight="1" x14ac:dyDescent="0.15">
      <c r="B89" s="313" t="s">
        <v>109</v>
      </c>
      <c r="C89" s="309">
        <v>7.3</v>
      </c>
      <c r="D89" s="309"/>
      <c r="E89" s="309">
        <v>14.4</v>
      </c>
      <c r="F89" s="309">
        <v>14.4</v>
      </c>
      <c r="G89" s="309">
        <v>12.1</v>
      </c>
      <c r="H89" s="309"/>
      <c r="I89" s="309">
        <v>15.1</v>
      </c>
      <c r="J89" s="309">
        <v>10.5</v>
      </c>
      <c r="K89" s="309">
        <v>9.9</v>
      </c>
      <c r="L89" s="309">
        <v>8.4</v>
      </c>
      <c r="M89" s="309">
        <v>7.5</v>
      </c>
      <c r="N89" s="309">
        <v>3.7</v>
      </c>
      <c r="O89" s="310">
        <f t="shared" si="38"/>
        <v>10.330000000000002</v>
      </c>
      <c r="P89" s="310">
        <f t="shared" si="30"/>
        <v>34.102586486515051</v>
      </c>
      <c r="Q89" s="311">
        <f t="shared" si="31"/>
        <v>0.83333333333333337</v>
      </c>
      <c r="R89" s="225">
        <f t="shared" si="35"/>
        <v>10.85</v>
      </c>
      <c r="S89" s="226">
        <f t="shared" si="39"/>
        <v>0.66666666666666663</v>
      </c>
      <c r="T89" s="225">
        <f t="shared" si="36"/>
        <v>11.833333333333334</v>
      </c>
      <c r="U89" s="226">
        <f t="shared" si="40"/>
        <v>1</v>
      </c>
      <c r="V89" s="227">
        <f t="shared" si="37"/>
        <v>10.330000000000002</v>
      </c>
      <c r="W89" s="228">
        <f t="shared" si="41"/>
        <v>0.83333333333333337</v>
      </c>
      <c r="X89" s="144">
        <f t="shared" si="32"/>
        <v>13.966666666666669</v>
      </c>
      <c r="Y89" s="144">
        <f t="shared" si="33"/>
        <v>18.14</v>
      </c>
      <c r="Z89" s="144">
        <f t="shared" si="34"/>
        <v>14.85962962962963</v>
      </c>
      <c r="AA89" s="205"/>
      <c r="AB89" s="357" t="str">
        <f>VLOOKUP($B89,'2007-2020 Metadata'!$A$4:$S$214,MATCH("Urban Area /Monitoring Zone",'2007-2020 Metadata'!$A$4:$S$4,0),FALSE)</f>
        <v>Palmerston North</v>
      </c>
      <c r="AC89" s="229" t="str">
        <f>VLOOKUP(B89,'2007-2020 Metadata'!$A$6:$A$214,1,FALSE)</f>
        <v>WAN005</v>
      </c>
      <c r="AD89" s="230" t="str">
        <f>VLOOKUP($AC89,'2007-2020 Metadata'!$A$6:$S$214,9,FALSE)</f>
        <v>Palmerston North</v>
      </c>
      <c r="AE89" s="230">
        <f>IF(ISBLANK(VLOOKUP($AC89,'2007-2020 Metadata'!$A$6:$S$214,19,FALSE)),"",VLOOKUP($AC89,'2007-2020 Metadata'!$A$6:$S$214,19,FALSE))</f>
        <v>2.5</v>
      </c>
      <c r="AF89" s="88" t="str">
        <f>VLOOKUP($B89,'2007-2020 Metadata'!$A$4:$S$214,MATCH("Site type",'2007-2020 Metadata'!$A$4:$S$4,0),FALSE)</f>
        <v>SH</v>
      </c>
      <c r="AG89" s="143">
        <f t="shared" si="42"/>
        <v>3.7</v>
      </c>
      <c r="AH89" s="143">
        <f t="shared" si="43"/>
        <v>15.1</v>
      </c>
      <c r="AI89" s="144">
        <f t="shared" si="44"/>
        <v>14.85962962962963</v>
      </c>
    </row>
    <row r="90" spans="2:35" ht="12" customHeight="1" x14ac:dyDescent="0.15">
      <c r="B90" s="313" t="s">
        <v>110</v>
      </c>
      <c r="C90" s="309">
        <v>16.399999999999999</v>
      </c>
      <c r="D90" s="309"/>
      <c r="E90" s="309">
        <v>24.1</v>
      </c>
      <c r="F90" s="309">
        <v>24.1</v>
      </c>
      <c r="G90" s="309">
        <v>26.2</v>
      </c>
      <c r="H90" s="309"/>
      <c r="I90" s="309">
        <v>28.9</v>
      </c>
      <c r="J90" s="309">
        <v>22.4</v>
      </c>
      <c r="K90" s="309">
        <v>18.100000000000001</v>
      </c>
      <c r="L90" s="309">
        <v>16.899999999999999</v>
      </c>
      <c r="M90" s="309">
        <v>17.2</v>
      </c>
      <c r="N90" s="309"/>
      <c r="O90" s="310">
        <f t="shared" si="38"/>
        <v>21.588888888888889</v>
      </c>
      <c r="P90" s="310">
        <f t="shared" si="30"/>
        <v>20.032160099675796</v>
      </c>
      <c r="Q90" s="311">
        <f t="shared" si="31"/>
        <v>0.75</v>
      </c>
      <c r="R90" s="225">
        <f t="shared" si="35"/>
        <v>20.25</v>
      </c>
      <c r="S90" s="226">
        <f t="shared" si="39"/>
        <v>0.66666666666666663</v>
      </c>
      <c r="T90" s="225">
        <f t="shared" si="36"/>
        <v>23.133333333333336</v>
      </c>
      <c r="U90" s="226">
        <f t="shared" si="40"/>
        <v>1</v>
      </c>
      <c r="V90" s="227">
        <f t="shared" si="37"/>
        <v>21.588888888888889</v>
      </c>
      <c r="W90" s="228">
        <f t="shared" si="41"/>
        <v>0.75</v>
      </c>
      <c r="X90" s="144">
        <f t="shared" si="32"/>
        <v>13.966666666666669</v>
      </c>
      <c r="Y90" s="144">
        <f t="shared" si="33"/>
        <v>18.14</v>
      </c>
      <c r="Z90" s="144">
        <f t="shared" si="34"/>
        <v>14.85962962962963</v>
      </c>
      <c r="AA90" s="205"/>
      <c r="AB90" s="357" t="str">
        <f>VLOOKUP($B90,'2007-2020 Metadata'!$A$4:$S$214,MATCH("Urban Area /Monitoring Zone",'2007-2020 Metadata'!$A$4:$S$4,0),FALSE)</f>
        <v>Palmerston North</v>
      </c>
      <c r="AC90" s="229" t="str">
        <f>VLOOKUP(B90,'2007-2020 Metadata'!$A$6:$A$214,1,FALSE)</f>
        <v>WAN006</v>
      </c>
      <c r="AD90" s="230" t="str">
        <f>VLOOKUP($AC90,'2007-2020 Metadata'!$A$6:$S$214,9,FALSE)</f>
        <v>Palmerston North</v>
      </c>
      <c r="AE90" s="230">
        <f>IF(ISBLANK(VLOOKUP($AC90,'2007-2020 Metadata'!$A$6:$S$214,19,FALSE)),"",VLOOKUP($AC90,'2007-2020 Metadata'!$A$6:$S$214,19,FALSE))</f>
        <v>2.5</v>
      </c>
      <c r="AF90" s="88" t="str">
        <f>VLOOKUP($B90,'2007-2020 Metadata'!$A$4:$S$214,MATCH("Site type",'2007-2020 Metadata'!$A$4:$S$4,0),FALSE)</f>
        <v>SH</v>
      </c>
      <c r="AG90" s="143">
        <f t="shared" si="42"/>
        <v>16.399999999999999</v>
      </c>
      <c r="AH90" s="143">
        <f t="shared" si="43"/>
        <v>28.9</v>
      </c>
      <c r="AI90" s="144">
        <f t="shared" si="44"/>
        <v>14.85962962962963</v>
      </c>
    </row>
    <row r="91" spans="2:35" ht="12" customHeight="1" x14ac:dyDescent="0.15">
      <c r="B91" s="313" t="s">
        <v>111</v>
      </c>
      <c r="C91" s="309">
        <v>9.8000000000000007</v>
      </c>
      <c r="D91" s="309"/>
      <c r="E91" s="309"/>
      <c r="F91" s="309"/>
      <c r="G91" s="309"/>
      <c r="H91" s="309"/>
      <c r="I91" s="309">
        <v>18.899999999999999</v>
      </c>
      <c r="J91" s="309">
        <v>17.2</v>
      </c>
      <c r="K91" s="309">
        <v>13.9</v>
      </c>
      <c r="L91" s="309">
        <v>12.1</v>
      </c>
      <c r="M91" s="309">
        <v>12.1</v>
      </c>
      <c r="N91" s="309">
        <v>8.1</v>
      </c>
      <c r="O91" s="310">
        <f t="shared" si="38"/>
        <v>13.157142857142855</v>
      </c>
      <c r="P91" s="310">
        <f t="shared" si="30"/>
        <v>27.094416505919362</v>
      </c>
      <c r="Q91" s="311">
        <f t="shared" si="31"/>
        <v>0.58333333333333337</v>
      </c>
      <c r="R91" s="225" t="str">
        <f t="shared" si="35"/>
        <v>-</v>
      </c>
      <c r="S91" s="226">
        <f t="shared" si="39"/>
        <v>0.33333333333333331</v>
      </c>
      <c r="T91" s="225">
        <f t="shared" si="36"/>
        <v>16.666666666666664</v>
      </c>
      <c r="U91" s="226">
        <f t="shared" si="40"/>
        <v>1</v>
      </c>
      <c r="V91" s="227" t="str">
        <f t="shared" si="37"/>
        <v>-</v>
      </c>
      <c r="W91" s="228">
        <f t="shared" si="41"/>
        <v>0.58333333333333337</v>
      </c>
      <c r="X91" s="144">
        <f t="shared" si="32"/>
        <v>13.966666666666669</v>
      </c>
      <c r="Y91" s="144">
        <f t="shared" si="33"/>
        <v>18.14</v>
      </c>
      <c r="Z91" s="144">
        <f t="shared" si="34"/>
        <v>14.85962962962963</v>
      </c>
      <c r="AA91" s="205"/>
      <c r="AB91" s="357" t="str">
        <f>VLOOKUP($B91,'2007-2020 Metadata'!$A$4:$S$214,MATCH("Urban Area /Monitoring Zone",'2007-2020 Metadata'!$A$4:$S$4,0),FALSE)</f>
        <v>Palmerston North</v>
      </c>
      <c r="AC91" s="229" t="str">
        <f>VLOOKUP(B91,'2007-2020 Metadata'!$A$6:$A$214,1,FALSE)</f>
        <v>WAN007</v>
      </c>
      <c r="AD91" s="230" t="str">
        <f>VLOOKUP($AC91,'2007-2020 Metadata'!$A$6:$S$214,9,FALSE)</f>
        <v>Palmerston North</v>
      </c>
      <c r="AE91" s="230">
        <f>IF(ISBLANK(VLOOKUP($AC91,'2007-2020 Metadata'!$A$6:$S$214,19,FALSE)),"",VLOOKUP($AC91,'2007-2020 Metadata'!$A$6:$S$214,19,FALSE))</f>
        <v>2.5</v>
      </c>
      <c r="AF91" s="88" t="str">
        <f>VLOOKUP($B91,'2007-2020 Metadata'!$A$4:$S$214,MATCH("Site type",'2007-2020 Metadata'!$A$4:$S$4,0),FALSE)</f>
        <v>Local</v>
      </c>
      <c r="AG91" s="143">
        <f t="shared" si="42"/>
        <v>8.1</v>
      </c>
      <c r="AH91" s="143">
        <f t="shared" si="43"/>
        <v>18.899999999999999</v>
      </c>
      <c r="AI91" s="144" t="str">
        <f t="shared" si="44"/>
        <v xml:space="preserve"> </v>
      </c>
    </row>
    <row r="92" spans="2:35" ht="12" customHeight="1" x14ac:dyDescent="0.15">
      <c r="B92" s="313" t="s">
        <v>112</v>
      </c>
      <c r="C92" s="309">
        <v>8.9</v>
      </c>
      <c r="D92" s="309"/>
      <c r="E92" s="309">
        <v>12.7</v>
      </c>
      <c r="F92" s="309">
        <v>12.7</v>
      </c>
      <c r="G92" s="309">
        <v>15.4</v>
      </c>
      <c r="H92" s="309"/>
      <c r="I92" s="309">
        <v>17.600000000000001</v>
      </c>
      <c r="J92" s="309">
        <v>15.3</v>
      </c>
      <c r="K92" s="309">
        <v>11.3</v>
      </c>
      <c r="L92" s="309">
        <v>12.2</v>
      </c>
      <c r="M92" s="309">
        <v>12.8</v>
      </c>
      <c r="N92" s="309">
        <v>7.7</v>
      </c>
      <c r="O92" s="310">
        <f t="shared" si="38"/>
        <v>12.66</v>
      </c>
      <c r="P92" s="310">
        <f t="shared" si="30"/>
        <v>22.300076504300659</v>
      </c>
      <c r="Q92" s="311">
        <f t="shared" si="31"/>
        <v>0.83333333333333337</v>
      </c>
      <c r="R92" s="225">
        <f t="shared" si="35"/>
        <v>10.8</v>
      </c>
      <c r="S92" s="226">
        <f t="shared" si="39"/>
        <v>0.66666666666666663</v>
      </c>
      <c r="T92" s="225">
        <f t="shared" si="36"/>
        <v>14.733333333333334</v>
      </c>
      <c r="U92" s="226">
        <f t="shared" si="40"/>
        <v>1</v>
      </c>
      <c r="V92" s="227">
        <f t="shared" si="37"/>
        <v>12.66</v>
      </c>
      <c r="W92" s="228">
        <f t="shared" si="41"/>
        <v>0.83333333333333337</v>
      </c>
      <c r="X92" s="144">
        <f t="shared" si="32"/>
        <v>13.966666666666669</v>
      </c>
      <c r="Y92" s="144">
        <f t="shared" si="33"/>
        <v>18.14</v>
      </c>
      <c r="Z92" s="144">
        <f t="shared" si="34"/>
        <v>14.85962962962963</v>
      </c>
      <c r="AA92" s="205"/>
      <c r="AB92" s="357" t="str">
        <f>VLOOKUP($B92,'2007-2020 Metadata'!$A$4:$S$214,MATCH("Urban Area /Monitoring Zone",'2007-2020 Metadata'!$A$4:$S$4,0),FALSE)</f>
        <v>Palmerston North</v>
      </c>
      <c r="AC92" s="229" t="str">
        <f>VLOOKUP(B92,'2007-2020 Metadata'!$A$6:$A$214,1,FALSE)</f>
        <v>WAN008</v>
      </c>
      <c r="AD92" s="230" t="str">
        <f>VLOOKUP($AC92,'2007-2020 Metadata'!$A$6:$S$214,9,FALSE)</f>
        <v>Palmerston North</v>
      </c>
      <c r="AE92" s="230">
        <f>IF(ISBLANK(VLOOKUP($AC92,'2007-2020 Metadata'!$A$6:$S$214,19,FALSE)),"",VLOOKUP($AC92,'2007-2020 Metadata'!$A$6:$S$214,19,FALSE))</f>
        <v>2.5</v>
      </c>
      <c r="AF92" s="88" t="str">
        <f>VLOOKUP($B92,'2007-2020 Metadata'!$A$4:$S$214,MATCH("Site type",'2007-2020 Metadata'!$A$4:$S$4,0),FALSE)</f>
        <v>Background</v>
      </c>
      <c r="AG92" s="143">
        <f t="shared" si="42"/>
        <v>7.7</v>
      </c>
      <c r="AH92" s="143">
        <f t="shared" si="43"/>
        <v>17.600000000000001</v>
      </c>
      <c r="AI92" s="144">
        <f t="shared" si="44"/>
        <v>14.85962962962963</v>
      </c>
    </row>
    <row r="93" spans="2:35" ht="12" customHeight="1" x14ac:dyDescent="0.15">
      <c r="B93" s="313" t="s">
        <v>113</v>
      </c>
      <c r="C93" s="309">
        <v>4.8</v>
      </c>
      <c r="D93" s="309">
        <v>7.1</v>
      </c>
      <c r="E93" s="309">
        <v>8.6999999999999993</v>
      </c>
      <c r="F93" s="309">
        <v>6.2</v>
      </c>
      <c r="G93" s="309">
        <v>9.5</v>
      </c>
      <c r="H93" s="309">
        <v>10.1</v>
      </c>
      <c r="I93" s="309">
        <v>10.4</v>
      </c>
      <c r="J93" s="309"/>
      <c r="K93" s="309">
        <v>13.5</v>
      </c>
      <c r="L93" s="309">
        <v>4.8</v>
      </c>
      <c r="M93" s="309">
        <v>6.2</v>
      </c>
      <c r="N93" s="309">
        <v>3.7</v>
      </c>
      <c r="O93" s="310">
        <f t="shared" si="38"/>
        <v>7.7272727272727275</v>
      </c>
      <c r="P93" s="310">
        <f t="shared" si="30"/>
        <v>36.728122975467166</v>
      </c>
      <c r="Q93" s="311">
        <f t="shared" si="31"/>
        <v>0.91666666666666663</v>
      </c>
      <c r="R93" s="225">
        <f t="shared" si="35"/>
        <v>6.8666666666666663</v>
      </c>
      <c r="S93" s="226">
        <f t="shared" si="39"/>
        <v>1</v>
      </c>
      <c r="T93" s="225">
        <f t="shared" si="36"/>
        <v>11.95</v>
      </c>
      <c r="U93" s="226">
        <f t="shared" si="40"/>
        <v>0.66666666666666663</v>
      </c>
      <c r="V93" s="227">
        <f t="shared" si="37"/>
        <v>7.7272727272727275</v>
      </c>
      <c r="W93" s="228">
        <f t="shared" si="41"/>
        <v>0.91666666666666663</v>
      </c>
      <c r="X93" s="144">
        <f t="shared" si="32"/>
        <v>9.25</v>
      </c>
      <c r="Y93" s="144">
        <f t="shared" si="33"/>
        <v>10.658333333333333</v>
      </c>
      <c r="Z93" s="144">
        <f t="shared" si="34"/>
        <v>8.7136363636363647</v>
      </c>
      <c r="AA93" s="205"/>
      <c r="AB93" s="357" t="str">
        <f>VLOOKUP($B93,'2007-2020 Metadata'!$A$4:$S$214,MATCH("Urban Area /Monitoring Zone",'2007-2020 Metadata'!$A$4:$S$4,0),FALSE)</f>
        <v>New Plymouth</v>
      </c>
      <c r="AC93" s="229" t="str">
        <f>VLOOKUP(B93,'2007-2020 Metadata'!$A$6:$A$214,1,FALSE)</f>
        <v>WAN009</v>
      </c>
      <c r="AD93" s="230" t="str">
        <f>VLOOKUP($AC93,'2007-2020 Metadata'!$A$6:$S$214,9,FALSE)</f>
        <v>New Plymouth</v>
      </c>
      <c r="AE93" s="230">
        <f>IF(ISBLANK(VLOOKUP($AC93,'2007-2020 Metadata'!$A$6:$S$214,19,FALSE)),"",VLOOKUP($AC93,'2007-2020 Metadata'!$A$6:$S$214,19,FALSE))</f>
        <v>2.5</v>
      </c>
      <c r="AF93" s="88" t="str">
        <f>VLOOKUP($B93,'2007-2020 Metadata'!$A$4:$S$214,MATCH("Site type",'2007-2020 Metadata'!$A$4:$S$4,0),FALSE)</f>
        <v>Background</v>
      </c>
      <c r="AG93" s="143">
        <f t="shared" si="42"/>
        <v>3.7</v>
      </c>
      <c r="AH93" s="143">
        <f t="shared" si="43"/>
        <v>13.5</v>
      </c>
      <c r="AI93" s="144">
        <f t="shared" si="44"/>
        <v>8.7136363636363647</v>
      </c>
    </row>
    <row r="94" spans="2:35" ht="12" customHeight="1" x14ac:dyDescent="0.15">
      <c r="B94" s="313" t="s">
        <v>114</v>
      </c>
      <c r="C94" s="309">
        <v>18.3</v>
      </c>
      <c r="D94" s="309"/>
      <c r="E94" s="309">
        <v>21.5</v>
      </c>
      <c r="F94" s="309">
        <v>21.5</v>
      </c>
      <c r="G94" s="309">
        <v>20.8</v>
      </c>
      <c r="H94" s="309"/>
      <c r="I94" s="309">
        <v>21.9</v>
      </c>
      <c r="J94" s="309">
        <v>21.7</v>
      </c>
      <c r="K94" s="309">
        <v>19</v>
      </c>
      <c r="L94" s="309">
        <v>19.899999999999999</v>
      </c>
      <c r="M94" s="309">
        <v>23.2</v>
      </c>
      <c r="N94" s="309">
        <v>15.9</v>
      </c>
      <c r="O94" s="310">
        <f t="shared" si="38"/>
        <v>20.369999999999997</v>
      </c>
      <c r="P94" s="310">
        <f t="shared" si="30"/>
        <v>9.9670866224274075</v>
      </c>
      <c r="Q94" s="311">
        <f t="shared" si="31"/>
        <v>0.83333333333333337</v>
      </c>
      <c r="R94" s="225">
        <f t="shared" si="35"/>
        <v>19.899999999999999</v>
      </c>
      <c r="S94" s="226">
        <f t="shared" si="39"/>
        <v>0.66666666666666663</v>
      </c>
      <c r="T94" s="225">
        <f t="shared" si="36"/>
        <v>20.866666666666664</v>
      </c>
      <c r="U94" s="226">
        <f t="shared" si="40"/>
        <v>1</v>
      </c>
      <c r="V94" s="227">
        <f t="shared" si="37"/>
        <v>20.369999999999997</v>
      </c>
      <c r="W94" s="228">
        <f t="shared" si="41"/>
        <v>0.83333333333333337</v>
      </c>
      <c r="X94" s="144">
        <f t="shared" si="32"/>
        <v>19.899999999999999</v>
      </c>
      <c r="Y94" s="144">
        <f t="shared" si="33"/>
        <v>20.866666666666664</v>
      </c>
      <c r="Z94" s="144">
        <f t="shared" si="34"/>
        <v>20.369999999999997</v>
      </c>
      <c r="AA94" s="205"/>
      <c r="AB94" s="357" t="str">
        <f>VLOOKUP($B94,'2007-2020 Metadata'!$A$4:$S$214,MATCH("Urban Area /Monitoring Zone",'2007-2020 Metadata'!$A$4:$S$4,0),FALSE)</f>
        <v>Whanganui</v>
      </c>
      <c r="AC94" s="229" t="str">
        <f>VLOOKUP(B94,'2007-2020 Metadata'!$A$6:$A$214,1,FALSE)</f>
        <v>WAN010</v>
      </c>
      <c r="AD94" s="230" t="str">
        <f>VLOOKUP($AC94,'2007-2020 Metadata'!$A$6:$S$214,9,FALSE)</f>
        <v>Whanganui</v>
      </c>
      <c r="AE94" s="230">
        <f>IF(ISBLANK(VLOOKUP($AC94,'2007-2020 Metadata'!$A$6:$S$214,19,FALSE)),"",VLOOKUP($AC94,'2007-2020 Metadata'!$A$6:$S$214,19,FALSE))</f>
        <v>3</v>
      </c>
      <c r="AF94" s="88" t="str">
        <f>VLOOKUP($B94,'2007-2020 Metadata'!$A$4:$S$214,MATCH("Site type",'2007-2020 Metadata'!$A$4:$S$4,0),FALSE)</f>
        <v>SH</v>
      </c>
      <c r="AG94" s="143">
        <f t="shared" si="42"/>
        <v>15.9</v>
      </c>
      <c r="AH94" s="143">
        <f t="shared" si="43"/>
        <v>23.2</v>
      </c>
      <c r="AI94" s="144">
        <f t="shared" si="44"/>
        <v>20.369999999999997</v>
      </c>
    </row>
    <row r="95" spans="2:35" ht="12" customHeight="1" x14ac:dyDescent="0.15">
      <c r="B95" s="313" t="s">
        <v>486</v>
      </c>
      <c r="C95" s="309">
        <v>9.3000000000000007</v>
      </c>
      <c r="D95" s="309">
        <v>10.3</v>
      </c>
      <c r="E95" s="309">
        <v>15.3</v>
      </c>
      <c r="F95" s="309">
        <v>8.5</v>
      </c>
      <c r="G95" s="309">
        <v>10.9</v>
      </c>
      <c r="H95" s="309">
        <v>12.1</v>
      </c>
      <c r="I95" s="309">
        <v>8.3000000000000007</v>
      </c>
      <c r="J95" s="309">
        <v>10.8</v>
      </c>
      <c r="K95" s="309">
        <v>9</v>
      </c>
      <c r="L95" s="309">
        <v>7.3</v>
      </c>
      <c r="M95" s="309">
        <v>8.9</v>
      </c>
      <c r="N95" s="309">
        <v>5.7</v>
      </c>
      <c r="O95" s="310">
        <f t="shared" si="38"/>
        <v>9.7000000000000011</v>
      </c>
      <c r="P95" s="310">
        <f t="shared" si="30"/>
        <v>24.28340248471806</v>
      </c>
      <c r="Q95" s="311">
        <f t="shared" si="31"/>
        <v>1</v>
      </c>
      <c r="R95" s="225">
        <f t="shared" si="35"/>
        <v>11.633333333333335</v>
      </c>
      <c r="S95" s="226">
        <f t="shared" si="39"/>
        <v>1</v>
      </c>
      <c r="T95" s="225">
        <f t="shared" si="36"/>
        <v>9.3666666666666671</v>
      </c>
      <c r="U95" s="226">
        <f t="shared" si="40"/>
        <v>1</v>
      </c>
      <c r="V95" s="227">
        <f t="shared" si="37"/>
        <v>9.7000000000000011</v>
      </c>
      <c r="W95" s="228">
        <f t="shared" si="41"/>
        <v>1</v>
      </c>
      <c r="X95" s="144">
        <f t="shared" si="32"/>
        <v>9.25</v>
      </c>
      <c r="Y95" s="144">
        <f t="shared" si="33"/>
        <v>10.658333333333333</v>
      </c>
      <c r="Z95" s="144">
        <f t="shared" si="34"/>
        <v>8.7136363636363647</v>
      </c>
      <c r="AA95" s="205"/>
      <c r="AB95" s="357" t="str">
        <f>VLOOKUP($B95,'2007-2020 Metadata'!$A$4:$S$214,MATCH("Urban Area /Monitoring Zone",'2007-2020 Metadata'!$A$4:$S$4,0),FALSE)</f>
        <v>New Plymouth</v>
      </c>
      <c r="AC95" s="229" t="str">
        <f>VLOOKUP(B95,'2007-2020 Metadata'!$A$6:$A$214,1,FALSE)</f>
        <v>WAN011</v>
      </c>
      <c r="AD95" s="230" t="str">
        <f>VLOOKUP($AC95,'2007-2020 Metadata'!$A$6:$S$214,9,FALSE)</f>
        <v>New Plymouth</v>
      </c>
      <c r="AE95" s="230">
        <f>IF(ISBLANK(VLOOKUP($AC95,'2007-2020 Metadata'!$A$6:$S$214,19,FALSE)),"",VLOOKUP($AC95,'2007-2020 Metadata'!$A$6:$S$214,19,FALSE))</f>
        <v>2</v>
      </c>
      <c r="AF95" s="88" t="str">
        <f>VLOOKUP($B95,'2007-2020 Metadata'!$A$4:$S$214,MATCH("Site type",'2007-2020 Metadata'!$A$4:$S$4,0),FALSE)</f>
        <v>SH</v>
      </c>
      <c r="AG95" s="143">
        <f t="shared" si="42"/>
        <v>5.7</v>
      </c>
      <c r="AH95" s="143">
        <f t="shared" si="43"/>
        <v>15.3</v>
      </c>
      <c r="AI95" s="144">
        <f t="shared" si="44"/>
        <v>8.7136363636363647</v>
      </c>
    </row>
    <row r="96" spans="2:35" ht="12" customHeight="1" x14ac:dyDescent="0.15">
      <c r="B96" s="313" t="s">
        <v>50</v>
      </c>
      <c r="C96" s="309">
        <v>7.6</v>
      </c>
      <c r="D96" s="309">
        <v>12.7</v>
      </c>
      <c r="E96" s="309">
        <v>10.9</v>
      </c>
      <c r="F96" s="309">
        <v>13</v>
      </c>
      <c r="G96" s="309"/>
      <c r="H96" s="309">
        <v>22.4</v>
      </c>
      <c r="I96" s="309">
        <v>17.2</v>
      </c>
      <c r="J96" s="309">
        <v>16.5</v>
      </c>
      <c r="K96" s="309">
        <v>12.1</v>
      </c>
      <c r="L96" s="309">
        <v>7.9</v>
      </c>
      <c r="M96" s="309">
        <v>9.3000000000000007</v>
      </c>
      <c r="N96" s="309"/>
      <c r="O96" s="310">
        <f t="shared" si="38"/>
        <v>12.959999999999999</v>
      </c>
      <c r="P96" s="310">
        <f t="shared" si="30"/>
        <v>33.845586695451686</v>
      </c>
      <c r="Q96" s="311">
        <f t="shared" si="31"/>
        <v>0.83333333333333337</v>
      </c>
      <c r="R96" s="225">
        <f t="shared" si="35"/>
        <v>10.399999999999999</v>
      </c>
      <c r="S96" s="226">
        <f t="shared" si="39"/>
        <v>1</v>
      </c>
      <c r="T96" s="225">
        <f t="shared" si="36"/>
        <v>15.266666666666667</v>
      </c>
      <c r="U96" s="226">
        <f t="shared" si="40"/>
        <v>1</v>
      </c>
      <c r="V96" s="227">
        <f t="shared" si="37"/>
        <v>12.959999999999999</v>
      </c>
      <c r="W96" s="228">
        <f t="shared" si="41"/>
        <v>0.83333333333333337</v>
      </c>
      <c r="X96" s="144">
        <f t="shared" si="32"/>
        <v>10.294444444444444</v>
      </c>
      <c r="Y96" s="144">
        <f t="shared" si="33"/>
        <v>15.516666666666666</v>
      </c>
      <c r="Z96" s="144">
        <f t="shared" si="34"/>
        <v>13.324267676767676</v>
      </c>
      <c r="AA96" s="205"/>
      <c r="AB96" s="357" t="str">
        <f>VLOOKUP($B96,'2007-2020 Metadata'!$A$4:$S$214,MATCH("Urban Area /Monitoring Zone",'2007-2020 Metadata'!$A$4:$S$4,0),FALSE)</f>
        <v>Lower Hutt</v>
      </c>
      <c r="AC96" s="229" t="str">
        <f>VLOOKUP(B96,'2007-2020 Metadata'!$A$6:$A$214,1,FALSE)</f>
        <v>WEL003</v>
      </c>
      <c r="AD96" s="230" t="str">
        <f>VLOOKUP($AC96,'2007-2020 Metadata'!$A$6:$S$214,9,FALSE)</f>
        <v>Lower Hutt</v>
      </c>
      <c r="AE96" s="230">
        <f>IF(ISBLANK(VLOOKUP($AC96,'2007-2020 Metadata'!$A$6:$S$214,19,FALSE)),"",VLOOKUP($AC96,'2007-2020 Metadata'!$A$6:$S$214,19,FALSE))</f>
        <v>3.3</v>
      </c>
      <c r="AF96" s="88" t="str">
        <f>VLOOKUP($B96,'2007-2020 Metadata'!$A$4:$S$214,MATCH("Site type",'2007-2020 Metadata'!$A$4:$S$4,0),FALSE)</f>
        <v>SH</v>
      </c>
      <c r="AG96" s="143">
        <f t="shared" si="42"/>
        <v>7.6</v>
      </c>
      <c r="AH96" s="143">
        <f t="shared" si="43"/>
        <v>22.4</v>
      </c>
      <c r="AI96" s="144">
        <f t="shared" si="44"/>
        <v>13.324267676767676</v>
      </c>
    </row>
    <row r="97" spans="2:35" ht="12" customHeight="1" x14ac:dyDescent="0.15">
      <c r="B97" s="313" t="s">
        <v>52</v>
      </c>
      <c r="C97" s="309">
        <v>12.2</v>
      </c>
      <c r="D97" s="309">
        <v>14.8</v>
      </c>
      <c r="E97" s="309">
        <v>16.100000000000001</v>
      </c>
      <c r="F97" s="309">
        <v>15.6</v>
      </c>
      <c r="G97" s="309">
        <v>17.2</v>
      </c>
      <c r="H97" s="309">
        <v>22.7</v>
      </c>
      <c r="I97" s="309">
        <v>22</v>
      </c>
      <c r="J97" s="309">
        <v>20.2</v>
      </c>
      <c r="K97" s="309">
        <v>17.899999999999999</v>
      </c>
      <c r="L97" s="309">
        <v>14.6</v>
      </c>
      <c r="M97" s="309">
        <v>15.2</v>
      </c>
      <c r="N97" s="309">
        <v>12.7</v>
      </c>
      <c r="O97" s="310">
        <f t="shared" si="38"/>
        <v>16.766666666666666</v>
      </c>
      <c r="P97" s="310">
        <f t="shared" si="30"/>
        <v>19.331376600449651</v>
      </c>
      <c r="Q97" s="311">
        <f t="shared" si="31"/>
        <v>1</v>
      </c>
      <c r="R97" s="225">
        <f t="shared" si="35"/>
        <v>14.366666666666667</v>
      </c>
      <c r="S97" s="226">
        <f t="shared" si="39"/>
        <v>1</v>
      </c>
      <c r="T97" s="225">
        <f t="shared" si="36"/>
        <v>20.033333333333335</v>
      </c>
      <c r="U97" s="226">
        <f t="shared" si="40"/>
        <v>1</v>
      </c>
      <c r="V97" s="227">
        <f t="shared" si="37"/>
        <v>16.766666666666666</v>
      </c>
      <c r="W97" s="228">
        <f t="shared" si="41"/>
        <v>1</v>
      </c>
      <c r="X97" s="144">
        <f t="shared" si="32"/>
        <v>15.5</v>
      </c>
      <c r="Y97" s="144">
        <f t="shared" si="33"/>
        <v>19.983333333333334</v>
      </c>
      <c r="Z97" s="144">
        <f t="shared" si="34"/>
        <v>17.504166666666666</v>
      </c>
      <c r="AA97" s="205"/>
      <c r="AB97" s="357" t="str">
        <f>VLOOKUP($B97,'2007-2020 Metadata'!$A$4:$S$214,MATCH("Urban Area /Monitoring Zone",'2007-2020 Metadata'!$A$4:$S$4,0),FALSE)</f>
        <v>Porirua</v>
      </c>
      <c r="AC97" s="229" t="str">
        <f>VLOOKUP(B97,'2007-2020 Metadata'!$A$6:$A$214,1,FALSE)</f>
        <v>WEL005</v>
      </c>
      <c r="AD97" s="230" t="str">
        <f>VLOOKUP($AC97,'2007-2020 Metadata'!$A$6:$S$214,9,FALSE)</f>
        <v>Porirua</v>
      </c>
      <c r="AE97" s="230">
        <f>IF(ISBLANK(VLOOKUP($AC97,'2007-2020 Metadata'!$A$6:$S$214,19,FALSE)),"",VLOOKUP($AC97,'2007-2020 Metadata'!$A$6:$S$214,19,FALSE))</f>
        <v>3.2</v>
      </c>
      <c r="AF97" s="88" t="str">
        <f>VLOOKUP($B97,'2007-2020 Metadata'!$A$4:$S$214,MATCH("Site type",'2007-2020 Metadata'!$A$4:$S$4,0),FALSE)</f>
        <v>SH</v>
      </c>
      <c r="AG97" s="143">
        <f t="shared" si="42"/>
        <v>12.2</v>
      </c>
      <c r="AH97" s="143">
        <f t="shared" si="43"/>
        <v>22.7</v>
      </c>
      <c r="AI97" s="144">
        <f t="shared" si="44"/>
        <v>17.504166666666666</v>
      </c>
    </row>
    <row r="98" spans="2:35" ht="12" customHeight="1" x14ac:dyDescent="0.15">
      <c r="B98" s="313" t="s">
        <v>53</v>
      </c>
      <c r="C98" s="309">
        <v>10.9</v>
      </c>
      <c r="D98" s="309">
        <v>10.7</v>
      </c>
      <c r="E98" s="309">
        <v>15.3</v>
      </c>
      <c r="F98" s="309">
        <v>14.6</v>
      </c>
      <c r="G98" s="309">
        <v>14.5</v>
      </c>
      <c r="H98" s="309">
        <v>19.399999999999999</v>
      </c>
      <c r="I98" s="309">
        <v>18.399999999999999</v>
      </c>
      <c r="J98" s="309">
        <v>19.2</v>
      </c>
      <c r="K98" s="309">
        <v>15.5</v>
      </c>
      <c r="L98" s="309">
        <v>10</v>
      </c>
      <c r="M98" s="309">
        <v>10.8</v>
      </c>
      <c r="N98" s="309">
        <v>10.1</v>
      </c>
      <c r="O98" s="310">
        <f t="shared" si="38"/>
        <v>14.116666666666667</v>
      </c>
      <c r="P98" s="310">
        <f t="shared" si="30"/>
        <v>24.359216410035227</v>
      </c>
      <c r="Q98" s="311">
        <f t="shared" si="31"/>
        <v>1</v>
      </c>
      <c r="R98" s="225">
        <f t="shared" si="35"/>
        <v>12.300000000000002</v>
      </c>
      <c r="S98" s="226">
        <f t="shared" si="39"/>
        <v>1</v>
      </c>
      <c r="T98" s="225">
        <f t="shared" si="36"/>
        <v>17.7</v>
      </c>
      <c r="U98" s="226">
        <f t="shared" si="40"/>
        <v>1</v>
      </c>
      <c r="V98" s="227">
        <f t="shared" si="37"/>
        <v>14.116666666666667</v>
      </c>
      <c r="W98" s="228">
        <f t="shared" si="41"/>
        <v>1</v>
      </c>
      <c r="X98" s="144">
        <f t="shared" si="32"/>
        <v>15.022222222222224</v>
      </c>
      <c r="Y98" s="144">
        <f t="shared" si="33"/>
        <v>18.533333333333335</v>
      </c>
      <c r="Z98" s="144">
        <f t="shared" si="34"/>
        <v>16.363333333333333</v>
      </c>
      <c r="AA98" s="205"/>
      <c r="AB98" s="357" t="str">
        <f>VLOOKUP($B98,'2007-2020 Metadata'!$A$4:$S$214,MATCH("Urban Area /Monitoring Zone",'2007-2020 Metadata'!$A$4:$S$4,0),FALSE)</f>
        <v>Wellington</v>
      </c>
      <c r="AC98" s="229" t="str">
        <f>VLOOKUP(B98,'2007-2020 Metadata'!$A$6:$A$214,1,FALSE)</f>
        <v>WEL007</v>
      </c>
      <c r="AD98" s="230" t="str">
        <f>VLOOKUP($AC98,'2007-2020 Metadata'!$A$6:$S$214,9,FALSE)</f>
        <v>Wellington</v>
      </c>
      <c r="AE98" s="230">
        <f>IF(ISBLANK(VLOOKUP($AC98,'2007-2020 Metadata'!$A$6:$S$214,19,FALSE)),"",VLOOKUP($AC98,'2007-2020 Metadata'!$A$6:$S$214,19,FALSE))</f>
        <v>1</v>
      </c>
      <c r="AF98" s="88" t="str">
        <f>VLOOKUP($B98,'2007-2020 Metadata'!$A$4:$S$214,MATCH("Site type",'2007-2020 Metadata'!$A$4:$S$4,0),FALSE)</f>
        <v>SH</v>
      </c>
      <c r="AG98" s="143">
        <f t="shared" si="42"/>
        <v>10</v>
      </c>
      <c r="AH98" s="143">
        <f t="shared" si="43"/>
        <v>19.399999999999999</v>
      </c>
      <c r="AI98" s="144">
        <f t="shared" si="44"/>
        <v>16.363333333333333</v>
      </c>
    </row>
    <row r="99" spans="2:35" ht="12" customHeight="1" x14ac:dyDescent="0.15">
      <c r="B99" s="313" t="s">
        <v>54</v>
      </c>
      <c r="C99" s="309">
        <v>21.9</v>
      </c>
      <c r="D99" s="309">
        <v>29.8</v>
      </c>
      <c r="E99" s="309">
        <v>34.299999999999997</v>
      </c>
      <c r="F99" s="309">
        <v>26.9</v>
      </c>
      <c r="G99" s="309">
        <v>33</v>
      </c>
      <c r="H99" s="309">
        <v>38.700000000000003</v>
      </c>
      <c r="I99" s="309">
        <v>38.5</v>
      </c>
      <c r="J99" s="309">
        <v>31.4</v>
      </c>
      <c r="K99" s="309">
        <v>33</v>
      </c>
      <c r="L99" s="309">
        <v>32.1</v>
      </c>
      <c r="M99" s="309">
        <v>30.9</v>
      </c>
      <c r="N99" s="309">
        <v>22.6</v>
      </c>
      <c r="O99" s="310">
        <f t="shared" si="38"/>
        <v>31.091666666666669</v>
      </c>
      <c r="P99" s="310">
        <f t="shared" si="30"/>
        <v>16.276733887907866</v>
      </c>
      <c r="Q99" s="311">
        <f t="shared" si="31"/>
        <v>1</v>
      </c>
      <c r="R99" s="225">
        <f t="shared" si="35"/>
        <v>28.666666666666668</v>
      </c>
      <c r="S99" s="226">
        <f t="shared" si="39"/>
        <v>1</v>
      </c>
      <c r="T99" s="225">
        <f t="shared" si="36"/>
        <v>34.300000000000004</v>
      </c>
      <c r="U99" s="226">
        <f t="shared" si="40"/>
        <v>1</v>
      </c>
      <c r="V99" s="227">
        <f t="shared" si="37"/>
        <v>31.091666666666669</v>
      </c>
      <c r="W99" s="228">
        <f t="shared" si="41"/>
        <v>1</v>
      </c>
      <c r="X99" s="144">
        <f t="shared" si="32"/>
        <v>15.022222222222224</v>
      </c>
      <c r="Y99" s="144">
        <f t="shared" si="33"/>
        <v>18.533333333333335</v>
      </c>
      <c r="Z99" s="144">
        <f t="shared" si="34"/>
        <v>16.363333333333333</v>
      </c>
      <c r="AA99" s="205"/>
      <c r="AB99" s="357" t="str">
        <f>VLOOKUP($B99,'2007-2020 Metadata'!$A$4:$S$214,MATCH("Urban Area /Monitoring Zone",'2007-2020 Metadata'!$A$4:$S$4,0),FALSE)</f>
        <v>Wellington</v>
      </c>
      <c r="AC99" s="229" t="str">
        <f>VLOOKUP(B99,'2007-2020 Metadata'!$A$6:$A$214,1,FALSE)</f>
        <v>WEL008</v>
      </c>
      <c r="AD99" s="230" t="str">
        <f>VLOOKUP($AC99,'2007-2020 Metadata'!$A$6:$S$214,9,FALSE)</f>
        <v>Wellington</v>
      </c>
      <c r="AE99" s="230">
        <f>IF(ISBLANK(VLOOKUP($AC99,'2007-2020 Metadata'!$A$6:$S$214,19,FALSE)),"",VLOOKUP($AC99,'2007-2020 Metadata'!$A$6:$S$214,19,FALSE))</f>
        <v>3.1</v>
      </c>
      <c r="AF99" s="88" t="str">
        <f>VLOOKUP($B99,'2007-2020 Metadata'!$A$4:$S$214,MATCH("Site type",'2007-2020 Metadata'!$A$4:$S$4,0),FALSE)</f>
        <v>SH</v>
      </c>
      <c r="AG99" s="143">
        <f t="shared" si="42"/>
        <v>21.9</v>
      </c>
      <c r="AH99" s="143">
        <f t="shared" si="43"/>
        <v>38.700000000000003</v>
      </c>
      <c r="AI99" s="144">
        <f t="shared" si="44"/>
        <v>16.363333333333333</v>
      </c>
    </row>
    <row r="100" spans="2:35" ht="12" customHeight="1" x14ac:dyDescent="0.15">
      <c r="B100" s="313" t="s">
        <v>55</v>
      </c>
      <c r="C100" s="309">
        <v>13</v>
      </c>
      <c r="D100" s="309">
        <v>19.7</v>
      </c>
      <c r="E100" s="309">
        <v>24.6</v>
      </c>
      <c r="F100" s="309">
        <v>18.5</v>
      </c>
      <c r="G100" s="309">
        <v>25.3</v>
      </c>
      <c r="H100" s="309">
        <v>28.1</v>
      </c>
      <c r="I100" s="309">
        <v>26.5</v>
      </c>
      <c r="J100" s="309">
        <v>23.8</v>
      </c>
      <c r="K100" s="309">
        <v>20.3</v>
      </c>
      <c r="L100" s="309">
        <v>19</v>
      </c>
      <c r="M100" s="309"/>
      <c r="N100" s="309">
        <v>14.9</v>
      </c>
      <c r="O100" s="310">
        <f t="shared" si="38"/>
        <v>21.24545454545455</v>
      </c>
      <c r="P100" s="310">
        <f t="shared" si="30"/>
        <v>21.659468785951557</v>
      </c>
      <c r="Q100" s="311">
        <f t="shared" si="31"/>
        <v>0.91666666666666663</v>
      </c>
      <c r="R100" s="225">
        <f t="shared" si="35"/>
        <v>19.100000000000001</v>
      </c>
      <c r="S100" s="226">
        <f t="shared" si="39"/>
        <v>1</v>
      </c>
      <c r="T100" s="225">
        <f t="shared" si="36"/>
        <v>23.533333333333331</v>
      </c>
      <c r="U100" s="226">
        <f t="shared" si="40"/>
        <v>1</v>
      </c>
      <c r="V100" s="227">
        <f t="shared" si="37"/>
        <v>21.24545454545455</v>
      </c>
      <c r="W100" s="228">
        <f t="shared" si="41"/>
        <v>0.91666666666666663</v>
      </c>
      <c r="X100" s="144">
        <f t="shared" si="32"/>
        <v>14.144444444444444</v>
      </c>
      <c r="Y100" s="144">
        <f t="shared" si="33"/>
        <v>19.699999999999996</v>
      </c>
      <c r="Z100" s="144">
        <f t="shared" si="34"/>
        <v>16.815151515151516</v>
      </c>
      <c r="AA100" s="205"/>
      <c r="AB100" s="357" t="str">
        <f>VLOOKUP($B100,'2007-2020 Metadata'!$A$4:$S$214,MATCH("Urban Area /Monitoring Zone",'2007-2020 Metadata'!$A$4:$S$4,0),FALSE)</f>
        <v>Nelson</v>
      </c>
      <c r="AC100" s="229" t="str">
        <f>VLOOKUP(B100,'2007-2020 Metadata'!$A$6:$A$214,1,FALSE)</f>
        <v>WEL009</v>
      </c>
      <c r="AD100" s="230" t="str">
        <f>VLOOKUP($AC100,'2007-2020 Metadata'!$A$6:$S$214,9,FALSE)</f>
        <v>Nelson</v>
      </c>
      <c r="AE100" s="230">
        <f>IF(ISBLANK(VLOOKUP($AC100,'2007-2020 Metadata'!$A$6:$S$214,19,FALSE)),"",VLOOKUP($AC100,'2007-2020 Metadata'!$A$6:$S$214,19,FALSE))</f>
        <v>3</v>
      </c>
      <c r="AF100" s="88" t="str">
        <f>VLOOKUP($B100,'2007-2020 Metadata'!$A$4:$S$214,MATCH("Site type",'2007-2020 Metadata'!$A$4:$S$4,0),FALSE)</f>
        <v>SH</v>
      </c>
      <c r="AG100" s="143">
        <f t="shared" si="42"/>
        <v>13</v>
      </c>
      <c r="AH100" s="143">
        <f t="shared" si="43"/>
        <v>28.1</v>
      </c>
      <c r="AI100" s="144">
        <f t="shared" si="44"/>
        <v>16.815151515151516</v>
      </c>
    </row>
    <row r="101" spans="2:35" ht="12" customHeight="1" x14ac:dyDescent="0.15">
      <c r="B101" s="313" t="s">
        <v>56</v>
      </c>
      <c r="C101" s="309">
        <v>13.9</v>
      </c>
      <c r="D101" s="309">
        <v>14.9</v>
      </c>
      <c r="E101" s="309">
        <v>15.2</v>
      </c>
      <c r="F101" s="309">
        <v>20.9</v>
      </c>
      <c r="G101" s="309">
        <v>23.2</v>
      </c>
      <c r="H101" s="309">
        <v>26.8</v>
      </c>
      <c r="I101" s="309">
        <v>25.7</v>
      </c>
      <c r="J101" s="309">
        <v>23.6</v>
      </c>
      <c r="K101" s="309">
        <v>17.899999999999999</v>
      </c>
      <c r="L101" s="309">
        <v>10.199999999999999</v>
      </c>
      <c r="M101" s="309">
        <v>15.6</v>
      </c>
      <c r="N101" s="309">
        <v>12.6</v>
      </c>
      <c r="O101" s="310">
        <f t="shared" si="38"/>
        <v>18.374999999999996</v>
      </c>
      <c r="P101" s="310">
        <f t="shared" si="30"/>
        <v>28.620301575461305</v>
      </c>
      <c r="Q101" s="311">
        <f t="shared" si="31"/>
        <v>1</v>
      </c>
      <c r="R101" s="225">
        <f t="shared" si="35"/>
        <v>14.666666666666666</v>
      </c>
      <c r="S101" s="226">
        <f t="shared" si="39"/>
        <v>1</v>
      </c>
      <c r="T101" s="225">
        <f t="shared" si="36"/>
        <v>22.399999999999995</v>
      </c>
      <c r="U101" s="226">
        <f t="shared" si="40"/>
        <v>1</v>
      </c>
      <c r="V101" s="227">
        <f t="shared" si="37"/>
        <v>18.374999999999996</v>
      </c>
      <c r="W101" s="228">
        <f t="shared" si="41"/>
        <v>1</v>
      </c>
      <c r="X101" s="144">
        <f t="shared" si="32"/>
        <v>14.144444444444444</v>
      </c>
      <c r="Y101" s="144">
        <f t="shared" si="33"/>
        <v>19.699999999999996</v>
      </c>
      <c r="Z101" s="144">
        <f t="shared" si="34"/>
        <v>16.815151515151516</v>
      </c>
      <c r="AA101" s="205"/>
      <c r="AB101" s="357" t="str">
        <f>VLOOKUP($B101,'2007-2020 Metadata'!$A$4:$S$214,MATCH("Urban Area /Monitoring Zone",'2007-2020 Metadata'!$A$4:$S$4,0),FALSE)</f>
        <v>Nelson</v>
      </c>
      <c r="AC101" s="229" t="str">
        <f>VLOOKUP(B101,'2007-2020 Metadata'!$A$6:$A$214,1,FALSE)</f>
        <v>WEL010</v>
      </c>
      <c r="AD101" s="230" t="str">
        <f>VLOOKUP($AC101,'2007-2020 Metadata'!$A$6:$S$214,9,FALSE)</f>
        <v>Nelson</v>
      </c>
      <c r="AE101" s="230">
        <f>IF(ISBLANK(VLOOKUP($AC101,'2007-2020 Metadata'!$A$6:$S$214,19,FALSE)),"",VLOOKUP($AC101,'2007-2020 Metadata'!$A$6:$S$214,19,FALSE))</f>
        <v>2.4</v>
      </c>
      <c r="AF101" s="88" t="str">
        <f>VLOOKUP($B101,'2007-2020 Metadata'!$A$4:$S$214,MATCH("Site type",'2007-2020 Metadata'!$A$4:$S$4,0),FALSE)</f>
        <v>SH</v>
      </c>
      <c r="AG101" s="143">
        <f t="shared" si="42"/>
        <v>10.199999999999999</v>
      </c>
      <c r="AH101" s="143">
        <f t="shared" si="43"/>
        <v>26.8</v>
      </c>
      <c r="AI101" s="144">
        <f t="shared" si="44"/>
        <v>16.815151515151516</v>
      </c>
    </row>
    <row r="102" spans="2:35" ht="12" customHeight="1" x14ac:dyDescent="0.15">
      <c r="B102" s="313" t="s">
        <v>57</v>
      </c>
      <c r="C102" s="309">
        <v>9.9</v>
      </c>
      <c r="D102" s="309">
        <v>12.9</v>
      </c>
      <c r="E102" s="309">
        <v>15.3</v>
      </c>
      <c r="F102" s="309">
        <v>15.8</v>
      </c>
      <c r="G102" s="309">
        <v>17.8</v>
      </c>
      <c r="H102" s="309">
        <v>22</v>
      </c>
      <c r="I102" s="309">
        <v>18.399999999999999</v>
      </c>
      <c r="J102" s="309">
        <v>16.100000000000001</v>
      </c>
      <c r="K102" s="309">
        <v>12</v>
      </c>
      <c r="L102" s="309">
        <v>15.2</v>
      </c>
      <c r="M102" s="309"/>
      <c r="N102" s="309">
        <v>16.5</v>
      </c>
      <c r="O102" s="310">
        <f t="shared" si="38"/>
        <v>15.627272727272725</v>
      </c>
      <c r="P102" s="310">
        <f t="shared" si="30"/>
        <v>20.024989793917804</v>
      </c>
      <c r="Q102" s="311">
        <f t="shared" si="31"/>
        <v>0.91666666666666663</v>
      </c>
      <c r="R102" s="225">
        <f t="shared" si="35"/>
        <v>12.700000000000001</v>
      </c>
      <c r="S102" s="226">
        <f t="shared" si="39"/>
        <v>1</v>
      </c>
      <c r="T102" s="225">
        <f t="shared" si="36"/>
        <v>15.5</v>
      </c>
      <c r="U102" s="226">
        <f t="shared" si="40"/>
        <v>1</v>
      </c>
      <c r="V102" s="227">
        <f t="shared" si="37"/>
        <v>15.627272727272725</v>
      </c>
      <c r="W102" s="228">
        <f t="shared" si="41"/>
        <v>0.91666666666666663</v>
      </c>
      <c r="X102" s="144">
        <f t="shared" si="32"/>
        <v>12.700000000000001</v>
      </c>
      <c r="Y102" s="144">
        <f t="shared" si="33"/>
        <v>15.5</v>
      </c>
      <c r="Z102" s="144">
        <f t="shared" si="34"/>
        <v>15.627272727272725</v>
      </c>
      <c r="AA102" s="205"/>
      <c r="AB102" s="357" t="str">
        <f>VLOOKUP($B102,'2007-2020 Metadata'!$A$4:$S$214,MATCH("Urban Area /Monitoring Zone",'2007-2020 Metadata'!$A$4:$S$4,0),FALSE)</f>
        <v>Nelson</v>
      </c>
      <c r="AC102" s="229" t="str">
        <f>VLOOKUP(B102,'2007-2020 Metadata'!$A$6:$A$214,1,FALSE)</f>
        <v>WEL011</v>
      </c>
      <c r="AD102" s="230" t="str">
        <f>VLOOKUP($AC102,'2007-2020 Metadata'!$A$6:$S$214,9,FALSE)</f>
        <v>Tasman</v>
      </c>
      <c r="AE102" s="230">
        <f>IF(ISBLANK(VLOOKUP($AC102,'2007-2020 Metadata'!$A$6:$S$214,19,FALSE)),"",VLOOKUP($AC102,'2007-2020 Metadata'!$A$6:$S$214,19,FALSE))</f>
        <v>2.4</v>
      </c>
      <c r="AF102" s="88" t="str">
        <f>VLOOKUP($B102,'2007-2020 Metadata'!$A$4:$S$214,MATCH("Site type",'2007-2020 Metadata'!$A$4:$S$4,0),FALSE)</f>
        <v>SH</v>
      </c>
      <c r="AG102" s="143">
        <f t="shared" si="42"/>
        <v>9.9</v>
      </c>
      <c r="AH102" s="143">
        <f t="shared" si="43"/>
        <v>22</v>
      </c>
      <c r="AI102" s="144">
        <f t="shared" si="44"/>
        <v>15.627272727272725</v>
      </c>
    </row>
    <row r="103" spans="2:35" ht="12" customHeight="1" x14ac:dyDescent="0.15">
      <c r="B103" s="313" t="s">
        <v>58</v>
      </c>
      <c r="C103" s="309">
        <v>7.7</v>
      </c>
      <c r="D103" s="309">
        <v>13.2</v>
      </c>
      <c r="E103" s="309">
        <v>12.6</v>
      </c>
      <c r="F103" s="309">
        <v>14.9</v>
      </c>
      <c r="G103" s="309">
        <v>15.3</v>
      </c>
      <c r="H103" s="309">
        <v>20.399999999999999</v>
      </c>
      <c r="I103" s="309"/>
      <c r="J103" s="309">
        <v>13.7</v>
      </c>
      <c r="K103" s="309">
        <v>12.2</v>
      </c>
      <c r="L103" s="309">
        <v>9.8000000000000007</v>
      </c>
      <c r="M103" s="309">
        <v>9.6999999999999993</v>
      </c>
      <c r="N103" s="309">
        <v>8.5</v>
      </c>
      <c r="O103" s="310">
        <f t="shared" si="38"/>
        <v>12.545454545454545</v>
      </c>
      <c r="P103" s="310">
        <f t="shared" si="30"/>
        <v>27.631984547771953</v>
      </c>
      <c r="Q103" s="311">
        <f t="shared" si="31"/>
        <v>0.91666666666666663</v>
      </c>
      <c r="R103" s="225">
        <f t="shared" si="35"/>
        <v>11.166666666666666</v>
      </c>
      <c r="S103" s="226">
        <f t="shared" si="39"/>
        <v>1</v>
      </c>
      <c r="T103" s="225">
        <f t="shared" si="36"/>
        <v>12.95</v>
      </c>
      <c r="U103" s="226">
        <f t="shared" si="40"/>
        <v>0.66666666666666663</v>
      </c>
      <c r="V103" s="227">
        <f t="shared" si="37"/>
        <v>12.545454545454545</v>
      </c>
      <c r="W103" s="228">
        <f t="shared" si="41"/>
        <v>0.91666666666666663</v>
      </c>
      <c r="X103" s="144">
        <f t="shared" si="32"/>
        <v>11.166666666666666</v>
      </c>
      <c r="Y103" s="144">
        <f t="shared" si="33"/>
        <v>12.95</v>
      </c>
      <c r="Z103" s="144">
        <f t="shared" si="34"/>
        <v>12.545454545454545</v>
      </c>
      <c r="AA103" s="205"/>
      <c r="AB103" s="357" t="str">
        <f>VLOOKUP($B103,'2007-2020 Metadata'!$A$4:$S$214,MATCH("Urban Area /Monitoring Zone",'2007-2020 Metadata'!$A$4:$S$4,0),FALSE)</f>
        <v>Blenheim</v>
      </c>
      <c r="AC103" s="229" t="str">
        <f>VLOOKUP(B103,'2007-2020 Metadata'!$A$6:$A$214,1,FALSE)</f>
        <v>WEL012</v>
      </c>
      <c r="AD103" s="230" t="str">
        <f>VLOOKUP($AC103,'2007-2020 Metadata'!$A$6:$S$214,9,FALSE)</f>
        <v>Blenheim</v>
      </c>
      <c r="AE103" s="230">
        <f>IF(ISBLANK(VLOOKUP($AC103,'2007-2020 Metadata'!$A$6:$S$214,19,FALSE)),"",VLOOKUP($AC103,'2007-2020 Metadata'!$A$6:$S$214,19,FALSE))</f>
        <v>4.2</v>
      </c>
      <c r="AF103" s="88" t="str">
        <f>VLOOKUP($B103,'2007-2020 Metadata'!$A$4:$S$214,MATCH("Site type",'2007-2020 Metadata'!$A$4:$S$4,0),FALSE)</f>
        <v>SH</v>
      </c>
      <c r="AG103" s="143">
        <f t="shared" si="42"/>
        <v>7.7</v>
      </c>
      <c r="AH103" s="143">
        <f t="shared" si="43"/>
        <v>20.399999999999999</v>
      </c>
      <c r="AI103" s="144">
        <f t="shared" si="44"/>
        <v>12.545454545454545</v>
      </c>
    </row>
    <row r="104" spans="2:35" ht="12" customHeight="1" x14ac:dyDescent="0.15">
      <c r="B104" s="313" t="s">
        <v>125</v>
      </c>
      <c r="C104" s="309">
        <v>8.6999999999999993</v>
      </c>
      <c r="D104" s="309">
        <v>5.7</v>
      </c>
      <c r="E104" s="309">
        <v>9.3000000000000007</v>
      </c>
      <c r="F104" s="309">
        <v>7.2</v>
      </c>
      <c r="G104" s="309">
        <v>11.5</v>
      </c>
      <c r="H104" s="309">
        <v>13.3</v>
      </c>
      <c r="I104" s="309">
        <v>12.3</v>
      </c>
      <c r="J104" s="309">
        <v>11.8</v>
      </c>
      <c r="K104" s="309">
        <v>9.1</v>
      </c>
      <c r="L104" s="309">
        <v>7.6</v>
      </c>
      <c r="M104" s="309">
        <v>7.3</v>
      </c>
      <c r="N104" s="309">
        <v>5.6</v>
      </c>
      <c r="O104" s="310">
        <f t="shared" si="38"/>
        <v>9.1166666666666654</v>
      </c>
      <c r="P104" s="310">
        <f t="shared" si="30"/>
        <v>27.245622169845436</v>
      </c>
      <c r="Q104" s="311">
        <f t="shared" si="31"/>
        <v>1</v>
      </c>
      <c r="R104" s="225">
        <f t="shared" si="35"/>
        <v>7.8999999999999995</v>
      </c>
      <c r="S104" s="226">
        <f t="shared" si="39"/>
        <v>1</v>
      </c>
      <c r="T104" s="225">
        <f t="shared" si="36"/>
        <v>11.066666666666668</v>
      </c>
      <c r="U104" s="226">
        <f t="shared" si="40"/>
        <v>1</v>
      </c>
      <c r="V104" s="227">
        <f t="shared" si="37"/>
        <v>9.1166666666666654</v>
      </c>
      <c r="W104" s="228">
        <f t="shared" si="41"/>
        <v>1</v>
      </c>
      <c r="X104" s="144">
        <f t="shared" si="32"/>
        <v>15.022222222222224</v>
      </c>
      <c r="Y104" s="144">
        <f t="shared" si="33"/>
        <v>18.533333333333335</v>
      </c>
      <c r="Z104" s="144">
        <f t="shared" si="34"/>
        <v>16.363333333333333</v>
      </c>
      <c r="AA104" s="205"/>
      <c r="AB104" s="357" t="str">
        <f>VLOOKUP($B104,'2007-2020 Metadata'!$A$4:$S$214,MATCH("Urban Area /Monitoring Zone",'2007-2020 Metadata'!$A$4:$S$4,0),FALSE)</f>
        <v>Wellington</v>
      </c>
      <c r="AC104" s="229" t="str">
        <f>VLOOKUP(B104,'2007-2020 Metadata'!$A$6:$A$214,1,FALSE)</f>
        <v>WEL047</v>
      </c>
      <c r="AD104" s="230" t="str">
        <f>VLOOKUP($AC104,'2007-2020 Metadata'!$A$6:$S$214,9,FALSE)</f>
        <v>Wellington</v>
      </c>
      <c r="AE104" s="230">
        <f>IF(ISBLANK(VLOOKUP($AC104,'2007-2020 Metadata'!$A$6:$S$214,19,FALSE)),"",VLOOKUP($AC104,'2007-2020 Metadata'!$A$6:$S$214,19,FALSE))</f>
        <v>3.5</v>
      </c>
      <c r="AF104" s="88" t="str">
        <f>VLOOKUP($B104,'2007-2020 Metadata'!$A$4:$S$214,MATCH("Site type",'2007-2020 Metadata'!$A$4:$S$4,0),FALSE)</f>
        <v>Local</v>
      </c>
      <c r="AG104" s="143">
        <f t="shared" si="42"/>
        <v>5.6</v>
      </c>
      <c r="AH104" s="143">
        <f t="shared" si="43"/>
        <v>13.3</v>
      </c>
      <c r="AI104" s="144">
        <f t="shared" si="44"/>
        <v>16.363333333333333</v>
      </c>
    </row>
    <row r="105" spans="2:35" ht="12" customHeight="1" x14ac:dyDescent="0.15">
      <c r="B105" s="313" t="s">
        <v>126</v>
      </c>
      <c r="C105" s="309">
        <v>2.8</v>
      </c>
      <c r="D105" s="309">
        <v>6.9</v>
      </c>
      <c r="E105" s="309">
        <v>8.3000000000000007</v>
      </c>
      <c r="F105" s="309">
        <v>5.4</v>
      </c>
      <c r="G105" s="309">
        <v>8.4</v>
      </c>
      <c r="H105" s="309">
        <v>11.4</v>
      </c>
      <c r="I105" s="309">
        <v>9.8000000000000007</v>
      </c>
      <c r="J105" s="309">
        <v>7.5</v>
      </c>
      <c r="K105" s="309">
        <v>6.4</v>
      </c>
      <c r="L105" s="309">
        <v>4.9000000000000004</v>
      </c>
      <c r="M105" s="309">
        <v>4.5999999999999996</v>
      </c>
      <c r="N105" s="309">
        <v>4</v>
      </c>
      <c r="O105" s="310">
        <f t="shared" si="38"/>
        <v>6.7</v>
      </c>
      <c r="P105" s="310">
        <f t="shared" si="30"/>
        <v>35.98635088562213</v>
      </c>
      <c r="Q105" s="311">
        <f t="shared" si="31"/>
        <v>1</v>
      </c>
      <c r="R105" s="225">
        <f t="shared" si="35"/>
        <v>6</v>
      </c>
      <c r="S105" s="226">
        <f t="shared" si="39"/>
        <v>1</v>
      </c>
      <c r="T105" s="225">
        <f t="shared" si="36"/>
        <v>7.9000000000000012</v>
      </c>
      <c r="U105" s="226">
        <f t="shared" si="40"/>
        <v>1</v>
      </c>
      <c r="V105" s="227">
        <f t="shared" si="37"/>
        <v>6.7</v>
      </c>
      <c r="W105" s="228">
        <f t="shared" si="41"/>
        <v>1</v>
      </c>
      <c r="X105" s="144">
        <f t="shared" si="32"/>
        <v>15.022222222222224</v>
      </c>
      <c r="Y105" s="144">
        <f t="shared" si="33"/>
        <v>18.533333333333335</v>
      </c>
      <c r="Z105" s="144">
        <f t="shared" si="34"/>
        <v>16.363333333333333</v>
      </c>
      <c r="AA105" s="205"/>
      <c r="AB105" s="357" t="str">
        <f>VLOOKUP($B105,'2007-2020 Metadata'!$A$4:$S$214,MATCH("Urban Area /Monitoring Zone",'2007-2020 Metadata'!$A$4:$S$4,0),FALSE)</f>
        <v>Wellington</v>
      </c>
      <c r="AC105" s="229" t="str">
        <f>VLOOKUP(B105,'2007-2020 Metadata'!$A$6:$A$214,1,FALSE)</f>
        <v>WEL048</v>
      </c>
      <c r="AD105" s="230" t="str">
        <f>VLOOKUP($AC105,'2007-2020 Metadata'!$A$6:$S$214,9,FALSE)</f>
        <v>Wellington</v>
      </c>
      <c r="AE105" s="230">
        <f>IF(ISBLANK(VLOOKUP($AC105,'2007-2020 Metadata'!$A$6:$S$214,19,FALSE)),"",VLOOKUP($AC105,'2007-2020 Metadata'!$A$6:$S$214,19,FALSE))</f>
        <v>4</v>
      </c>
      <c r="AF105" s="88" t="str">
        <f>VLOOKUP($B105,'2007-2020 Metadata'!$A$4:$S$214,MATCH("Site type",'2007-2020 Metadata'!$A$4:$S$4,0),FALSE)</f>
        <v>Background</v>
      </c>
      <c r="AG105" s="143">
        <f t="shared" si="42"/>
        <v>2.8</v>
      </c>
      <c r="AH105" s="143">
        <f t="shared" si="43"/>
        <v>11.4</v>
      </c>
      <c r="AI105" s="144">
        <f t="shared" si="44"/>
        <v>16.363333333333333</v>
      </c>
    </row>
    <row r="106" spans="2:35" ht="12" customHeight="1" x14ac:dyDescent="0.15">
      <c r="B106" s="313" t="s">
        <v>127</v>
      </c>
      <c r="C106" s="309">
        <v>24.9</v>
      </c>
      <c r="D106" s="309">
        <v>29.5</v>
      </c>
      <c r="E106" s="309">
        <v>34.200000000000003</v>
      </c>
      <c r="F106" s="309">
        <v>35.700000000000003</v>
      </c>
      <c r="G106" s="309">
        <v>30</v>
      </c>
      <c r="H106" s="309">
        <v>38</v>
      </c>
      <c r="I106" s="309">
        <v>34</v>
      </c>
      <c r="J106" s="309">
        <v>35.5</v>
      </c>
      <c r="K106" s="309">
        <v>29.7</v>
      </c>
      <c r="L106" s="309">
        <v>25.6</v>
      </c>
      <c r="M106" s="309">
        <v>24.1</v>
      </c>
      <c r="N106" s="309">
        <v>22.8</v>
      </c>
      <c r="O106" s="310">
        <f t="shared" si="38"/>
        <v>30.333333333333339</v>
      </c>
      <c r="P106" s="310">
        <f t="shared" si="30"/>
        <v>16.245720642623475</v>
      </c>
      <c r="Q106" s="311">
        <f t="shared" si="31"/>
        <v>1</v>
      </c>
      <c r="R106" s="225">
        <f t="shared" si="35"/>
        <v>29.533333333333331</v>
      </c>
      <c r="S106" s="226">
        <f t="shared" si="39"/>
        <v>1</v>
      </c>
      <c r="T106" s="225">
        <f t="shared" si="36"/>
        <v>33.06666666666667</v>
      </c>
      <c r="U106" s="226">
        <f t="shared" si="40"/>
        <v>1</v>
      </c>
      <c r="V106" s="227">
        <f t="shared" si="37"/>
        <v>30.333333333333339</v>
      </c>
      <c r="W106" s="228">
        <f t="shared" si="41"/>
        <v>1</v>
      </c>
      <c r="X106" s="144">
        <f t="shared" si="32"/>
        <v>15.022222222222224</v>
      </c>
      <c r="Y106" s="144">
        <f t="shared" si="33"/>
        <v>18.533333333333335</v>
      </c>
      <c r="Z106" s="144">
        <f t="shared" si="34"/>
        <v>16.363333333333333</v>
      </c>
      <c r="AA106" s="205"/>
      <c r="AB106" s="357" t="str">
        <f>VLOOKUP($B106,'2007-2020 Metadata'!$A$4:$S$214,MATCH("Urban Area /Monitoring Zone",'2007-2020 Metadata'!$A$4:$S$4,0),FALSE)</f>
        <v>Wellington</v>
      </c>
      <c r="AC106" s="229" t="str">
        <f>VLOOKUP(B106,'2007-2020 Metadata'!$A$6:$A$214,1,FALSE)</f>
        <v>WEL049</v>
      </c>
      <c r="AD106" s="230" t="str">
        <f>VLOOKUP($AC106,'2007-2020 Metadata'!$A$6:$S$214,9,FALSE)</f>
        <v>Wellington</v>
      </c>
      <c r="AE106" s="230">
        <f>IF(ISBLANK(VLOOKUP($AC106,'2007-2020 Metadata'!$A$6:$S$214,19,FALSE)),"",VLOOKUP($AC106,'2007-2020 Metadata'!$A$6:$S$214,19,FALSE))</f>
        <v>4</v>
      </c>
      <c r="AF106" s="88" t="str">
        <f>VLOOKUP($B106,'2007-2020 Metadata'!$A$4:$S$214,MATCH("Site type",'2007-2020 Metadata'!$A$4:$S$4,0),FALSE)</f>
        <v>Local</v>
      </c>
      <c r="AG106" s="143">
        <f t="shared" si="42"/>
        <v>22.8</v>
      </c>
      <c r="AH106" s="143">
        <f t="shared" si="43"/>
        <v>38</v>
      </c>
      <c r="AI106" s="144">
        <f t="shared" si="44"/>
        <v>16.363333333333333</v>
      </c>
    </row>
    <row r="107" spans="2:35" ht="12" customHeight="1" x14ac:dyDescent="0.15">
      <c r="B107" s="313" t="s">
        <v>128</v>
      </c>
      <c r="C107" s="309">
        <v>11.8</v>
      </c>
      <c r="D107" s="309">
        <v>13.8</v>
      </c>
      <c r="E107" s="309">
        <v>18.2</v>
      </c>
      <c r="F107" s="309">
        <v>16</v>
      </c>
      <c r="G107" s="309">
        <v>17.5</v>
      </c>
      <c r="H107" s="309">
        <v>24.5</v>
      </c>
      <c r="I107" s="309">
        <v>22.8</v>
      </c>
      <c r="J107" s="309">
        <v>19.3</v>
      </c>
      <c r="K107" s="309">
        <v>16.600000000000001</v>
      </c>
      <c r="L107" s="309">
        <v>14.2</v>
      </c>
      <c r="M107" s="309">
        <v>12</v>
      </c>
      <c r="N107" s="309">
        <v>12.4</v>
      </c>
      <c r="O107" s="310">
        <f t="shared" si="38"/>
        <v>16.591666666666665</v>
      </c>
      <c r="P107" s="310">
        <f t="shared" si="30"/>
        <v>23.812164760403071</v>
      </c>
      <c r="Q107" s="311">
        <f t="shared" si="31"/>
        <v>1</v>
      </c>
      <c r="R107" s="225">
        <f t="shared" si="35"/>
        <v>14.6</v>
      </c>
      <c r="S107" s="226">
        <f t="shared" si="39"/>
        <v>1</v>
      </c>
      <c r="T107" s="225">
        <f t="shared" si="36"/>
        <v>19.566666666666666</v>
      </c>
      <c r="U107" s="226">
        <f t="shared" si="40"/>
        <v>1</v>
      </c>
      <c r="V107" s="227">
        <f t="shared" si="37"/>
        <v>16.591666666666665</v>
      </c>
      <c r="W107" s="228">
        <f t="shared" si="41"/>
        <v>1</v>
      </c>
      <c r="X107" s="144">
        <f t="shared" si="32"/>
        <v>15.022222222222224</v>
      </c>
      <c r="Y107" s="144">
        <f t="shared" si="33"/>
        <v>18.533333333333335</v>
      </c>
      <c r="Z107" s="144">
        <f t="shared" si="34"/>
        <v>16.363333333333333</v>
      </c>
      <c r="AA107" s="205"/>
      <c r="AB107" s="357" t="str">
        <f>VLOOKUP($B107,'2007-2020 Metadata'!$A$4:$S$214,MATCH("Urban Area /Monitoring Zone",'2007-2020 Metadata'!$A$4:$S$4,0),FALSE)</f>
        <v>Wellington</v>
      </c>
      <c r="AC107" s="229" t="str">
        <f>VLOOKUP(B107,'2007-2020 Metadata'!$A$6:$A$214,1,FALSE)</f>
        <v>WEL050</v>
      </c>
      <c r="AD107" s="230" t="str">
        <f>VLOOKUP($AC107,'2007-2020 Metadata'!$A$6:$S$214,9,FALSE)</f>
        <v>Wellington</v>
      </c>
      <c r="AE107" s="230">
        <f>IF(ISBLANK(VLOOKUP($AC107,'2007-2020 Metadata'!$A$6:$S$214,19,FALSE)),"",VLOOKUP($AC107,'2007-2020 Metadata'!$A$6:$S$214,19,FALSE))</f>
        <v>4</v>
      </c>
      <c r="AF107" s="88" t="str">
        <f>VLOOKUP($B107,'2007-2020 Metadata'!$A$4:$S$214,MATCH("Site type",'2007-2020 Metadata'!$A$4:$S$4,0),FALSE)</f>
        <v>SH</v>
      </c>
      <c r="AG107" s="143">
        <f t="shared" si="42"/>
        <v>11.8</v>
      </c>
      <c r="AH107" s="143">
        <f t="shared" si="43"/>
        <v>24.5</v>
      </c>
      <c r="AI107" s="144">
        <f t="shared" si="44"/>
        <v>16.363333333333333</v>
      </c>
    </row>
    <row r="108" spans="2:35" ht="12" customHeight="1" x14ac:dyDescent="0.15">
      <c r="B108" s="313" t="s">
        <v>129</v>
      </c>
      <c r="C108" s="309">
        <v>8.4</v>
      </c>
      <c r="D108" s="309">
        <v>9.4</v>
      </c>
      <c r="E108" s="309">
        <v>13.5</v>
      </c>
      <c r="F108" s="309">
        <v>9.1</v>
      </c>
      <c r="G108" s="309">
        <v>12.8</v>
      </c>
      <c r="H108" s="309">
        <v>14.8</v>
      </c>
      <c r="I108" s="309">
        <v>12.3</v>
      </c>
      <c r="J108" s="309">
        <v>11.3</v>
      </c>
      <c r="K108" s="309">
        <v>8.6999999999999993</v>
      </c>
      <c r="L108" s="309">
        <v>8.9</v>
      </c>
      <c r="M108" s="309">
        <v>10.1</v>
      </c>
      <c r="N108" s="309">
        <v>7.1</v>
      </c>
      <c r="O108" s="310">
        <f t="shared" si="38"/>
        <v>10.533333333333333</v>
      </c>
      <c r="P108" s="310">
        <f t="shared" si="30"/>
        <v>21.535269342847062</v>
      </c>
      <c r="Q108" s="311">
        <f t="shared" si="31"/>
        <v>1</v>
      </c>
      <c r="R108" s="225">
        <f t="shared" si="35"/>
        <v>10.433333333333334</v>
      </c>
      <c r="S108" s="226">
        <f t="shared" si="39"/>
        <v>1</v>
      </c>
      <c r="T108" s="225">
        <f t="shared" si="36"/>
        <v>10.766666666666666</v>
      </c>
      <c r="U108" s="226">
        <f t="shared" si="40"/>
        <v>1</v>
      </c>
      <c r="V108" s="227">
        <f t="shared" si="37"/>
        <v>10.533333333333333</v>
      </c>
      <c r="W108" s="228">
        <f t="shared" si="41"/>
        <v>1</v>
      </c>
      <c r="X108" s="144">
        <f t="shared" si="32"/>
        <v>15.022222222222224</v>
      </c>
      <c r="Y108" s="144">
        <f t="shared" si="33"/>
        <v>18.533333333333335</v>
      </c>
      <c r="Z108" s="144">
        <f t="shared" si="34"/>
        <v>16.363333333333333</v>
      </c>
      <c r="AA108" s="205"/>
      <c r="AB108" s="357" t="str">
        <f>VLOOKUP($B108,'2007-2020 Metadata'!$A$4:$S$214,MATCH("Urban Area /Monitoring Zone",'2007-2020 Metadata'!$A$4:$S$4,0),FALSE)</f>
        <v>Wellington</v>
      </c>
      <c r="AC108" s="229" t="str">
        <f>VLOOKUP(B108,'2007-2020 Metadata'!$A$6:$A$214,1,FALSE)</f>
        <v>WEL051</v>
      </c>
      <c r="AD108" s="230" t="str">
        <f>VLOOKUP($AC108,'2007-2020 Metadata'!$A$6:$S$214,9,FALSE)</f>
        <v>Wellington</v>
      </c>
      <c r="AE108" s="230">
        <f>IF(ISBLANK(VLOOKUP($AC108,'2007-2020 Metadata'!$A$6:$S$214,19,FALSE)),"",VLOOKUP($AC108,'2007-2020 Metadata'!$A$6:$S$214,19,FALSE))</f>
        <v>4</v>
      </c>
      <c r="AF108" s="88" t="str">
        <f>VLOOKUP($B108,'2007-2020 Metadata'!$A$4:$S$214,MATCH("Site type",'2007-2020 Metadata'!$A$4:$S$4,0),FALSE)</f>
        <v>Local</v>
      </c>
      <c r="AG108" s="143">
        <f t="shared" si="42"/>
        <v>7.1</v>
      </c>
      <c r="AH108" s="143">
        <f t="shared" si="43"/>
        <v>14.8</v>
      </c>
      <c r="AI108" s="144">
        <f t="shared" si="44"/>
        <v>16.363333333333333</v>
      </c>
    </row>
    <row r="109" spans="2:35" ht="12" customHeight="1" x14ac:dyDescent="0.15">
      <c r="B109" s="313" t="s">
        <v>130</v>
      </c>
      <c r="C109" s="309">
        <v>12.1</v>
      </c>
      <c r="D109" s="309">
        <v>12.2</v>
      </c>
      <c r="E109" s="309">
        <v>14.8</v>
      </c>
      <c r="F109" s="309">
        <v>21.1</v>
      </c>
      <c r="G109" s="309">
        <v>24.8</v>
      </c>
      <c r="H109" s="309">
        <v>34.299999999999997</v>
      </c>
      <c r="I109" s="309">
        <v>26.4</v>
      </c>
      <c r="J109" s="309">
        <v>23.5</v>
      </c>
      <c r="K109" s="309">
        <v>18.100000000000001</v>
      </c>
      <c r="L109" s="309">
        <v>15.9</v>
      </c>
      <c r="M109" s="309">
        <v>14.2</v>
      </c>
      <c r="N109" s="309">
        <v>12.2</v>
      </c>
      <c r="O109" s="310">
        <f t="shared" si="38"/>
        <v>19.133333333333329</v>
      </c>
      <c r="P109" s="310">
        <f t="shared" si="30"/>
        <v>34.999431993906455</v>
      </c>
      <c r="Q109" s="311">
        <f t="shared" si="31"/>
        <v>1</v>
      </c>
      <c r="R109" s="225">
        <f t="shared" si="35"/>
        <v>13.033333333333331</v>
      </c>
      <c r="S109" s="226">
        <f t="shared" si="39"/>
        <v>1</v>
      </c>
      <c r="T109" s="225">
        <f t="shared" si="36"/>
        <v>22.666666666666668</v>
      </c>
      <c r="U109" s="226">
        <f t="shared" si="40"/>
        <v>1</v>
      </c>
      <c r="V109" s="227">
        <f t="shared" si="37"/>
        <v>19.133333333333329</v>
      </c>
      <c r="W109" s="228">
        <f t="shared" si="41"/>
        <v>1</v>
      </c>
      <c r="X109" s="144">
        <f t="shared" si="32"/>
        <v>10.294444444444444</v>
      </c>
      <c r="Y109" s="144">
        <f t="shared" si="33"/>
        <v>15.516666666666666</v>
      </c>
      <c r="Z109" s="144">
        <f t="shared" si="34"/>
        <v>13.324267676767676</v>
      </c>
      <c r="AA109" s="205"/>
      <c r="AB109" s="357" t="str">
        <f>VLOOKUP($B109,'2007-2020 Metadata'!$A$4:$S$214,MATCH("Urban Area /Monitoring Zone",'2007-2020 Metadata'!$A$4:$S$4,0),FALSE)</f>
        <v>Lower Hutt</v>
      </c>
      <c r="AC109" s="229" t="str">
        <f>VLOOKUP(B109,'2007-2020 Metadata'!$A$6:$A$214,1,FALSE)</f>
        <v>WEL052</v>
      </c>
      <c r="AD109" s="230" t="str">
        <f>VLOOKUP($AC109,'2007-2020 Metadata'!$A$6:$S$214,9,FALSE)</f>
        <v>Lower Hutt</v>
      </c>
      <c r="AE109" s="230">
        <f>IF(ISBLANK(VLOOKUP($AC109,'2007-2020 Metadata'!$A$6:$S$214,19,FALSE)),"",VLOOKUP($AC109,'2007-2020 Metadata'!$A$6:$S$214,19,FALSE))</f>
        <v>4</v>
      </c>
      <c r="AF109" s="88" t="str">
        <f>VLOOKUP($B109,'2007-2020 Metadata'!$A$4:$S$214,MATCH("Site type",'2007-2020 Metadata'!$A$4:$S$4,0),FALSE)</f>
        <v>SH</v>
      </c>
      <c r="AG109" s="143">
        <f t="shared" si="42"/>
        <v>12.1</v>
      </c>
      <c r="AH109" s="143">
        <f t="shared" si="43"/>
        <v>34.299999999999997</v>
      </c>
      <c r="AI109" s="144">
        <f t="shared" si="44"/>
        <v>13.324267676767676</v>
      </c>
    </row>
    <row r="110" spans="2:35" ht="12" customHeight="1" x14ac:dyDescent="0.15">
      <c r="B110" s="313" t="s">
        <v>131</v>
      </c>
      <c r="C110" s="309">
        <v>11</v>
      </c>
      <c r="D110" s="309">
        <v>15.5</v>
      </c>
      <c r="E110" s="309">
        <v>19.100000000000001</v>
      </c>
      <c r="F110" s="309">
        <v>18.100000000000001</v>
      </c>
      <c r="G110" s="309">
        <v>21.8</v>
      </c>
      <c r="H110" s="309">
        <v>28.5</v>
      </c>
      <c r="I110" s="309">
        <v>21.7</v>
      </c>
      <c r="J110" s="309">
        <v>20.399999999999999</v>
      </c>
      <c r="K110" s="309">
        <v>20.6</v>
      </c>
      <c r="L110" s="309">
        <v>16.399999999999999</v>
      </c>
      <c r="M110" s="309"/>
      <c r="N110" s="309">
        <v>12.9</v>
      </c>
      <c r="O110" s="310">
        <f t="shared" si="38"/>
        <v>18.727272727272727</v>
      </c>
      <c r="P110" s="310">
        <f t="shared" si="30"/>
        <v>24.423506753876655</v>
      </c>
      <c r="Q110" s="311">
        <f t="shared" si="31"/>
        <v>0.91666666666666663</v>
      </c>
      <c r="R110" s="225">
        <f t="shared" si="35"/>
        <v>15.200000000000001</v>
      </c>
      <c r="S110" s="226">
        <f t="shared" si="39"/>
        <v>1</v>
      </c>
      <c r="T110" s="225">
        <f t="shared" si="36"/>
        <v>20.9</v>
      </c>
      <c r="U110" s="226">
        <f t="shared" si="40"/>
        <v>1</v>
      </c>
      <c r="V110" s="227">
        <f t="shared" si="37"/>
        <v>18.727272727272727</v>
      </c>
      <c r="W110" s="228">
        <f t="shared" si="41"/>
        <v>0.91666666666666663</v>
      </c>
      <c r="X110" s="144">
        <f t="shared" si="32"/>
        <v>10.294444444444444</v>
      </c>
      <c r="Y110" s="144">
        <f t="shared" si="33"/>
        <v>15.516666666666666</v>
      </c>
      <c r="Z110" s="144">
        <f t="shared" si="34"/>
        <v>13.324267676767676</v>
      </c>
      <c r="AA110" s="205"/>
      <c r="AB110" s="357" t="str">
        <f>VLOOKUP($B110,'2007-2020 Metadata'!$A$4:$S$214,MATCH("Urban Area /Monitoring Zone",'2007-2020 Metadata'!$A$4:$S$4,0),FALSE)</f>
        <v>Lower Hutt</v>
      </c>
      <c r="AC110" s="229" t="str">
        <f>VLOOKUP(B110,'2007-2020 Metadata'!$A$6:$A$214,1,FALSE)</f>
        <v>WEL053</v>
      </c>
      <c r="AD110" s="230" t="str">
        <f>VLOOKUP($AC110,'2007-2020 Metadata'!$A$6:$S$214,9,FALSE)</f>
        <v>Lower Hutt</v>
      </c>
      <c r="AE110" s="230">
        <f>IF(ISBLANK(VLOOKUP($AC110,'2007-2020 Metadata'!$A$6:$S$214,19,FALSE)),"",VLOOKUP($AC110,'2007-2020 Metadata'!$A$6:$S$214,19,FALSE))</f>
        <v>4</v>
      </c>
      <c r="AF110" s="88" t="str">
        <f>VLOOKUP($B110,'2007-2020 Metadata'!$A$4:$S$214,MATCH("Site type",'2007-2020 Metadata'!$A$4:$S$4,0),FALSE)</f>
        <v>Local</v>
      </c>
      <c r="AG110" s="143">
        <f t="shared" si="42"/>
        <v>11</v>
      </c>
      <c r="AH110" s="143">
        <f t="shared" si="43"/>
        <v>28.5</v>
      </c>
      <c r="AI110" s="144">
        <f t="shared" si="44"/>
        <v>13.324267676767676</v>
      </c>
    </row>
    <row r="111" spans="2:35" ht="12" customHeight="1" x14ac:dyDescent="0.15">
      <c r="B111" s="313" t="s">
        <v>132</v>
      </c>
      <c r="C111" s="309">
        <v>3</v>
      </c>
      <c r="D111" s="309">
        <v>6.7</v>
      </c>
      <c r="E111" s="309">
        <v>9.6999999999999993</v>
      </c>
      <c r="F111" s="309">
        <v>8.9</v>
      </c>
      <c r="G111" s="309">
        <v>9.6</v>
      </c>
      <c r="H111" s="309">
        <v>15.3</v>
      </c>
      <c r="I111" s="309">
        <v>12.2</v>
      </c>
      <c r="J111" s="309">
        <v>10.199999999999999</v>
      </c>
      <c r="K111" s="309">
        <v>6.9</v>
      </c>
      <c r="L111" s="309">
        <v>5.8</v>
      </c>
      <c r="M111" s="309">
        <v>5</v>
      </c>
      <c r="N111" s="309">
        <v>4.4000000000000004</v>
      </c>
      <c r="O111" s="310">
        <f t="shared" si="38"/>
        <v>8.1416666666666675</v>
      </c>
      <c r="P111" s="310">
        <f t="shared" si="30"/>
        <v>41.423343518569958</v>
      </c>
      <c r="Q111" s="311">
        <f t="shared" si="31"/>
        <v>1</v>
      </c>
      <c r="R111" s="225">
        <f t="shared" si="35"/>
        <v>6.4666666666666659</v>
      </c>
      <c r="S111" s="226">
        <f t="shared" si="39"/>
        <v>1</v>
      </c>
      <c r="T111" s="225">
        <f t="shared" si="36"/>
        <v>9.7666666666666657</v>
      </c>
      <c r="U111" s="226">
        <f t="shared" si="40"/>
        <v>1</v>
      </c>
      <c r="V111" s="227">
        <f t="shared" si="37"/>
        <v>8.1416666666666675</v>
      </c>
      <c r="W111" s="228">
        <f t="shared" si="41"/>
        <v>1</v>
      </c>
      <c r="X111" s="144">
        <f t="shared" si="32"/>
        <v>10.294444444444444</v>
      </c>
      <c r="Y111" s="144">
        <f t="shared" si="33"/>
        <v>15.516666666666666</v>
      </c>
      <c r="Z111" s="144">
        <f t="shared" si="34"/>
        <v>13.324267676767676</v>
      </c>
      <c r="AA111" s="205"/>
      <c r="AB111" s="357" t="str">
        <f>VLOOKUP($B111,'2007-2020 Metadata'!$A$4:$S$214,MATCH("Urban Area /Monitoring Zone",'2007-2020 Metadata'!$A$4:$S$4,0),FALSE)</f>
        <v>Lower Hutt</v>
      </c>
      <c r="AC111" s="229" t="str">
        <f>VLOOKUP(B111,'2007-2020 Metadata'!$A$6:$A$214,1,FALSE)</f>
        <v>WEL054</v>
      </c>
      <c r="AD111" s="230" t="str">
        <f>VLOOKUP($AC111,'2007-2020 Metadata'!$A$6:$S$214,9,FALSE)</f>
        <v>Lower Hutt</v>
      </c>
      <c r="AE111" s="230">
        <f>IF(ISBLANK(VLOOKUP($AC111,'2007-2020 Metadata'!$A$6:$S$214,19,FALSE)),"",VLOOKUP($AC111,'2007-2020 Metadata'!$A$6:$S$214,19,FALSE))</f>
        <v>3.5</v>
      </c>
      <c r="AF111" s="88" t="str">
        <f>VLOOKUP($B111,'2007-2020 Metadata'!$A$4:$S$214,MATCH("Site type",'2007-2020 Metadata'!$A$4:$S$4,0),FALSE)</f>
        <v>Background</v>
      </c>
      <c r="AG111" s="143">
        <f t="shared" si="42"/>
        <v>3</v>
      </c>
      <c r="AH111" s="143">
        <f t="shared" si="43"/>
        <v>15.3</v>
      </c>
      <c r="AI111" s="144">
        <f t="shared" si="44"/>
        <v>13.324267676767676</v>
      </c>
    </row>
    <row r="112" spans="2:35" ht="12" customHeight="1" x14ac:dyDescent="0.15">
      <c r="B112" s="313" t="s">
        <v>135</v>
      </c>
      <c r="C112" s="309">
        <v>13.9</v>
      </c>
      <c r="D112" s="309">
        <v>13.2</v>
      </c>
      <c r="E112" s="309">
        <v>23.9</v>
      </c>
      <c r="F112" s="309">
        <v>19.399999999999999</v>
      </c>
      <c r="G112" s="309">
        <v>21.5</v>
      </c>
      <c r="H112" s="309">
        <v>25.3</v>
      </c>
      <c r="I112" s="309">
        <v>22.9</v>
      </c>
      <c r="J112" s="309">
        <v>24.9</v>
      </c>
      <c r="K112" s="309">
        <v>14.6</v>
      </c>
      <c r="L112" s="309">
        <v>18.3</v>
      </c>
      <c r="M112" s="309"/>
      <c r="N112" s="309">
        <v>14.6</v>
      </c>
      <c r="O112" s="310">
        <f t="shared" si="38"/>
        <v>19.318181818181817</v>
      </c>
      <c r="P112" s="310">
        <f t="shared" si="30"/>
        <v>23.037877641579108</v>
      </c>
      <c r="Q112" s="311">
        <f t="shared" si="31"/>
        <v>0.91666666666666663</v>
      </c>
      <c r="R112" s="225">
        <f t="shared" si="35"/>
        <v>17</v>
      </c>
      <c r="S112" s="226">
        <f t="shared" si="39"/>
        <v>1</v>
      </c>
      <c r="T112" s="225">
        <f t="shared" si="36"/>
        <v>20.8</v>
      </c>
      <c r="U112" s="226">
        <f t="shared" si="40"/>
        <v>1</v>
      </c>
      <c r="V112" s="227">
        <f t="shared" si="37"/>
        <v>19.318181818181817</v>
      </c>
      <c r="W112" s="228">
        <f t="shared" si="41"/>
        <v>0.91666666666666663</v>
      </c>
      <c r="X112" s="144">
        <f t="shared" si="32"/>
        <v>17</v>
      </c>
      <c r="Y112" s="144">
        <f t="shared" si="33"/>
        <v>20.8</v>
      </c>
      <c r="Z112" s="144">
        <f t="shared" si="34"/>
        <v>19.318181818181817</v>
      </c>
      <c r="AA112" s="205"/>
      <c r="AB112" s="357" t="str">
        <f>VLOOKUP($B112,'2007-2020 Metadata'!$A$4:$S$214,MATCH("Urban Area /Monitoring Zone",'2007-2020 Metadata'!$A$4:$S$4,0),FALSE)</f>
        <v>Upper Hutt</v>
      </c>
      <c r="AC112" s="229" t="str">
        <f>VLOOKUP(B112,'2007-2020 Metadata'!$A$6:$A$214,1,FALSE)</f>
        <v>WEL057</v>
      </c>
      <c r="AD112" s="230" t="str">
        <f>VLOOKUP($AC112,'2007-2020 Metadata'!$A$6:$S$214,9,FALSE)</f>
        <v>Upper Hutt</v>
      </c>
      <c r="AE112" s="230">
        <f>IF(ISBLANK(VLOOKUP($AC112,'2007-2020 Metadata'!$A$6:$S$214,19,FALSE)),"",VLOOKUP($AC112,'2007-2020 Metadata'!$A$6:$S$214,19,FALSE))</f>
        <v>4</v>
      </c>
      <c r="AF112" s="88" t="str">
        <f>VLOOKUP($B112,'2007-2020 Metadata'!$A$4:$S$214,MATCH("Site type",'2007-2020 Metadata'!$A$4:$S$4,0),FALSE)</f>
        <v>SH</v>
      </c>
      <c r="AG112" s="143">
        <f t="shared" si="42"/>
        <v>13.2</v>
      </c>
      <c r="AH112" s="143">
        <f t="shared" si="43"/>
        <v>25.3</v>
      </c>
      <c r="AI112" s="144">
        <f t="shared" si="44"/>
        <v>19.318181818181817</v>
      </c>
    </row>
    <row r="113" spans="2:35" ht="12" customHeight="1" x14ac:dyDescent="0.15">
      <c r="B113" s="313" t="s">
        <v>139</v>
      </c>
      <c r="C113" s="309">
        <v>9.9</v>
      </c>
      <c r="D113" s="309">
        <v>13.7</v>
      </c>
      <c r="E113" s="309">
        <v>17</v>
      </c>
      <c r="F113" s="309">
        <v>12.8</v>
      </c>
      <c r="G113" s="309">
        <v>15</v>
      </c>
      <c r="H113" s="309">
        <v>19.8</v>
      </c>
      <c r="I113" s="309">
        <v>17.100000000000001</v>
      </c>
      <c r="J113" s="309">
        <v>16.8</v>
      </c>
      <c r="K113" s="309">
        <v>11.5</v>
      </c>
      <c r="L113" s="309">
        <v>13.4</v>
      </c>
      <c r="M113" s="309">
        <v>11.1</v>
      </c>
      <c r="N113" s="309">
        <v>9.6</v>
      </c>
      <c r="O113" s="310">
        <f t="shared" si="38"/>
        <v>13.975000000000001</v>
      </c>
      <c r="P113" s="310">
        <f t="shared" si="30"/>
        <v>22.036035419608492</v>
      </c>
      <c r="Q113" s="311">
        <f t="shared" si="31"/>
        <v>1</v>
      </c>
      <c r="R113" s="225">
        <f t="shared" si="35"/>
        <v>13.533333333333333</v>
      </c>
      <c r="S113" s="226">
        <f t="shared" si="39"/>
        <v>1</v>
      </c>
      <c r="T113" s="225">
        <f t="shared" si="36"/>
        <v>15.133333333333335</v>
      </c>
      <c r="U113" s="226">
        <f t="shared" si="40"/>
        <v>1</v>
      </c>
      <c r="V113" s="227">
        <f t="shared" si="37"/>
        <v>13.975000000000001</v>
      </c>
      <c r="W113" s="228">
        <f t="shared" si="41"/>
        <v>1</v>
      </c>
      <c r="X113" s="144">
        <f t="shared" si="32"/>
        <v>14.611111111111109</v>
      </c>
      <c r="Y113" s="144">
        <f t="shared" si="33"/>
        <v>15.855555555555554</v>
      </c>
      <c r="Z113" s="144">
        <f t="shared" si="34"/>
        <v>14.712878787878788</v>
      </c>
      <c r="AA113" s="205"/>
      <c r="AB113" s="357" t="str">
        <f>VLOOKUP($B113,'2007-2020 Metadata'!$A$4:$S$214,MATCH("Urban Area /Monitoring Zone",'2007-2020 Metadata'!$A$4:$S$4,0),FALSE)</f>
        <v>Otaki</v>
      </c>
      <c r="AC113" s="229" t="str">
        <f>VLOOKUP(B113,'2007-2020 Metadata'!$A$6:$A$214,1,FALSE)</f>
        <v>WEL061</v>
      </c>
      <c r="AD113" s="230" t="str">
        <f>VLOOKUP($AC113,'2007-2020 Metadata'!$A$6:$S$214,9,FALSE)</f>
        <v>Kapiti Coast</v>
      </c>
      <c r="AE113" s="230">
        <f>IF(ISBLANK(VLOOKUP($AC113,'2007-2020 Metadata'!$A$6:$S$214,19,FALSE)),"",VLOOKUP($AC113,'2007-2020 Metadata'!$A$6:$S$214,19,FALSE))</f>
        <v>4</v>
      </c>
      <c r="AF113" s="88" t="str">
        <f>VLOOKUP($B113,'2007-2020 Metadata'!$A$4:$S$214,MATCH("Site type",'2007-2020 Metadata'!$A$4:$S$4,0),FALSE)</f>
        <v>SH</v>
      </c>
      <c r="AG113" s="143">
        <f t="shared" si="42"/>
        <v>9.6</v>
      </c>
      <c r="AH113" s="143">
        <f t="shared" si="43"/>
        <v>19.8</v>
      </c>
      <c r="AI113" s="144">
        <f t="shared" si="44"/>
        <v>14.712878787878788</v>
      </c>
    </row>
    <row r="114" spans="2:35" ht="12" customHeight="1" x14ac:dyDescent="0.15">
      <c r="B114" s="313" t="s">
        <v>140</v>
      </c>
      <c r="C114" s="309">
        <v>7.1</v>
      </c>
      <c r="D114" s="309">
        <v>8.1999999999999993</v>
      </c>
      <c r="E114" s="309">
        <v>10.7</v>
      </c>
      <c r="F114" s="309">
        <v>13.3</v>
      </c>
      <c r="G114" s="309">
        <v>14.1</v>
      </c>
      <c r="H114" s="309">
        <v>17.600000000000001</v>
      </c>
      <c r="I114" s="309">
        <v>14.9</v>
      </c>
      <c r="J114" s="309">
        <v>14.8</v>
      </c>
      <c r="K114" s="309">
        <v>9.8000000000000007</v>
      </c>
      <c r="L114" s="309">
        <v>6.7</v>
      </c>
      <c r="M114" s="309">
        <v>7.8</v>
      </c>
      <c r="N114" s="309">
        <v>4.9000000000000004</v>
      </c>
      <c r="O114" s="310">
        <f t="shared" si="38"/>
        <v>10.825000000000001</v>
      </c>
      <c r="P114" s="310">
        <f t="shared" si="30"/>
        <v>35.60503921191102</v>
      </c>
      <c r="Q114" s="311">
        <f t="shared" si="31"/>
        <v>1</v>
      </c>
      <c r="R114" s="225">
        <f t="shared" si="35"/>
        <v>8.6666666666666661</v>
      </c>
      <c r="S114" s="226">
        <f t="shared" si="39"/>
        <v>1</v>
      </c>
      <c r="T114" s="225">
        <f t="shared" si="36"/>
        <v>13.166666666666666</v>
      </c>
      <c r="U114" s="226">
        <f t="shared" si="40"/>
        <v>1</v>
      </c>
      <c r="V114" s="227">
        <f t="shared" si="37"/>
        <v>10.825000000000001</v>
      </c>
      <c r="W114" s="228">
        <f t="shared" si="41"/>
        <v>1</v>
      </c>
      <c r="X114" s="144">
        <f t="shared" si="32"/>
        <v>14.144444444444444</v>
      </c>
      <c r="Y114" s="144">
        <f t="shared" si="33"/>
        <v>19.699999999999996</v>
      </c>
      <c r="Z114" s="144">
        <f t="shared" si="34"/>
        <v>16.815151515151516</v>
      </c>
      <c r="AA114" s="205"/>
      <c r="AB114" s="357" t="str">
        <f>VLOOKUP($B114,'2007-2020 Metadata'!$A$4:$S$214,MATCH("Urban Area /Monitoring Zone",'2007-2020 Metadata'!$A$4:$S$4,0),FALSE)</f>
        <v>Nelson</v>
      </c>
      <c r="AC114" s="229" t="str">
        <f>VLOOKUP(B114,'2007-2020 Metadata'!$A$6:$A$214,1,FALSE)</f>
        <v>WEL062</v>
      </c>
      <c r="AD114" s="230" t="str">
        <f>VLOOKUP($AC114,'2007-2020 Metadata'!$A$6:$S$214,9,FALSE)</f>
        <v>Nelson</v>
      </c>
      <c r="AE114" s="230">
        <f>IF(ISBLANK(VLOOKUP($AC114,'2007-2020 Metadata'!$A$6:$S$214,19,FALSE)),"",VLOOKUP($AC114,'2007-2020 Metadata'!$A$6:$S$214,19,FALSE))</f>
        <v>2.2000000000000002</v>
      </c>
      <c r="AF114" s="88" t="str">
        <f>VLOOKUP($B114,'2007-2020 Metadata'!$A$4:$S$214,MATCH("Site type",'2007-2020 Metadata'!$A$4:$S$4,0),FALSE)</f>
        <v>Background</v>
      </c>
      <c r="AG114" s="143">
        <f>MIN(C114:N114)</f>
        <v>4.9000000000000004</v>
      </c>
      <c r="AH114" s="143">
        <f t="shared" si="43"/>
        <v>17.600000000000001</v>
      </c>
      <c r="AI114" s="144">
        <f t="shared" si="44"/>
        <v>16.815151515151516</v>
      </c>
    </row>
    <row r="115" spans="2:35" ht="12" customHeight="1" x14ac:dyDescent="0.15">
      <c r="B115" s="313" t="s">
        <v>141</v>
      </c>
      <c r="C115" s="309">
        <v>3.9</v>
      </c>
      <c r="D115" s="309">
        <v>5.6</v>
      </c>
      <c r="E115" s="309">
        <v>7</v>
      </c>
      <c r="F115" s="309">
        <v>5.6</v>
      </c>
      <c r="G115" s="309">
        <v>7.3</v>
      </c>
      <c r="H115" s="309"/>
      <c r="I115" s="309">
        <v>9</v>
      </c>
      <c r="J115" s="309">
        <v>8.9</v>
      </c>
      <c r="K115" s="309">
        <v>5.3</v>
      </c>
      <c r="L115" s="309">
        <v>6</v>
      </c>
      <c r="M115" s="309">
        <v>5.4</v>
      </c>
      <c r="N115" s="309">
        <v>4</v>
      </c>
      <c r="O115" s="310">
        <f t="shared" si="38"/>
        <v>6.1818181818181817</v>
      </c>
      <c r="P115" s="310">
        <f t="shared" si="30"/>
        <v>26.408423737335372</v>
      </c>
      <c r="Q115" s="311">
        <f t="shared" si="31"/>
        <v>0.91666666666666663</v>
      </c>
      <c r="R115" s="225">
        <f t="shared" si="35"/>
        <v>5.5</v>
      </c>
      <c r="S115" s="226">
        <f t="shared" si="39"/>
        <v>1</v>
      </c>
      <c r="T115" s="225">
        <f t="shared" si="36"/>
        <v>7.7333333333333334</v>
      </c>
      <c r="U115" s="226">
        <f t="shared" si="40"/>
        <v>1</v>
      </c>
      <c r="V115" s="227">
        <f t="shared" si="37"/>
        <v>6.1818181818181817</v>
      </c>
      <c r="W115" s="228">
        <f t="shared" si="41"/>
        <v>0.91666666666666663</v>
      </c>
      <c r="X115" s="144">
        <f t="shared" si="32"/>
        <v>14.611111111111109</v>
      </c>
      <c r="Y115" s="144">
        <f t="shared" si="33"/>
        <v>15.855555555555554</v>
      </c>
      <c r="Z115" s="144">
        <f t="shared" si="34"/>
        <v>14.712878787878788</v>
      </c>
      <c r="AA115" s="205"/>
      <c r="AB115" s="357" t="str">
        <f>VLOOKUP($B115,'2007-2020 Metadata'!$A$4:$S$214,MATCH("Urban Area /Monitoring Zone",'2007-2020 Metadata'!$A$4:$S$4,0),FALSE)</f>
        <v xml:space="preserve">Kapiti </v>
      </c>
      <c r="AC115" s="229" t="str">
        <f>VLOOKUP(B115,'2007-2020 Metadata'!$A$6:$A$214,1,FALSE)</f>
        <v>WEL063</v>
      </c>
      <c r="AD115" s="230" t="str">
        <f>VLOOKUP($AC115,'2007-2020 Metadata'!$A$6:$S$214,9,FALSE)</f>
        <v>Kapiti Coast</v>
      </c>
      <c r="AE115" s="230">
        <f>IF(ISBLANK(VLOOKUP($AC115,'2007-2020 Metadata'!$A$6:$S$214,19,FALSE)),"",VLOOKUP($AC115,'2007-2020 Metadata'!$A$6:$S$214,19,FALSE))</f>
        <v>3.5</v>
      </c>
      <c r="AF115" s="88" t="str">
        <f>VLOOKUP($B115,'2007-2020 Metadata'!$A$4:$S$214,MATCH("Site type",'2007-2020 Metadata'!$A$4:$S$4,0),FALSE)</f>
        <v>Local (ex SH)</v>
      </c>
      <c r="AG115" s="143">
        <f t="shared" si="42"/>
        <v>3.9</v>
      </c>
      <c r="AH115" s="143">
        <f t="shared" si="43"/>
        <v>9</v>
      </c>
      <c r="AI115" s="144">
        <f t="shared" si="44"/>
        <v>14.712878787878788</v>
      </c>
    </row>
    <row r="116" spans="2:35" ht="12" customHeight="1" x14ac:dyDescent="0.15">
      <c r="B116" s="313" t="s">
        <v>142</v>
      </c>
      <c r="C116" s="309">
        <v>11.8</v>
      </c>
      <c r="D116" s="309">
        <v>13.9</v>
      </c>
      <c r="E116" s="309">
        <v>21.5</v>
      </c>
      <c r="F116" s="309"/>
      <c r="G116" s="309"/>
      <c r="H116" s="309">
        <v>31.4</v>
      </c>
      <c r="I116" s="309">
        <v>23.5</v>
      </c>
      <c r="J116" s="309">
        <v>27.4</v>
      </c>
      <c r="K116" s="309">
        <v>23.8</v>
      </c>
      <c r="L116" s="309">
        <v>17.7</v>
      </c>
      <c r="M116" s="309">
        <v>13.8</v>
      </c>
      <c r="N116" s="309">
        <v>15.8</v>
      </c>
      <c r="O116" s="310">
        <f t="shared" si="38"/>
        <v>20.060000000000002</v>
      </c>
      <c r="P116" s="310">
        <f t="shared" si="30"/>
        <v>30.707390810730328</v>
      </c>
      <c r="Q116" s="311">
        <f t="shared" si="31"/>
        <v>0.83333333333333337</v>
      </c>
      <c r="R116" s="225">
        <f t="shared" si="35"/>
        <v>15.733333333333334</v>
      </c>
      <c r="S116" s="226">
        <f t="shared" si="39"/>
        <v>1</v>
      </c>
      <c r="T116" s="225">
        <f t="shared" si="36"/>
        <v>24.900000000000002</v>
      </c>
      <c r="U116" s="226">
        <f t="shared" si="40"/>
        <v>1</v>
      </c>
      <c r="V116" s="227">
        <f t="shared" si="37"/>
        <v>20.060000000000002</v>
      </c>
      <c r="W116" s="228">
        <f t="shared" si="41"/>
        <v>0.83333333333333337</v>
      </c>
      <c r="X116" s="144">
        <f t="shared" si="32"/>
        <v>15.022222222222224</v>
      </c>
      <c r="Y116" s="144">
        <f t="shared" si="33"/>
        <v>18.533333333333335</v>
      </c>
      <c r="Z116" s="144">
        <f t="shared" si="34"/>
        <v>16.363333333333333</v>
      </c>
      <c r="AA116" s="205"/>
      <c r="AB116" s="357" t="str">
        <f>VLOOKUP($B116,'2007-2020 Metadata'!$A$4:$S$214,MATCH("Urban Area /Monitoring Zone",'2007-2020 Metadata'!$A$4:$S$4,0),FALSE)</f>
        <v>Wellington</v>
      </c>
      <c r="AC116" s="229" t="str">
        <f>VLOOKUP(B116,'2007-2020 Metadata'!$A$6:$A$214,1,FALSE)</f>
        <v>WEL064</v>
      </c>
      <c r="AD116" s="230" t="str">
        <f>VLOOKUP($AC116,'2007-2020 Metadata'!$A$6:$S$214,9,FALSE)</f>
        <v>Wellington</v>
      </c>
      <c r="AE116" s="230">
        <f>IF(ISBLANK(VLOOKUP($AC116,'2007-2020 Metadata'!$A$6:$S$214,19,FALSE)),"",VLOOKUP($AC116,'2007-2020 Metadata'!$A$6:$S$214,19,FALSE))</f>
        <v>4</v>
      </c>
      <c r="AF116" s="88" t="str">
        <f>VLOOKUP($B116,'2007-2020 Metadata'!$A$4:$S$214,MATCH("Site type",'2007-2020 Metadata'!$A$4:$S$4,0),FALSE)</f>
        <v>SH</v>
      </c>
      <c r="AG116" s="143">
        <f t="shared" si="42"/>
        <v>11.8</v>
      </c>
      <c r="AH116" s="143">
        <f t="shared" si="43"/>
        <v>31.4</v>
      </c>
      <c r="AI116" s="144">
        <f t="shared" si="44"/>
        <v>16.363333333333333</v>
      </c>
    </row>
    <row r="117" spans="2:35" ht="12" customHeight="1" x14ac:dyDescent="0.15">
      <c r="B117" s="313" t="s">
        <v>479</v>
      </c>
      <c r="C117" s="309">
        <v>3.4</v>
      </c>
      <c r="D117" s="309">
        <v>5.3</v>
      </c>
      <c r="E117" s="309">
        <v>6.2</v>
      </c>
      <c r="F117" s="309">
        <v>5.4</v>
      </c>
      <c r="G117" s="309">
        <v>6.8</v>
      </c>
      <c r="H117" s="309">
        <v>8.5</v>
      </c>
      <c r="I117" s="309">
        <v>7.1</v>
      </c>
      <c r="J117" s="309">
        <v>6.6</v>
      </c>
      <c r="K117" s="309">
        <v>5.0999999999999996</v>
      </c>
      <c r="L117" s="309">
        <v>4.5</v>
      </c>
      <c r="M117" s="309">
        <v>4.4000000000000004</v>
      </c>
      <c r="N117" s="309">
        <v>3.7</v>
      </c>
      <c r="O117" s="310">
        <f t="shared" si="38"/>
        <v>5.583333333333333</v>
      </c>
      <c r="P117" s="310">
        <f t="shared" si="30"/>
        <v>25.818738586470097</v>
      </c>
      <c r="Q117" s="311">
        <f t="shared" si="31"/>
        <v>1</v>
      </c>
      <c r="R117" s="225">
        <f t="shared" si="35"/>
        <v>4.9666666666666659</v>
      </c>
      <c r="S117" s="226">
        <f t="shared" si="39"/>
        <v>1</v>
      </c>
      <c r="T117" s="225">
        <f t="shared" si="36"/>
        <v>6.2666666666666657</v>
      </c>
      <c r="U117" s="226">
        <f t="shared" si="40"/>
        <v>1</v>
      </c>
      <c r="V117" s="227">
        <f t="shared" si="37"/>
        <v>5.583333333333333</v>
      </c>
      <c r="W117" s="228">
        <f t="shared" si="41"/>
        <v>1</v>
      </c>
      <c r="X117" s="144">
        <f t="shared" si="32"/>
        <v>15.5</v>
      </c>
      <c r="Y117" s="144">
        <f t="shared" si="33"/>
        <v>19.983333333333334</v>
      </c>
      <c r="Z117" s="144">
        <f t="shared" si="34"/>
        <v>17.504166666666666</v>
      </c>
      <c r="AA117" s="205"/>
      <c r="AB117" s="357" t="str">
        <f>VLOOKUP($B117,'2007-2020 Metadata'!$A$4:$S$214,MATCH("Urban Area /Monitoring Zone",'2007-2020 Metadata'!$A$4:$S$4,0),FALSE)</f>
        <v>Porirua</v>
      </c>
      <c r="AC117" s="229" t="str">
        <f>VLOOKUP(B117,'2007-2020 Metadata'!$A$6:$A$214,1,FALSE)</f>
        <v>WEL072</v>
      </c>
      <c r="AD117" s="230" t="str">
        <f>VLOOKUP($AC117,'2007-2020 Metadata'!$A$6:$S$214,9,FALSE)</f>
        <v>Porirua</v>
      </c>
      <c r="AE117" s="230">
        <f>IF(ISBLANK(VLOOKUP($AC117,'2007-2020 Metadata'!$A$6:$S$214,19,FALSE)),"",VLOOKUP($AC117,'2007-2020 Metadata'!$A$6:$S$214,19,FALSE))</f>
        <v>3</v>
      </c>
      <c r="AF117" s="88" t="str">
        <f>VLOOKUP($B117,'2007-2020 Metadata'!$A$4:$S$214,MATCH("Site type",'2007-2020 Metadata'!$A$4:$S$4,0),FALSE)</f>
        <v>Background</v>
      </c>
      <c r="AG117" s="143">
        <f t="shared" si="42"/>
        <v>3.4</v>
      </c>
      <c r="AH117" s="143">
        <f t="shared" si="43"/>
        <v>8.5</v>
      </c>
      <c r="AI117" s="144">
        <f t="shared" si="44"/>
        <v>17.504166666666666</v>
      </c>
    </row>
    <row r="118" spans="2:35" ht="12" customHeight="1" x14ac:dyDescent="0.15">
      <c r="B118" s="313" t="s">
        <v>503</v>
      </c>
      <c r="C118" s="309">
        <v>13.5</v>
      </c>
      <c r="D118" s="309">
        <v>15.8</v>
      </c>
      <c r="E118" s="309">
        <v>18</v>
      </c>
      <c r="F118" s="309">
        <v>16</v>
      </c>
      <c r="G118" s="309">
        <v>19.899999999999999</v>
      </c>
      <c r="H118" s="309">
        <v>25.4</v>
      </c>
      <c r="I118" s="309">
        <v>16.399999999999999</v>
      </c>
      <c r="J118" s="309">
        <v>20.100000000000001</v>
      </c>
      <c r="K118" s="309">
        <v>19.2</v>
      </c>
      <c r="L118" s="309">
        <v>14.6</v>
      </c>
      <c r="M118" s="309">
        <v>15.2</v>
      </c>
      <c r="N118" s="309">
        <v>10.4</v>
      </c>
      <c r="O118" s="310">
        <f t="shared" si="38"/>
        <v>17.041666666666664</v>
      </c>
      <c r="P118" s="310">
        <f t="shared" si="30"/>
        <v>21.560910893781742</v>
      </c>
      <c r="Q118" s="311">
        <f t="shared" si="31"/>
        <v>1</v>
      </c>
      <c r="R118" s="251">
        <f t="shared" si="35"/>
        <v>15.766666666666666</v>
      </c>
      <c r="S118" s="252">
        <f t="shared" si="39"/>
        <v>1</v>
      </c>
      <c r="T118" s="251">
        <f t="shared" si="36"/>
        <v>18.566666666666666</v>
      </c>
      <c r="U118" s="252">
        <f t="shared" si="40"/>
        <v>1</v>
      </c>
      <c r="V118" s="253">
        <f t="shared" si="37"/>
        <v>17.041666666666664</v>
      </c>
      <c r="W118" s="252">
        <f t="shared" si="41"/>
        <v>1</v>
      </c>
      <c r="X118" s="359">
        <f t="shared" si="32"/>
        <v>15.022222222222224</v>
      </c>
      <c r="Y118" s="359">
        <f t="shared" si="33"/>
        <v>18.533333333333335</v>
      </c>
      <c r="Z118" s="359">
        <f t="shared" si="34"/>
        <v>16.363333333333333</v>
      </c>
      <c r="AA118" s="366"/>
      <c r="AB118" s="357" t="str">
        <f>VLOOKUP($B118,'2007-2020 Metadata'!$A$4:$S$214,MATCH("Urban Area /Monitoring Zone",'2007-2020 Metadata'!$A$4:$S$4,0),FALSE)</f>
        <v>Wellington</v>
      </c>
      <c r="AC118" s="255" t="str">
        <f>VLOOKUP(B118,'2007-2020 Metadata'!$A$6:$A$214,1,FALSE)</f>
        <v>WEL073</v>
      </c>
      <c r="AD118" s="361" t="str">
        <f>VLOOKUP($AC118,'2007-2020 Metadata'!$A$6:$S$214,9,FALSE)</f>
        <v>Wellington</v>
      </c>
      <c r="AE118" s="361">
        <f>IF(ISBLANK(VLOOKUP($AC118,'2007-2020 Metadata'!$A$6:$S$214,19,FALSE)),"",VLOOKUP($AC118,'2007-2020 Metadata'!$A$6:$S$214,19,FALSE))</f>
        <v>4</v>
      </c>
      <c r="AF118" s="360" t="str">
        <f>VLOOKUP($B118,'2007-2020 Metadata'!$A$4:$S$214,MATCH("Site type",'2007-2020 Metadata'!$A$4:$S$4,0),FALSE)</f>
        <v>SH</v>
      </c>
      <c r="AG118" s="365">
        <f>MIN(AVERAGE($C$118:$C$120),AVERAGE($E$118:$E$120),AVERAGE($F$118:$F$120),AVERAGE($G$118:$G$120),AVERAGE($H$118:$H$120),AVERAGE($I$118:$I$120),AVERAGE($J$118:$J$120),AVERAGE($K$118:$K$120),AVERAGE($L$118:$L$120),AVERAGE($M$118:$M$120),AVERAGE($N$118:$N$120))</f>
        <v>10.733333333333334</v>
      </c>
      <c r="AH118" s="365">
        <f>MAX(AVERAGE($C$118:$C$120),AVERAGE($E$118:$E$120),AVERAGE($F$118:$F$120),AVERAGE($G$118:$G$120),AVERAGE($H$118:$H$120),AVERAGE($I$118:$I$120),AVERAGE($J$118:$J$120),AVERAGE($K$118:$K$120),AVERAGE($L$118:$L$120),AVERAGE($M$118:$M$120),AVERAGE($N$118:$N$120))</f>
        <v>25.799999999999997</v>
      </c>
      <c r="AI118" s="359">
        <f t="shared" si="44"/>
        <v>16.363333333333333</v>
      </c>
    </row>
    <row r="119" spans="2:35" ht="12" customHeight="1" x14ac:dyDescent="0.15">
      <c r="B119" s="313" t="s">
        <v>505</v>
      </c>
      <c r="C119" s="309">
        <v>14.7</v>
      </c>
      <c r="D119" s="309">
        <v>15.7</v>
      </c>
      <c r="E119" s="309">
        <v>18.899999999999999</v>
      </c>
      <c r="F119" s="309">
        <v>14.6</v>
      </c>
      <c r="G119" s="309">
        <v>20.8</v>
      </c>
      <c r="H119" s="309">
        <v>26.7</v>
      </c>
      <c r="I119" s="309">
        <v>20</v>
      </c>
      <c r="J119" s="309">
        <v>22.8</v>
      </c>
      <c r="K119" s="309">
        <v>18.399999999999999</v>
      </c>
      <c r="L119" s="309">
        <v>14.8</v>
      </c>
      <c r="M119" s="309">
        <v>16.7</v>
      </c>
      <c r="N119" s="309">
        <v>10.8</v>
      </c>
      <c r="O119" s="310">
        <f t="shared" si="38"/>
        <v>17.908333333333335</v>
      </c>
      <c r="P119" s="310">
        <f t="shared" si="30"/>
        <v>22.964016155538758</v>
      </c>
      <c r="Q119" s="311">
        <f t="shared" si="31"/>
        <v>1</v>
      </c>
      <c r="R119" s="251">
        <f t="shared" si="35"/>
        <v>16.433333333333334</v>
      </c>
      <c r="S119" s="252">
        <f t="shared" si="39"/>
        <v>1</v>
      </c>
      <c r="T119" s="251">
        <f t="shared" si="36"/>
        <v>20.399999999999999</v>
      </c>
      <c r="U119" s="252">
        <f t="shared" si="40"/>
        <v>1</v>
      </c>
      <c r="V119" s="253">
        <f t="shared" si="37"/>
        <v>17.908333333333335</v>
      </c>
      <c r="W119" s="252">
        <f t="shared" si="41"/>
        <v>1</v>
      </c>
      <c r="X119" s="359">
        <f t="shared" si="32"/>
        <v>15.022222222222224</v>
      </c>
      <c r="Y119" s="359">
        <f t="shared" si="33"/>
        <v>18.533333333333335</v>
      </c>
      <c r="Z119" s="359">
        <f t="shared" si="34"/>
        <v>16.363333333333333</v>
      </c>
      <c r="AA119" s="366"/>
      <c r="AB119" s="357" t="str">
        <f>VLOOKUP($B119,'2007-2020 Metadata'!$A$4:$S$214,MATCH("Urban Area /Monitoring Zone",'2007-2020 Metadata'!$A$4:$S$4,0),FALSE)</f>
        <v>Wellington</v>
      </c>
      <c r="AC119" s="255" t="str">
        <f>VLOOKUP(B119,'2007-2020 Metadata'!$A$6:$A$214,1,FALSE)</f>
        <v>WEL074</v>
      </c>
      <c r="AD119" s="361" t="str">
        <f>VLOOKUP($AC119,'2007-2020 Metadata'!$A$6:$S$214,9,FALSE)</f>
        <v>Wellington</v>
      </c>
      <c r="AE119" s="361">
        <f>IF(ISBLANK(VLOOKUP($AC119,'2007-2020 Metadata'!$A$6:$S$214,19,FALSE)),"",VLOOKUP($AC119,'2007-2020 Metadata'!$A$6:$S$214,19,FALSE))</f>
        <v>4</v>
      </c>
      <c r="AF119" s="360" t="str">
        <f>VLOOKUP($B119,'2007-2020 Metadata'!$A$4:$S$214,MATCH("Site type",'2007-2020 Metadata'!$A$4:$S$4,0),FALSE)</f>
        <v>SH</v>
      </c>
      <c r="AG119" s="365">
        <f t="shared" ref="AG119:AG120" si="45">MIN(AVERAGE($C$118:$C$120),AVERAGE($E$118:$E$120),AVERAGE($F$118:$F$120),AVERAGE($G$118:$G$120),AVERAGE($H$118:$H$120),AVERAGE($I$118:$I$120),AVERAGE($J$118:$J$120),AVERAGE($K$118:$K$120),AVERAGE($L$118:$L$120),AVERAGE($M$118:$M$120),AVERAGE($N$118:$N$120))</f>
        <v>10.733333333333334</v>
      </c>
      <c r="AH119" s="365">
        <f t="shared" ref="AH119:AH120" si="46">MAX(AVERAGE($C$118:$C$120),AVERAGE($E$118:$E$120),AVERAGE($F$118:$F$120),AVERAGE($G$118:$G$120),AVERAGE($H$118:$H$120),AVERAGE($I$118:$I$120),AVERAGE($J$118:$J$120),AVERAGE($K$118:$K$120),AVERAGE($L$118:$L$120),AVERAGE($M$118:$M$120),AVERAGE($N$118:$N$120))</f>
        <v>25.799999999999997</v>
      </c>
      <c r="AI119" s="359">
        <f t="shared" si="44"/>
        <v>16.363333333333333</v>
      </c>
    </row>
    <row r="120" spans="2:35" ht="12" customHeight="1" x14ac:dyDescent="0.15">
      <c r="B120" s="313" t="s">
        <v>506</v>
      </c>
      <c r="C120" s="309">
        <v>14.5</v>
      </c>
      <c r="D120" s="309">
        <v>16.8</v>
      </c>
      <c r="E120" s="309">
        <v>17.899999999999999</v>
      </c>
      <c r="F120" s="309">
        <v>16.100000000000001</v>
      </c>
      <c r="G120" s="309">
        <v>19.5</v>
      </c>
      <c r="H120" s="309">
        <v>25.3</v>
      </c>
      <c r="I120" s="309">
        <v>18.8</v>
      </c>
      <c r="J120" s="309">
        <v>20.5</v>
      </c>
      <c r="K120" s="309">
        <v>15.4</v>
      </c>
      <c r="L120" s="309">
        <v>14.4</v>
      </c>
      <c r="M120" s="309">
        <v>15.7</v>
      </c>
      <c r="N120" s="309">
        <v>11</v>
      </c>
      <c r="O120" s="310">
        <f t="shared" si="38"/>
        <v>17.158333333333335</v>
      </c>
      <c r="P120" s="310">
        <f t="shared" si="30"/>
        <v>20.276411718066154</v>
      </c>
      <c r="Q120" s="311">
        <f t="shared" si="31"/>
        <v>1</v>
      </c>
      <c r="R120" s="251">
        <f t="shared" si="35"/>
        <v>16.400000000000002</v>
      </c>
      <c r="S120" s="252">
        <f t="shared" si="39"/>
        <v>1</v>
      </c>
      <c r="T120" s="251">
        <f t="shared" si="36"/>
        <v>18.233333333333331</v>
      </c>
      <c r="U120" s="252">
        <f t="shared" si="40"/>
        <v>1</v>
      </c>
      <c r="V120" s="253">
        <f t="shared" si="37"/>
        <v>17.158333333333335</v>
      </c>
      <c r="W120" s="252">
        <f t="shared" si="41"/>
        <v>1</v>
      </c>
      <c r="X120" s="359">
        <f t="shared" si="32"/>
        <v>15.022222222222224</v>
      </c>
      <c r="Y120" s="359">
        <f t="shared" si="33"/>
        <v>18.533333333333335</v>
      </c>
      <c r="Z120" s="359">
        <f t="shared" si="34"/>
        <v>16.363333333333333</v>
      </c>
      <c r="AA120" s="366"/>
      <c r="AB120" s="357" t="str">
        <f>VLOOKUP($B120,'2007-2020 Metadata'!$A$4:$S$214,MATCH("Urban Area /Monitoring Zone",'2007-2020 Metadata'!$A$4:$S$4,0),FALSE)</f>
        <v>Wellington</v>
      </c>
      <c r="AC120" s="255" t="str">
        <f>VLOOKUP(B120,'2007-2020 Metadata'!$A$6:$A$214,1,FALSE)</f>
        <v>WEL075</v>
      </c>
      <c r="AD120" s="361" t="str">
        <f>VLOOKUP($AC120,'2007-2020 Metadata'!$A$6:$S$214,9,FALSE)</f>
        <v>Wellington</v>
      </c>
      <c r="AE120" s="361">
        <f>IF(ISBLANK(VLOOKUP($AC120,'2007-2020 Metadata'!$A$6:$S$214,19,FALSE)),"",VLOOKUP($AC120,'2007-2020 Metadata'!$A$6:$S$214,19,FALSE))</f>
        <v>4</v>
      </c>
      <c r="AF120" s="360" t="str">
        <f>VLOOKUP($B120,'2007-2020 Metadata'!$A$4:$S$214,MATCH("Site type",'2007-2020 Metadata'!$A$4:$S$4,0),FALSE)</f>
        <v>SH</v>
      </c>
      <c r="AG120" s="365">
        <f t="shared" si="45"/>
        <v>10.733333333333334</v>
      </c>
      <c r="AH120" s="365">
        <f t="shared" si="46"/>
        <v>25.799999999999997</v>
      </c>
      <c r="AI120" s="359">
        <f t="shared" si="44"/>
        <v>16.363333333333333</v>
      </c>
    </row>
    <row r="121" spans="2:35" ht="12" customHeight="1" x14ac:dyDescent="0.15">
      <c r="B121" s="313" t="s">
        <v>513</v>
      </c>
      <c r="C121" s="309">
        <v>6.9</v>
      </c>
      <c r="D121" s="309">
        <v>9.8000000000000007</v>
      </c>
      <c r="E121" s="309">
        <v>11.5</v>
      </c>
      <c r="F121" s="309">
        <v>12.7</v>
      </c>
      <c r="G121" s="309">
        <v>15.1</v>
      </c>
      <c r="H121" s="309">
        <v>21.5</v>
      </c>
      <c r="I121" s="309">
        <v>16.7</v>
      </c>
      <c r="J121" s="309">
        <v>15.6</v>
      </c>
      <c r="K121" s="309">
        <v>10.3</v>
      </c>
      <c r="L121" s="309">
        <v>5.6</v>
      </c>
      <c r="M121" s="309">
        <v>8.1999999999999993</v>
      </c>
      <c r="N121" s="309">
        <v>7.3</v>
      </c>
      <c r="O121" s="310">
        <f t="shared" si="38"/>
        <v>11.766666666666666</v>
      </c>
      <c r="P121" s="310">
        <f t="shared" si="30"/>
        <v>38.496697033574769</v>
      </c>
      <c r="Q121" s="311">
        <f t="shared" si="31"/>
        <v>1</v>
      </c>
      <c r="R121" s="225">
        <f t="shared" si="35"/>
        <v>9.4</v>
      </c>
      <c r="S121" s="226">
        <f t="shared" si="39"/>
        <v>1</v>
      </c>
      <c r="T121" s="225">
        <f t="shared" si="36"/>
        <v>14.199999999999998</v>
      </c>
      <c r="U121" s="226">
        <f t="shared" si="40"/>
        <v>1</v>
      </c>
      <c r="V121" s="227">
        <f t="shared" si="37"/>
        <v>11.766666666666666</v>
      </c>
      <c r="W121" s="228">
        <f t="shared" si="41"/>
        <v>1</v>
      </c>
      <c r="X121" s="144">
        <f t="shared" si="32"/>
        <v>10.294444444444444</v>
      </c>
      <c r="Y121" s="144">
        <f t="shared" si="33"/>
        <v>15.516666666666666</v>
      </c>
      <c r="Z121" s="144">
        <f t="shared" si="34"/>
        <v>13.324267676767676</v>
      </c>
      <c r="AA121" s="205"/>
      <c r="AB121" s="357" t="str">
        <f>VLOOKUP($B121,'2007-2020 Metadata'!$A$4:$S$214,MATCH("Urban Area /Monitoring Zone",'2007-2020 Metadata'!$A$4:$S$4,0),FALSE)</f>
        <v>Lower Hutt</v>
      </c>
      <c r="AC121" s="229" t="str">
        <f>VLOOKUP(B121,'2007-2020 Metadata'!$A$6:$A$214,1,FALSE)</f>
        <v>WEL078</v>
      </c>
      <c r="AD121" s="230" t="str">
        <f>VLOOKUP($AC121,'2007-2020 Metadata'!$A$6:$S$214,9,FALSE)</f>
        <v>Lower Hutt</v>
      </c>
      <c r="AE121" s="230">
        <f>IF(ISBLANK(VLOOKUP($AC121,'2007-2020 Metadata'!$A$6:$S$214,19,FALSE)),"",VLOOKUP($AC121,'2007-2020 Metadata'!$A$6:$S$214,19,FALSE))</f>
        <v>3</v>
      </c>
      <c r="AF121" s="88" t="str">
        <f>VLOOKUP($B121,'2007-2020 Metadata'!$A$4:$S$214,MATCH("Site type",'2007-2020 Metadata'!$A$4:$S$4,0),FALSE)</f>
        <v>SH</v>
      </c>
      <c r="AG121" s="143">
        <f t="shared" si="42"/>
        <v>5.6</v>
      </c>
      <c r="AH121" s="143">
        <f t="shared" si="43"/>
        <v>21.5</v>
      </c>
      <c r="AI121" s="144">
        <f t="shared" si="44"/>
        <v>13.324267676767676</v>
      </c>
    </row>
    <row r="122" spans="2:35" ht="12" customHeight="1" x14ac:dyDescent="0.15">
      <c r="B122" s="313" t="s">
        <v>973</v>
      </c>
      <c r="C122" s="309">
        <v>11.5</v>
      </c>
      <c r="D122" s="309">
        <v>14.1</v>
      </c>
      <c r="E122" s="309">
        <v>13.2</v>
      </c>
      <c r="F122" s="309">
        <v>16.100000000000001</v>
      </c>
      <c r="G122" s="309">
        <v>16.100000000000001</v>
      </c>
      <c r="H122" s="309">
        <v>23.4</v>
      </c>
      <c r="I122" s="309">
        <v>18.899999999999999</v>
      </c>
      <c r="J122" s="309">
        <v>15.6</v>
      </c>
      <c r="K122" s="309">
        <v>13.9</v>
      </c>
      <c r="L122" s="309">
        <v>12</v>
      </c>
      <c r="M122" s="309">
        <v>11.3</v>
      </c>
      <c r="N122" s="309">
        <v>10.5</v>
      </c>
      <c r="O122" s="310">
        <f t="shared" si="38"/>
        <v>14.716666666666669</v>
      </c>
      <c r="P122" s="310">
        <f t="shared" si="30"/>
        <v>23.866271266757568</v>
      </c>
      <c r="Q122" s="311">
        <f t="shared" si="31"/>
        <v>1</v>
      </c>
      <c r="R122" s="225">
        <f t="shared" si="35"/>
        <v>12.933333333333332</v>
      </c>
      <c r="S122" s="226">
        <f t="shared" si="39"/>
        <v>1</v>
      </c>
      <c r="T122" s="225">
        <f t="shared" si="36"/>
        <v>16.133333333333333</v>
      </c>
      <c r="U122" s="226">
        <f t="shared" si="40"/>
        <v>1</v>
      </c>
      <c r="V122" s="227">
        <f t="shared" si="37"/>
        <v>14.716666666666669</v>
      </c>
      <c r="W122" s="228">
        <f t="shared" si="41"/>
        <v>1</v>
      </c>
      <c r="X122" s="144" t="e">
        <f t="shared" si="32"/>
        <v>#N/A</v>
      </c>
      <c r="Y122" s="144" t="e">
        <f t="shared" si="33"/>
        <v>#N/A</v>
      </c>
      <c r="Z122" s="144" t="e">
        <f t="shared" si="34"/>
        <v>#N/A</v>
      </c>
      <c r="AA122" s="205"/>
      <c r="AB122" s="357" t="e">
        <f>VLOOKUP($B122,'2007-2020 Metadata'!$A$4:$S$214,MATCH("Urban Area /Monitoring Zone",'2007-2020 Metadata'!$A$4:$S$4,0),FALSE)</f>
        <v>#N/A</v>
      </c>
      <c r="AC122" s="229" t="e">
        <f>VLOOKUP(B122,'2007-2020 Metadata'!$A$6:$A$214,1,FALSE)</f>
        <v>#N/A</v>
      </c>
      <c r="AD122" s="230" t="e">
        <f>VLOOKUP($AC122,'2007-2020 Metadata'!$A$6:$S$214,9,FALSE)</f>
        <v>#N/A</v>
      </c>
      <c r="AE122" s="230" t="e">
        <f>IF(ISBLANK(VLOOKUP($AC122,'2007-2020 Metadata'!$A$6:$S$214,19,FALSE)),"",VLOOKUP($AC122,'2007-2020 Metadata'!$A$6:$S$214,19,FALSE))</f>
        <v>#N/A</v>
      </c>
      <c r="AF122" s="88" t="e">
        <f>VLOOKUP($B122,'2007-2020 Metadata'!$A$4:$S$214,MATCH("Site type",'2007-2020 Metadata'!$A$4:$S$4,0),FALSE)</f>
        <v>#N/A</v>
      </c>
      <c r="AG122" s="143">
        <f t="shared" si="42"/>
        <v>10.5</v>
      </c>
      <c r="AH122" s="143">
        <f t="shared" si="43"/>
        <v>23.4</v>
      </c>
      <c r="AI122" s="144" t="e">
        <f t="shared" si="44"/>
        <v>#N/A</v>
      </c>
    </row>
    <row r="123" spans="2:35" ht="12" customHeight="1" x14ac:dyDescent="0.15">
      <c r="B123" s="313" t="s">
        <v>519</v>
      </c>
      <c r="C123" s="309">
        <v>11.4</v>
      </c>
      <c r="D123" s="309">
        <v>17.899999999999999</v>
      </c>
      <c r="E123" s="309">
        <v>21.7</v>
      </c>
      <c r="F123" s="309">
        <v>18.7</v>
      </c>
      <c r="G123" s="309">
        <v>19.100000000000001</v>
      </c>
      <c r="H123" s="309">
        <v>24.9</v>
      </c>
      <c r="I123" s="309">
        <v>21.2</v>
      </c>
      <c r="J123" s="309">
        <v>19.2</v>
      </c>
      <c r="K123" s="309">
        <v>19</v>
      </c>
      <c r="L123" s="309">
        <v>16.5</v>
      </c>
      <c r="M123" s="309">
        <v>17</v>
      </c>
      <c r="N123" s="309">
        <v>12.9</v>
      </c>
      <c r="O123" s="310">
        <f t="shared" si="38"/>
        <v>18.291666666666668</v>
      </c>
      <c r="P123" s="310">
        <f t="shared" si="30"/>
        <v>19.16620633886923</v>
      </c>
      <c r="Q123" s="311">
        <f t="shared" si="31"/>
        <v>1</v>
      </c>
      <c r="R123" s="225">
        <f t="shared" si="35"/>
        <v>17</v>
      </c>
      <c r="S123" s="226">
        <f t="shared" si="39"/>
        <v>1</v>
      </c>
      <c r="T123" s="225">
        <f t="shared" si="36"/>
        <v>19.8</v>
      </c>
      <c r="U123" s="226">
        <f t="shared" si="40"/>
        <v>1</v>
      </c>
      <c r="V123" s="227">
        <f t="shared" si="37"/>
        <v>18.291666666666668</v>
      </c>
      <c r="W123" s="228">
        <f t="shared" si="41"/>
        <v>1</v>
      </c>
      <c r="X123" s="144">
        <f t="shared" si="32"/>
        <v>15.5</v>
      </c>
      <c r="Y123" s="144">
        <f t="shared" si="33"/>
        <v>19.983333333333334</v>
      </c>
      <c r="Z123" s="144">
        <f t="shared" si="34"/>
        <v>17.504166666666666</v>
      </c>
      <c r="AA123" s="205"/>
      <c r="AB123" s="357" t="str">
        <f>VLOOKUP($B123,'2007-2020 Metadata'!$A$4:$S$214,MATCH("Urban Area /Monitoring Zone",'2007-2020 Metadata'!$A$4:$S$4,0),FALSE)</f>
        <v>Porirua</v>
      </c>
      <c r="AC123" s="229" t="str">
        <f>VLOOKUP(B123,'2007-2020 Metadata'!$A$6:$A$214,1,FALSE)</f>
        <v>WEL080</v>
      </c>
      <c r="AD123" s="230" t="str">
        <f>VLOOKUP($AC123,'2007-2020 Metadata'!$A$6:$S$214,9,FALSE)</f>
        <v>Porirua</v>
      </c>
      <c r="AE123" s="230">
        <f>IF(ISBLANK(VLOOKUP($AC123,'2007-2020 Metadata'!$A$6:$S$214,19,FALSE)),"",VLOOKUP($AC123,'2007-2020 Metadata'!$A$6:$S$214,19,FALSE))</f>
        <v>3.1</v>
      </c>
      <c r="AF123" s="88" t="str">
        <f>VLOOKUP($B123,'2007-2020 Metadata'!$A$4:$S$214,MATCH("Site type",'2007-2020 Metadata'!$A$4:$S$4,0),FALSE)</f>
        <v>Local</v>
      </c>
      <c r="AG123" s="143">
        <f t="shared" si="42"/>
        <v>11.4</v>
      </c>
      <c r="AH123" s="143">
        <f t="shared" si="43"/>
        <v>24.9</v>
      </c>
      <c r="AI123" s="144">
        <f t="shared" si="44"/>
        <v>17.504166666666666</v>
      </c>
    </row>
    <row r="124" spans="2:35" ht="12" customHeight="1" x14ac:dyDescent="0.15">
      <c r="B124" s="313" t="s">
        <v>974</v>
      </c>
      <c r="C124" s="309">
        <v>25.4</v>
      </c>
      <c r="D124" s="309">
        <v>27.2</v>
      </c>
      <c r="E124" s="309">
        <v>32</v>
      </c>
      <c r="F124" s="309">
        <v>32.5</v>
      </c>
      <c r="G124" s="309">
        <v>30.4</v>
      </c>
      <c r="H124" s="309">
        <v>42.7</v>
      </c>
      <c r="I124" s="309">
        <v>35.200000000000003</v>
      </c>
      <c r="J124" s="309">
        <v>34</v>
      </c>
      <c r="K124" s="309">
        <v>31.7</v>
      </c>
      <c r="L124" s="309">
        <v>30.7</v>
      </c>
      <c r="M124" s="309">
        <v>29.3</v>
      </c>
      <c r="N124" s="309">
        <v>16.600000000000001</v>
      </c>
      <c r="O124" s="310">
        <f t="shared" si="38"/>
        <v>30.641666666666666</v>
      </c>
      <c r="P124" s="310">
        <f t="shared" si="30"/>
        <v>19.358473495766674</v>
      </c>
      <c r="Q124" s="311">
        <f t="shared" si="31"/>
        <v>1</v>
      </c>
      <c r="R124" s="225">
        <f t="shared" si="35"/>
        <v>28.2</v>
      </c>
      <c r="S124" s="226">
        <f t="shared" si="39"/>
        <v>1</v>
      </c>
      <c r="T124" s="225">
        <f t="shared" si="36"/>
        <v>33.633333333333333</v>
      </c>
      <c r="U124" s="226">
        <f t="shared" si="40"/>
        <v>1</v>
      </c>
      <c r="V124" s="227">
        <f t="shared" si="37"/>
        <v>30.641666666666666</v>
      </c>
      <c r="W124" s="228">
        <f t="shared" si="41"/>
        <v>1</v>
      </c>
      <c r="X124" s="144" t="e">
        <f t="shared" si="32"/>
        <v>#N/A</v>
      </c>
      <c r="Y124" s="144" t="e">
        <f t="shared" si="33"/>
        <v>#N/A</v>
      </c>
      <c r="Z124" s="144" t="e">
        <f t="shared" si="34"/>
        <v>#N/A</v>
      </c>
      <c r="AA124" s="205"/>
      <c r="AB124" s="357" t="e">
        <f>VLOOKUP($B124,'2007-2020 Metadata'!$A$4:$S$214,MATCH("Urban Area /Monitoring Zone",'2007-2020 Metadata'!$A$4:$S$4,0),FALSE)</f>
        <v>#N/A</v>
      </c>
      <c r="AC124" s="229" t="e">
        <f>VLOOKUP(B124,'2007-2020 Metadata'!$A$6:$A$214,1,FALSE)</f>
        <v>#N/A</v>
      </c>
      <c r="AD124" s="230" t="e">
        <f>VLOOKUP($AC124,'2007-2020 Metadata'!$A$6:$S$214,9,FALSE)</f>
        <v>#N/A</v>
      </c>
      <c r="AE124" s="230" t="e">
        <f>IF(ISBLANK(VLOOKUP($AC124,'2007-2020 Metadata'!$A$6:$S$214,19,FALSE)),"",VLOOKUP($AC124,'2007-2020 Metadata'!$A$6:$S$214,19,FALSE))</f>
        <v>#N/A</v>
      </c>
      <c r="AF124" s="88" t="e">
        <f>VLOOKUP($B124,'2007-2020 Metadata'!$A$4:$S$214,MATCH("Site type",'2007-2020 Metadata'!$A$4:$S$4,0),FALSE)</f>
        <v>#N/A</v>
      </c>
      <c r="AG124" s="143">
        <f t="shared" si="42"/>
        <v>16.600000000000001</v>
      </c>
      <c r="AH124" s="143">
        <f t="shared" si="43"/>
        <v>42.7</v>
      </c>
      <c r="AI124" s="144" t="e">
        <f t="shared" si="44"/>
        <v>#N/A</v>
      </c>
    </row>
    <row r="125" spans="2:35" ht="12" customHeight="1" x14ac:dyDescent="0.15">
      <c r="B125" s="313" t="s">
        <v>975</v>
      </c>
      <c r="C125" s="309">
        <v>31.1</v>
      </c>
      <c r="D125" s="309">
        <v>32.4</v>
      </c>
      <c r="E125" s="309">
        <v>37.1</v>
      </c>
      <c r="F125" s="309">
        <v>36.6</v>
      </c>
      <c r="G125" s="309">
        <v>35.9</v>
      </c>
      <c r="H125" s="309">
        <v>44.1</v>
      </c>
      <c r="I125" s="309">
        <v>38.700000000000003</v>
      </c>
      <c r="J125" s="309">
        <v>41.7</v>
      </c>
      <c r="K125" s="309">
        <v>36.5</v>
      </c>
      <c r="L125" s="309">
        <v>34.799999999999997</v>
      </c>
      <c r="M125" s="309">
        <v>33.200000000000003</v>
      </c>
      <c r="N125" s="309">
        <v>29.2</v>
      </c>
      <c r="O125" s="310">
        <f t="shared" si="38"/>
        <v>35.941666666666663</v>
      </c>
      <c r="P125" s="310">
        <f t="shared" si="30"/>
        <v>11.349237060703654</v>
      </c>
      <c r="Q125" s="311">
        <f t="shared" si="31"/>
        <v>1</v>
      </c>
      <c r="R125" s="225">
        <f t="shared" si="35"/>
        <v>33.533333333333331</v>
      </c>
      <c r="S125" s="226">
        <f t="shared" si="39"/>
        <v>1</v>
      </c>
      <c r="T125" s="225">
        <f t="shared" si="36"/>
        <v>38.966666666666669</v>
      </c>
      <c r="U125" s="226">
        <f t="shared" si="40"/>
        <v>1</v>
      </c>
      <c r="V125" s="227">
        <f t="shared" si="37"/>
        <v>35.941666666666663</v>
      </c>
      <c r="W125" s="228">
        <f t="shared" si="41"/>
        <v>1</v>
      </c>
      <c r="X125" s="144" t="e">
        <f t="shared" si="32"/>
        <v>#N/A</v>
      </c>
      <c r="Y125" s="144" t="e">
        <f t="shared" si="33"/>
        <v>#N/A</v>
      </c>
      <c r="Z125" s="144" t="e">
        <f t="shared" si="34"/>
        <v>#N/A</v>
      </c>
      <c r="AA125" s="205"/>
      <c r="AB125" s="357" t="e">
        <f>VLOOKUP($B125,'2007-2020 Metadata'!$A$4:$S$214,MATCH("Urban Area /Monitoring Zone",'2007-2020 Metadata'!$A$4:$S$4,0),FALSE)</f>
        <v>#N/A</v>
      </c>
      <c r="AC125" s="229" t="e">
        <f>VLOOKUP(B125,'2007-2020 Metadata'!$A$6:$A$214,1,FALSE)</f>
        <v>#N/A</v>
      </c>
      <c r="AD125" s="230" t="e">
        <f>VLOOKUP($AC125,'2007-2020 Metadata'!$A$6:$S$214,9,FALSE)</f>
        <v>#N/A</v>
      </c>
      <c r="AE125" s="230" t="e">
        <f>IF(ISBLANK(VLOOKUP($AC125,'2007-2020 Metadata'!$A$6:$S$214,19,FALSE)),"",VLOOKUP($AC125,'2007-2020 Metadata'!$A$6:$S$214,19,FALSE))</f>
        <v>#N/A</v>
      </c>
      <c r="AF125" s="88" t="e">
        <f>VLOOKUP($B125,'2007-2020 Metadata'!$A$4:$S$214,MATCH("Site type",'2007-2020 Metadata'!$A$4:$S$4,0),FALSE)</f>
        <v>#N/A</v>
      </c>
      <c r="AG125" s="143">
        <f t="shared" si="42"/>
        <v>29.2</v>
      </c>
      <c r="AH125" s="143">
        <f t="shared" si="43"/>
        <v>44.1</v>
      </c>
      <c r="AI125" s="144" t="e">
        <f t="shared" si="44"/>
        <v>#N/A</v>
      </c>
    </row>
    <row r="126" spans="2:35" ht="12" customHeight="1" x14ac:dyDescent="0.15">
      <c r="B126" s="313" t="s">
        <v>976</v>
      </c>
      <c r="C126" s="309">
        <v>26.2</v>
      </c>
      <c r="D126" s="309">
        <v>23.1</v>
      </c>
      <c r="E126" s="309">
        <v>29.1</v>
      </c>
      <c r="F126" s="309">
        <v>32</v>
      </c>
      <c r="G126" s="309">
        <v>33.299999999999997</v>
      </c>
      <c r="H126" s="309">
        <v>40.5</v>
      </c>
      <c r="I126" s="309">
        <v>38.799999999999997</v>
      </c>
      <c r="J126" s="309">
        <v>33.700000000000003</v>
      </c>
      <c r="K126" s="309">
        <v>30.3</v>
      </c>
      <c r="L126" s="309">
        <v>29.9</v>
      </c>
      <c r="M126" s="309">
        <v>30.3</v>
      </c>
      <c r="N126" s="309">
        <v>24.7</v>
      </c>
      <c r="O126" s="310">
        <f t="shared" si="38"/>
        <v>30.991666666666664</v>
      </c>
      <c r="P126" s="310">
        <f t="shared" si="30"/>
        <v>16.014869099910616</v>
      </c>
      <c r="Q126" s="311">
        <f t="shared" si="31"/>
        <v>1</v>
      </c>
      <c r="R126" s="225">
        <f t="shared" si="35"/>
        <v>26.133333333333336</v>
      </c>
      <c r="S126" s="226">
        <f t="shared" si="39"/>
        <v>1</v>
      </c>
      <c r="T126" s="225">
        <f t="shared" si="36"/>
        <v>34.266666666666666</v>
      </c>
      <c r="U126" s="226">
        <f t="shared" si="40"/>
        <v>1</v>
      </c>
      <c r="V126" s="227">
        <f t="shared" si="37"/>
        <v>30.991666666666664</v>
      </c>
      <c r="W126" s="228">
        <f t="shared" si="41"/>
        <v>1</v>
      </c>
      <c r="X126" s="144" t="e">
        <f t="shared" si="32"/>
        <v>#N/A</v>
      </c>
      <c r="Y126" s="144" t="e">
        <f t="shared" si="33"/>
        <v>#N/A</v>
      </c>
      <c r="Z126" s="144" t="e">
        <f t="shared" si="34"/>
        <v>#N/A</v>
      </c>
      <c r="AA126" s="205"/>
      <c r="AB126" s="357" t="e">
        <f>VLOOKUP($B126,'2007-2020 Metadata'!$A$4:$S$214,MATCH("Urban Area /Monitoring Zone",'2007-2020 Metadata'!$A$4:$S$4,0),FALSE)</f>
        <v>#N/A</v>
      </c>
      <c r="AC126" s="229" t="e">
        <f>VLOOKUP(B126,'2007-2020 Metadata'!$A$6:$A$214,1,FALSE)</f>
        <v>#N/A</v>
      </c>
      <c r="AD126" s="230" t="e">
        <f>VLOOKUP($AC126,'2007-2020 Metadata'!$A$6:$S$214,9,FALSE)</f>
        <v>#N/A</v>
      </c>
      <c r="AE126" s="230" t="e">
        <f>IF(ISBLANK(VLOOKUP($AC126,'2007-2020 Metadata'!$A$6:$S$214,19,FALSE)),"",VLOOKUP($AC126,'2007-2020 Metadata'!$A$6:$S$214,19,FALSE))</f>
        <v>#N/A</v>
      </c>
      <c r="AF126" s="88" t="e">
        <f>VLOOKUP($B126,'2007-2020 Metadata'!$A$4:$S$214,MATCH("Site type",'2007-2020 Metadata'!$A$4:$S$4,0),FALSE)</f>
        <v>#N/A</v>
      </c>
      <c r="AG126" s="143">
        <f t="shared" si="42"/>
        <v>23.1</v>
      </c>
      <c r="AH126" s="143">
        <f t="shared" si="43"/>
        <v>40.5</v>
      </c>
      <c r="AI126" s="144" t="e">
        <f t="shared" si="44"/>
        <v>#N/A</v>
      </c>
    </row>
    <row r="127" spans="2:35" ht="12" customHeight="1" x14ac:dyDescent="0.15">
      <c r="B127" s="313" t="s">
        <v>977</v>
      </c>
      <c r="C127" s="309">
        <v>15.4</v>
      </c>
      <c r="D127" s="309">
        <v>19.100000000000001</v>
      </c>
      <c r="E127" s="309">
        <v>20.9</v>
      </c>
      <c r="F127" s="309">
        <v>17.899999999999999</v>
      </c>
      <c r="G127" s="309">
        <v>21.2</v>
      </c>
      <c r="H127" s="309">
        <v>30.1</v>
      </c>
      <c r="I127" s="309">
        <v>22.2</v>
      </c>
      <c r="J127" s="309">
        <v>21.6</v>
      </c>
      <c r="K127" s="309">
        <v>21.9</v>
      </c>
      <c r="L127" s="309">
        <v>16.2</v>
      </c>
      <c r="M127" s="309">
        <v>15.6</v>
      </c>
      <c r="N127" s="309">
        <v>14.8</v>
      </c>
      <c r="O127" s="310">
        <f t="shared" si="38"/>
        <v>19.741666666666664</v>
      </c>
      <c r="P127" s="310">
        <f t="shared" si="30"/>
        <v>20.766669351498646</v>
      </c>
      <c r="Q127" s="311">
        <f t="shared" si="31"/>
        <v>1</v>
      </c>
      <c r="R127" s="225">
        <f t="shared" si="35"/>
        <v>18.466666666666665</v>
      </c>
      <c r="S127" s="226">
        <f t="shared" si="39"/>
        <v>1</v>
      </c>
      <c r="T127" s="225">
        <f t="shared" si="36"/>
        <v>21.899999999999995</v>
      </c>
      <c r="U127" s="226">
        <f t="shared" si="40"/>
        <v>1</v>
      </c>
      <c r="V127" s="227">
        <f t="shared" si="37"/>
        <v>19.741666666666664</v>
      </c>
      <c r="W127" s="228">
        <f t="shared" si="41"/>
        <v>1</v>
      </c>
      <c r="X127" s="144" t="e">
        <f t="shared" si="32"/>
        <v>#N/A</v>
      </c>
      <c r="Y127" s="144" t="e">
        <f t="shared" si="33"/>
        <v>#N/A</v>
      </c>
      <c r="Z127" s="144" t="e">
        <f t="shared" si="34"/>
        <v>#N/A</v>
      </c>
      <c r="AA127" s="205"/>
      <c r="AB127" s="357" t="e">
        <f>VLOOKUP($B127,'2007-2020 Metadata'!$A$4:$S$214,MATCH("Urban Area /Monitoring Zone",'2007-2020 Metadata'!$A$4:$S$4,0),FALSE)</f>
        <v>#N/A</v>
      </c>
      <c r="AC127" s="229" t="e">
        <f>VLOOKUP(B127,'2007-2020 Metadata'!$A$6:$A$214,1,FALSE)</f>
        <v>#N/A</v>
      </c>
      <c r="AD127" s="230" t="e">
        <f>VLOOKUP($AC127,'2007-2020 Metadata'!$A$6:$S$214,9,FALSE)</f>
        <v>#N/A</v>
      </c>
      <c r="AE127" s="230" t="e">
        <f>IF(ISBLANK(VLOOKUP($AC127,'2007-2020 Metadata'!$A$6:$S$214,19,FALSE)),"",VLOOKUP($AC127,'2007-2020 Metadata'!$A$6:$S$214,19,FALSE))</f>
        <v>#N/A</v>
      </c>
      <c r="AF127" s="88" t="e">
        <f>VLOOKUP($B127,'2007-2020 Metadata'!$A$4:$S$214,MATCH("Site type",'2007-2020 Metadata'!$A$4:$S$4,0),FALSE)</f>
        <v>#N/A</v>
      </c>
      <c r="AG127" s="143">
        <f t="shared" si="42"/>
        <v>14.8</v>
      </c>
      <c r="AH127" s="143">
        <f t="shared" si="43"/>
        <v>30.1</v>
      </c>
      <c r="AI127" s="144" t="e">
        <f t="shared" si="44"/>
        <v>#N/A</v>
      </c>
    </row>
    <row r="128" spans="2:35" ht="12" customHeight="1" x14ac:dyDescent="0.15">
      <c r="B128" s="313" t="s">
        <v>978</v>
      </c>
      <c r="C128" s="309">
        <v>6.4</v>
      </c>
      <c r="D128" s="309">
        <v>12.3</v>
      </c>
      <c r="E128" s="309">
        <v>10.5</v>
      </c>
      <c r="F128" s="309">
        <v>10.3</v>
      </c>
      <c r="G128" s="309">
        <v>9.4</v>
      </c>
      <c r="H128" s="309">
        <v>15.4</v>
      </c>
      <c r="I128" s="309">
        <v>12.1</v>
      </c>
      <c r="J128" s="309">
        <v>11.6</v>
      </c>
      <c r="K128" s="309">
        <v>8</v>
      </c>
      <c r="L128" s="309">
        <v>7.1</v>
      </c>
      <c r="M128" s="309">
        <v>6.7</v>
      </c>
      <c r="N128" s="309">
        <v>6</v>
      </c>
      <c r="O128" s="310">
        <f t="shared" si="38"/>
        <v>9.6499999999999986</v>
      </c>
      <c r="P128" s="310">
        <f t="shared" si="30"/>
        <v>28.834557674562873</v>
      </c>
      <c r="Q128" s="311">
        <f t="shared" si="31"/>
        <v>1</v>
      </c>
      <c r="R128" s="225">
        <f t="shared" si="35"/>
        <v>9.7333333333333343</v>
      </c>
      <c r="S128" s="226">
        <f t="shared" si="39"/>
        <v>1</v>
      </c>
      <c r="T128" s="225">
        <f t="shared" si="36"/>
        <v>10.566666666666666</v>
      </c>
      <c r="U128" s="226">
        <f t="shared" si="40"/>
        <v>1</v>
      </c>
      <c r="V128" s="227">
        <f t="shared" si="37"/>
        <v>9.6499999999999986</v>
      </c>
      <c r="W128" s="228">
        <f t="shared" si="41"/>
        <v>1</v>
      </c>
      <c r="X128" s="144" t="e">
        <f t="shared" si="32"/>
        <v>#N/A</v>
      </c>
      <c r="Y128" s="144" t="e">
        <f t="shared" si="33"/>
        <v>#N/A</v>
      </c>
      <c r="Z128" s="144" t="e">
        <f t="shared" si="34"/>
        <v>#N/A</v>
      </c>
      <c r="AA128" s="205"/>
      <c r="AB128" s="357" t="e">
        <f>VLOOKUP($B128,'2007-2020 Metadata'!$A$4:$S$214,MATCH("Urban Area /Monitoring Zone",'2007-2020 Metadata'!$A$4:$S$4,0),FALSE)</f>
        <v>#N/A</v>
      </c>
      <c r="AC128" s="229" t="e">
        <f>VLOOKUP(B128,'2007-2020 Metadata'!$A$6:$A$214,1,FALSE)</f>
        <v>#N/A</v>
      </c>
      <c r="AD128" s="230" t="e">
        <f>VLOOKUP($AC128,'2007-2020 Metadata'!$A$6:$S$214,9,FALSE)</f>
        <v>#N/A</v>
      </c>
      <c r="AE128" s="230" t="e">
        <f>IF(ISBLANK(VLOOKUP($AC128,'2007-2020 Metadata'!$A$6:$S$214,19,FALSE)),"",VLOOKUP($AC128,'2007-2020 Metadata'!$A$6:$S$214,19,FALSE))</f>
        <v>#N/A</v>
      </c>
      <c r="AF128" s="88" t="e">
        <f>VLOOKUP($B128,'2007-2020 Metadata'!$A$4:$S$214,MATCH("Site type",'2007-2020 Metadata'!$A$4:$S$4,0),FALSE)</f>
        <v>#N/A</v>
      </c>
      <c r="AG128" s="143">
        <f t="shared" si="42"/>
        <v>6</v>
      </c>
      <c r="AH128" s="143">
        <f t="shared" si="43"/>
        <v>15.4</v>
      </c>
      <c r="AI128" s="144" t="e">
        <f t="shared" si="44"/>
        <v>#N/A</v>
      </c>
    </row>
    <row r="129" spans="2:35" ht="12" customHeight="1" x14ac:dyDescent="0.15">
      <c r="B129" s="313" t="s">
        <v>979</v>
      </c>
      <c r="C129" s="309">
        <v>14.9</v>
      </c>
      <c r="D129" s="309">
        <v>18.5</v>
      </c>
      <c r="E129" s="309">
        <v>20.8</v>
      </c>
      <c r="F129" s="309">
        <v>17.7</v>
      </c>
      <c r="G129" s="309">
        <v>20.5</v>
      </c>
      <c r="H129" s="309">
        <v>27.3</v>
      </c>
      <c r="I129" s="309">
        <v>23.9</v>
      </c>
      <c r="J129" s="309">
        <v>18.600000000000001</v>
      </c>
      <c r="K129" s="309">
        <v>18.100000000000001</v>
      </c>
      <c r="L129" s="309">
        <v>15.5</v>
      </c>
      <c r="M129" s="309">
        <v>14.8</v>
      </c>
      <c r="N129" s="309">
        <v>13.7</v>
      </c>
      <c r="O129" s="310">
        <f t="shared" si="38"/>
        <v>18.691666666666666</v>
      </c>
      <c r="P129" s="310">
        <f t="shared" si="30"/>
        <v>20.427597334154889</v>
      </c>
      <c r="Q129" s="311">
        <f t="shared" si="31"/>
        <v>1</v>
      </c>
      <c r="R129" s="225">
        <f t="shared" si="35"/>
        <v>18.066666666666666</v>
      </c>
      <c r="S129" s="226">
        <f t="shared" si="39"/>
        <v>1</v>
      </c>
      <c r="T129" s="225">
        <f t="shared" si="36"/>
        <v>20.2</v>
      </c>
      <c r="U129" s="226">
        <f t="shared" si="40"/>
        <v>1</v>
      </c>
      <c r="V129" s="227">
        <f t="shared" si="37"/>
        <v>18.691666666666666</v>
      </c>
      <c r="W129" s="228">
        <f t="shared" si="41"/>
        <v>1</v>
      </c>
      <c r="X129" s="144" t="e">
        <f t="shared" si="32"/>
        <v>#N/A</v>
      </c>
      <c r="Y129" s="144" t="e">
        <f t="shared" si="33"/>
        <v>#N/A</v>
      </c>
      <c r="Z129" s="144" t="e">
        <f t="shared" si="34"/>
        <v>#N/A</v>
      </c>
      <c r="AA129" s="205"/>
      <c r="AB129" s="357" t="e">
        <f>VLOOKUP($B129,'2007-2020 Metadata'!$A$4:$S$214,MATCH("Urban Area /Monitoring Zone",'2007-2020 Metadata'!$A$4:$S$4,0),FALSE)</f>
        <v>#N/A</v>
      </c>
      <c r="AC129" s="229" t="e">
        <f>VLOOKUP(B129,'2007-2020 Metadata'!$A$6:$A$214,1,FALSE)</f>
        <v>#N/A</v>
      </c>
      <c r="AD129" s="230" t="e">
        <f>VLOOKUP($AC129,'2007-2020 Metadata'!$A$6:$S$214,9,FALSE)</f>
        <v>#N/A</v>
      </c>
      <c r="AE129" s="230" t="e">
        <f>IF(ISBLANK(VLOOKUP($AC129,'2007-2020 Metadata'!$A$6:$S$214,19,FALSE)),"",VLOOKUP($AC129,'2007-2020 Metadata'!$A$6:$S$214,19,FALSE))</f>
        <v>#N/A</v>
      </c>
      <c r="AF129" s="88" t="e">
        <f>VLOOKUP($B129,'2007-2020 Metadata'!$A$4:$S$214,MATCH("Site type",'2007-2020 Metadata'!$A$4:$S$4,0),FALSE)</f>
        <v>#N/A</v>
      </c>
      <c r="AG129" s="143">
        <f t="shared" si="42"/>
        <v>13.7</v>
      </c>
      <c r="AH129" s="143">
        <f t="shared" si="43"/>
        <v>27.3</v>
      </c>
      <c r="AI129" s="144" t="e">
        <f t="shared" si="44"/>
        <v>#N/A</v>
      </c>
    </row>
    <row r="130" spans="2:35" ht="12" customHeight="1" x14ac:dyDescent="0.15">
      <c r="B130" s="313" t="s">
        <v>521</v>
      </c>
      <c r="C130" s="309">
        <v>20.3</v>
      </c>
      <c r="D130" s="309">
        <v>26.3</v>
      </c>
      <c r="E130" s="309">
        <v>27.8</v>
      </c>
      <c r="F130" s="309"/>
      <c r="G130" s="309">
        <v>24.7</v>
      </c>
      <c r="H130" s="309">
        <v>25.2</v>
      </c>
      <c r="I130" s="309">
        <v>25.4</v>
      </c>
      <c r="J130" s="309">
        <v>27.8</v>
      </c>
      <c r="K130" s="309">
        <v>20.9</v>
      </c>
      <c r="L130" s="309">
        <v>22.5</v>
      </c>
      <c r="M130" s="309">
        <v>22.5</v>
      </c>
      <c r="N130" s="309">
        <v>20.399999999999999</v>
      </c>
      <c r="O130" s="310">
        <f t="shared" si="38"/>
        <v>23.981818181818184</v>
      </c>
      <c r="P130" s="310">
        <f t="shared" si="30"/>
        <v>11.161684650836555</v>
      </c>
      <c r="Q130" s="311">
        <f t="shared" si="31"/>
        <v>0.91666666666666663</v>
      </c>
      <c r="R130" s="225">
        <f t="shared" si="35"/>
        <v>24.8</v>
      </c>
      <c r="S130" s="226">
        <f t="shared" si="39"/>
        <v>1</v>
      </c>
      <c r="T130" s="225">
        <f t="shared" si="36"/>
        <v>24.7</v>
      </c>
      <c r="U130" s="226">
        <f t="shared" si="40"/>
        <v>1</v>
      </c>
      <c r="V130" s="227">
        <f t="shared" si="37"/>
        <v>23.981818181818184</v>
      </c>
      <c r="W130" s="228">
        <f t="shared" si="41"/>
        <v>0.91666666666666663</v>
      </c>
      <c r="X130" s="144">
        <f t="shared" si="32"/>
        <v>14.611111111111109</v>
      </c>
      <c r="Y130" s="144">
        <f t="shared" si="33"/>
        <v>15.855555555555554</v>
      </c>
      <c r="Z130" s="144">
        <f t="shared" si="34"/>
        <v>14.712878787878788</v>
      </c>
      <c r="AA130" s="205"/>
      <c r="AB130" s="357" t="str">
        <f>VLOOKUP($B130,'2007-2020 Metadata'!$A$4:$S$214,MATCH("Urban Area /Monitoring Zone",'2007-2020 Metadata'!$A$4:$S$4,0),FALSE)</f>
        <v>Otaki</v>
      </c>
      <c r="AC130" s="229" t="str">
        <f>VLOOKUP(B130,'2007-2020 Metadata'!$A$6:$A$214,1,FALSE)</f>
        <v>WEL087</v>
      </c>
      <c r="AD130" s="230" t="str">
        <f>VLOOKUP($AC130,'2007-2020 Metadata'!$A$6:$S$214,9,FALSE)</f>
        <v>Kapiti Coast</v>
      </c>
      <c r="AE130" s="230">
        <f>IF(ISBLANK(VLOOKUP($AC130,'2007-2020 Metadata'!$A$6:$S$214,19,FALSE)),"",VLOOKUP($AC130,'2007-2020 Metadata'!$A$6:$S$214,19,FALSE))</f>
        <v>3</v>
      </c>
      <c r="AF130" s="88" t="str">
        <f>VLOOKUP($B130,'2007-2020 Metadata'!$A$4:$S$214,MATCH("Site type",'2007-2020 Metadata'!$A$4:$S$4,0),FALSE)</f>
        <v>SH</v>
      </c>
      <c r="AG130" s="143">
        <f t="shared" si="42"/>
        <v>20.3</v>
      </c>
      <c r="AH130" s="143">
        <f t="shared" si="43"/>
        <v>27.8</v>
      </c>
      <c r="AI130" s="144">
        <f t="shared" si="44"/>
        <v>14.712878787878788</v>
      </c>
    </row>
    <row r="131" spans="2:35" ht="12" customHeight="1" x14ac:dyDescent="0.15">
      <c r="B131" s="313" t="s">
        <v>523</v>
      </c>
      <c r="C131" s="309">
        <v>18.2</v>
      </c>
      <c r="D131" s="309">
        <v>29.3</v>
      </c>
      <c r="E131" s="309">
        <v>29.5</v>
      </c>
      <c r="F131" s="309">
        <v>31.6</v>
      </c>
      <c r="G131" s="309">
        <v>29</v>
      </c>
      <c r="H131" s="309">
        <v>35.700000000000003</v>
      </c>
      <c r="I131" s="309">
        <v>33.6</v>
      </c>
      <c r="J131" s="309">
        <v>35.5</v>
      </c>
      <c r="K131" s="309">
        <v>32.4</v>
      </c>
      <c r="L131" s="309">
        <v>27.2</v>
      </c>
      <c r="M131" s="309">
        <v>27.6</v>
      </c>
      <c r="N131" s="309">
        <v>22.9</v>
      </c>
      <c r="O131" s="310">
        <f t="shared" si="38"/>
        <v>29.375</v>
      </c>
      <c r="P131" s="310">
        <f t="shared" si="30"/>
        <v>16.570557355073891</v>
      </c>
      <c r="Q131" s="311">
        <f t="shared" si="31"/>
        <v>1</v>
      </c>
      <c r="R131" s="225">
        <f t="shared" si="35"/>
        <v>25.666666666666668</v>
      </c>
      <c r="S131" s="226">
        <f t="shared" si="39"/>
        <v>1</v>
      </c>
      <c r="T131" s="225">
        <f t="shared" si="36"/>
        <v>33.833333333333336</v>
      </c>
      <c r="U131" s="226">
        <f t="shared" si="40"/>
        <v>1</v>
      </c>
      <c r="V131" s="227">
        <f t="shared" si="37"/>
        <v>29.375</v>
      </c>
      <c r="W131" s="228">
        <f t="shared" si="41"/>
        <v>1</v>
      </c>
      <c r="X131" s="144">
        <f t="shared" si="32"/>
        <v>15.5</v>
      </c>
      <c r="Y131" s="144">
        <f t="shared" si="33"/>
        <v>19.983333333333334</v>
      </c>
      <c r="Z131" s="144">
        <f t="shared" si="34"/>
        <v>17.504166666666666</v>
      </c>
      <c r="AA131" s="205"/>
      <c r="AB131" s="357" t="str">
        <f>VLOOKUP($B131,'2007-2020 Metadata'!$A$4:$S$214,MATCH("Urban Area /Monitoring Zone",'2007-2020 Metadata'!$A$4:$S$4,0),FALSE)</f>
        <v>Porirua</v>
      </c>
      <c r="AC131" s="229" t="str">
        <f>VLOOKUP(B131,'2007-2020 Metadata'!$A$6:$A$214,1,FALSE)</f>
        <v>WEL088</v>
      </c>
      <c r="AD131" s="230" t="str">
        <f>VLOOKUP($AC131,'2007-2020 Metadata'!$A$6:$S$214,9,FALSE)</f>
        <v>Porirua</v>
      </c>
      <c r="AE131" s="230">
        <f>IF(ISBLANK(VLOOKUP($AC131,'2007-2020 Metadata'!$A$6:$S$214,19,FALSE)),"",VLOOKUP($AC131,'2007-2020 Metadata'!$A$6:$S$214,19,FALSE))</f>
        <v>3</v>
      </c>
      <c r="AF131" s="88" t="str">
        <f>VLOOKUP($B131,'2007-2020 Metadata'!$A$4:$S$214,MATCH("Site type",'2007-2020 Metadata'!$A$4:$S$4,0),FALSE)</f>
        <v>SH</v>
      </c>
      <c r="AG131" s="143">
        <f t="shared" si="42"/>
        <v>18.2</v>
      </c>
      <c r="AH131" s="143">
        <f t="shared" si="43"/>
        <v>35.700000000000003</v>
      </c>
      <c r="AI131" s="144">
        <f t="shared" si="44"/>
        <v>17.504166666666666</v>
      </c>
    </row>
    <row r="132" spans="2:35" ht="12" customHeight="1" x14ac:dyDescent="0.15">
      <c r="B132" s="313" t="s">
        <v>526</v>
      </c>
      <c r="C132" s="309">
        <v>12.5</v>
      </c>
      <c r="D132" s="309">
        <v>12.7</v>
      </c>
      <c r="E132" s="309">
        <v>13.9</v>
      </c>
      <c r="F132" s="309">
        <v>17</v>
      </c>
      <c r="G132" s="309">
        <v>17.399999999999999</v>
      </c>
      <c r="H132" s="309">
        <v>22.9</v>
      </c>
      <c r="I132" s="309">
        <v>14.7</v>
      </c>
      <c r="J132" s="309">
        <v>15.6</v>
      </c>
      <c r="K132" s="309">
        <v>13.8</v>
      </c>
      <c r="L132" s="309">
        <v>10.6</v>
      </c>
      <c r="M132" s="309">
        <v>9.8000000000000007</v>
      </c>
      <c r="N132" s="309">
        <v>7.7</v>
      </c>
      <c r="O132" s="310">
        <f t="shared" si="38"/>
        <v>14.049999999999999</v>
      </c>
      <c r="P132" s="310">
        <f t="shared" si="30"/>
        <v>27.232145158820547</v>
      </c>
      <c r="Q132" s="311">
        <f t="shared" si="31"/>
        <v>1</v>
      </c>
      <c r="R132" s="225">
        <f t="shared" si="35"/>
        <v>13.033333333333333</v>
      </c>
      <c r="S132" s="226">
        <f t="shared" si="39"/>
        <v>1</v>
      </c>
      <c r="T132" s="225">
        <f t="shared" si="36"/>
        <v>14.699999999999998</v>
      </c>
      <c r="U132" s="226">
        <f t="shared" si="40"/>
        <v>1</v>
      </c>
      <c r="V132" s="227">
        <f t="shared" si="37"/>
        <v>14.049999999999999</v>
      </c>
      <c r="W132" s="228">
        <f t="shared" si="41"/>
        <v>1</v>
      </c>
      <c r="X132" s="144">
        <f t="shared" si="32"/>
        <v>9.4499999999999993</v>
      </c>
      <c r="Y132" s="144">
        <f t="shared" si="33"/>
        <v>11.499999999999998</v>
      </c>
      <c r="Z132" s="144">
        <f t="shared" si="34"/>
        <v>10.533333333333333</v>
      </c>
      <c r="AA132" s="205"/>
      <c r="AB132" s="357" t="str">
        <f>VLOOKUP($B132,'2007-2020 Metadata'!$A$4:$S$214,MATCH("Urban Area /Monitoring Zone",'2007-2020 Metadata'!$A$4:$S$4,0),FALSE)</f>
        <v xml:space="preserve">Masterton </v>
      </c>
      <c r="AC132" s="229" t="str">
        <f>VLOOKUP(B132,'2007-2020 Metadata'!$A$6:$A$214,1,FALSE)</f>
        <v>WEL089</v>
      </c>
      <c r="AD132" s="230" t="str">
        <f>VLOOKUP($AC132,'2007-2020 Metadata'!$A$6:$S$214,9,FALSE)</f>
        <v xml:space="preserve">Masterton </v>
      </c>
      <c r="AE132" s="230">
        <f>IF(ISBLANK(VLOOKUP($AC132,'2007-2020 Metadata'!$A$6:$S$214,19,FALSE)),"",VLOOKUP($AC132,'2007-2020 Metadata'!$A$6:$S$214,19,FALSE))</f>
        <v>3</v>
      </c>
      <c r="AF132" s="88" t="str">
        <f>VLOOKUP($B132,'2007-2020 Metadata'!$A$4:$S$214,MATCH("Site type",'2007-2020 Metadata'!$A$4:$S$4,0),FALSE)</f>
        <v>SH</v>
      </c>
      <c r="AG132" s="143">
        <f t="shared" si="42"/>
        <v>7.7</v>
      </c>
      <c r="AH132" s="143">
        <f t="shared" si="43"/>
        <v>22.9</v>
      </c>
      <c r="AI132" s="144">
        <f t="shared" si="44"/>
        <v>10.533333333333333</v>
      </c>
    </row>
    <row r="133" spans="2:35" ht="12" customHeight="1" x14ac:dyDescent="0.15">
      <c r="B133" s="313" t="s">
        <v>980</v>
      </c>
      <c r="C133" s="309">
        <v>15.7</v>
      </c>
      <c r="D133" s="309">
        <v>21.2</v>
      </c>
      <c r="E133" s="309">
        <v>22.9</v>
      </c>
      <c r="F133" s="309">
        <v>22.2</v>
      </c>
      <c r="G133" s="309">
        <v>20.5</v>
      </c>
      <c r="H133" s="309">
        <v>32.200000000000003</v>
      </c>
      <c r="I133" s="309">
        <v>26.9</v>
      </c>
      <c r="J133" s="309">
        <v>26.9</v>
      </c>
      <c r="K133" s="309">
        <v>16.5</v>
      </c>
      <c r="L133" s="309">
        <v>19.399999999999999</v>
      </c>
      <c r="M133" s="309">
        <v>17.8</v>
      </c>
      <c r="N133" s="309">
        <v>15.5</v>
      </c>
      <c r="O133" s="310">
        <f t="shared" si="38"/>
        <v>21.475000000000005</v>
      </c>
      <c r="P133" s="310">
        <f t="shared" si="30"/>
        <v>22.855309428884212</v>
      </c>
      <c r="Q133" s="311">
        <f t="shared" si="31"/>
        <v>1</v>
      </c>
      <c r="R133" s="225">
        <f t="shared" si="35"/>
        <v>19.933333333333334</v>
      </c>
      <c r="S133" s="226">
        <f t="shared" si="39"/>
        <v>1</v>
      </c>
      <c r="T133" s="225">
        <f t="shared" si="36"/>
        <v>23.433333333333334</v>
      </c>
      <c r="U133" s="226">
        <f t="shared" si="40"/>
        <v>1</v>
      </c>
      <c r="V133" s="227">
        <f t="shared" si="37"/>
        <v>21.475000000000005</v>
      </c>
      <c r="W133" s="228">
        <f t="shared" si="41"/>
        <v>1</v>
      </c>
      <c r="X133" s="144" t="e">
        <f t="shared" si="32"/>
        <v>#N/A</v>
      </c>
      <c r="Y133" s="144" t="e">
        <f t="shared" si="33"/>
        <v>#N/A</v>
      </c>
      <c r="Z133" s="144" t="e">
        <f t="shared" si="34"/>
        <v>#N/A</v>
      </c>
      <c r="AA133" s="205"/>
      <c r="AB133" s="357" t="e">
        <f>VLOOKUP($B133,'2007-2020 Metadata'!$A$4:$S$214,MATCH("Urban Area /Monitoring Zone",'2007-2020 Metadata'!$A$4:$S$4,0),FALSE)</f>
        <v>#N/A</v>
      </c>
      <c r="AC133" s="229" t="e">
        <f>VLOOKUP(B133,'2007-2020 Metadata'!$A$6:$A$214,1,FALSE)</f>
        <v>#N/A</v>
      </c>
      <c r="AD133" s="230" t="e">
        <f>VLOOKUP($AC133,'2007-2020 Metadata'!$A$6:$S$214,9,FALSE)</f>
        <v>#N/A</v>
      </c>
      <c r="AE133" s="230" t="e">
        <f>IF(ISBLANK(VLOOKUP($AC133,'2007-2020 Metadata'!$A$6:$S$214,19,FALSE)),"",VLOOKUP($AC133,'2007-2020 Metadata'!$A$6:$S$214,19,FALSE))</f>
        <v>#N/A</v>
      </c>
      <c r="AF133" s="88" t="e">
        <f>VLOOKUP($B133,'2007-2020 Metadata'!$A$4:$S$214,MATCH("Site type",'2007-2020 Metadata'!$A$4:$S$4,0),FALSE)</f>
        <v>#N/A</v>
      </c>
      <c r="AG133" s="143">
        <f t="shared" si="42"/>
        <v>15.5</v>
      </c>
      <c r="AH133" s="143">
        <f t="shared" si="43"/>
        <v>32.200000000000003</v>
      </c>
      <c r="AI133" s="144" t="e">
        <f t="shared" si="44"/>
        <v>#N/A</v>
      </c>
    </row>
    <row r="134" spans="2:35" ht="12" customHeight="1" x14ac:dyDescent="0.15">
      <c r="B134" s="313" t="s">
        <v>529</v>
      </c>
      <c r="C134" s="309">
        <v>5.0999999999999996</v>
      </c>
      <c r="D134" s="309">
        <v>8.5</v>
      </c>
      <c r="E134" s="309">
        <v>8.1999999999999993</v>
      </c>
      <c r="F134" s="309">
        <v>9.4</v>
      </c>
      <c r="G134" s="309">
        <v>9.6</v>
      </c>
      <c r="H134" s="309">
        <v>15.3</v>
      </c>
      <c r="I134" s="309">
        <v>12.1</v>
      </c>
      <c r="J134" s="309">
        <v>10.6</v>
      </c>
      <c r="K134" s="309">
        <v>8.1999999999999993</v>
      </c>
      <c r="L134" s="309">
        <v>12.6</v>
      </c>
      <c r="M134" s="309">
        <v>5.7</v>
      </c>
      <c r="N134" s="309">
        <v>5.3</v>
      </c>
      <c r="O134" s="310">
        <f t="shared" si="38"/>
        <v>9.216666666666665</v>
      </c>
      <c r="P134" s="310">
        <f t="shared" si="30"/>
        <v>32.26163443652031</v>
      </c>
      <c r="Q134" s="311">
        <f t="shared" si="31"/>
        <v>1</v>
      </c>
      <c r="R134" s="225">
        <f t="shared" si="35"/>
        <v>7.2666666666666657</v>
      </c>
      <c r="S134" s="226">
        <f t="shared" si="39"/>
        <v>1</v>
      </c>
      <c r="T134" s="225">
        <f t="shared" si="36"/>
        <v>10.299999999999999</v>
      </c>
      <c r="U134" s="226">
        <f t="shared" si="40"/>
        <v>1</v>
      </c>
      <c r="V134" s="227">
        <f t="shared" si="37"/>
        <v>9.216666666666665</v>
      </c>
      <c r="W134" s="228">
        <f t="shared" si="41"/>
        <v>1</v>
      </c>
      <c r="X134" s="144">
        <f t="shared" si="32"/>
        <v>10.294444444444444</v>
      </c>
      <c r="Y134" s="144">
        <f t="shared" si="33"/>
        <v>15.516666666666666</v>
      </c>
      <c r="Z134" s="144">
        <f t="shared" si="34"/>
        <v>13.324267676767676</v>
      </c>
      <c r="AA134" s="205"/>
      <c r="AB134" s="357" t="str">
        <f>VLOOKUP($B134,'2007-2020 Metadata'!$A$4:$S$214,MATCH("Urban Area /Monitoring Zone",'2007-2020 Metadata'!$A$4:$S$4,0),FALSE)</f>
        <v>Lower Hutt</v>
      </c>
      <c r="AC134" s="229" t="str">
        <f>VLOOKUP(B134,'2007-2020 Metadata'!$A$6:$A$214,1,FALSE)</f>
        <v>WEL091</v>
      </c>
      <c r="AD134" s="230" t="str">
        <f>VLOOKUP($AC134,'2007-2020 Metadata'!$A$6:$S$214,9,FALSE)</f>
        <v>Lower Hutt</v>
      </c>
      <c r="AE134" s="230">
        <f>IF(ISBLANK(VLOOKUP($AC134,'2007-2020 Metadata'!$A$6:$S$214,19,FALSE)),"",VLOOKUP($AC134,'2007-2020 Metadata'!$A$6:$S$214,19,FALSE))</f>
        <v>3</v>
      </c>
      <c r="AF134" s="88" t="str">
        <f>VLOOKUP($B134,'2007-2020 Metadata'!$A$4:$S$214,MATCH("Site type",'2007-2020 Metadata'!$A$4:$S$4,0),FALSE)</f>
        <v>Background</v>
      </c>
      <c r="AG134" s="143">
        <f t="shared" si="42"/>
        <v>5.0999999999999996</v>
      </c>
      <c r="AH134" s="143">
        <f t="shared" si="43"/>
        <v>15.3</v>
      </c>
      <c r="AI134" s="144">
        <f t="shared" si="44"/>
        <v>13.324267676767676</v>
      </c>
    </row>
    <row r="135" spans="2:35" ht="12" customHeight="1" x14ac:dyDescent="0.15">
      <c r="B135" s="313" t="s">
        <v>531</v>
      </c>
      <c r="C135" s="309">
        <v>3.9</v>
      </c>
      <c r="D135" s="309">
        <v>3.7</v>
      </c>
      <c r="E135" s="309">
        <v>6.4</v>
      </c>
      <c r="F135" s="309">
        <v>6.7</v>
      </c>
      <c r="G135" s="309">
        <v>6.8</v>
      </c>
      <c r="H135" s="309">
        <v>11</v>
      </c>
      <c r="I135" s="309">
        <v>7.8</v>
      </c>
      <c r="J135" s="309">
        <v>7.3</v>
      </c>
      <c r="K135" s="309">
        <v>5.6</v>
      </c>
      <c r="L135" s="309">
        <v>4.0999999999999996</v>
      </c>
      <c r="M135" s="309">
        <v>3.5</v>
      </c>
      <c r="N135" s="309">
        <v>2.8</v>
      </c>
      <c r="O135" s="310">
        <f t="shared" si="38"/>
        <v>5.8</v>
      </c>
      <c r="P135" s="310">
        <f t="shared" ref="P135:P169" si="47">IFERROR((STDEVP(C135:N135)/O135)*100,"")</f>
        <v>38.777135921998166</v>
      </c>
      <c r="Q135" s="311">
        <f t="shared" ref="Q135:Q169" si="48">COUNT(C135:N135)/COUNT($C$6:$N$6)</f>
        <v>1</v>
      </c>
      <c r="R135" s="225">
        <f t="shared" si="35"/>
        <v>4.666666666666667</v>
      </c>
      <c r="S135" s="226">
        <f t="shared" si="39"/>
        <v>1</v>
      </c>
      <c r="T135" s="225">
        <f t="shared" si="36"/>
        <v>6.8999999999999995</v>
      </c>
      <c r="U135" s="226">
        <f t="shared" si="40"/>
        <v>1</v>
      </c>
      <c r="V135" s="227">
        <f t="shared" si="37"/>
        <v>5.8</v>
      </c>
      <c r="W135" s="228">
        <f t="shared" si="41"/>
        <v>1</v>
      </c>
      <c r="X135" s="144">
        <f t="shared" si="32"/>
        <v>4.666666666666667</v>
      </c>
      <c r="Y135" s="144">
        <f t="shared" si="33"/>
        <v>6.8999999999999995</v>
      </c>
      <c r="Z135" s="144">
        <f t="shared" si="34"/>
        <v>5.8</v>
      </c>
      <c r="AA135" s="205"/>
      <c r="AB135" s="357" t="str">
        <f>VLOOKUP($B135,'2007-2020 Metadata'!$A$4:$S$214,MATCH("Urban Area /Monitoring Zone",'2007-2020 Metadata'!$A$4:$S$4,0),FALSE)</f>
        <v xml:space="preserve">Upper Hutt </v>
      </c>
      <c r="AC135" s="229" t="str">
        <f>VLOOKUP(B135,'2007-2020 Metadata'!$A$6:$A$214,1,FALSE)</f>
        <v>WEL092</v>
      </c>
      <c r="AD135" s="230" t="str">
        <f>VLOOKUP($AC135,'2007-2020 Metadata'!$A$6:$S$214,9,FALSE)</f>
        <v xml:space="preserve">Upper Hutt </v>
      </c>
      <c r="AE135" s="230">
        <f>IF(ISBLANK(VLOOKUP($AC135,'2007-2020 Metadata'!$A$6:$S$214,19,FALSE)),"",VLOOKUP($AC135,'2007-2020 Metadata'!$A$6:$S$214,19,FALSE))</f>
        <v>3</v>
      </c>
      <c r="AF135" s="88" t="str">
        <f>VLOOKUP($B135,'2007-2020 Metadata'!$A$4:$S$214,MATCH("Site type",'2007-2020 Metadata'!$A$4:$S$4,0),FALSE)</f>
        <v>Background</v>
      </c>
      <c r="AG135" s="143">
        <f t="shared" si="42"/>
        <v>2.8</v>
      </c>
      <c r="AH135" s="143">
        <f t="shared" si="43"/>
        <v>11</v>
      </c>
      <c r="AI135" s="144">
        <f t="shared" si="44"/>
        <v>5.8</v>
      </c>
    </row>
    <row r="136" spans="2:35" ht="12" customHeight="1" x14ac:dyDescent="0.15">
      <c r="B136" s="313" t="s">
        <v>981</v>
      </c>
      <c r="C136" s="309">
        <v>10.6</v>
      </c>
      <c r="D136" s="309">
        <v>11.3</v>
      </c>
      <c r="E136" s="309">
        <v>14.8</v>
      </c>
      <c r="F136" s="309">
        <v>14.7</v>
      </c>
      <c r="G136" s="309">
        <v>15.8</v>
      </c>
      <c r="H136" s="309">
        <v>21.1</v>
      </c>
      <c r="I136" s="309">
        <v>17.100000000000001</v>
      </c>
      <c r="J136" s="309">
        <v>16.3</v>
      </c>
      <c r="K136" s="309">
        <v>13.4</v>
      </c>
      <c r="L136" s="309">
        <v>5.8</v>
      </c>
      <c r="M136" s="309">
        <v>11.9</v>
      </c>
      <c r="N136" s="309">
        <v>10.1</v>
      </c>
      <c r="O136" s="310">
        <f t="shared" si="38"/>
        <v>13.575000000000001</v>
      </c>
      <c r="P136" s="310">
        <f t="shared" si="47"/>
        <v>28.017056645530118</v>
      </c>
      <c r="Q136" s="311">
        <f t="shared" si="48"/>
        <v>1</v>
      </c>
      <c r="R136" s="225">
        <f t="shared" si="35"/>
        <v>12.233333333333334</v>
      </c>
      <c r="S136" s="226">
        <f t="shared" si="39"/>
        <v>1</v>
      </c>
      <c r="T136" s="225">
        <f t="shared" si="36"/>
        <v>15.600000000000001</v>
      </c>
      <c r="U136" s="226">
        <f t="shared" si="40"/>
        <v>1</v>
      </c>
      <c r="V136" s="227">
        <f t="shared" si="37"/>
        <v>13.575000000000001</v>
      </c>
      <c r="W136" s="228">
        <f t="shared" si="41"/>
        <v>1</v>
      </c>
      <c r="X136" s="144" t="e">
        <f t="shared" si="32"/>
        <v>#N/A</v>
      </c>
      <c r="Y136" s="144" t="e">
        <f t="shared" si="33"/>
        <v>#N/A</v>
      </c>
      <c r="Z136" s="144" t="e">
        <f t="shared" si="34"/>
        <v>#N/A</v>
      </c>
      <c r="AA136" s="205"/>
      <c r="AB136" s="357" t="e">
        <f>VLOOKUP($B136,'2007-2020 Metadata'!$A$4:$S$214,MATCH("Urban Area /Monitoring Zone",'2007-2020 Metadata'!$A$4:$S$4,0),FALSE)</f>
        <v>#N/A</v>
      </c>
      <c r="AC136" s="229" t="e">
        <f>VLOOKUP(B136,'2007-2020 Metadata'!$A$6:$A$214,1,FALSE)</f>
        <v>#N/A</v>
      </c>
      <c r="AD136" s="230" t="e">
        <f>VLOOKUP($AC136,'2007-2020 Metadata'!$A$6:$S$214,9,FALSE)</f>
        <v>#N/A</v>
      </c>
      <c r="AE136" s="230" t="e">
        <f>IF(ISBLANK(VLOOKUP($AC136,'2007-2020 Metadata'!$A$6:$S$214,19,FALSE)),"",VLOOKUP($AC136,'2007-2020 Metadata'!$A$6:$S$214,19,FALSE))</f>
        <v>#N/A</v>
      </c>
      <c r="AF136" s="88" t="e">
        <f>VLOOKUP($B136,'2007-2020 Metadata'!$A$4:$S$214,MATCH("Site type",'2007-2020 Metadata'!$A$4:$S$4,0),FALSE)</f>
        <v>#N/A</v>
      </c>
      <c r="AG136" s="143">
        <f t="shared" si="42"/>
        <v>5.8</v>
      </c>
      <c r="AH136" s="143">
        <f t="shared" si="43"/>
        <v>21.1</v>
      </c>
      <c r="AI136" s="144" t="e">
        <f t="shared" si="44"/>
        <v>#N/A</v>
      </c>
    </row>
    <row r="137" spans="2:35" ht="12" customHeight="1" x14ac:dyDescent="0.15">
      <c r="B137" s="313" t="s">
        <v>534</v>
      </c>
      <c r="C137" s="309">
        <v>6</v>
      </c>
      <c r="D137" s="309">
        <v>5.8</v>
      </c>
      <c r="E137" s="309">
        <v>7.7</v>
      </c>
      <c r="F137" s="309">
        <v>6.1</v>
      </c>
      <c r="G137" s="309">
        <v>5</v>
      </c>
      <c r="H137" s="309">
        <v>9.4</v>
      </c>
      <c r="I137" s="309">
        <v>6.5</v>
      </c>
      <c r="J137" s="309">
        <v>5.8</v>
      </c>
      <c r="K137" s="309">
        <v>5.5</v>
      </c>
      <c r="L137" s="309">
        <v>3.9</v>
      </c>
      <c r="M137" s="309">
        <v>3.5</v>
      </c>
      <c r="N137" s="309">
        <v>3.3</v>
      </c>
      <c r="O137" s="310">
        <f t="shared" si="38"/>
        <v>5.7083333333333321</v>
      </c>
      <c r="P137" s="310">
        <f t="shared" si="47"/>
        <v>29.037153240543002</v>
      </c>
      <c r="Q137" s="311">
        <f t="shared" si="48"/>
        <v>1</v>
      </c>
      <c r="R137" s="225">
        <f t="shared" si="35"/>
        <v>6.5</v>
      </c>
      <c r="S137" s="226">
        <f t="shared" si="39"/>
        <v>1</v>
      </c>
      <c r="T137" s="225">
        <f t="shared" si="36"/>
        <v>5.9333333333333336</v>
      </c>
      <c r="U137" s="226">
        <f t="shared" si="40"/>
        <v>1</v>
      </c>
      <c r="V137" s="227">
        <f t="shared" si="37"/>
        <v>5.7083333333333321</v>
      </c>
      <c r="W137" s="228">
        <f t="shared" si="41"/>
        <v>1</v>
      </c>
      <c r="X137" s="144">
        <f t="shared" ref="X137:X169" si="49">IF(VLOOKUP($B137,$AC$6:$AI$180,3,FALSE)="",$R137,IF(ISERROR(AVERAGEIF($AD$6:$AD$180,VLOOKUP($B137,$AC$6:$AI$180,2,FALSE),$R$6:$R$180)),"",AVERAGEIF($AD$6:$AD$180,VLOOKUP($B137,$AC$6:$AI$180,2,FALSE),$R$6:$R$180)))</f>
        <v>15.022222222222224</v>
      </c>
      <c r="Y137" s="144">
        <f t="shared" ref="Y137:Y169" si="50">IF(VLOOKUP($B137,$AC$6:$AI$180,3,FALSE)="",$T137,IF(ISERROR(AVERAGEIF($AD$6:$AD$180,VLOOKUP($B137,$AC$6:$AI$180,2,FALSE),$T$6:$T$180)),"",AVERAGEIF($AD$6:$AD$180,VLOOKUP($B137,$AC$6:$AI$180,2,FALSE),$T$6:$T$180)))</f>
        <v>18.533333333333335</v>
      </c>
      <c r="Z137" s="144">
        <f t="shared" ref="Z137:Z169" si="51">IF(VLOOKUP($B137,$AC$6:$AI$180,3,FALSE)="",$V137,IF(ISERROR(AVERAGEIF($AD$6:$AD$180,VLOOKUP($B137,$AC$6:$AI$180,2,FALSE),$V$6:$V$180)),"",AVERAGEIF($AD$6:$AD$180,VLOOKUP($B137,$AC$6:$AI$180,2,FALSE),$V$6:$V$180)))</f>
        <v>16.363333333333333</v>
      </c>
      <c r="AA137" s="205"/>
      <c r="AB137" s="357" t="str">
        <f>VLOOKUP($B137,'2007-2020 Metadata'!$A$4:$S$214,MATCH("Urban Area /Monitoring Zone",'2007-2020 Metadata'!$A$4:$S$4,0),FALSE)</f>
        <v>Wellington</v>
      </c>
      <c r="AC137" s="229" t="str">
        <f>VLOOKUP(B137,'2007-2020 Metadata'!$A$6:$A$214,1,FALSE)</f>
        <v>WEL094</v>
      </c>
      <c r="AD137" s="230" t="str">
        <f>VLOOKUP($AC137,'2007-2020 Metadata'!$A$6:$S$214,9,FALSE)</f>
        <v>Wellington</v>
      </c>
      <c r="AE137" s="230">
        <f>IF(ISBLANK(VLOOKUP($AC137,'2007-2020 Metadata'!$A$6:$S$214,19,FALSE)),"",VLOOKUP($AC137,'2007-2020 Metadata'!$A$6:$S$214,19,FALSE))</f>
        <v>3</v>
      </c>
      <c r="AF137" s="88" t="str">
        <f>VLOOKUP($B137,'2007-2020 Metadata'!$A$4:$S$214,MATCH("Site type",'2007-2020 Metadata'!$A$4:$S$4,0),FALSE)</f>
        <v>Background</v>
      </c>
      <c r="AG137" s="143">
        <f t="shared" si="42"/>
        <v>3.3</v>
      </c>
      <c r="AH137" s="143">
        <f t="shared" si="43"/>
        <v>9.4</v>
      </c>
      <c r="AI137" s="144">
        <f t="shared" si="44"/>
        <v>16.363333333333333</v>
      </c>
    </row>
    <row r="138" spans="2:35" ht="12" customHeight="1" x14ac:dyDescent="0.15">
      <c r="B138" s="313" t="s">
        <v>982</v>
      </c>
      <c r="C138" s="309">
        <v>11.7</v>
      </c>
      <c r="D138" s="309">
        <v>15.9</v>
      </c>
      <c r="E138" s="309">
        <v>16.2</v>
      </c>
      <c r="F138" s="309">
        <v>16.399999999999999</v>
      </c>
      <c r="G138" s="309">
        <v>20.5</v>
      </c>
      <c r="H138" s="309">
        <v>24.4</v>
      </c>
      <c r="I138" s="309">
        <v>19.3</v>
      </c>
      <c r="J138" s="309">
        <v>16.100000000000001</v>
      </c>
      <c r="K138" s="309">
        <v>15.6</v>
      </c>
      <c r="L138" s="309">
        <v>13.2</v>
      </c>
      <c r="M138" s="309">
        <v>11.6</v>
      </c>
      <c r="N138" s="309">
        <v>9.6999999999999993</v>
      </c>
      <c r="O138" s="310">
        <f t="shared" si="38"/>
        <v>15.883333333333331</v>
      </c>
      <c r="P138" s="310">
        <f t="shared" si="47"/>
        <v>24.87326236490048</v>
      </c>
      <c r="Q138" s="311">
        <f t="shared" si="48"/>
        <v>1</v>
      </c>
      <c r="R138" s="225">
        <f t="shared" ref="R138:R169" si="52">IF($S138=0%,"",IF($S138&gt;66%,AVERAGE($C138:$E138),"-"))</f>
        <v>14.6</v>
      </c>
      <c r="S138" s="226">
        <f t="shared" si="39"/>
        <v>1</v>
      </c>
      <c r="T138" s="225">
        <f t="shared" ref="T138:T169" si="53">IF($U138=0%,"",IF($U138&gt;66%,AVERAGE($I138:$K138),"-"))</f>
        <v>17.000000000000004</v>
      </c>
      <c r="U138" s="226">
        <f t="shared" si="40"/>
        <v>1</v>
      </c>
      <c r="V138" s="227">
        <f t="shared" ref="V138:V169" si="54">IF(AND(($S138&gt;33%),($U138&gt;33%),($W138&gt;=75%)),AVERAGE($C138:$N138),"-")</f>
        <v>15.883333333333331</v>
      </c>
      <c r="W138" s="228">
        <f t="shared" si="41"/>
        <v>1</v>
      </c>
      <c r="X138" s="144" t="e">
        <f t="shared" si="49"/>
        <v>#N/A</v>
      </c>
      <c r="Y138" s="144" t="e">
        <f t="shared" si="50"/>
        <v>#N/A</v>
      </c>
      <c r="Z138" s="144" t="e">
        <f t="shared" si="51"/>
        <v>#N/A</v>
      </c>
      <c r="AA138" s="205"/>
      <c r="AB138" s="357" t="e">
        <f>VLOOKUP($B138,'2007-2020 Metadata'!$A$4:$S$214,MATCH("Urban Area /Monitoring Zone",'2007-2020 Metadata'!$A$4:$S$4,0),FALSE)</f>
        <v>#N/A</v>
      </c>
      <c r="AC138" s="229" t="e">
        <f>VLOOKUP(B138,'2007-2020 Metadata'!$A$6:$A$214,1,FALSE)</f>
        <v>#N/A</v>
      </c>
      <c r="AD138" s="230" t="e">
        <f>VLOOKUP($AC138,'2007-2020 Metadata'!$A$6:$S$214,9,FALSE)</f>
        <v>#N/A</v>
      </c>
      <c r="AE138" s="230" t="e">
        <f>IF(ISBLANK(VLOOKUP($AC138,'2007-2020 Metadata'!$A$6:$S$214,19,FALSE)),"",VLOOKUP($AC138,'2007-2020 Metadata'!$A$6:$S$214,19,FALSE))</f>
        <v>#N/A</v>
      </c>
      <c r="AF138" s="88" t="e">
        <f>VLOOKUP($B138,'2007-2020 Metadata'!$A$4:$S$214,MATCH("Site type",'2007-2020 Metadata'!$A$4:$S$4,0),FALSE)</f>
        <v>#N/A</v>
      </c>
      <c r="AG138" s="143">
        <f t="shared" si="42"/>
        <v>9.6999999999999993</v>
      </c>
      <c r="AH138" s="143">
        <f t="shared" si="43"/>
        <v>24.4</v>
      </c>
      <c r="AI138" s="144" t="e">
        <f t="shared" si="44"/>
        <v>#N/A</v>
      </c>
    </row>
    <row r="139" spans="2:35" ht="12" customHeight="1" x14ac:dyDescent="0.15">
      <c r="B139" s="313" t="s">
        <v>536</v>
      </c>
      <c r="C139" s="309">
        <v>3.7</v>
      </c>
      <c r="D139" s="309">
        <v>6.3</v>
      </c>
      <c r="E139" s="309">
        <v>7.6</v>
      </c>
      <c r="F139" s="309">
        <v>6.8</v>
      </c>
      <c r="G139" s="309">
        <v>9.8000000000000007</v>
      </c>
      <c r="H139" s="309">
        <v>12.2</v>
      </c>
      <c r="I139" s="309">
        <v>10.6</v>
      </c>
      <c r="J139" s="309">
        <v>8.4</v>
      </c>
      <c r="K139" s="309">
        <v>5.9</v>
      </c>
      <c r="L139" s="309">
        <v>4.8</v>
      </c>
      <c r="M139" s="309">
        <v>4.4000000000000004</v>
      </c>
      <c r="N139" s="309">
        <v>3.7</v>
      </c>
      <c r="O139" s="310">
        <f t="shared" si="38"/>
        <v>7.0166666666666684</v>
      </c>
      <c r="P139" s="310">
        <f t="shared" si="47"/>
        <v>37.992129733370575</v>
      </c>
      <c r="Q139" s="311">
        <f t="shared" si="48"/>
        <v>1</v>
      </c>
      <c r="R139" s="225">
        <f t="shared" si="52"/>
        <v>5.8666666666666671</v>
      </c>
      <c r="S139" s="226">
        <f t="shared" si="39"/>
        <v>1</v>
      </c>
      <c r="T139" s="225">
        <f t="shared" si="53"/>
        <v>8.2999999999999989</v>
      </c>
      <c r="U139" s="226">
        <f t="shared" si="40"/>
        <v>1</v>
      </c>
      <c r="V139" s="227">
        <f t="shared" si="54"/>
        <v>7.0166666666666684</v>
      </c>
      <c r="W139" s="228">
        <f t="shared" si="41"/>
        <v>1</v>
      </c>
      <c r="X139" s="144">
        <f t="shared" si="49"/>
        <v>9.4499999999999993</v>
      </c>
      <c r="Y139" s="144">
        <f t="shared" si="50"/>
        <v>11.499999999999998</v>
      </c>
      <c r="Z139" s="144">
        <f t="shared" si="51"/>
        <v>10.533333333333333</v>
      </c>
      <c r="AA139" s="205"/>
      <c r="AB139" s="357" t="str">
        <f>VLOOKUP($B139,'2007-2020 Metadata'!$A$4:$S$214,MATCH("Urban Area /Monitoring Zone",'2007-2020 Metadata'!$A$4:$S$4,0),FALSE)</f>
        <v xml:space="preserve">Masterton </v>
      </c>
      <c r="AC139" s="229" t="str">
        <f>VLOOKUP(B139,'2007-2020 Metadata'!$A$6:$A$214,1,FALSE)</f>
        <v>WEL096</v>
      </c>
      <c r="AD139" s="230" t="str">
        <f>VLOOKUP($AC139,'2007-2020 Metadata'!$A$6:$S$214,9,FALSE)</f>
        <v xml:space="preserve">Masterton </v>
      </c>
      <c r="AE139" s="230">
        <f>IF(ISBLANK(VLOOKUP($AC139,'2007-2020 Metadata'!$A$6:$S$214,19,FALSE)),"",VLOOKUP($AC139,'2007-2020 Metadata'!$A$6:$S$214,19,FALSE))</f>
        <v>3</v>
      </c>
      <c r="AF139" s="88" t="str">
        <f>VLOOKUP($B139,'2007-2020 Metadata'!$A$4:$S$214,MATCH("Site type",'2007-2020 Metadata'!$A$4:$S$4,0),FALSE)</f>
        <v>Background</v>
      </c>
      <c r="AG139" s="143">
        <f t="shared" si="42"/>
        <v>3.7</v>
      </c>
      <c r="AH139" s="143">
        <f t="shared" si="43"/>
        <v>12.2</v>
      </c>
      <c r="AI139" s="144">
        <f t="shared" si="44"/>
        <v>10.533333333333333</v>
      </c>
    </row>
    <row r="140" spans="2:35" ht="12" customHeight="1" x14ac:dyDescent="0.15">
      <c r="B140" s="313" t="s">
        <v>983</v>
      </c>
      <c r="C140" s="309">
        <v>10.7</v>
      </c>
      <c r="D140" s="309">
        <v>16.899999999999999</v>
      </c>
      <c r="E140" s="309">
        <v>14.7</v>
      </c>
      <c r="F140" s="309">
        <v>11.6</v>
      </c>
      <c r="G140" s="309">
        <v>18.2</v>
      </c>
      <c r="H140" s="309">
        <v>18.2</v>
      </c>
      <c r="I140" s="309">
        <v>16.600000000000001</v>
      </c>
      <c r="J140" s="309">
        <v>17.7</v>
      </c>
      <c r="K140" s="309">
        <v>13</v>
      </c>
      <c r="L140" s="309">
        <v>13.9</v>
      </c>
      <c r="M140" s="309">
        <v>17.600000000000001</v>
      </c>
      <c r="N140" s="309">
        <v>12.3</v>
      </c>
      <c r="O140" s="310">
        <f t="shared" ref="O140:O169" si="55">(AVERAGE(C140:N140))</f>
        <v>15.116666666666669</v>
      </c>
      <c r="P140" s="310">
        <f t="shared" si="47"/>
        <v>17.416227788085546</v>
      </c>
      <c r="Q140" s="311">
        <f t="shared" si="48"/>
        <v>1</v>
      </c>
      <c r="R140" s="225">
        <f t="shared" si="52"/>
        <v>14.1</v>
      </c>
      <c r="S140" s="226">
        <f t="shared" ref="S140:S169" si="56">COUNT(C140:E140)/3</f>
        <v>1</v>
      </c>
      <c r="T140" s="225">
        <f t="shared" si="53"/>
        <v>15.766666666666666</v>
      </c>
      <c r="U140" s="226">
        <f t="shared" ref="U140:U169" si="57">COUNT(I140:K140)/3</f>
        <v>1</v>
      </c>
      <c r="V140" s="227">
        <f t="shared" si="54"/>
        <v>15.116666666666669</v>
      </c>
      <c r="W140" s="228">
        <f t="shared" ref="W140:W169" si="58">Q140</f>
        <v>1</v>
      </c>
      <c r="X140" s="144" t="e">
        <f t="shared" si="49"/>
        <v>#N/A</v>
      </c>
      <c r="Y140" s="144" t="e">
        <f t="shared" si="50"/>
        <v>#N/A</v>
      </c>
      <c r="Z140" s="144" t="e">
        <f t="shared" si="51"/>
        <v>#N/A</v>
      </c>
      <c r="AA140" s="205"/>
      <c r="AB140" s="357" t="e">
        <f>VLOOKUP($B140,'2007-2020 Metadata'!$A$4:$S$214,MATCH("Urban Area /Monitoring Zone",'2007-2020 Metadata'!$A$4:$S$4,0),FALSE)</f>
        <v>#N/A</v>
      </c>
      <c r="AC140" s="229" t="e">
        <f>VLOOKUP(B140,'2007-2020 Metadata'!$A$6:$A$214,1,FALSE)</f>
        <v>#N/A</v>
      </c>
      <c r="AD140" s="230" t="e">
        <f>VLOOKUP($AC140,'2007-2020 Metadata'!$A$6:$S$214,9,FALSE)</f>
        <v>#N/A</v>
      </c>
      <c r="AE140" s="230" t="e">
        <f>IF(ISBLANK(VLOOKUP($AC140,'2007-2020 Metadata'!$A$6:$S$214,19,FALSE)),"",VLOOKUP($AC140,'2007-2020 Metadata'!$A$6:$S$214,19,FALSE))</f>
        <v>#N/A</v>
      </c>
      <c r="AF140" s="88" t="e">
        <f>VLOOKUP($B140,'2007-2020 Metadata'!$A$4:$S$214,MATCH("Site type",'2007-2020 Metadata'!$A$4:$S$4,0),FALSE)</f>
        <v>#N/A</v>
      </c>
      <c r="AG140" s="143">
        <f t="shared" ref="AG140:AG169" si="59">MIN(C140:N140)</f>
        <v>10.7</v>
      </c>
      <c r="AH140" s="143">
        <f t="shared" ref="AH140:AH169" si="60">MAX(C140:N140)</f>
        <v>18.2</v>
      </c>
      <c r="AI140" s="144" t="e">
        <f t="shared" ref="AI140:AI169" si="61">IF(W140&gt;=75%,Z140," ")</f>
        <v>#N/A</v>
      </c>
    </row>
    <row r="141" spans="2:35" ht="12" customHeight="1" x14ac:dyDescent="0.15">
      <c r="B141" s="313" t="s">
        <v>984</v>
      </c>
      <c r="C141" s="309">
        <v>13.1</v>
      </c>
      <c r="D141" s="309">
        <v>16.5</v>
      </c>
      <c r="E141" s="309">
        <v>19.7</v>
      </c>
      <c r="F141" s="309">
        <v>11.8</v>
      </c>
      <c r="G141" s="309">
        <v>16.8</v>
      </c>
      <c r="H141" s="309">
        <v>14.5</v>
      </c>
      <c r="I141" s="309">
        <v>16.899999999999999</v>
      </c>
      <c r="J141" s="309">
        <v>15.2</v>
      </c>
      <c r="K141" s="309">
        <v>12.9</v>
      </c>
      <c r="L141" s="309">
        <v>14.2</v>
      </c>
      <c r="M141" s="309">
        <v>20.2</v>
      </c>
      <c r="N141" s="309">
        <v>12.9</v>
      </c>
      <c r="O141" s="310">
        <f t="shared" si="55"/>
        <v>15.391666666666664</v>
      </c>
      <c r="P141" s="310">
        <f t="shared" si="47"/>
        <v>16.774103320332426</v>
      </c>
      <c r="Q141" s="311">
        <f t="shared" si="48"/>
        <v>1</v>
      </c>
      <c r="R141" s="225">
        <f>IF($S141=0%,"",IF($S141&gt;66%,AVERAGE($C141:$E141),"-"))</f>
        <v>16.433333333333334</v>
      </c>
      <c r="S141" s="226">
        <f t="shared" si="56"/>
        <v>1</v>
      </c>
      <c r="T141" s="225">
        <f t="shared" si="53"/>
        <v>14.999999999999998</v>
      </c>
      <c r="U141" s="226">
        <f t="shared" si="57"/>
        <v>1</v>
      </c>
      <c r="V141" s="227">
        <f t="shared" si="54"/>
        <v>15.391666666666664</v>
      </c>
      <c r="W141" s="228">
        <f t="shared" si="58"/>
        <v>1</v>
      </c>
      <c r="X141" s="144" t="e">
        <f t="shared" si="49"/>
        <v>#N/A</v>
      </c>
      <c r="Y141" s="144" t="e">
        <f t="shared" si="50"/>
        <v>#N/A</v>
      </c>
      <c r="Z141" s="144" t="e">
        <f t="shared" si="51"/>
        <v>#N/A</v>
      </c>
      <c r="AA141" s="205"/>
      <c r="AB141" s="357" t="e">
        <f>VLOOKUP($B141,'2007-2020 Metadata'!$A$4:$S$214,MATCH("Urban Area /Monitoring Zone",'2007-2020 Metadata'!$A$4:$S$4,0),FALSE)</f>
        <v>#N/A</v>
      </c>
      <c r="AC141" s="229" t="e">
        <f>VLOOKUP(B141,'2007-2020 Metadata'!$A$6:$A$214,1,FALSE)</f>
        <v>#N/A</v>
      </c>
      <c r="AD141" s="230" t="e">
        <f>VLOOKUP($AC141,'2007-2020 Metadata'!$A$6:$S$214,9,FALSE)</f>
        <v>#N/A</v>
      </c>
      <c r="AE141" s="230" t="e">
        <f>IF(ISBLANK(VLOOKUP($AC141,'2007-2020 Metadata'!$A$6:$S$214,19,FALSE)),"",VLOOKUP($AC141,'2007-2020 Metadata'!$A$6:$S$214,19,FALSE))</f>
        <v>#N/A</v>
      </c>
      <c r="AF141" s="88" t="e">
        <f>VLOOKUP($B141,'2007-2020 Metadata'!$A$4:$S$214,MATCH("Site type",'2007-2020 Metadata'!$A$4:$S$4,0),FALSE)</f>
        <v>#N/A</v>
      </c>
      <c r="AG141" s="143">
        <f t="shared" si="59"/>
        <v>11.8</v>
      </c>
      <c r="AH141" s="143">
        <f t="shared" si="60"/>
        <v>20.2</v>
      </c>
      <c r="AI141" s="144" t="e">
        <f t="shared" si="61"/>
        <v>#N/A</v>
      </c>
    </row>
    <row r="142" spans="2:35" ht="12" customHeight="1" x14ac:dyDescent="0.15">
      <c r="B142" s="313" t="s">
        <v>988</v>
      </c>
      <c r="C142" s="315"/>
      <c r="D142" s="309">
        <v>15.9</v>
      </c>
      <c r="E142" s="309">
        <v>18.3</v>
      </c>
      <c r="F142" s="309">
        <v>16.8</v>
      </c>
      <c r="G142" s="309">
        <v>22.1</v>
      </c>
      <c r="H142" s="309">
        <v>28.2</v>
      </c>
      <c r="I142" s="309">
        <v>21.3</v>
      </c>
      <c r="J142" s="309">
        <v>17.8</v>
      </c>
      <c r="K142" s="309">
        <v>17.8</v>
      </c>
      <c r="L142" s="309">
        <v>16.3</v>
      </c>
      <c r="M142" s="309">
        <v>17.2</v>
      </c>
      <c r="N142" s="309">
        <v>13.3</v>
      </c>
      <c r="O142" s="310">
        <f t="shared" si="55"/>
        <v>18.63636363636364</v>
      </c>
      <c r="P142" s="310">
        <f t="shared" si="47"/>
        <v>20.395728052316624</v>
      </c>
      <c r="Q142" s="311">
        <f t="shared" si="48"/>
        <v>0.91666666666666663</v>
      </c>
      <c r="R142" s="225">
        <f t="shared" si="52"/>
        <v>17.100000000000001</v>
      </c>
      <c r="S142" s="226">
        <f t="shared" si="56"/>
        <v>0.66666666666666663</v>
      </c>
      <c r="T142" s="225">
        <f t="shared" si="53"/>
        <v>18.966666666666669</v>
      </c>
      <c r="U142" s="226">
        <f t="shared" si="57"/>
        <v>1</v>
      </c>
      <c r="V142" s="227">
        <f t="shared" si="54"/>
        <v>18.63636363636364</v>
      </c>
      <c r="W142" s="228">
        <f t="shared" si="58"/>
        <v>0.91666666666666663</v>
      </c>
      <c r="X142" s="144" t="e">
        <f t="shared" si="49"/>
        <v>#N/A</v>
      </c>
      <c r="Y142" s="144" t="e">
        <f t="shared" si="50"/>
        <v>#N/A</v>
      </c>
      <c r="Z142" s="144" t="e">
        <f t="shared" si="51"/>
        <v>#N/A</v>
      </c>
      <c r="AA142" s="205"/>
      <c r="AB142" s="357" t="e">
        <f>VLOOKUP($B142,'2007-2020 Metadata'!$A$4:$S$214,MATCH("Urban Area /Monitoring Zone",'2007-2020 Metadata'!$A$4:$S$4,0),FALSE)</f>
        <v>#N/A</v>
      </c>
      <c r="AC142" s="229" t="e">
        <f>VLOOKUP(B142,'2007-2020 Metadata'!$A$6:$A$214,1,FALSE)</f>
        <v>#N/A</v>
      </c>
      <c r="AD142" s="230" t="e">
        <f>VLOOKUP($AC142,'2007-2020 Metadata'!$A$6:$S$214,9,FALSE)</f>
        <v>#N/A</v>
      </c>
      <c r="AE142" s="230" t="e">
        <f>IF(ISBLANK(VLOOKUP($AC142,'2007-2020 Metadata'!$A$6:$S$214,19,FALSE)),"",VLOOKUP($AC142,'2007-2020 Metadata'!$A$6:$S$214,19,FALSE))</f>
        <v>#N/A</v>
      </c>
      <c r="AF142" s="88" t="e">
        <f>VLOOKUP($B142,'2007-2020 Metadata'!$A$4:$S$214,MATCH("Site type",'2007-2020 Metadata'!$A$4:$S$4,0),FALSE)</f>
        <v>#N/A</v>
      </c>
      <c r="AG142" s="143">
        <f t="shared" si="59"/>
        <v>13.3</v>
      </c>
      <c r="AH142" s="143">
        <f t="shared" si="60"/>
        <v>28.2</v>
      </c>
      <c r="AI142" s="144" t="e">
        <f t="shared" si="61"/>
        <v>#N/A</v>
      </c>
    </row>
    <row r="143" spans="2:35" ht="12" customHeight="1" x14ac:dyDescent="0.15">
      <c r="B143" s="313" t="s">
        <v>21</v>
      </c>
      <c r="C143" s="309">
        <v>8.6</v>
      </c>
      <c r="D143" s="309">
        <v>10.3</v>
      </c>
      <c r="E143" s="309">
        <v>11.5</v>
      </c>
      <c r="F143" s="309">
        <v>11.1</v>
      </c>
      <c r="G143" s="309">
        <v>14.8</v>
      </c>
      <c r="H143" s="309">
        <v>15.7</v>
      </c>
      <c r="I143" s="309">
        <v>13.4</v>
      </c>
      <c r="J143" s="309">
        <v>12.4</v>
      </c>
      <c r="K143" s="309">
        <v>10.9</v>
      </c>
      <c r="L143" s="309">
        <v>9.8000000000000007</v>
      </c>
      <c r="M143" s="309">
        <v>9.1999999999999993</v>
      </c>
      <c r="N143" s="309">
        <v>7.2</v>
      </c>
      <c r="O143" s="310">
        <f t="shared" si="55"/>
        <v>11.241666666666667</v>
      </c>
      <c r="P143" s="310">
        <f t="shared" si="47"/>
        <v>21.35982662650996</v>
      </c>
      <c r="Q143" s="311">
        <f t="shared" si="48"/>
        <v>1</v>
      </c>
      <c r="R143" s="225">
        <f t="shared" si="52"/>
        <v>10.133333333333333</v>
      </c>
      <c r="S143" s="226">
        <f t="shared" si="56"/>
        <v>1</v>
      </c>
      <c r="T143" s="225">
        <f t="shared" si="53"/>
        <v>12.233333333333334</v>
      </c>
      <c r="U143" s="226">
        <f t="shared" si="57"/>
        <v>1</v>
      </c>
      <c r="V143" s="227">
        <f t="shared" si="54"/>
        <v>11.241666666666667</v>
      </c>
      <c r="W143" s="228">
        <f t="shared" si="58"/>
        <v>1</v>
      </c>
      <c r="X143" s="144">
        <f t="shared" si="49"/>
        <v>10.133333333333333</v>
      </c>
      <c r="Y143" s="144">
        <f t="shared" si="50"/>
        <v>12.233333333333334</v>
      </c>
      <c r="Z143" s="144">
        <f t="shared" si="51"/>
        <v>11.241666666666667</v>
      </c>
      <c r="AA143" s="205"/>
      <c r="AB143" s="357" t="str">
        <f>VLOOKUP($B143,'2007-2020 Metadata'!$A$4:$S$214,MATCH("Urban Area /Monitoring Zone",'2007-2020 Metadata'!$A$4:$S$4,0),FALSE)</f>
        <v>Greymouth</v>
      </c>
      <c r="AC143" s="229" t="str">
        <f>VLOOKUP(B143,'2007-2020 Metadata'!$A$6:$A$214,1,FALSE)</f>
        <v>CHR001</v>
      </c>
      <c r="AD143" s="230" t="str">
        <f>VLOOKUP($AC143,'2007-2020 Metadata'!$A$6:$S$214,9,FALSE)</f>
        <v>Greymouth</v>
      </c>
      <c r="AE143" s="230">
        <f>IF(ISBLANK(VLOOKUP($AC143,'2007-2020 Metadata'!$A$6:$S$214,19,FALSE)),"",VLOOKUP($AC143,'2007-2020 Metadata'!$A$6:$S$214,19,FALSE))</f>
        <v>2.2999999999999998</v>
      </c>
      <c r="AF143" s="88" t="str">
        <f>VLOOKUP($B143,'2007-2020 Metadata'!$A$4:$S$214,MATCH("Site type",'2007-2020 Metadata'!$A$4:$S$4,0),FALSE)</f>
        <v>SH</v>
      </c>
      <c r="AG143" s="143">
        <f t="shared" si="59"/>
        <v>7.2</v>
      </c>
      <c r="AH143" s="143">
        <f t="shared" si="60"/>
        <v>15.7</v>
      </c>
      <c r="AI143" s="144">
        <f t="shared" si="61"/>
        <v>11.241666666666667</v>
      </c>
    </row>
    <row r="144" spans="2:35" ht="12" customHeight="1" x14ac:dyDescent="0.15">
      <c r="B144" s="313" t="s">
        <v>22</v>
      </c>
      <c r="C144" s="309">
        <v>18.2</v>
      </c>
      <c r="D144" s="309">
        <v>15.9</v>
      </c>
      <c r="E144" s="309">
        <v>22.2</v>
      </c>
      <c r="F144" s="309">
        <v>22.6</v>
      </c>
      <c r="G144" s="309">
        <v>32.299999999999997</v>
      </c>
      <c r="H144" s="309">
        <v>37.5</v>
      </c>
      <c r="I144" s="309"/>
      <c r="J144" s="309">
        <v>25.4</v>
      </c>
      <c r="K144" s="309">
        <v>18.899999999999999</v>
      </c>
      <c r="L144" s="309">
        <v>17.2</v>
      </c>
      <c r="M144" s="309">
        <v>19.600000000000001</v>
      </c>
      <c r="N144" s="309">
        <v>12.8</v>
      </c>
      <c r="O144" s="310">
        <f t="shared" si="55"/>
        <v>22.054545454545455</v>
      </c>
      <c r="P144" s="310">
        <f t="shared" si="47"/>
        <v>31.561367841103692</v>
      </c>
      <c r="Q144" s="311">
        <f t="shared" si="48"/>
        <v>0.91666666666666663</v>
      </c>
      <c r="R144" s="225">
        <f t="shared" si="52"/>
        <v>18.766666666666666</v>
      </c>
      <c r="S144" s="226">
        <f t="shared" si="56"/>
        <v>1</v>
      </c>
      <c r="T144" s="225">
        <f t="shared" si="53"/>
        <v>22.15</v>
      </c>
      <c r="U144" s="226">
        <f t="shared" si="57"/>
        <v>0.66666666666666663</v>
      </c>
      <c r="V144" s="227">
        <f t="shared" si="54"/>
        <v>22.054545454545455</v>
      </c>
      <c r="W144" s="228">
        <f t="shared" si="58"/>
        <v>0.91666666666666663</v>
      </c>
      <c r="X144" s="144">
        <f t="shared" si="49"/>
        <v>21.108333333333334</v>
      </c>
      <c r="Y144" s="144">
        <f t="shared" si="50"/>
        <v>26.607291666666665</v>
      </c>
      <c r="Z144" s="144">
        <f t="shared" si="51"/>
        <v>24.282623106060605</v>
      </c>
      <c r="AA144" s="205"/>
      <c r="AB144" s="357" t="str">
        <f>VLOOKUP($B144,'2007-2020 Metadata'!$A$4:$S$214,MATCH("Urban Area /Monitoring Zone",'2007-2020 Metadata'!$A$4:$S$4,0),FALSE)</f>
        <v>Christchurch</v>
      </c>
      <c r="AC144" s="229" t="str">
        <f>VLOOKUP(B144,'2007-2020 Metadata'!$A$6:$A$214,1,FALSE)</f>
        <v>CHR002</v>
      </c>
      <c r="AD144" s="230" t="str">
        <f>VLOOKUP($AC144,'2007-2020 Metadata'!$A$6:$S$214,9,FALSE)</f>
        <v>Christchurch</v>
      </c>
      <c r="AE144" s="230">
        <f>IF(ISBLANK(VLOOKUP($AC144,'2007-2020 Metadata'!$A$6:$S$214,19,FALSE)),"",VLOOKUP($AC144,'2007-2020 Metadata'!$A$6:$S$214,19,FALSE))</f>
        <v>3.2</v>
      </c>
      <c r="AF144" s="88" t="str">
        <f>VLOOKUP($B144,'2007-2020 Metadata'!$A$4:$S$214,MATCH("Site type",'2007-2020 Metadata'!$A$4:$S$4,0),FALSE)</f>
        <v>SH</v>
      </c>
      <c r="AG144" s="143">
        <f t="shared" si="59"/>
        <v>12.8</v>
      </c>
      <c r="AH144" s="143">
        <f t="shared" si="60"/>
        <v>37.5</v>
      </c>
      <c r="AI144" s="144">
        <f t="shared" si="61"/>
        <v>24.282623106060605</v>
      </c>
    </row>
    <row r="145" spans="2:35" ht="12" customHeight="1" x14ac:dyDescent="0.15">
      <c r="B145" s="313" t="s">
        <v>23</v>
      </c>
      <c r="C145" s="309">
        <v>14.3</v>
      </c>
      <c r="D145" s="309">
        <v>18.2</v>
      </c>
      <c r="E145" s="309">
        <v>21.7</v>
      </c>
      <c r="F145" s="309">
        <v>26</v>
      </c>
      <c r="G145" s="309">
        <v>33.700000000000003</v>
      </c>
      <c r="H145" s="309">
        <v>37.299999999999997</v>
      </c>
      <c r="I145" s="309">
        <v>28.8</v>
      </c>
      <c r="J145" s="309">
        <v>31.8</v>
      </c>
      <c r="K145" s="309">
        <v>24.2</v>
      </c>
      <c r="L145" s="309">
        <v>23.6</v>
      </c>
      <c r="M145" s="309">
        <v>17.600000000000001</v>
      </c>
      <c r="N145" s="309">
        <v>13.6</v>
      </c>
      <c r="O145" s="310">
        <f t="shared" si="55"/>
        <v>24.233333333333338</v>
      </c>
      <c r="P145" s="310">
        <f t="shared" si="47"/>
        <v>30.148909532310519</v>
      </c>
      <c r="Q145" s="311">
        <f t="shared" si="48"/>
        <v>1</v>
      </c>
      <c r="R145" s="225">
        <f t="shared" si="52"/>
        <v>18.066666666666666</v>
      </c>
      <c r="S145" s="226">
        <f t="shared" si="56"/>
        <v>1</v>
      </c>
      <c r="T145" s="225">
        <f t="shared" si="53"/>
        <v>28.266666666666666</v>
      </c>
      <c r="U145" s="226">
        <f t="shared" si="57"/>
        <v>1</v>
      </c>
      <c r="V145" s="227">
        <f t="shared" si="54"/>
        <v>24.233333333333338</v>
      </c>
      <c r="W145" s="228">
        <f t="shared" si="58"/>
        <v>1</v>
      </c>
      <c r="X145" s="144">
        <f t="shared" si="49"/>
        <v>21.108333333333334</v>
      </c>
      <c r="Y145" s="144">
        <f t="shared" si="50"/>
        <v>26.607291666666665</v>
      </c>
      <c r="Z145" s="144">
        <f t="shared" si="51"/>
        <v>24.282623106060605</v>
      </c>
      <c r="AA145" s="205"/>
      <c r="AB145" s="357" t="str">
        <f>VLOOKUP($B145,'2007-2020 Metadata'!$A$4:$S$214,MATCH("Urban Area /Monitoring Zone",'2007-2020 Metadata'!$A$4:$S$4,0),FALSE)</f>
        <v>Christchurch</v>
      </c>
      <c r="AC145" s="229" t="str">
        <f>VLOOKUP(B145,'2007-2020 Metadata'!$A$6:$A$214,1,FALSE)</f>
        <v>CHR003</v>
      </c>
      <c r="AD145" s="230" t="str">
        <f>VLOOKUP($AC145,'2007-2020 Metadata'!$A$6:$S$214,9,FALSE)</f>
        <v>Christchurch</v>
      </c>
      <c r="AE145" s="230">
        <f>IF(ISBLANK(VLOOKUP($AC145,'2007-2020 Metadata'!$A$6:$S$214,19,FALSE)),"",VLOOKUP($AC145,'2007-2020 Metadata'!$A$6:$S$214,19,FALSE))</f>
        <v>3.3</v>
      </c>
      <c r="AF145" s="88" t="str">
        <f>VLOOKUP($B145,'2007-2020 Metadata'!$A$4:$S$214,MATCH("Site type",'2007-2020 Metadata'!$A$4:$S$4,0),FALSE)</f>
        <v>SH</v>
      </c>
      <c r="AG145" s="143">
        <f t="shared" si="59"/>
        <v>13.6</v>
      </c>
      <c r="AH145" s="143">
        <f t="shared" si="60"/>
        <v>37.299999999999997</v>
      </c>
      <c r="AI145" s="144">
        <f t="shared" si="61"/>
        <v>24.282623106060605</v>
      </c>
    </row>
    <row r="146" spans="2:35" ht="12" customHeight="1" x14ac:dyDescent="0.15">
      <c r="B146" s="313" t="s">
        <v>24</v>
      </c>
      <c r="C146" s="309">
        <v>6.5</v>
      </c>
      <c r="D146" s="309">
        <v>10.3</v>
      </c>
      <c r="E146" s="309">
        <v>12.9</v>
      </c>
      <c r="F146" s="309">
        <v>13.2</v>
      </c>
      <c r="G146" s="309">
        <v>21.9</v>
      </c>
      <c r="H146" s="309">
        <v>22.9</v>
      </c>
      <c r="I146" s="309">
        <v>18.8</v>
      </c>
      <c r="J146" s="309">
        <v>14.6</v>
      </c>
      <c r="K146" s="309">
        <v>9.1999999999999993</v>
      </c>
      <c r="L146" s="309">
        <v>9.1</v>
      </c>
      <c r="M146" s="309">
        <v>9.5</v>
      </c>
      <c r="N146" s="309">
        <v>5.6</v>
      </c>
      <c r="O146" s="310">
        <f t="shared" si="55"/>
        <v>12.875</v>
      </c>
      <c r="P146" s="310">
        <f t="shared" si="47"/>
        <v>42.51097012334106</v>
      </c>
      <c r="Q146" s="311">
        <f t="shared" si="48"/>
        <v>1</v>
      </c>
      <c r="R146" s="225">
        <f t="shared" si="52"/>
        <v>9.9</v>
      </c>
      <c r="S146" s="226">
        <f t="shared" si="56"/>
        <v>1</v>
      </c>
      <c r="T146" s="225">
        <f t="shared" si="53"/>
        <v>14.199999999999998</v>
      </c>
      <c r="U146" s="226">
        <f t="shared" si="57"/>
        <v>1</v>
      </c>
      <c r="V146" s="227">
        <f t="shared" si="54"/>
        <v>12.875</v>
      </c>
      <c r="W146" s="228">
        <f t="shared" si="58"/>
        <v>1</v>
      </c>
      <c r="X146" s="144">
        <f t="shared" si="49"/>
        <v>21.108333333333334</v>
      </c>
      <c r="Y146" s="144">
        <f t="shared" si="50"/>
        <v>26.607291666666665</v>
      </c>
      <c r="Z146" s="144">
        <f t="shared" si="51"/>
        <v>24.282623106060605</v>
      </c>
      <c r="AA146" s="205"/>
      <c r="AB146" s="357" t="str">
        <f>VLOOKUP($B146,'2007-2020 Metadata'!$A$4:$S$214,MATCH("Urban Area /Monitoring Zone",'2007-2020 Metadata'!$A$4:$S$4,0),FALSE)</f>
        <v>Christchurch</v>
      </c>
      <c r="AC146" s="229" t="str">
        <f>VLOOKUP(B146,'2007-2020 Metadata'!$A$6:$A$214,1,FALSE)</f>
        <v>CHR004</v>
      </c>
      <c r="AD146" s="230" t="str">
        <f>VLOOKUP($AC146,'2007-2020 Metadata'!$A$6:$S$214,9,FALSE)</f>
        <v>Christchurch</v>
      </c>
      <c r="AE146" s="230">
        <f>IF(ISBLANK(VLOOKUP($AC146,'2007-2020 Metadata'!$A$6:$S$214,19,FALSE)),"",VLOOKUP($AC146,'2007-2020 Metadata'!$A$6:$S$214,19,FALSE))</f>
        <v>3.1</v>
      </c>
      <c r="AF146" s="88" t="str">
        <f>VLOOKUP($B146,'2007-2020 Metadata'!$A$4:$S$214,MATCH("Site type",'2007-2020 Metadata'!$A$4:$S$4,0),FALSE)</f>
        <v>Background</v>
      </c>
      <c r="AG146" s="143">
        <f t="shared" si="59"/>
        <v>5.6</v>
      </c>
      <c r="AH146" s="143">
        <f t="shared" si="60"/>
        <v>22.9</v>
      </c>
      <c r="AI146" s="144">
        <f t="shared" si="61"/>
        <v>24.282623106060605</v>
      </c>
    </row>
    <row r="147" spans="2:35" ht="12" customHeight="1" x14ac:dyDescent="0.15">
      <c r="B147" s="313" t="s">
        <v>25</v>
      </c>
      <c r="C147" s="309">
        <v>24</v>
      </c>
      <c r="D147" s="309">
        <v>27.5</v>
      </c>
      <c r="E147" s="309">
        <v>30.4</v>
      </c>
      <c r="F147" s="309">
        <v>28.6</v>
      </c>
      <c r="G147" s="309">
        <v>34.799999999999997</v>
      </c>
      <c r="H147" s="309">
        <v>41.7</v>
      </c>
      <c r="I147" s="309">
        <v>34</v>
      </c>
      <c r="J147" s="309">
        <v>29.1</v>
      </c>
      <c r="K147" s="309">
        <v>25.8</v>
      </c>
      <c r="L147" s="309">
        <v>26.6</v>
      </c>
      <c r="M147" s="309">
        <v>28.6</v>
      </c>
      <c r="N147" s="309">
        <v>14.9</v>
      </c>
      <c r="O147" s="310">
        <f t="shared" si="55"/>
        <v>28.833333333333332</v>
      </c>
      <c r="P147" s="310">
        <f t="shared" si="47"/>
        <v>21.564954870327416</v>
      </c>
      <c r="Q147" s="311">
        <f t="shared" si="48"/>
        <v>1</v>
      </c>
      <c r="R147" s="225">
        <f t="shared" si="52"/>
        <v>27.3</v>
      </c>
      <c r="S147" s="226">
        <f t="shared" si="56"/>
        <v>1</v>
      </c>
      <c r="T147" s="225">
        <f t="shared" si="53"/>
        <v>29.633333333333336</v>
      </c>
      <c r="U147" s="226">
        <f t="shared" si="57"/>
        <v>1</v>
      </c>
      <c r="V147" s="227">
        <f t="shared" si="54"/>
        <v>28.833333333333332</v>
      </c>
      <c r="W147" s="228">
        <f t="shared" si="58"/>
        <v>1</v>
      </c>
      <c r="X147" s="144">
        <f t="shared" si="49"/>
        <v>21.108333333333334</v>
      </c>
      <c r="Y147" s="144">
        <f t="shared" si="50"/>
        <v>26.607291666666665</v>
      </c>
      <c r="Z147" s="144">
        <f t="shared" si="51"/>
        <v>24.282623106060605</v>
      </c>
      <c r="AA147" s="205"/>
      <c r="AB147" s="357" t="str">
        <f>VLOOKUP($B147,'2007-2020 Metadata'!$A$4:$S$214,MATCH("Urban Area /Monitoring Zone",'2007-2020 Metadata'!$A$4:$S$4,0),FALSE)</f>
        <v>Christchurch</v>
      </c>
      <c r="AC147" s="229" t="str">
        <f>VLOOKUP(B147,'2007-2020 Metadata'!$A$6:$A$214,1,FALSE)</f>
        <v>CHR006</v>
      </c>
      <c r="AD147" s="230" t="str">
        <f>VLOOKUP($AC147,'2007-2020 Metadata'!$A$6:$S$214,9,FALSE)</f>
        <v>Christchurch</v>
      </c>
      <c r="AE147" s="230">
        <f>IF(ISBLANK(VLOOKUP($AC147,'2007-2020 Metadata'!$A$6:$S$214,19,FALSE)),"",VLOOKUP($AC147,'2007-2020 Metadata'!$A$6:$S$214,19,FALSE))</f>
        <v>3.4</v>
      </c>
      <c r="AF147" s="88" t="str">
        <f>VLOOKUP($B147,'2007-2020 Metadata'!$A$4:$S$214,MATCH("Site type",'2007-2020 Metadata'!$A$4:$S$4,0),FALSE)</f>
        <v>SH</v>
      </c>
      <c r="AG147" s="143">
        <f t="shared" si="59"/>
        <v>14.9</v>
      </c>
      <c r="AH147" s="143">
        <f t="shared" si="60"/>
        <v>41.7</v>
      </c>
      <c r="AI147" s="144">
        <f t="shared" si="61"/>
        <v>24.282623106060605</v>
      </c>
    </row>
    <row r="148" spans="2:35" ht="12" customHeight="1" x14ac:dyDescent="0.15">
      <c r="B148" s="313" t="s">
        <v>143</v>
      </c>
      <c r="C148" s="309">
        <v>15.2</v>
      </c>
      <c r="D148" s="309">
        <v>19.399999999999999</v>
      </c>
      <c r="E148" s="309">
        <v>22</v>
      </c>
      <c r="F148" s="309">
        <v>23.4</v>
      </c>
      <c r="G148" s="309">
        <v>29.9</v>
      </c>
      <c r="H148" s="309">
        <v>33.299999999999997</v>
      </c>
      <c r="I148" s="309">
        <v>29</v>
      </c>
      <c r="J148" s="309">
        <v>25.7</v>
      </c>
      <c r="K148" s="309">
        <v>21.4</v>
      </c>
      <c r="L148" s="309">
        <v>20.2</v>
      </c>
      <c r="M148" s="309">
        <v>16.7</v>
      </c>
      <c r="N148" s="309">
        <v>12.3</v>
      </c>
      <c r="O148" s="310">
        <f t="shared" si="55"/>
        <v>22.375</v>
      </c>
      <c r="P148" s="310">
        <f t="shared" si="47"/>
        <v>26.810753744317623</v>
      </c>
      <c r="Q148" s="311">
        <f t="shared" si="48"/>
        <v>1</v>
      </c>
      <c r="R148" s="225">
        <f t="shared" si="52"/>
        <v>18.866666666666664</v>
      </c>
      <c r="S148" s="226">
        <f t="shared" si="56"/>
        <v>1</v>
      </c>
      <c r="T148" s="225">
        <f t="shared" si="53"/>
        <v>25.366666666666664</v>
      </c>
      <c r="U148" s="226">
        <f t="shared" si="57"/>
        <v>1</v>
      </c>
      <c r="V148" s="227">
        <f t="shared" si="54"/>
        <v>22.375</v>
      </c>
      <c r="W148" s="228">
        <f t="shared" si="58"/>
        <v>1</v>
      </c>
      <c r="X148" s="144">
        <f t="shared" si="49"/>
        <v>21.108333333333334</v>
      </c>
      <c r="Y148" s="144">
        <f t="shared" si="50"/>
        <v>26.607291666666665</v>
      </c>
      <c r="Z148" s="144">
        <f t="shared" si="51"/>
        <v>24.282623106060605</v>
      </c>
      <c r="AA148" s="205"/>
      <c r="AB148" s="357" t="str">
        <f>VLOOKUP($B148,'2007-2020 Metadata'!$A$4:$S$214,MATCH("Urban Area /Monitoring Zone",'2007-2020 Metadata'!$A$4:$S$4,0),FALSE)</f>
        <v>Christchurch</v>
      </c>
      <c r="AC148" s="229" t="str">
        <f>VLOOKUP(B148,'2007-2020 Metadata'!$A$6:$A$214,1,FALSE)</f>
        <v>CHR011</v>
      </c>
      <c r="AD148" s="230" t="str">
        <f>VLOOKUP($AC148,'2007-2020 Metadata'!$A$6:$S$214,9,FALSE)</f>
        <v>Christchurch</v>
      </c>
      <c r="AE148" s="230">
        <f>IF(ISBLANK(VLOOKUP($AC148,'2007-2020 Metadata'!$A$6:$S$214,19,FALSE)),"",VLOOKUP($AC148,'2007-2020 Metadata'!$A$6:$S$214,19,FALSE))</f>
        <v>2.85</v>
      </c>
      <c r="AF148" s="88" t="str">
        <f>VLOOKUP($B148,'2007-2020 Metadata'!$A$4:$S$214,MATCH("Site type",'2007-2020 Metadata'!$A$4:$S$4,0),FALSE)</f>
        <v>SH</v>
      </c>
      <c r="AG148" s="143">
        <f t="shared" si="59"/>
        <v>12.3</v>
      </c>
      <c r="AH148" s="143">
        <f t="shared" si="60"/>
        <v>33.299999999999997</v>
      </c>
      <c r="AI148" s="144">
        <f t="shared" si="61"/>
        <v>24.282623106060605</v>
      </c>
    </row>
    <row r="149" spans="2:35" ht="12" customHeight="1" x14ac:dyDescent="0.15">
      <c r="B149" s="313" t="s">
        <v>144</v>
      </c>
      <c r="C149" s="309">
        <v>22.5</v>
      </c>
      <c r="D149" s="309">
        <v>27.8</v>
      </c>
      <c r="E149" s="309">
        <v>28.3</v>
      </c>
      <c r="F149" s="309">
        <v>26.8</v>
      </c>
      <c r="G149" s="309">
        <v>37.9</v>
      </c>
      <c r="H149" s="309">
        <v>38.5</v>
      </c>
      <c r="I149" s="309">
        <v>36</v>
      </c>
      <c r="J149" s="309">
        <v>32.700000000000003</v>
      </c>
      <c r="K149" s="309">
        <v>23.4</v>
      </c>
      <c r="L149" s="309">
        <v>24.9</v>
      </c>
      <c r="M149" s="309">
        <v>27.9</v>
      </c>
      <c r="N149" s="309">
        <v>19.100000000000001</v>
      </c>
      <c r="O149" s="310">
        <f t="shared" si="55"/>
        <v>28.816666666666663</v>
      </c>
      <c r="P149" s="310">
        <f t="shared" si="47"/>
        <v>20.728457689284639</v>
      </c>
      <c r="Q149" s="311">
        <f t="shared" si="48"/>
        <v>1</v>
      </c>
      <c r="R149" s="225">
        <f t="shared" si="52"/>
        <v>26.2</v>
      </c>
      <c r="S149" s="226">
        <f t="shared" si="56"/>
        <v>1</v>
      </c>
      <c r="T149" s="225">
        <f t="shared" si="53"/>
        <v>30.7</v>
      </c>
      <c r="U149" s="226">
        <f t="shared" si="57"/>
        <v>1</v>
      </c>
      <c r="V149" s="227">
        <f t="shared" si="54"/>
        <v>28.816666666666663</v>
      </c>
      <c r="W149" s="228">
        <f t="shared" si="58"/>
        <v>1</v>
      </c>
      <c r="X149" s="144">
        <f t="shared" si="49"/>
        <v>21.108333333333334</v>
      </c>
      <c r="Y149" s="144">
        <f t="shared" si="50"/>
        <v>26.607291666666665</v>
      </c>
      <c r="Z149" s="144">
        <f t="shared" si="51"/>
        <v>24.282623106060605</v>
      </c>
      <c r="AA149" s="205"/>
      <c r="AB149" s="357" t="str">
        <f>VLOOKUP($B149,'2007-2020 Metadata'!$A$4:$S$214,MATCH("Urban Area /Monitoring Zone",'2007-2020 Metadata'!$A$4:$S$4,0),FALSE)</f>
        <v>Christchurch</v>
      </c>
      <c r="AC149" s="229" t="str">
        <f>VLOOKUP(B149,'2007-2020 Metadata'!$A$6:$A$214,1,FALSE)</f>
        <v>CHR012</v>
      </c>
      <c r="AD149" s="230" t="str">
        <f>VLOOKUP($AC149,'2007-2020 Metadata'!$A$6:$S$214,9,FALSE)</f>
        <v>Christchurch</v>
      </c>
      <c r="AE149" s="230">
        <f>IF(ISBLANK(VLOOKUP($AC149,'2007-2020 Metadata'!$A$6:$S$214,19,FALSE)),"",VLOOKUP($AC149,'2007-2020 Metadata'!$A$6:$S$214,19,FALSE))</f>
        <v>3</v>
      </c>
      <c r="AF149" s="88" t="str">
        <f>VLOOKUP($B149,'2007-2020 Metadata'!$A$4:$S$214,MATCH("Site type",'2007-2020 Metadata'!$A$4:$S$4,0),FALSE)</f>
        <v>Local</v>
      </c>
      <c r="AG149" s="143">
        <f t="shared" si="59"/>
        <v>19.100000000000001</v>
      </c>
      <c r="AH149" s="143">
        <f t="shared" si="60"/>
        <v>38.5</v>
      </c>
      <c r="AI149" s="144">
        <f t="shared" si="61"/>
        <v>24.282623106060605</v>
      </c>
    </row>
    <row r="150" spans="2:35" ht="12" customHeight="1" x14ac:dyDescent="0.15">
      <c r="B150" s="313" t="s">
        <v>145</v>
      </c>
      <c r="C150" s="309">
        <v>14</v>
      </c>
      <c r="D150" s="309">
        <v>14.9</v>
      </c>
      <c r="E150" s="309">
        <v>19.7</v>
      </c>
      <c r="F150" s="309">
        <v>22.1</v>
      </c>
      <c r="G150" s="309">
        <v>28.2</v>
      </c>
      <c r="H150" s="309">
        <v>34</v>
      </c>
      <c r="I150" s="309">
        <v>30.4</v>
      </c>
      <c r="J150" s="309">
        <v>23.7</v>
      </c>
      <c r="K150" s="309">
        <v>20.9</v>
      </c>
      <c r="L150" s="309">
        <v>21.6</v>
      </c>
      <c r="M150" s="309">
        <v>17.2</v>
      </c>
      <c r="N150" s="309">
        <v>9.3000000000000007</v>
      </c>
      <c r="O150" s="310">
        <f t="shared" si="55"/>
        <v>21.333333333333332</v>
      </c>
      <c r="P150" s="310">
        <f t="shared" si="47"/>
        <v>31.906196437271451</v>
      </c>
      <c r="Q150" s="311">
        <f t="shared" si="48"/>
        <v>1</v>
      </c>
      <c r="R150" s="225">
        <f t="shared" si="52"/>
        <v>16.2</v>
      </c>
      <c r="S150" s="226">
        <f t="shared" si="56"/>
        <v>1</v>
      </c>
      <c r="T150" s="225">
        <f t="shared" si="53"/>
        <v>25</v>
      </c>
      <c r="U150" s="226">
        <f t="shared" si="57"/>
        <v>1</v>
      </c>
      <c r="V150" s="227">
        <f t="shared" si="54"/>
        <v>21.333333333333332</v>
      </c>
      <c r="W150" s="228">
        <f t="shared" si="58"/>
        <v>1</v>
      </c>
      <c r="X150" s="144">
        <f t="shared" si="49"/>
        <v>21.108333333333334</v>
      </c>
      <c r="Y150" s="144">
        <f t="shared" si="50"/>
        <v>26.607291666666665</v>
      </c>
      <c r="Z150" s="144">
        <f t="shared" si="51"/>
        <v>24.282623106060605</v>
      </c>
      <c r="AA150" s="205"/>
      <c r="AB150" s="357" t="str">
        <f>VLOOKUP($B150,'2007-2020 Metadata'!$A$4:$S$214,MATCH("Urban Area /Monitoring Zone",'2007-2020 Metadata'!$A$4:$S$4,0),FALSE)</f>
        <v>Christchurch</v>
      </c>
      <c r="AC150" s="229" t="str">
        <f>VLOOKUP(B150,'2007-2020 Metadata'!$A$6:$A$214,1,FALSE)</f>
        <v>CHR013</v>
      </c>
      <c r="AD150" s="230" t="str">
        <f>VLOOKUP($AC150,'2007-2020 Metadata'!$A$6:$S$214,9,FALSE)</f>
        <v>Christchurch</v>
      </c>
      <c r="AE150" s="230">
        <f>IF(ISBLANK(VLOOKUP($AC150,'2007-2020 Metadata'!$A$6:$S$214,19,FALSE)),"",VLOOKUP($AC150,'2007-2020 Metadata'!$A$6:$S$214,19,FALSE))</f>
        <v>3.15</v>
      </c>
      <c r="AF150" s="88" t="str">
        <f>VLOOKUP($B150,'2007-2020 Metadata'!$A$4:$S$214,MATCH("Site type",'2007-2020 Metadata'!$A$4:$S$4,0),FALSE)</f>
        <v>SH</v>
      </c>
      <c r="AG150" s="143">
        <f t="shared" si="59"/>
        <v>9.3000000000000007</v>
      </c>
      <c r="AH150" s="143">
        <f t="shared" si="60"/>
        <v>34</v>
      </c>
      <c r="AI150" s="144">
        <f t="shared" si="61"/>
        <v>24.282623106060605</v>
      </c>
    </row>
    <row r="151" spans="2:35" ht="12" customHeight="1" x14ac:dyDescent="0.15">
      <c r="B151" s="313" t="s">
        <v>146</v>
      </c>
      <c r="C151" s="309">
        <v>21.7</v>
      </c>
      <c r="D151" s="309">
        <v>26.5</v>
      </c>
      <c r="E151" s="309">
        <v>30.8</v>
      </c>
      <c r="F151" s="309">
        <v>28.2</v>
      </c>
      <c r="G151" s="309">
        <v>42.4</v>
      </c>
      <c r="H151" s="309">
        <v>44.9</v>
      </c>
      <c r="I151" s="309">
        <v>33.200000000000003</v>
      </c>
      <c r="J151" s="309">
        <v>36.9</v>
      </c>
      <c r="K151" s="309">
        <v>24</v>
      </c>
      <c r="L151" s="309">
        <v>28</v>
      </c>
      <c r="M151" s="309">
        <v>29.8</v>
      </c>
      <c r="N151" s="309">
        <v>20.6</v>
      </c>
      <c r="O151" s="310">
        <f t="shared" si="55"/>
        <v>30.583333333333332</v>
      </c>
      <c r="P151" s="310">
        <f t="shared" si="47"/>
        <v>23.934006831814447</v>
      </c>
      <c r="Q151" s="311">
        <f t="shared" si="48"/>
        <v>1</v>
      </c>
      <c r="R151" s="225">
        <f t="shared" si="52"/>
        <v>26.333333333333332</v>
      </c>
      <c r="S151" s="226">
        <f t="shared" si="56"/>
        <v>1</v>
      </c>
      <c r="T151" s="225">
        <f t="shared" si="53"/>
        <v>31.366666666666664</v>
      </c>
      <c r="U151" s="226">
        <f t="shared" si="57"/>
        <v>1</v>
      </c>
      <c r="V151" s="227">
        <f t="shared" si="54"/>
        <v>30.583333333333332</v>
      </c>
      <c r="W151" s="228">
        <f t="shared" si="58"/>
        <v>1</v>
      </c>
      <c r="X151" s="144">
        <f t="shared" si="49"/>
        <v>21.108333333333334</v>
      </c>
      <c r="Y151" s="144">
        <f t="shared" si="50"/>
        <v>26.607291666666665</v>
      </c>
      <c r="Z151" s="144">
        <f t="shared" si="51"/>
        <v>24.282623106060605</v>
      </c>
      <c r="AA151" s="205"/>
      <c r="AB151" s="357" t="str">
        <f>VLOOKUP($B151,'2007-2020 Metadata'!$A$4:$S$214,MATCH("Urban Area /Monitoring Zone",'2007-2020 Metadata'!$A$4:$S$4,0),FALSE)</f>
        <v>Christchurch</v>
      </c>
      <c r="AC151" s="229" t="str">
        <f>VLOOKUP(B151,'2007-2020 Metadata'!$A$6:$A$214,1,FALSE)</f>
        <v>CHR014</v>
      </c>
      <c r="AD151" s="230" t="str">
        <f>VLOOKUP($AC151,'2007-2020 Metadata'!$A$6:$S$214,9,FALSE)</f>
        <v>Christchurch</v>
      </c>
      <c r="AE151" s="230">
        <f>IF(ISBLANK(VLOOKUP($AC151,'2007-2020 Metadata'!$A$6:$S$214,19,FALSE)),"",VLOOKUP($AC151,'2007-2020 Metadata'!$A$6:$S$214,19,FALSE))</f>
        <v>2.9</v>
      </c>
      <c r="AF151" s="88" t="str">
        <f>VLOOKUP($B151,'2007-2020 Metadata'!$A$4:$S$214,MATCH("Site type",'2007-2020 Metadata'!$A$4:$S$4,0),FALSE)</f>
        <v>SH</v>
      </c>
      <c r="AG151" s="143">
        <f t="shared" si="59"/>
        <v>20.6</v>
      </c>
      <c r="AH151" s="143">
        <f t="shared" si="60"/>
        <v>44.9</v>
      </c>
      <c r="AI151" s="144">
        <f t="shared" si="61"/>
        <v>24.282623106060605</v>
      </c>
    </row>
    <row r="152" spans="2:35" ht="12" customHeight="1" x14ac:dyDescent="0.15">
      <c r="B152" s="313" t="s">
        <v>147</v>
      </c>
      <c r="C152" s="309">
        <v>16.5</v>
      </c>
      <c r="D152" s="309">
        <v>16.8</v>
      </c>
      <c r="E152" s="309">
        <v>20.3</v>
      </c>
      <c r="F152" s="309">
        <v>25.2</v>
      </c>
      <c r="G152" s="309">
        <v>31</v>
      </c>
      <c r="H152" s="309">
        <v>35.700000000000003</v>
      </c>
      <c r="I152" s="309">
        <v>29.5</v>
      </c>
      <c r="J152" s="309">
        <v>27.1</v>
      </c>
      <c r="K152" s="309">
        <v>21</v>
      </c>
      <c r="L152" s="309">
        <v>22.2</v>
      </c>
      <c r="M152" s="309">
        <v>19.100000000000001</v>
      </c>
      <c r="N152" s="309">
        <v>15.7</v>
      </c>
      <c r="O152" s="310">
        <f t="shared" si="55"/>
        <v>23.341666666666665</v>
      </c>
      <c r="P152" s="310">
        <f t="shared" si="47"/>
        <v>26.203345974125387</v>
      </c>
      <c r="Q152" s="311">
        <f t="shared" si="48"/>
        <v>1</v>
      </c>
      <c r="R152" s="225">
        <f t="shared" si="52"/>
        <v>17.866666666666664</v>
      </c>
      <c r="S152" s="226">
        <f t="shared" si="56"/>
        <v>1</v>
      </c>
      <c r="T152" s="225">
        <f t="shared" si="53"/>
        <v>25.866666666666664</v>
      </c>
      <c r="U152" s="226">
        <f t="shared" si="57"/>
        <v>1</v>
      </c>
      <c r="V152" s="227">
        <f t="shared" si="54"/>
        <v>23.341666666666665</v>
      </c>
      <c r="W152" s="228">
        <f t="shared" si="58"/>
        <v>1</v>
      </c>
      <c r="X152" s="144">
        <f t="shared" si="49"/>
        <v>21.108333333333334</v>
      </c>
      <c r="Y152" s="144">
        <f t="shared" si="50"/>
        <v>26.607291666666665</v>
      </c>
      <c r="Z152" s="144">
        <f t="shared" si="51"/>
        <v>24.282623106060605</v>
      </c>
      <c r="AA152" s="205"/>
      <c r="AB152" s="357" t="str">
        <f>VLOOKUP($B152,'2007-2020 Metadata'!$A$4:$S$214,MATCH("Urban Area /Monitoring Zone",'2007-2020 Metadata'!$A$4:$S$4,0),FALSE)</f>
        <v>Christchurch</v>
      </c>
      <c r="AC152" s="229" t="str">
        <f>VLOOKUP(B152,'2007-2020 Metadata'!$A$6:$A$214,1,FALSE)</f>
        <v>CHR015</v>
      </c>
      <c r="AD152" s="230" t="str">
        <f>VLOOKUP($AC152,'2007-2020 Metadata'!$A$6:$S$214,9,FALSE)</f>
        <v>Christchurch</v>
      </c>
      <c r="AE152" s="230">
        <f>IF(ISBLANK(VLOOKUP($AC152,'2007-2020 Metadata'!$A$6:$S$214,19,FALSE)),"",VLOOKUP($AC152,'2007-2020 Metadata'!$A$6:$S$214,19,FALSE))</f>
        <v>3.1</v>
      </c>
      <c r="AF152" s="88" t="str">
        <f>VLOOKUP($B152,'2007-2020 Metadata'!$A$4:$S$214,MATCH("Site type",'2007-2020 Metadata'!$A$4:$S$4,0),FALSE)</f>
        <v>Local</v>
      </c>
      <c r="AG152" s="143">
        <f t="shared" si="59"/>
        <v>15.7</v>
      </c>
      <c r="AH152" s="143">
        <f t="shared" si="60"/>
        <v>35.700000000000003</v>
      </c>
      <c r="AI152" s="144">
        <f t="shared" si="61"/>
        <v>24.282623106060605</v>
      </c>
    </row>
    <row r="153" spans="2:35" ht="12" customHeight="1" x14ac:dyDescent="0.15">
      <c r="B153" s="313" t="s">
        <v>148</v>
      </c>
      <c r="C153" s="309">
        <v>24.2</v>
      </c>
      <c r="D153" s="309">
        <v>25.5</v>
      </c>
      <c r="E153" s="309">
        <v>28</v>
      </c>
      <c r="F153" s="309">
        <v>33.9</v>
      </c>
      <c r="G153" s="309"/>
      <c r="H153" s="309">
        <v>45</v>
      </c>
      <c r="I153" s="309">
        <v>38.9</v>
      </c>
      <c r="J153" s="309">
        <v>37.200000000000003</v>
      </c>
      <c r="K153" s="309">
        <v>34.700000000000003</v>
      </c>
      <c r="L153" s="309">
        <v>32.4</v>
      </c>
      <c r="M153" s="309">
        <v>25.1</v>
      </c>
      <c r="N153" s="309">
        <v>15.9</v>
      </c>
      <c r="O153" s="310">
        <f t="shared" si="55"/>
        <v>30.981818181818177</v>
      </c>
      <c r="P153" s="310">
        <f t="shared" si="47"/>
        <v>25.175611747390441</v>
      </c>
      <c r="Q153" s="311">
        <f t="shared" si="48"/>
        <v>0.91666666666666663</v>
      </c>
      <c r="R153" s="225">
        <f t="shared" si="52"/>
        <v>25.900000000000002</v>
      </c>
      <c r="S153" s="226">
        <f t="shared" si="56"/>
        <v>1</v>
      </c>
      <c r="T153" s="225">
        <f t="shared" si="53"/>
        <v>36.93333333333333</v>
      </c>
      <c r="U153" s="226">
        <f t="shared" si="57"/>
        <v>1</v>
      </c>
      <c r="V153" s="227">
        <f t="shared" si="54"/>
        <v>30.981818181818177</v>
      </c>
      <c r="W153" s="228">
        <f t="shared" si="58"/>
        <v>0.91666666666666663</v>
      </c>
      <c r="X153" s="144">
        <f t="shared" si="49"/>
        <v>21.108333333333334</v>
      </c>
      <c r="Y153" s="144">
        <f t="shared" si="50"/>
        <v>26.607291666666665</v>
      </c>
      <c r="Z153" s="144">
        <f t="shared" si="51"/>
        <v>24.282623106060605</v>
      </c>
      <c r="AA153" s="205"/>
      <c r="AB153" s="357" t="str">
        <f>VLOOKUP($B153,'2007-2020 Metadata'!$A$4:$S$214,MATCH("Urban Area /Monitoring Zone",'2007-2020 Metadata'!$A$4:$S$4,0),FALSE)</f>
        <v>Christchurch</v>
      </c>
      <c r="AC153" s="229" t="str">
        <f>VLOOKUP(B153,'2007-2020 Metadata'!$A$6:$A$214,1,FALSE)</f>
        <v>CHR016</v>
      </c>
      <c r="AD153" s="230" t="str">
        <f>VLOOKUP($AC153,'2007-2020 Metadata'!$A$6:$S$214,9,FALSE)</f>
        <v>Christchurch</v>
      </c>
      <c r="AE153" s="230">
        <f>IF(ISBLANK(VLOOKUP($AC153,'2007-2020 Metadata'!$A$6:$S$214,19,FALSE)),"",VLOOKUP($AC153,'2007-2020 Metadata'!$A$6:$S$214,19,FALSE))</f>
        <v>3</v>
      </c>
      <c r="AF153" s="88" t="str">
        <f>VLOOKUP($B153,'2007-2020 Metadata'!$A$4:$S$214,MATCH("Site type",'2007-2020 Metadata'!$A$4:$S$4,0),FALSE)</f>
        <v>Local</v>
      </c>
      <c r="AG153" s="143">
        <f t="shared" si="59"/>
        <v>15.9</v>
      </c>
      <c r="AH153" s="143">
        <f t="shared" si="60"/>
        <v>45</v>
      </c>
      <c r="AI153" s="144">
        <f t="shared" si="61"/>
        <v>24.282623106060605</v>
      </c>
    </row>
    <row r="154" spans="2:35" ht="12" customHeight="1" x14ac:dyDescent="0.15">
      <c r="B154" s="313" t="s">
        <v>149</v>
      </c>
      <c r="C154" s="309">
        <v>32</v>
      </c>
      <c r="D154" s="309">
        <v>39.5</v>
      </c>
      <c r="E154" s="309">
        <v>38.6</v>
      </c>
      <c r="F154" s="309">
        <v>34.200000000000003</v>
      </c>
      <c r="G154" s="309">
        <v>39.5</v>
      </c>
      <c r="H154" s="309">
        <v>43.1</v>
      </c>
      <c r="I154" s="309">
        <v>41.7</v>
      </c>
      <c r="J154" s="309">
        <v>35.4</v>
      </c>
      <c r="K154" s="309">
        <v>33.299999999999997</v>
      </c>
      <c r="L154" s="309">
        <v>32.299999999999997</v>
      </c>
      <c r="M154" s="309">
        <v>38.200000000000003</v>
      </c>
      <c r="N154" s="309">
        <v>26.2</v>
      </c>
      <c r="O154" s="310">
        <f t="shared" si="55"/>
        <v>36.166666666666664</v>
      </c>
      <c r="P154" s="310">
        <f t="shared" si="47"/>
        <v>12.75307635383138</v>
      </c>
      <c r="Q154" s="311">
        <f t="shared" si="48"/>
        <v>1</v>
      </c>
      <c r="R154" s="251">
        <f t="shared" si="52"/>
        <v>36.699999999999996</v>
      </c>
      <c r="S154" s="252">
        <f t="shared" si="56"/>
        <v>1</v>
      </c>
      <c r="T154" s="251">
        <f t="shared" si="53"/>
        <v>36.799999999999997</v>
      </c>
      <c r="U154" s="252">
        <f t="shared" si="57"/>
        <v>1</v>
      </c>
      <c r="V154" s="253">
        <f t="shared" si="54"/>
        <v>36.166666666666664</v>
      </c>
      <c r="W154" s="252">
        <f t="shared" si="58"/>
        <v>1</v>
      </c>
      <c r="X154" s="359">
        <f t="shared" si="49"/>
        <v>21.108333333333334</v>
      </c>
      <c r="Y154" s="359">
        <f t="shared" si="50"/>
        <v>26.607291666666665</v>
      </c>
      <c r="Z154" s="359">
        <f t="shared" si="51"/>
        <v>24.282623106060605</v>
      </c>
      <c r="AA154" s="366"/>
      <c r="AB154" s="357" t="str">
        <f>VLOOKUP($B154,'2007-2020 Metadata'!$A$4:$S$214,MATCH("Urban Area /Monitoring Zone",'2007-2020 Metadata'!$A$4:$S$4,0),FALSE)</f>
        <v>Christchurch</v>
      </c>
      <c r="AC154" s="255" t="str">
        <f>VLOOKUP(B154,'2007-2020 Metadata'!$A$6:$A$214,1,FALSE)</f>
        <v>CHR017</v>
      </c>
      <c r="AD154" s="361" t="str">
        <f>VLOOKUP($AC154,'2007-2020 Metadata'!$A$6:$S$214,9,FALSE)</f>
        <v>Christchurch</v>
      </c>
      <c r="AE154" s="361">
        <f>IF(ISBLANK(VLOOKUP($AC154,'2007-2020 Metadata'!$A$6:$S$214,19,FALSE)),"",VLOOKUP($AC154,'2007-2020 Metadata'!$A$6:$S$214,19,FALSE))</f>
        <v>3</v>
      </c>
      <c r="AF154" s="360" t="str">
        <f>VLOOKUP($B154,'2007-2020 Metadata'!$A$4:$S$214,MATCH("Site type",'2007-2020 Metadata'!$A$4:$S$4,0),FALSE)</f>
        <v>Local</v>
      </c>
      <c r="AG154" s="365">
        <f>MIN(AVERAGE($C$154:$C$156),AVERAGE($D$154:$D$156),AVERAGE($E$154:$E$156),AVERAGE($F$154:$F$156),AVERAGE($G$154:$G$156),AVERAGE($H$154:$H$156),AVERAGE($I$154:$I$156),AVERAGE($J$154:$J$156),AVERAGE($K$154:$K$156),AVERAGE($L$154:$L$156),AVERAGE($M$154:$M$156),AVERAGE($N$154:$N$156))</f>
        <v>26</v>
      </c>
      <c r="AH154" s="365">
        <f>MAX(AVERAGE($C$154:$C$156),AVERAGE($D$154:$D$156),AVERAGE($E$154:$E$156),AVERAGE($F$154:$F$156),AVERAGE($G$154:$G$156),AVERAGE($H$154:$H$156),AVERAGE($I$154:$I$156),AVERAGE($J$154:$J$156),AVERAGE($K$154:$K$156),AVERAGE($L$154:$L$156),AVERAGE($M$154:$M$156),AVERAGE($N$154:$N$156))</f>
        <v>43.300000000000004</v>
      </c>
      <c r="AI154" s="359">
        <f t="shared" si="61"/>
        <v>24.282623106060605</v>
      </c>
    </row>
    <row r="155" spans="2:35" ht="12" customHeight="1" x14ac:dyDescent="0.15">
      <c r="B155" s="313" t="s">
        <v>150</v>
      </c>
      <c r="C155" s="309">
        <v>32.700000000000003</v>
      </c>
      <c r="D155" s="309">
        <v>38.4</v>
      </c>
      <c r="E155" s="309">
        <v>34.6</v>
      </c>
      <c r="F155" s="309">
        <v>34.799999999999997</v>
      </c>
      <c r="G155" s="309">
        <v>38.6</v>
      </c>
      <c r="H155" s="309">
        <v>45.2</v>
      </c>
      <c r="I155" s="309">
        <v>39.4</v>
      </c>
      <c r="J155" s="309">
        <v>37.799999999999997</v>
      </c>
      <c r="K155" s="309">
        <v>32.1</v>
      </c>
      <c r="L155" s="309">
        <v>32.200000000000003</v>
      </c>
      <c r="M155" s="309">
        <v>38.1</v>
      </c>
      <c r="N155" s="309">
        <v>25.2</v>
      </c>
      <c r="O155" s="310">
        <f t="shared" si="55"/>
        <v>35.758333333333333</v>
      </c>
      <c r="P155" s="310">
        <f t="shared" si="47"/>
        <v>13.417839627170652</v>
      </c>
      <c r="Q155" s="311">
        <f t="shared" si="48"/>
        <v>1</v>
      </c>
      <c r="R155" s="251">
        <f t="shared" si="52"/>
        <v>35.233333333333327</v>
      </c>
      <c r="S155" s="252">
        <f t="shared" si="56"/>
        <v>1</v>
      </c>
      <c r="T155" s="251">
        <f t="shared" si="53"/>
        <v>36.43333333333333</v>
      </c>
      <c r="U155" s="252">
        <f t="shared" si="57"/>
        <v>1</v>
      </c>
      <c r="V155" s="253">
        <f t="shared" si="54"/>
        <v>35.758333333333333</v>
      </c>
      <c r="W155" s="252">
        <f t="shared" si="58"/>
        <v>1</v>
      </c>
      <c r="X155" s="359">
        <f t="shared" si="49"/>
        <v>21.108333333333334</v>
      </c>
      <c r="Y155" s="359">
        <f t="shared" si="50"/>
        <v>26.607291666666665</v>
      </c>
      <c r="Z155" s="359">
        <f t="shared" si="51"/>
        <v>24.282623106060605</v>
      </c>
      <c r="AA155" s="366"/>
      <c r="AB155" s="357" t="str">
        <f>VLOOKUP($B155,'2007-2020 Metadata'!$A$4:$S$214,MATCH("Urban Area /Monitoring Zone",'2007-2020 Metadata'!$A$4:$S$4,0),FALSE)</f>
        <v>Christchurch</v>
      </c>
      <c r="AC155" s="255" t="str">
        <f>VLOOKUP(B155,'2007-2020 Metadata'!$A$6:$A$214,1,FALSE)</f>
        <v>CHR018</v>
      </c>
      <c r="AD155" s="361" t="str">
        <f>VLOOKUP($AC155,'2007-2020 Metadata'!$A$6:$S$214,9,FALSE)</f>
        <v>Christchurch</v>
      </c>
      <c r="AE155" s="361">
        <f>IF(ISBLANK(VLOOKUP($AC155,'2007-2020 Metadata'!$A$6:$S$214,19,FALSE)),"",VLOOKUP($AC155,'2007-2020 Metadata'!$A$6:$S$214,19,FALSE))</f>
        <v>3</v>
      </c>
      <c r="AF155" s="360" t="str">
        <f>VLOOKUP($B155,'2007-2020 Metadata'!$A$4:$S$214,MATCH("Site type",'2007-2020 Metadata'!$A$4:$S$4,0),FALSE)</f>
        <v>Local</v>
      </c>
      <c r="AG155" s="365">
        <f t="shared" ref="AG155:AG156" si="62">MIN(AVERAGE($C$154:$C$156),AVERAGE($D$154:$D$156),AVERAGE($E$154:$E$156),AVERAGE($F$154:$F$156),AVERAGE($G$154:$G$156),AVERAGE($H$154:$H$156),AVERAGE($I$154:$I$156),AVERAGE($J$154:$J$156),AVERAGE($K$154:$K$156),AVERAGE($L$154:$L$156),AVERAGE($M$154:$M$156),AVERAGE($N$154:$N$156))</f>
        <v>26</v>
      </c>
      <c r="AH155" s="365">
        <f t="shared" ref="AH155:AH156" si="63">MAX(AVERAGE($C$154:$C$156),AVERAGE($D$154:$D$156),AVERAGE($E$154:$E$156),AVERAGE($F$154:$F$156),AVERAGE($G$154:$G$156),AVERAGE($H$154:$H$156),AVERAGE($I$154:$I$156),AVERAGE($J$154:$J$156),AVERAGE($K$154:$K$156),AVERAGE($L$154:$L$156),AVERAGE($M$154:$M$156),AVERAGE($N$154:$N$156))</f>
        <v>43.300000000000004</v>
      </c>
      <c r="AI155" s="359">
        <f t="shared" si="61"/>
        <v>24.282623106060605</v>
      </c>
    </row>
    <row r="156" spans="2:35" ht="12" customHeight="1" x14ac:dyDescent="0.15">
      <c r="B156" s="313" t="s">
        <v>151</v>
      </c>
      <c r="C156" s="309">
        <v>32.6</v>
      </c>
      <c r="D156" s="309"/>
      <c r="E156" s="309">
        <v>39.200000000000003</v>
      </c>
      <c r="F156" s="309">
        <v>31.2</v>
      </c>
      <c r="G156" s="309">
        <v>39.799999999999997</v>
      </c>
      <c r="H156" s="309">
        <v>41.6</v>
      </c>
      <c r="I156" s="309">
        <v>41.7</v>
      </c>
      <c r="J156" s="309">
        <v>43.5</v>
      </c>
      <c r="K156" s="309">
        <v>31.1</v>
      </c>
      <c r="L156" s="309">
        <v>31.7</v>
      </c>
      <c r="M156" s="309">
        <v>38.4</v>
      </c>
      <c r="N156" s="309">
        <v>26.6</v>
      </c>
      <c r="O156" s="310">
        <f t="shared" si="55"/>
        <v>36.127272727272732</v>
      </c>
      <c r="P156" s="310">
        <f t="shared" si="47"/>
        <v>14.831652601053689</v>
      </c>
      <c r="Q156" s="311">
        <f t="shared" si="48"/>
        <v>0.91666666666666663</v>
      </c>
      <c r="R156" s="251">
        <f t="shared" si="52"/>
        <v>35.900000000000006</v>
      </c>
      <c r="S156" s="252">
        <f t="shared" si="56"/>
        <v>0.66666666666666663</v>
      </c>
      <c r="T156" s="251">
        <f t="shared" si="53"/>
        <v>38.766666666666673</v>
      </c>
      <c r="U156" s="252">
        <f t="shared" si="57"/>
        <v>1</v>
      </c>
      <c r="V156" s="253">
        <f t="shared" si="54"/>
        <v>36.127272727272732</v>
      </c>
      <c r="W156" s="252">
        <f t="shared" si="58"/>
        <v>0.91666666666666663</v>
      </c>
      <c r="X156" s="359">
        <f t="shared" si="49"/>
        <v>21.108333333333334</v>
      </c>
      <c r="Y156" s="359">
        <f t="shared" si="50"/>
        <v>26.607291666666665</v>
      </c>
      <c r="Z156" s="359">
        <f t="shared" si="51"/>
        <v>24.282623106060605</v>
      </c>
      <c r="AA156" s="366"/>
      <c r="AB156" s="357" t="str">
        <f>VLOOKUP($B156,'2007-2020 Metadata'!$A$4:$S$214,MATCH("Urban Area /Monitoring Zone",'2007-2020 Metadata'!$A$4:$S$4,0),FALSE)</f>
        <v>Christchurch</v>
      </c>
      <c r="AC156" s="255" t="str">
        <f>VLOOKUP(B156,'2007-2020 Metadata'!$A$6:$A$214,1,FALSE)</f>
        <v>CHR019</v>
      </c>
      <c r="AD156" s="361" t="str">
        <f>VLOOKUP($AC156,'2007-2020 Metadata'!$A$6:$S$214,9,FALSE)</f>
        <v>Christchurch</v>
      </c>
      <c r="AE156" s="361">
        <f>IF(ISBLANK(VLOOKUP($AC156,'2007-2020 Metadata'!$A$6:$S$214,19,FALSE)),"",VLOOKUP($AC156,'2007-2020 Metadata'!$A$6:$S$214,19,FALSE))</f>
        <v>3</v>
      </c>
      <c r="AF156" s="360" t="str">
        <f>VLOOKUP($B156,'2007-2020 Metadata'!$A$4:$S$214,MATCH("Site type",'2007-2020 Metadata'!$A$4:$S$4,0),FALSE)</f>
        <v>Local</v>
      </c>
      <c r="AG156" s="365">
        <f t="shared" si="62"/>
        <v>26</v>
      </c>
      <c r="AH156" s="365">
        <f t="shared" si="63"/>
        <v>43.300000000000004</v>
      </c>
      <c r="AI156" s="359">
        <f t="shared" si="61"/>
        <v>24.282623106060605</v>
      </c>
    </row>
    <row r="157" spans="2:35" ht="12" customHeight="1" x14ac:dyDescent="0.15">
      <c r="B157" s="313" t="s">
        <v>152</v>
      </c>
      <c r="C157" s="309">
        <v>6.2</v>
      </c>
      <c r="D157" s="309">
        <v>8.1999999999999993</v>
      </c>
      <c r="E157" s="309">
        <v>9.6</v>
      </c>
      <c r="F157" s="309">
        <v>12.7</v>
      </c>
      <c r="G157" s="309">
        <v>17.600000000000001</v>
      </c>
      <c r="H157" s="309">
        <v>20.3</v>
      </c>
      <c r="I157" s="309">
        <v>19.2</v>
      </c>
      <c r="J157" s="309">
        <v>15.7</v>
      </c>
      <c r="K157" s="309">
        <v>9</v>
      </c>
      <c r="L157" s="309">
        <v>6.2</v>
      </c>
      <c r="M157" s="309">
        <v>7.3</v>
      </c>
      <c r="N157" s="309">
        <v>4.7</v>
      </c>
      <c r="O157" s="310">
        <f t="shared" si="55"/>
        <v>11.391666666666667</v>
      </c>
      <c r="P157" s="310">
        <f t="shared" si="47"/>
        <v>46.290637537097282</v>
      </c>
      <c r="Q157" s="311">
        <f t="shared" si="48"/>
        <v>1</v>
      </c>
      <c r="R157" s="251">
        <f t="shared" si="52"/>
        <v>8</v>
      </c>
      <c r="S157" s="252">
        <f t="shared" si="56"/>
        <v>1</v>
      </c>
      <c r="T157" s="251">
        <f t="shared" si="53"/>
        <v>14.633333333333333</v>
      </c>
      <c r="U157" s="252">
        <f t="shared" si="57"/>
        <v>1</v>
      </c>
      <c r="V157" s="253">
        <f t="shared" si="54"/>
        <v>11.391666666666667</v>
      </c>
      <c r="W157" s="252">
        <f t="shared" si="58"/>
        <v>1</v>
      </c>
      <c r="X157" s="359">
        <f t="shared" si="49"/>
        <v>21.108333333333334</v>
      </c>
      <c r="Y157" s="359">
        <f t="shared" si="50"/>
        <v>26.607291666666665</v>
      </c>
      <c r="Z157" s="359">
        <f t="shared" si="51"/>
        <v>24.282623106060605</v>
      </c>
      <c r="AA157" s="366"/>
      <c r="AB157" s="357" t="str">
        <f>VLOOKUP($B157,'2007-2020 Metadata'!$A$4:$S$214,MATCH("Urban Area /Monitoring Zone",'2007-2020 Metadata'!$A$4:$S$4,0),FALSE)</f>
        <v>Christchurch</v>
      </c>
      <c r="AC157" s="255" t="str">
        <f>VLOOKUP(B157,'2007-2020 Metadata'!$A$6:$A$214,1,FALSE)</f>
        <v>CHR020</v>
      </c>
      <c r="AD157" s="361" t="str">
        <f>VLOOKUP($AC157,'2007-2020 Metadata'!$A$6:$S$214,9,FALSE)</f>
        <v>Christchurch</v>
      </c>
      <c r="AE157" s="361">
        <f>IF(ISBLANK(VLOOKUP($AC157,'2007-2020 Metadata'!$A$6:$S$214,19,FALSE)),"",VLOOKUP($AC157,'2007-2020 Metadata'!$A$6:$S$214,19,FALSE))</f>
        <v>3.5</v>
      </c>
      <c r="AF157" s="360" t="str">
        <f>VLOOKUP($B157,'2007-2020 Metadata'!$A$4:$S$214,MATCH("Site type",'2007-2020 Metadata'!$A$4:$S$4,0),FALSE)</f>
        <v>Background</v>
      </c>
      <c r="AG157" s="365">
        <f>MIN(AVERAGE($C$157:$C$159),AVERAGE($D$157:$D$159),AVERAGE($E$157:$E$159),AVERAGE($F$157:$F$159),AVERAGE($G$157:$G$159),AVERAGE($H$157:$H$159),AVERAGE($I$157:$I$159),AVERAGE($J$157:$J$159),AVERAGE($K$157:$K$159),AVERAGE($L$157:$L$159),AVERAGE($M$157:$M$159),AVERAGE($N$157:$N$159))</f>
        <v>4.7333333333333334</v>
      </c>
      <c r="AH157" s="365">
        <f>MAX(AVERAGE($C$157:$C$159),AVERAGE($D$157:$D$159),AVERAGE($E$157:$E$159),AVERAGE($F$157:$F$159),AVERAGE($G$157:$G$159),AVERAGE($H$157:$H$159),AVERAGE($I$157:$I$159),AVERAGE($J$157:$J$159),AVERAGE($K$157:$K$159),AVERAGE($L$157:$L$159),AVERAGE($M$157:$M$159),AVERAGE($N$157:$N$159))</f>
        <v>21.2</v>
      </c>
      <c r="AI157" s="359">
        <f t="shared" si="61"/>
        <v>24.282623106060605</v>
      </c>
    </row>
    <row r="158" spans="2:35" ht="12" customHeight="1" x14ac:dyDescent="0.15">
      <c r="B158" s="313" t="s">
        <v>153</v>
      </c>
      <c r="C158" s="309">
        <v>6.1</v>
      </c>
      <c r="D158" s="309">
        <v>9.1999999999999993</v>
      </c>
      <c r="E158" s="309">
        <v>8.9</v>
      </c>
      <c r="F158" s="309">
        <v>12.8</v>
      </c>
      <c r="G158" s="309">
        <v>17.8</v>
      </c>
      <c r="H158" s="309">
        <v>21.7</v>
      </c>
      <c r="I158" s="309">
        <v>18.399999999999999</v>
      </c>
      <c r="J158" s="309">
        <v>16.5</v>
      </c>
      <c r="K158" s="309">
        <v>10.5</v>
      </c>
      <c r="L158" s="309">
        <v>8.9</v>
      </c>
      <c r="M158" s="309">
        <v>7.2</v>
      </c>
      <c r="N158" s="309">
        <v>4.8</v>
      </c>
      <c r="O158" s="310">
        <f t="shared" si="55"/>
        <v>11.9</v>
      </c>
      <c r="P158" s="310">
        <f t="shared" si="47"/>
        <v>43.964654023205661</v>
      </c>
      <c r="Q158" s="311">
        <f t="shared" si="48"/>
        <v>1</v>
      </c>
      <c r="R158" s="251">
        <f t="shared" si="52"/>
        <v>8.0666666666666664</v>
      </c>
      <c r="S158" s="252">
        <f t="shared" si="56"/>
        <v>1</v>
      </c>
      <c r="T158" s="251">
        <f t="shared" si="53"/>
        <v>15.133333333333333</v>
      </c>
      <c r="U158" s="252">
        <f t="shared" si="57"/>
        <v>1</v>
      </c>
      <c r="V158" s="253">
        <f t="shared" si="54"/>
        <v>11.9</v>
      </c>
      <c r="W158" s="252">
        <f t="shared" si="58"/>
        <v>1</v>
      </c>
      <c r="X158" s="359">
        <f t="shared" si="49"/>
        <v>21.108333333333334</v>
      </c>
      <c r="Y158" s="359">
        <f t="shared" si="50"/>
        <v>26.607291666666665</v>
      </c>
      <c r="Z158" s="359">
        <f t="shared" si="51"/>
        <v>24.282623106060605</v>
      </c>
      <c r="AA158" s="366"/>
      <c r="AB158" s="357" t="str">
        <f>VLOOKUP($B158,'2007-2020 Metadata'!$A$4:$S$214,MATCH("Urban Area /Monitoring Zone",'2007-2020 Metadata'!$A$4:$S$4,0),FALSE)</f>
        <v>Christchurch</v>
      </c>
      <c r="AC158" s="255" t="str">
        <f>VLOOKUP(B158,'2007-2020 Metadata'!$A$6:$A$214,1,FALSE)</f>
        <v>CHR021</v>
      </c>
      <c r="AD158" s="361" t="str">
        <f>VLOOKUP($AC158,'2007-2020 Metadata'!$A$6:$S$214,9,FALSE)</f>
        <v>Christchurch</v>
      </c>
      <c r="AE158" s="361">
        <f>IF(ISBLANK(VLOOKUP($AC158,'2007-2020 Metadata'!$A$6:$S$214,19,FALSE)),"",VLOOKUP($AC158,'2007-2020 Metadata'!$A$6:$S$214,19,FALSE))</f>
        <v>3.5</v>
      </c>
      <c r="AF158" s="360" t="str">
        <f>VLOOKUP($B158,'2007-2020 Metadata'!$A$4:$S$214,MATCH("Site type",'2007-2020 Metadata'!$A$4:$S$4,0),FALSE)</f>
        <v>Background</v>
      </c>
      <c r="AG158" s="365">
        <f t="shared" ref="AG158:AG159" si="64">MIN(AVERAGE($C$157:$C$159),AVERAGE($D$157:$D$159),AVERAGE($E$157:$E$159),AVERAGE($F$157:$F$159),AVERAGE($G$157:$G$159),AVERAGE($H$157:$H$159),AVERAGE($I$157:$I$159),AVERAGE($J$157:$J$159),AVERAGE($K$157:$K$159),AVERAGE($L$157:$L$159),AVERAGE($M$157:$M$159),AVERAGE($N$157:$N$159))</f>
        <v>4.7333333333333334</v>
      </c>
      <c r="AH158" s="365">
        <f t="shared" ref="AH158:AH159" si="65">MAX(AVERAGE($C$157:$C$159),AVERAGE($D$157:$D$159),AVERAGE($E$157:$E$159),AVERAGE($F$157:$F$159),AVERAGE($G$157:$G$159),AVERAGE($H$157:$H$159),AVERAGE($I$157:$I$159),AVERAGE($J$157:$J$159),AVERAGE($K$157:$K$159),AVERAGE($L$157:$L$159),AVERAGE($M$157:$M$159),AVERAGE($N$157:$N$159))</f>
        <v>21.2</v>
      </c>
      <c r="AI158" s="359">
        <f t="shared" si="61"/>
        <v>24.282623106060605</v>
      </c>
    </row>
    <row r="159" spans="2:35" ht="12" customHeight="1" x14ac:dyDescent="0.15">
      <c r="B159" s="313" t="s">
        <v>154</v>
      </c>
      <c r="C159" s="309">
        <v>7</v>
      </c>
      <c r="D159" s="309">
        <v>8.3000000000000007</v>
      </c>
      <c r="E159" s="309">
        <v>10</v>
      </c>
      <c r="F159" s="309">
        <v>12.7</v>
      </c>
      <c r="G159" s="309">
        <v>17.5</v>
      </c>
      <c r="H159" s="309">
        <v>21.6</v>
      </c>
      <c r="I159" s="309">
        <v>17.100000000000001</v>
      </c>
      <c r="J159" s="309">
        <v>15.2</v>
      </c>
      <c r="K159" s="309">
        <v>11.1</v>
      </c>
      <c r="L159" s="309">
        <v>8.8000000000000007</v>
      </c>
      <c r="M159" s="309">
        <v>7</v>
      </c>
      <c r="N159" s="309">
        <v>4.7</v>
      </c>
      <c r="O159" s="310">
        <f t="shared" si="55"/>
        <v>11.749999999999998</v>
      </c>
      <c r="P159" s="310">
        <f t="shared" si="47"/>
        <v>41.868967170818948</v>
      </c>
      <c r="Q159" s="311">
        <f t="shared" si="48"/>
        <v>1</v>
      </c>
      <c r="R159" s="251">
        <f t="shared" si="52"/>
        <v>8.4333333333333336</v>
      </c>
      <c r="S159" s="252">
        <f t="shared" si="56"/>
        <v>1</v>
      </c>
      <c r="T159" s="251">
        <f t="shared" si="53"/>
        <v>14.466666666666667</v>
      </c>
      <c r="U159" s="252">
        <f t="shared" si="57"/>
        <v>1</v>
      </c>
      <c r="V159" s="253">
        <f t="shared" si="54"/>
        <v>11.749999999999998</v>
      </c>
      <c r="W159" s="252">
        <f t="shared" si="58"/>
        <v>1</v>
      </c>
      <c r="X159" s="359">
        <f t="shared" si="49"/>
        <v>21.108333333333334</v>
      </c>
      <c r="Y159" s="359">
        <f t="shared" si="50"/>
        <v>26.607291666666665</v>
      </c>
      <c r="Z159" s="359">
        <f t="shared" si="51"/>
        <v>24.282623106060605</v>
      </c>
      <c r="AA159" s="366"/>
      <c r="AB159" s="357" t="str">
        <f>VLOOKUP($B159,'2007-2020 Metadata'!$A$4:$S$214,MATCH("Urban Area /Monitoring Zone",'2007-2020 Metadata'!$A$4:$S$4,0),FALSE)</f>
        <v>Christchurch</v>
      </c>
      <c r="AC159" s="255" t="str">
        <f>VLOOKUP(B159,'2007-2020 Metadata'!$A$6:$A$214,1,FALSE)</f>
        <v>CHR022</v>
      </c>
      <c r="AD159" s="361" t="str">
        <f>VLOOKUP($AC159,'2007-2020 Metadata'!$A$6:$S$214,9,FALSE)</f>
        <v>Christchurch</v>
      </c>
      <c r="AE159" s="361">
        <f>IF(ISBLANK(VLOOKUP($AC159,'2007-2020 Metadata'!$A$6:$S$214,19,FALSE)),"",VLOOKUP($AC159,'2007-2020 Metadata'!$A$6:$S$214,19,FALSE))</f>
        <v>3.5</v>
      </c>
      <c r="AF159" s="360" t="str">
        <f>VLOOKUP($B159,'2007-2020 Metadata'!$A$4:$S$214,MATCH("Site type",'2007-2020 Metadata'!$A$4:$S$4,0),FALSE)</f>
        <v>Background</v>
      </c>
      <c r="AG159" s="365">
        <f t="shared" si="64"/>
        <v>4.7333333333333334</v>
      </c>
      <c r="AH159" s="365">
        <f t="shared" si="65"/>
        <v>21.2</v>
      </c>
      <c r="AI159" s="359">
        <f t="shared" si="61"/>
        <v>24.282623106060605</v>
      </c>
    </row>
    <row r="160" spans="2:35" ht="12" customHeight="1" x14ac:dyDescent="0.15">
      <c r="B160" s="313" t="s">
        <v>26</v>
      </c>
      <c r="C160" s="309"/>
      <c r="D160" s="309">
        <v>20.6</v>
      </c>
      <c r="E160" s="309">
        <v>17.600000000000001</v>
      </c>
      <c r="F160" s="309">
        <v>22</v>
      </c>
      <c r="G160" s="309">
        <v>28.1</v>
      </c>
      <c r="H160" s="309">
        <v>34.299999999999997</v>
      </c>
      <c r="I160" s="309">
        <v>26.2</v>
      </c>
      <c r="J160" s="309">
        <v>26.8</v>
      </c>
      <c r="K160" s="309">
        <v>17.899999999999999</v>
      </c>
      <c r="L160" s="309">
        <v>20.2</v>
      </c>
      <c r="M160" s="309"/>
      <c r="N160" s="309">
        <v>15.7</v>
      </c>
      <c r="O160" s="310">
        <f t="shared" si="55"/>
        <v>22.94</v>
      </c>
      <c r="P160" s="310">
        <f t="shared" si="47"/>
        <v>23.932115616113268</v>
      </c>
      <c r="Q160" s="311">
        <f t="shared" si="48"/>
        <v>0.83333333333333337</v>
      </c>
      <c r="R160" s="225">
        <f t="shared" si="52"/>
        <v>19.100000000000001</v>
      </c>
      <c r="S160" s="226">
        <f t="shared" si="56"/>
        <v>0.66666666666666663</v>
      </c>
      <c r="T160" s="225">
        <f t="shared" si="53"/>
        <v>23.633333333333336</v>
      </c>
      <c r="U160" s="226">
        <f t="shared" si="57"/>
        <v>1</v>
      </c>
      <c r="V160" s="227">
        <f t="shared" si="54"/>
        <v>22.94</v>
      </c>
      <c r="W160" s="228">
        <f t="shared" si="58"/>
        <v>0.83333333333333337</v>
      </c>
      <c r="X160" s="144">
        <f t="shared" si="49"/>
        <v>17.021428571428569</v>
      </c>
      <c r="Y160" s="144">
        <f t="shared" si="50"/>
        <v>16.223809523809525</v>
      </c>
      <c r="Z160" s="144">
        <f t="shared" si="51"/>
        <v>16.445396825396827</v>
      </c>
      <c r="AA160" s="205"/>
      <c r="AB160" s="357" t="str">
        <f>VLOOKUP($B160,'2007-2020 Metadata'!$A$4:$S$214,MATCH("Urban Area /Monitoring Zone",'2007-2020 Metadata'!$A$4:$S$4,0),FALSE)</f>
        <v>Dunedin</v>
      </c>
      <c r="AC160" s="229" t="str">
        <f>VLOOKUP(B160,'2007-2020 Metadata'!$A$6:$A$214,1,FALSE)</f>
        <v>DUN001</v>
      </c>
      <c r="AD160" s="230" t="str">
        <f>VLOOKUP($AC160,'2007-2020 Metadata'!$A$6:$S$214,9,FALSE)</f>
        <v>Dunedin</v>
      </c>
      <c r="AE160" s="230">
        <f>IF(ISBLANK(VLOOKUP($AC160,'2007-2020 Metadata'!$A$6:$S$214,19,FALSE)),"",VLOOKUP($AC160,'2007-2020 Metadata'!$A$6:$S$214,19,FALSE))</f>
        <v>3</v>
      </c>
      <c r="AF160" s="88" t="str">
        <f>VLOOKUP($B160,'2007-2020 Metadata'!$A$4:$S$214,MATCH("Site type",'2007-2020 Metadata'!$A$4:$S$4,0),FALSE)</f>
        <v>SH</v>
      </c>
      <c r="AG160" s="143">
        <f t="shared" si="59"/>
        <v>15.7</v>
      </c>
      <c r="AH160" s="143">
        <f t="shared" si="60"/>
        <v>34.299999999999997</v>
      </c>
      <c r="AI160" s="144">
        <f t="shared" si="61"/>
        <v>16.445396825396827</v>
      </c>
    </row>
    <row r="161" spans="2:35" ht="12" customHeight="1" x14ac:dyDescent="0.15">
      <c r="B161" s="313" t="s">
        <v>27</v>
      </c>
      <c r="C161" s="309"/>
      <c r="D161" s="309">
        <v>17.5</v>
      </c>
      <c r="E161" s="309">
        <v>24.4</v>
      </c>
      <c r="F161" s="309">
        <v>13.8</v>
      </c>
      <c r="G161" s="309">
        <v>24.3</v>
      </c>
      <c r="H161" s="309">
        <v>19.3</v>
      </c>
      <c r="I161" s="309">
        <v>18.7</v>
      </c>
      <c r="J161" s="309">
        <v>16.399999999999999</v>
      </c>
      <c r="K161" s="309">
        <v>10.3</v>
      </c>
      <c r="L161" s="309">
        <v>15.1</v>
      </c>
      <c r="M161" s="309">
        <v>13.5</v>
      </c>
      <c r="N161" s="309">
        <v>11.1</v>
      </c>
      <c r="O161" s="310">
        <f t="shared" si="55"/>
        <v>16.763636363636365</v>
      </c>
      <c r="P161" s="310">
        <f t="shared" si="47"/>
        <v>26.800124391281539</v>
      </c>
      <c r="Q161" s="311">
        <f t="shared" si="48"/>
        <v>0.91666666666666663</v>
      </c>
      <c r="R161" s="225">
        <f t="shared" si="52"/>
        <v>20.95</v>
      </c>
      <c r="S161" s="226">
        <f t="shared" si="56"/>
        <v>0.66666666666666663</v>
      </c>
      <c r="T161" s="225">
        <f t="shared" si="53"/>
        <v>15.133333333333331</v>
      </c>
      <c r="U161" s="226">
        <f t="shared" si="57"/>
        <v>1</v>
      </c>
      <c r="V161" s="227">
        <f t="shared" si="54"/>
        <v>16.763636363636365</v>
      </c>
      <c r="W161" s="228">
        <f t="shared" si="58"/>
        <v>0.91666666666666663</v>
      </c>
      <c r="X161" s="144">
        <f t="shared" si="49"/>
        <v>17.021428571428569</v>
      </c>
      <c r="Y161" s="144">
        <f t="shared" si="50"/>
        <v>16.223809523809525</v>
      </c>
      <c r="Z161" s="144">
        <f t="shared" si="51"/>
        <v>16.445396825396827</v>
      </c>
      <c r="AA161" s="205"/>
      <c r="AB161" s="357" t="str">
        <f>VLOOKUP($B161,'2007-2020 Metadata'!$A$4:$S$214,MATCH("Urban Area /Monitoring Zone",'2007-2020 Metadata'!$A$4:$S$4,0),FALSE)</f>
        <v>Dunedin</v>
      </c>
      <c r="AC161" s="229" t="str">
        <f>VLOOKUP(B161,'2007-2020 Metadata'!$A$6:$A$214,1,FALSE)</f>
        <v>DUN002</v>
      </c>
      <c r="AD161" s="230" t="str">
        <f>VLOOKUP($AC161,'2007-2020 Metadata'!$A$6:$S$214,9,FALSE)</f>
        <v>Dunedin</v>
      </c>
      <c r="AE161" s="230">
        <f>IF(ISBLANK(VLOOKUP($AC161,'2007-2020 Metadata'!$A$6:$S$214,19,FALSE)),"",VLOOKUP($AC161,'2007-2020 Metadata'!$A$6:$S$214,19,FALSE))</f>
        <v>3</v>
      </c>
      <c r="AF161" s="88" t="str">
        <f>VLOOKUP($B161,'2007-2020 Metadata'!$A$4:$S$214,MATCH("Site type",'2007-2020 Metadata'!$A$4:$S$4,0),FALSE)</f>
        <v>SH</v>
      </c>
      <c r="AG161" s="143">
        <f t="shared" si="59"/>
        <v>10.3</v>
      </c>
      <c r="AH161" s="143">
        <f t="shared" si="60"/>
        <v>24.4</v>
      </c>
      <c r="AI161" s="144">
        <f t="shared" si="61"/>
        <v>16.445396825396827</v>
      </c>
    </row>
    <row r="162" spans="2:35" ht="12" customHeight="1" x14ac:dyDescent="0.15">
      <c r="B162" s="313" t="s">
        <v>29</v>
      </c>
      <c r="C162" s="309">
        <v>20.3</v>
      </c>
      <c r="D162" s="309">
        <v>23.4</v>
      </c>
      <c r="E162" s="309">
        <v>22.7</v>
      </c>
      <c r="F162" s="309">
        <v>28.1</v>
      </c>
      <c r="G162" s="309">
        <v>33.700000000000003</v>
      </c>
      <c r="H162" s="309">
        <v>30.8</v>
      </c>
      <c r="I162" s="309">
        <v>35.200000000000003</v>
      </c>
      <c r="J162" s="309">
        <v>31.4</v>
      </c>
      <c r="K162" s="309">
        <v>24.3</v>
      </c>
      <c r="L162" s="309">
        <v>18.5</v>
      </c>
      <c r="M162" s="309">
        <v>23.4</v>
      </c>
      <c r="N162" s="309">
        <v>19.100000000000001</v>
      </c>
      <c r="O162" s="310">
        <f t="shared" si="55"/>
        <v>25.908333333333331</v>
      </c>
      <c r="P162" s="310">
        <f t="shared" si="47"/>
        <v>21.26051495336247</v>
      </c>
      <c r="Q162" s="311">
        <f t="shared" si="48"/>
        <v>1</v>
      </c>
      <c r="R162" s="225">
        <f t="shared" si="52"/>
        <v>22.133333333333336</v>
      </c>
      <c r="S162" s="226">
        <f t="shared" si="56"/>
        <v>1</v>
      </c>
      <c r="T162" s="225">
        <f t="shared" si="53"/>
        <v>30.299999999999997</v>
      </c>
      <c r="U162" s="226">
        <f t="shared" si="57"/>
        <v>1</v>
      </c>
      <c r="V162" s="227">
        <f t="shared" si="54"/>
        <v>25.908333333333331</v>
      </c>
      <c r="W162" s="228">
        <f t="shared" si="58"/>
        <v>1</v>
      </c>
      <c r="X162" s="144">
        <f t="shared" si="49"/>
        <v>22.133333333333336</v>
      </c>
      <c r="Y162" s="144">
        <f t="shared" si="50"/>
        <v>30.299999999999997</v>
      </c>
      <c r="Z162" s="144">
        <f t="shared" si="51"/>
        <v>25.908333333333331</v>
      </c>
      <c r="AA162" s="205"/>
      <c r="AB162" s="357" t="str">
        <f>VLOOKUP($B162,'2007-2020 Metadata'!$A$4:$S$214,MATCH("Urban Area /Monitoring Zone",'2007-2020 Metadata'!$A$4:$S$4,0),FALSE)</f>
        <v>Queenstown</v>
      </c>
      <c r="AC162" s="229" t="str">
        <f>VLOOKUP(B162,'2007-2020 Metadata'!$A$6:$A$214,1,FALSE)</f>
        <v>DUN004</v>
      </c>
      <c r="AD162" s="230" t="str">
        <f>VLOOKUP($AC162,'2007-2020 Metadata'!$A$6:$S$214,9,FALSE)</f>
        <v>Queenstown</v>
      </c>
      <c r="AE162" s="230">
        <f>IF(ISBLANK(VLOOKUP($AC162,'2007-2020 Metadata'!$A$6:$S$214,19,FALSE)),"",VLOOKUP($AC162,'2007-2020 Metadata'!$A$6:$S$214,19,FALSE))</f>
        <v>3</v>
      </c>
      <c r="AF162" s="88" t="str">
        <f>VLOOKUP($B162,'2007-2020 Metadata'!$A$4:$S$214,MATCH("Site type",'2007-2020 Metadata'!$A$4:$S$4,0),FALSE)</f>
        <v>SH</v>
      </c>
      <c r="AG162" s="143">
        <f t="shared" si="59"/>
        <v>18.5</v>
      </c>
      <c r="AH162" s="143">
        <f t="shared" si="60"/>
        <v>35.200000000000003</v>
      </c>
      <c r="AI162" s="144">
        <f t="shared" si="61"/>
        <v>25.908333333333331</v>
      </c>
    </row>
    <row r="163" spans="2:35" ht="12" customHeight="1" x14ac:dyDescent="0.15">
      <c r="B163" s="313" t="s">
        <v>30</v>
      </c>
      <c r="C163" s="309">
        <v>24.4</v>
      </c>
      <c r="D163" s="309">
        <v>21.1</v>
      </c>
      <c r="E163" s="309">
        <v>23.2</v>
      </c>
      <c r="F163" s="309">
        <v>30.2</v>
      </c>
      <c r="G163" s="309">
        <v>30.8</v>
      </c>
      <c r="H163" s="309">
        <v>27.4</v>
      </c>
      <c r="I163" s="309"/>
      <c r="J163" s="309">
        <v>20.3</v>
      </c>
      <c r="K163" s="309">
        <v>20.3</v>
      </c>
      <c r="L163" s="309">
        <v>23.9</v>
      </c>
      <c r="M163" s="309"/>
      <c r="N163" s="309">
        <v>16.100000000000001</v>
      </c>
      <c r="O163" s="310">
        <f t="shared" si="55"/>
        <v>23.770000000000003</v>
      </c>
      <c r="P163" s="310">
        <f t="shared" si="47"/>
        <v>18.564241688938228</v>
      </c>
      <c r="Q163" s="311">
        <f t="shared" si="48"/>
        <v>0.83333333333333337</v>
      </c>
      <c r="R163" s="225">
        <f t="shared" si="52"/>
        <v>22.900000000000002</v>
      </c>
      <c r="S163" s="226">
        <f t="shared" si="56"/>
        <v>1</v>
      </c>
      <c r="T163" s="225">
        <f t="shared" si="53"/>
        <v>20.3</v>
      </c>
      <c r="U163" s="226">
        <f t="shared" si="57"/>
        <v>0.66666666666666663</v>
      </c>
      <c r="V163" s="227">
        <f t="shared" si="54"/>
        <v>23.770000000000003</v>
      </c>
      <c r="W163" s="228">
        <f t="shared" si="58"/>
        <v>0.83333333333333337</v>
      </c>
      <c r="X163" s="144">
        <f t="shared" si="49"/>
        <v>15.083333333333334</v>
      </c>
      <c r="Y163" s="144">
        <f t="shared" si="50"/>
        <v>13.5</v>
      </c>
      <c r="Z163" s="144">
        <f t="shared" si="51"/>
        <v>15.212272727272728</v>
      </c>
      <c r="AA163" s="205"/>
      <c r="AB163" s="357" t="str">
        <f>VLOOKUP($B163,'2007-2020 Metadata'!$A$4:$S$214,MATCH("Urban Area /Monitoring Zone",'2007-2020 Metadata'!$A$4:$S$4,0),FALSE)</f>
        <v>Invercargill</v>
      </c>
      <c r="AC163" s="229" t="str">
        <f>VLOOKUP(B163,'2007-2020 Metadata'!$A$6:$A$214,1,FALSE)</f>
        <v>DUN005</v>
      </c>
      <c r="AD163" s="230" t="str">
        <f>VLOOKUP($AC163,'2007-2020 Metadata'!$A$6:$S$214,9,FALSE)</f>
        <v>Invercargill</v>
      </c>
      <c r="AE163" s="230">
        <f>IF(ISBLANK(VLOOKUP($AC163,'2007-2020 Metadata'!$A$6:$S$214,19,FALSE)),"",VLOOKUP($AC163,'2007-2020 Metadata'!$A$6:$S$214,19,FALSE))</f>
        <v>3</v>
      </c>
      <c r="AF163" s="88" t="str">
        <f>VLOOKUP($B163,'2007-2020 Metadata'!$A$4:$S$214,MATCH("Site type",'2007-2020 Metadata'!$A$4:$S$4,0),FALSE)</f>
        <v>SH</v>
      </c>
      <c r="AG163" s="143">
        <f t="shared" si="59"/>
        <v>16.100000000000001</v>
      </c>
      <c r="AH163" s="143">
        <f t="shared" si="60"/>
        <v>30.8</v>
      </c>
      <c r="AI163" s="144">
        <f t="shared" si="61"/>
        <v>15.212272727272728</v>
      </c>
    </row>
    <row r="164" spans="2:35" ht="12" customHeight="1" x14ac:dyDescent="0.15">
      <c r="B164" s="313" t="s">
        <v>155</v>
      </c>
      <c r="C164" s="309"/>
      <c r="D164" s="309">
        <v>18.899999999999999</v>
      </c>
      <c r="E164" s="309">
        <v>23.8</v>
      </c>
      <c r="F164" s="309">
        <v>20.7</v>
      </c>
      <c r="G164" s="309">
        <v>23.1</v>
      </c>
      <c r="H164" s="309">
        <v>31.5</v>
      </c>
      <c r="I164" s="309">
        <v>19.600000000000001</v>
      </c>
      <c r="J164" s="309">
        <v>21.9</v>
      </c>
      <c r="K164" s="309">
        <v>16.5</v>
      </c>
      <c r="L164" s="309">
        <v>17.100000000000001</v>
      </c>
      <c r="M164" s="309">
        <v>18.3</v>
      </c>
      <c r="N164" s="309">
        <v>13.9</v>
      </c>
      <c r="O164" s="310">
        <f t="shared" si="55"/>
        <v>20.481818181818184</v>
      </c>
      <c r="P164" s="310">
        <f t="shared" si="47"/>
        <v>21.833489928193693</v>
      </c>
      <c r="Q164" s="311">
        <f t="shared" si="48"/>
        <v>0.91666666666666663</v>
      </c>
      <c r="R164" s="225">
        <f t="shared" si="52"/>
        <v>21.35</v>
      </c>
      <c r="S164" s="226">
        <f t="shared" si="56"/>
        <v>0.66666666666666663</v>
      </c>
      <c r="T164" s="225">
        <f t="shared" si="53"/>
        <v>19.333333333333332</v>
      </c>
      <c r="U164" s="226">
        <f t="shared" si="57"/>
        <v>1</v>
      </c>
      <c r="V164" s="227">
        <f t="shared" si="54"/>
        <v>20.481818181818184</v>
      </c>
      <c r="W164" s="228">
        <f t="shared" si="58"/>
        <v>0.91666666666666663</v>
      </c>
      <c r="X164" s="144">
        <f t="shared" si="49"/>
        <v>17.021428571428569</v>
      </c>
      <c r="Y164" s="144">
        <f t="shared" si="50"/>
        <v>16.223809523809525</v>
      </c>
      <c r="Z164" s="144">
        <f t="shared" si="51"/>
        <v>16.445396825396827</v>
      </c>
      <c r="AA164" s="205"/>
      <c r="AB164" s="357" t="str">
        <f>VLOOKUP($B164,'2007-2020 Metadata'!$A$4:$S$214,MATCH("Urban Area /Monitoring Zone",'2007-2020 Metadata'!$A$4:$S$4,0),FALSE)</f>
        <v>Dunedin</v>
      </c>
      <c r="AC164" s="229" t="str">
        <f>VLOOKUP(B164,'2007-2020 Metadata'!$A$6:$A$214,1,FALSE)</f>
        <v>DUN006</v>
      </c>
      <c r="AD164" s="230" t="str">
        <f>VLOOKUP($AC164,'2007-2020 Metadata'!$A$6:$S$214,9,FALSE)</f>
        <v>Dunedin</v>
      </c>
      <c r="AE164" s="230">
        <f>IF(ISBLANK(VLOOKUP($AC164,'2007-2020 Metadata'!$A$6:$S$214,19,FALSE)),"",VLOOKUP($AC164,'2007-2020 Metadata'!$A$6:$S$214,19,FALSE))</f>
        <v>3</v>
      </c>
      <c r="AF164" s="88" t="str">
        <f>VLOOKUP($B164,'2007-2020 Metadata'!$A$4:$S$214,MATCH("Site type",'2007-2020 Metadata'!$A$4:$S$4,0),FALSE)</f>
        <v>SH</v>
      </c>
      <c r="AG164" s="143">
        <f t="shared" si="59"/>
        <v>13.9</v>
      </c>
      <c r="AH164" s="143">
        <f t="shared" si="60"/>
        <v>31.5</v>
      </c>
      <c r="AI164" s="144">
        <f t="shared" si="61"/>
        <v>16.445396825396827</v>
      </c>
    </row>
    <row r="165" spans="2:35" ht="12" customHeight="1" x14ac:dyDescent="0.15">
      <c r="B165" s="313" t="s">
        <v>156</v>
      </c>
      <c r="C165" s="309"/>
      <c r="D165" s="309">
        <v>10.199999999999999</v>
      </c>
      <c r="E165" s="309">
        <v>11.5</v>
      </c>
      <c r="F165" s="309">
        <v>8.3000000000000007</v>
      </c>
      <c r="G165" s="309">
        <v>11.5</v>
      </c>
      <c r="H165" s="309">
        <v>10.5</v>
      </c>
      <c r="I165" s="309">
        <v>10.9</v>
      </c>
      <c r="J165" s="309">
        <v>10.4</v>
      </c>
      <c r="K165" s="309">
        <v>5.4</v>
      </c>
      <c r="L165" s="309">
        <v>7.8</v>
      </c>
      <c r="M165" s="309">
        <v>6.5</v>
      </c>
      <c r="N165" s="309">
        <v>5.9</v>
      </c>
      <c r="O165" s="310">
        <f t="shared" si="55"/>
        <v>8.9909090909090921</v>
      </c>
      <c r="P165" s="310">
        <f t="shared" si="47"/>
        <v>24.30061700432729</v>
      </c>
      <c r="Q165" s="311">
        <f t="shared" si="48"/>
        <v>0.91666666666666663</v>
      </c>
      <c r="R165" s="225">
        <f t="shared" si="52"/>
        <v>10.85</v>
      </c>
      <c r="S165" s="226">
        <f t="shared" si="56"/>
        <v>0.66666666666666663</v>
      </c>
      <c r="T165" s="225">
        <f t="shared" si="53"/>
        <v>8.9</v>
      </c>
      <c r="U165" s="226">
        <f t="shared" si="57"/>
        <v>1</v>
      </c>
      <c r="V165" s="227">
        <f t="shared" si="54"/>
        <v>8.9909090909090921</v>
      </c>
      <c r="W165" s="228">
        <f t="shared" si="58"/>
        <v>0.91666666666666663</v>
      </c>
      <c r="X165" s="144">
        <f t="shared" si="49"/>
        <v>17.021428571428569</v>
      </c>
      <c r="Y165" s="144">
        <f t="shared" si="50"/>
        <v>16.223809523809525</v>
      </c>
      <c r="Z165" s="144">
        <f t="shared" si="51"/>
        <v>16.445396825396827</v>
      </c>
      <c r="AA165" s="205"/>
      <c r="AB165" s="357" t="str">
        <f>VLOOKUP($B165,'2007-2020 Metadata'!$A$4:$S$214,MATCH("Urban Area /Monitoring Zone",'2007-2020 Metadata'!$A$4:$S$4,0),FALSE)</f>
        <v>Dunedin</v>
      </c>
      <c r="AC165" s="229" t="str">
        <f>VLOOKUP(B165,'2007-2020 Metadata'!$A$6:$A$214,1,FALSE)</f>
        <v>DUN007</v>
      </c>
      <c r="AD165" s="230" t="str">
        <f>VLOOKUP($AC165,'2007-2020 Metadata'!$A$6:$S$214,9,FALSE)</f>
        <v>Dunedin</v>
      </c>
      <c r="AE165" s="230">
        <f>IF(ISBLANK(VLOOKUP($AC165,'2007-2020 Metadata'!$A$6:$S$214,19,FALSE)),"",VLOOKUP($AC165,'2007-2020 Metadata'!$A$6:$S$214,19,FALSE))</f>
        <v>3</v>
      </c>
      <c r="AF165" s="88" t="str">
        <f>VLOOKUP($B165,'2007-2020 Metadata'!$A$4:$S$214,MATCH("Site type",'2007-2020 Metadata'!$A$4:$S$4,0),FALSE)</f>
        <v>Background</v>
      </c>
      <c r="AG165" s="143">
        <f t="shared" si="59"/>
        <v>5.4</v>
      </c>
      <c r="AH165" s="143">
        <f t="shared" si="60"/>
        <v>11.5</v>
      </c>
      <c r="AI165" s="144">
        <f t="shared" si="61"/>
        <v>16.445396825396827</v>
      </c>
    </row>
    <row r="166" spans="2:35" ht="12" customHeight="1" x14ac:dyDescent="0.15">
      <c r="B166" s="313" t="s">
        <v>157</v>
      </c>
      <c r="C166" s="309"/>
      <c r="D166" s="309">
        <v>14.8</v>
      </c>
      <c r="E166" s="309">
        <v>16.8</v>
      </c>
      <c r="F166" s="309">
        <v>12.8</v>
      </c>
      <c r="G166" s="309">
        <v>16.5</v>
      </c>
      <c r="H166" s="309">
        <v>18.600000000000001</v>
      </c>
      <c r="I166" s="309">
        <v>15.2</v>
      </c>
      <c r="J166" s="309">
        <v>14.8</v>
      </c>
      <c r="K166" s="309">
        <v>9.5</v>
      </c>
      <c r="L166" s="309">
        <v>14.4</v>
      </c>
      <c r="M166" s="309">
        <v>12.4</v>
      </c>
      <c r="N166" s="309">
        <v>9.6999999999999993</v>
      </c>
      <c r="O166" s="310">
        <f t="shared" si="55"/>
        <v>14.136363636363637</v>
      </c>
      <c r="P166" s="310">
        <f t="shared" si="47"/>
        <v>19.156216728904802</v>
      </c>
      <c r="Q166" s="311">
        <f t="shared" si="48"/>
        <v>0.91666666666666663</v>
      </c>
      <c r="R166" s="225">
        <f t="shared" si="52"/>
        <v>15.8</v>
      </c>
      <c r="S166" s="226">
        <f t="shared" si="56"/>
        <v>0.66666666666666663</v>
      </c>
      <c r="T166" s="225">
        <f t="shared" si="53"/>
        <v>13.166666666666666</v>
      </c>
      <c r="U166" s="226">
        <f t="shared" si="57"/>
        <v>1</v>
      </c>
      <c r="V166" s="227">
        <f t="shared" si="54"/>
        <v>14.136363636363637</v>
      </c>
      <c r="W166" s="228">
        <f t="shared" si="58"/>
        <v>0.91666666666666663</v>
      </c>
      <c r="X166" s="144">
        <f t="shared" si="49"/>
        <v>17.021428571428569</v>
      </c>
      <c r="Y166" s="144">
        <f t="shared" si="50"/>
        <v>16.223809523809525</v>
      </c>
      <c r="Z166" s="144">
        <f t="shared" si="51"/>
        <v>16.445396825396827</v>
      </c>
      <c r="AA166" s="205"/>
      <c r="AB166" s="357" t="str">
        <f>VLOOKUP($B166,'2007-2020 Metadata'!$A$4:$S$214,MATCH("Urban Area /Monitoring Zone",'2007-2020 Metadata'!$A$4:$S$4,0),FALSE)</f>
        <v>Dunedin</v>
      </c>
      <c r="AC166" s="229" t="str">
        <f>VLOOKUP(B166,'2007-2020 Metadata'!$A$6:$A$214,1,FALSE)</f>
        <v>DUN008</v>
      </c>
      <c r="AD166" s="230" t="str">
        <f>VLOOKUP($AC166,'2007-2020 Metadata'!$A$6:$S$214,9,FALSE)</f>
        <v>Dunedin</v>
      </c>
      <c r="AE166" s="230">
        <f>IF(ISBLANK(VLOOKUP($AC166,'2007-2020 Metadata'!$A$6:$S$214,19,FALSE)),"",VLOOKUP($AC166,'2007-2020 Metadata'!$A$6:$S$214,19,FALSE))</f>
        <v>3</v>
      </c>
      <c r="AF166" s="88" t="str">
        <f>VLOOKUP($B166,'2007-2020 Metadata'!$A$4:$S$214,MATCH("Site type",'2007-2020 Metadata'!$A$4:$S$4,0),FALSE)</f>
        <v>Local</v>
      </c>
      <c r="AG166" s="143">
        <f t="shared" si="59"/>
        <v>9.5</v>
      </c>
      <c r="AH166" s="143">
        <f t="shared" si="60"/>
        <v>18.600000000000001</v>
      </c>
      <c r="AI166" s="144">
        <f t="shared" si="61"/>
        <v>16.445396825396827</v>
      </c>
    </row>
    <row r="167" spans="2:35" ht="12" customHeight="1" x14ac:dyDescent="0.15">
      <c r="B167" s="313" t="s">
        <v>158</v>
      </c>
      <c r="C167" s="309"/>
      <c r="D167" s="309">
        <v>17.100000000000001</v>
      </c>
      <c r="E167" s="309">
        <v>22.5</v>
      </c>
      <c r="F167" s="309">
        <v>17</v>
      </c>
      <c r="G167" s="309">
        <v>24.3</v>
      </c>
      <c r="H167" s="309">
        <v>28.2</v>
      </c>
      <c r="I167" s="309">
        <v>24.4</v>
      </c>
      <c r="J167" s="309">
        <v>25.3</v>
      </c>
      <c r="K167" s="309">
        <v>14</v>
      </c>
      <c r="L167" s="309">
        <v>16.3</v>
      </c>
      <c r="M167" s="309">
        <v>18.399999999999999</v>
      </c>
      <c r="N167" s="309">
        <v>11.7</v>
      </c>
      <c r="O167" s="310">
        <f t="shared" si="55"/>
        <v>19.927272727272729</v>
      </c>
      <c r="P167" s="310">
        <f t="shared" si="47"/>
        <v>25.224183312525678</v>
      </c>
      <c r="Q167" s="311">
        <f t="shared" si="48"/>
        <v>0.91666666666666663</v>
      </c>
      <c r="R167" s="225">
        <f t="shared" si="52"/>
        <v>19.8</v>
      </c>
      <c r="S167" s="226">
        <f t="shared" si="56"/>
        <v>0.66666666666666663</v>
      </c>
      <c r="T167" s="225">
        <f t="shared" si="53"/>
        <v>21.233333333333334</v>
      </c>
      <c r="U167" s="226">
        <f t="shared" si="57"/>
        <v>1</v>
      </c>
      <c r="V167" s="227">
        <f t="shared" si="54"/>
        <v>19.927272727272729</v>
      </c>
      <c r="W167" s="228">
        <f t="shared" si="58"/>
        <v>0.91666666666666663</v>
      </c>
      <c r="X167" s="144">
        <f t="shared" si="49"/>
        <v>17.021428571428569</v>
      </c>
      <c r="Y167" s="144">
        <f t="shared" si="50"/>
        <v>16.223809523809525</v>
      </c>
      <c r="Z167" s="144">
        <f t="shared" si="51"/>
        <v>16.445396825396827</v>
      </c>
      <c r="AA167" s="205"/>
      <c r="AB167" s="357" t="str">
        <f>VLOOKUP($B167,'2007-2020 Metadata'!$A$4:$S$214,MATCH("Urban Area /Monitoring Zone",'2007-2020 Metadata'!$A$4:$S$4,0),FALSE)</f>
        <v>Dunedin</v>
      </c>
      <c r="AC167" s="229" t="str">
        <f>VLOOKUP(B167,'2007-2020 Metadata'!$A$6:$A$214,1,FALSE)</f>
        <v>DUN009</v>
      </c>
      <c r="AD167" s="230" t="str">
        <f>VLOOKUP($AC167,'2007-2020 Metadata'!$A$6:$S$214,9,FALSE)</f>
        <v>Dunedin</v>
      </c>
      <c r="AE167" s="230">
        <f>IF(ISBLANK(VLOOKUP($AC167,'2007-2020 Metadata'!$A$6:$S$214,19,FALSE)),"",VLOOKUP($AC167,'2007-2020 Metadata'!$A$6:$S$214,19,FALSE))</f>
        <v>3</v>
      </c>
      <c r="AF167" s="88" t="str">
        <f>VLOOKUP($B167,'2007-2020 Metadata'!$A$4:$S$214,MATCH("Site type",'2007-2020 Metadata'!$A$4:$S$4,0),FALSE)</f>
        <v>Local</v>
      </c>
      <c r="AG167" s="143">
        <f t="shared" si="59"/>
        <v>11.7</v>
      </c>
      <c r="AH167" s="143">
        <f t="shared" si="60"/>
        <v>28.2</v>
      </c>
      <c r="AI167" s="144">
        <f t="shared" si="61"/>
        <v>16.445396825396827</v>
      </c>
    </row>
    <row r="168" spans="2:35" ht="12" customHeight="1" x14ac:dyDescent="0.15">
      <c r="B168" s="313" t="s">
        <v>31</v>
      </c>
      <c r="C168" s="309">
        <v>6.7</v>
      </c>
      <c r="D168" s="309">
        <v>6.6</v>
      </c>
      <c r="E168" s="309">
        <v>8.5</v>
      </c>
      <c r="F168" s="309">
        <v>7.8</v>
      </c>
      <c r="G168" s="309">
        <v>6.7</v>
      </c>
      <c r="H168" s="309">
        <v>8.6</v>
      </c>
      <c r="I168" s="309">
        <v>8.4</v>
      </c>
      <c r="J168" s="309">
        <v>7.3</v>
      </c>
      <c r="K168" s="309">
        <v>4.4000000000000004</v>
      </c>
      <c r="L168" s="309">
        <v>5.0999999999999996</v>
      </c>
      <c r="M168" s="309"/>
      <c r="N168" s="309">
        <v>3.1</v>
      </c>
      <c r="O168" s="310">
        <f t="shared" si="55"/>
        <v>6.6545454545454534</v>
      </c>
      <c r="P168" s="310">
        <f t="shared" si="47"/>
        <v>25.673611795381827</v>
      </c>
      <c r="Q168" s="311">
        <f t="shared" si="48"/>
        <v>0.91666666666666663</v>
      </c>
      <c r="R168" s="225">
        <f t="shared" si="52"/>
        <v>7.2666666666666666</v>
      </c>
      <c r="S168" s="226">
        <f t="shared" si="56"/>
        <v>1</v>
      </c>
      <c r="T168" s="225">
        <f t="shared" si="53"/>
        <v>6.7</v>
      </c>
      <c r="U168" s="226">
        <f t="shared" si="57"/>
        <v>1</v>
      </c>
      <c r="V168" s="227">
        <f t="shared" si="54"/>
        <v>6.6545454545454534</v>
      </c>
      <c r="W168" s="228">
        <f t="shared" si="58"/>
        <v>0.91666666666666663</v>
      </c>
      <c r="X168" s="144">
        <f t="shared" si="49"/>
        <v>15.083333333333334</v>
      </c>
      <c r="Y168" s="144">
        <f t="shared" si="50"/>
        <v>13.5</v>
      </c>
      <c r="Z168" s="144">
        <f t="shared" si="51"/>
        <v>15.212272727272728</v>
      </c>
      <c r="AA168" s="205"/>
      <c r="AB168" s="357" t="str">
        <f>VLOOKUP($B168,'2007-2020 Metadata'!$A$4:$S$214,MATCH("Urban Area /Monitoring Zone",'2007-2020 Metadata'!$A$4:$S$4,0),FALSE)</f>
        <v>Invercargill</v>
      </c>
      <c r="AC168" s="229" t="str">
        <f>VLOOKUP(B168,'2007-2020 Metadata'!$A$6:$A$214,1,FALSE)</f>
        <v>DUN010</v>
      </c>
      <c r="AD168" s="230" t="str">
        <f>VLOOKUP($AC168,'2007-2020 Metadata'!$A$6:$S$214,9,FALSE)</f>
        <v>Invercargill</v>
      </c>
      <c r="AE168" s="230">
        <f>IF(ISBLANK(VLOOKUP($AC168,'2007-2020 Metadata'!$A$6:$S$214,19,FALSE)),"",VLOOKUP($AC168,'2007-2020 Metadata'!$A$6:$S$214,19,FALSE))</f>
        <v>3</v>
      </c>
      <c r="AF168" s="88" t="str">
        <f>VLOOKUP($B168,'2007-2020 Metadata'!$A$4:$S$214,MATCH("Site type",'2007-2020 Metadata'!$A$4:$S$4,0),FALSE)</f>
        <v>Background</v>
      </c>
      <c r="AG168" s="143">
        <f t="shared" si="59"/>
        <v>3.1</v>
      </c>
      <c r="AH168" s="143">
        <f t="shared" si="60"/>
        <v>8.6</v>
      </c>
      <c r="AI168" s="144">
        <f t="shared" si="61"/>
        <v>15.212272727272728</v>
      </c>
    </row>
    <row r="169" spans="2:35" ht="12" customHeight="1" x14ac:dyDescent="0.15">
      <c r="B169" s="313" t="s">
        <v>468</v>
      </c>
      <c r="C169" s="309"/>
      <c r="D169" s="309">
        <v>9.4</v>
      </c>
      <c r="E169" s="309">
        <v>13.2</v>
      </c>
      <c r="F169" s="309"/>
      <c r="G169" s="309">
        <v>13.9</v>
      </c>
      <c r="H169" s="309">
        <v>14.3</v>
      </c>
      <c r="I169" s="309">
        <v>13.6</v>
      </c>
      <c r="J169" s="309">
        <v>13.3</v>
      </c>
      <c r="K169" s="309">
        <v>9.6</v>
      </c>
      <c r="L169" s="309">
        <v>10.8</v>
      </c>
      <c r="M169" s="309"/>
      <c r="N169" s="309">
        <v>8.8000000000000007</v>
      </c>
      <c r="O169" s="310">
        <f t="shared" si="55"/>
        <v>11.877777777777775</v>
      </c>
      <c r="P169" s="310">
        <f t="shared" si="47"/>
        <v>17.448154941313433</v>
      </c>
      <c r="Q169" s="311">
        <f t="shared" si="48"/>
        <v>0.75</v>
      </c>
      <c r="R169" s="225">
        <f t="shared" si="52"/>
        <v>11.3</v>
      </c>
      <c r="S169" s="226">
        <f t="shared" si="56"/>
        <v>0.66666666666666663</v>
      </c>
      <c r="T169" s="225">
        <f t="shared" si="53"/>
        <v>12.166666666666666</v>
      </c>
      <c r="U169" s="226">
        <f t="shared" si="57"/>
        <v>1</v>
      </c>
      <c r="V169" s="227">
        <f t="shared" si="54"/>
        <v>11.877777777777775</v>
      </c>
      <c r="W169" s="228">
        <f t="shared" si="58"/>
        <v>0.75</v>
      </c>
      <c r="X169" s="144">
        <f t="shared" si="49"/>
        <v>17.021428571428569</v>
      </c>
      <c r="Y169" s="144">
        <f t="shared" si="50"/>
        <v>16.223809523809525</v>
      </c>
      <c r="Z169" s="144">
        <f t="shared" si="51"/>
        <v>16.445396825396827</v>
      </c>
      <c r="AA169" s="205"/>
      <c r="AB169" s="357" t="str">
        <f>VLOOKUP($B169,'2007-2020 Metadata'!$A$4:$S$214,MATCH("Urban Area /Monitoring Zone",'2007-2020 Metadata'!$A$4:$S$4,0),FALSE)</f>
        <v>Dunedin</v>
      </c>
      <c r="AC169" s="229" t="str">
        <f>VLOOKUP(B169,'2007-2020 Metadata'!$A$6:$A$214,1,FALSE)</f>
        <v>DUN011</v>
      </c>
      <c r="AD169" s="230" t="str">
        <f>VLOOKUP($AC169,'2007-2020 Metadata'!$A$6:$S$214,9,FALSE)</f>
        <v>Dunedin</v>
      </c>
      <c r="AE169" s="230">
        <f>IF(ISBLANK(VLOOKUP($AC169,'2007-2020 Metadata'!$A$6:$S$214,19,FALSE)),"",VLOOKUP($AC169,'2007-2020 Metadata'!$A$6:$S$214,19,FALSE))</f>
        <v>3</v>
      </c>
      <c r="AF169" s="88" t="str">
        <f>VLOOKUP($B169,'2007-2020 Metadata'!$A$4:$S$214,MATCH("Site type",'2007-2020 Metadata'!$A$4:$S$4,0),FALSE)</f>
        <v>SH</v>
      </c>
      <c r="AG169" s="143">
        <f t="shared" si="59"/>
        <v>8.8000000000000007</v>
      </c>
      <c r="AH169" s="143">
        <f t="shared" si="60"/>
        <v>14.3</v>
      </c>
      <c r="AI169" s="144">
        <f t="shared" si="61"/>
        <v>16.445396825396827</v>
      </c>
    </row>
    <row r="170" spans="2:35" ht="12" customHeight="1" thickBot="1" x14ac:dyDescent="0.2">
      <c r="B170" s="316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317"/>
      <c r="P170" s="317"/>
      <c r="Q170" s="318"/>
      <c r="R170" s="317"/>
      <c r="S170" s="346"/>
      <c r="T170" s="350"/>
      <c r="U170" s="351"/>
      <c r="V170" s="348"/>
      <c r="W170" s="318"/>
      <c r="X170" s="346"/>
      <c r="Y170" s="349"/>
      <c r="Z170" s="347"/>
      <c r="AA170" s="346"/>
      <c r="AB170" s="348"/>
      <c r="AC170" s="352"/>
      <c r="AD170" s="353"/>
      <c r="AE170" s="317"/>
      <c r="AF170" s="318"/>
      <c r="AG170" s="317"/>
      <c r="AH170" s="317"/>
      <c r="AI170" s="318"/>
    </row>
    <row r="171" spans="2:35" ht="12" customHeight="1" thickTop="1" x14ac:dyDescent="0.15">
      <c r="B171" s="302"/>
      <c r="C171" s="237" t="s">
        <v>487</v>
      </c>
      <c r="D171" s="301"/>
      <c r="E171" s="301"/>
      <c r="F171" s="301"/>
      <c r="G171" s="301"/>
      <c r="H171" s="301"/>
      <c r="I171" s="301"/>
      <c r="J171" s="301"/>
      <c r="K171" s="301"/>
      <c r="L171" s="301"/>
      <c r="M171" s="301"/>
      <c r="N171" s="301"/>
      <c r="O171" s="319"/>
      <c r="P171" s="319"/>
      <c r="Q171" s="319"/>
    </row>
    <row r="172" spans="2:35" ht="12" customHeight="1" x14ac:dyDescent="0.15">
      <c r="B172" s="320" t="s">
        <v>455</v>
      </c>
      <c r="C172" s="301"/>
      <c r="D172" s="301"/>
      <c r="E172" s="301"/>
      <c r="F172" s="301"/>
      <c r="G172" s="301"/>
      <c r="H172" s="301"/>
      <c r="I172" s="301"/>
      <c r="J172" s="301"/>
      <c r="K172" s="301"/>
      <c r="L172" s="301"/>
      <c r="M172" s="301"/>
      <c r="N172" s="301"/>
      <c r="O172" s="319"/>
      <c r="P172" s="319"/>
      <c r="Q172" s="319"/>
    </row>
    <row r="173" spans="2:35" ht="11.25" customHeight="1" x14ac:dyDescent="0.15">
      <c r="B173" s="321"/>
      <c r="C173" s="301" t="s">
        <v>456</v>
      </c>
      <c r="D173" s="301"/>
      <c r="E173" s="301"/>
      <c r="F173" s="301"/>
      <c r="G173" s="301"/>
      <c r="H173" s="301" t="s">
        <v>456</v>
      </c>
      <c r="I173" s="301"/>
      <c r="J173" s="301"/>
      <c r="K173" s="301"/>
      <c r="L173" s="301"/>
      <c r="M173" s="301"/>
      <c r="N173" s="301"/>
      <c r="O173" s="319"/>
      <c r="P173" s="319"/>
      <c r="Q173" s="319"/>
    </row>
    <row r="174" spans="2:35" ht="11.25" customHeight="1" x14ac:dyDescent="0.15">
      <c r="B174" s="371"/>
      <c r="C174" s="301" t="s">
        <v>1085</v>
      </c>
      <c r="D174" s="301"/>
      <c r="E174" s="301"/>
      <c r="F174" s="301"/>
      <c r="G174" s="301"/>
      <c r="H174" s="301" t="s">
        <v>1085</v>
      </c>
      <c r="I174" s="301"/>
      <c r="J174" s="301"/>
      <c r="K174" s="301"/>
      <c r="L174" s="301"/>
      <c r="M174" s="301"/>
      <c r="N174" s="301"/>
      <c r="O174" s="319"/>
      <c r="P174" s="319"/>
      <c r="Q174" s="319"/>
    </row>
    <row r="175" spans="2:35" ht="11.25" customHeight="1" x14ac:dyDescent="0.15">
      <c r="B175" s="322"/>
      <c r="C175" s="301" t="s">
        <v>488</v>
      </c>
      <c r="D175" s="301"/>
      <c r="E175" s="301"/>
      <c r="F175" s="301"/>
      <c r="G175" s="301"/>
      <c r="H175" s="181" t="s">
        <v>488</v>
      </c>
      <c r="I175" s="301"/>
      <c r="J175" s="301"/>
      <c r="K175" s="301"/>
      <c r="L175" s="301"/>
      <c r="M175" s="301"/>
      <c r="N175" s="301"/>
      <c r="O175" s="319"/>
      <c r="P175" s="319"/>
      <c r="Q175" s="319"/>
    </row>
    <row r="176" spans="2:35" ht="11.25" customHeight="1" x14ac:dyDescent="0.15">
      <c r="B176" s="323"/>
      <c r="C176" s="301" t="s">
        <v>457</v>
      </c>
      <c r="D176" s="301"/>
      <c r="E176" s="301"/>
      <c r="F176" s="301"/>
      <c r="G176" s="301"/>
      <c r="H176" s="181" t="s">
        <v>457</v>
      </c>
      <c r="I176" s="301"/>
      <c r="J176" s="301"/>
      <c r="K176" s="301"/>
      <c r="L176" s="301"/>
      <c r="M176" s="301"/>
      <c r="N176" s="301"/>
      <c r="O176" s="319"/>
      <c r="P176" s="319"/>
      <c r="Q176" s="319"/>
    </row>
    <row r="177" spans="2:17" ht="11.25" customHeight="1" x14ac:dyDescent="0.15">
      <c r="B177" s="324"/>
      <c r="C177" s="301" t="s">
        <v>458</v>
      </c>
      <c r="D177" s="301"/>
      <c r="E177" s="301"/>
      <c r="F177" s="301"/>
      <c r="G177" s="301"/>
      <c r="H177" s="181" t="s">
        <v>458</v>
      </c>
      <c r="I177" s="301"/>
      <c r="J177" s="301"/>
      <c r="K177" s="301"/>
      <c r="L177" s="301"/>
      <c r="M177" s="301"/>
      <c r="N177" s="301"/>
      <c r="O177" s="319"/>
      <c r="P177" s="319"/>
      <c r="Q177" s="319"/>
    </row>
    <row r="178" spans="2:17" x14ac:dyDescent="0.15">
      <c r="B178" s="325"/>
      <c r="C178" s="301" t="s">
        <v>489</v>
      </c>
      <c r="D178" s="301"/>
      <c r="E178" s="301"/>
      <c r="F178" s="301"/>
      <c r="G178" s="301"/>
      <c r="H178" s="181" t="s">
        <v>489</v>
      </c>
      <c r="I178" s="301"/>
      <c r="J178" s="301"/>
      <c r="K178" s="301"/>
      <c r="L178" s="301"/>
      <c r="M178" s="301"/>
      <c r="N178" s="301"/>
      <c r="O178" s="319"/>
      <c r="P178" s="319"/>
      <c r="Q178" s="319"/>
    </row>
    <row r="179" spans="2:17" x14ac:dyDescent="0.15">
      <c r="B179" s="254"/>
      <c r="C179" s="206" t="s">
        <v>540</v>
      </c>
      <c r="D179" s="301"/>
      <c r="E179" s="301"/>
      <c r="F179" s="301"/>
      <c r="G179" s="301"/>
      <c r="H179" s="206" t="s">
        <v>540</v>
      </c>
      <c r="I179" s="301"/>
      <c r="J179" s="301"/>
      <c r="K179" s="301"/>
      <c r="L179" s="301"/>
      <c r="M179" s="301"/>
      <c r="N179" s="301"/>
      <c r="O179" s="319"/>
      <c r="P179" s="319"/>
      <c r="Q179" s="319"/>
    </row>
    <row r="180" spans="2:17" x14ac:dyDescent="0.15">
      <c r="B180" s="372"/>
      <c r="C180" s="10" t="s">
        <v>1086</v>
      </c>
      <c r="D180" s="301"/>
      <c r="E180" s="301"/>
      <c r="F180" s="301"/>
      <c r="G180" s="301"/>
      <c r="H180" s="10" t="s">
        <v>1086</v>
      </c>
      <c r="I180" s="301"/>
      <c r="J180" s="301"/>
      <c r="K180" s="301"/>
      <c r="L180" s="301"/>
      <c r="M180" s="301"/>
      <c r="N180" s="301"/>
      <c r="O180" s="319"/>
      <c r="P180" s="319"/>
      <c r="Q180" s="319"/>
    </row>
    <row r="181" spans="2:17" x14ac:dyDescent="0.15">
      <c r="B181" s="302"/>
      <c r="C181" s="301"/>
      <c r="D181" s="301"/>
      <c r="E181" s="301"/>
      <c r="F181" s="301"/>
      <c r="G181" s="301"/>
      <c r="H181" s="301"/>
      <c r="I181" s="301"/>
      <c r="J181" s="301"/>
      <c r="K181" s="301"/>
      <c r="L181" s="301"/>
      <c r="M181" s="301"/>
      <c r="N181" s="301"/>
      <c r="O181" s="319"/>
      <c r="P181" s="319"/>
      <c r="Q181" s="319"/>
    </row>
    <row r="182" spans="2:17" x14ac:dyDescent="0.15">
      <c r="B182" s="302"/>
      <c r="C182" s="301"/>
      <c r="D182" s="301"/>
      <c r="E182" s="301"/>
      <c r="F182" s="301"/>
      <c r="G182" s="301"/>
      <c r="H182" s="301"/>
      <c r="I182" s="301"/>
      <c r="J182" s="301"/>
      <c r="K182" s="301"/>
      <c r="L182" s="301"/>
      <c r="M182" s="301"/>
      <c r="N182" s="301"/>
      <c r="O182" s="319"/>
      <c r="P182" s="319"/>
      <c r="Q182" s="319"/>
    </row>
    <row r="183" spans="2:17" x14ac:dyDescent="0.15">
      <c r="B183" s="302"/>
      <c r="C183" s="301"/>
      <c r="D183" s="301"/>
      <c r="E183" s="301"/>
      <c r="F183" s="301"/>
      <c r="G183" s="301"/>
      <c r="H183" s="301"/>
      <c r="I183" s="301"/>
      <c r="J183" s="301"/>
      <c r="K183" s="301"/>
      <c r="L183" s="301"/>
      <c r="M183" s="301"/>
      <c r="N183" s="301"/>
      <c r="O183" s="319"/>
      <c r="P183" s="319"/>
      <c r="Q183" s="319"/>
    </row>
    <row r="184" spans="2:17" x14ac:dyDescent="0.15">
      <c r="B184" s="302"/>
      <c r="C184" s="301"/>
      <c r="D184" s="301"/>
      <c r="E184" s="301"/>
      <c r="F184" s="301"/>
      <c r="G184" s="301"/>
      <c r="H184" s="301"/>
      <c r="I184" s="301"/>
      <c r="J184" s="301"/>
      <c r="K184" s="301"/>
      <c r="L184" s="301"/>
      <c r="M184" s="301"/>
      <c r="N184" s="301"/>
      <c r="O184" s="319"/>
      <c r="P184" s="319"/>
      <c r="Q184" s="319"/>
    </row>
    <row r="185" spans="2:17" x14ac:dyDescent="0.15">
      <c r="B185" s="302"/>
      <c r="C185" s="301"/>
      <c r="D185" s="301"/>
      <c r="E185" s="301"/>
      <c r="F185" s="301"/>
      <c r="G185" s="301"/>
      <c r="H185" s="301"/>
      <c r="I185" s="301"/>
      <c r="J185" s="301"/>
      <c r="K185" s="301"/>
      <c r="L185" s="301"/>
      <c r="M185" s="301"/>
      <c r="N185" s="301"/>
      <c r="O185" s="319"/>
      <c r="P185" s="319"/>
      <c r="Q185" s="319"/>
    </row>
    <row r="186" spans="2:17" x14ac:dyDescent="0.15">
      <c r="B186" s="302"/>
      <c r="C186" s="301"/>
      <c r="D186" s="301"/>
      <c r="E186" s="301"/>
      <c r="F186" s="301"/>
      <c r="G186" s="301"/>
      <c r="H186" s="301"/>
      <c r="I186" s="301"/>
      <c r="J186" s="301"/>
      <c r="K186" s="301"/>
      <c r="L186" s="301"/>
      <c r="M186" s="301"/>
      <c r="N186" s="301"/>
      <c r="O186" s="319"/>
      <c r="P186" s="319"/>
      <c r="Q186" s="319"/>
    </row>
    <row r="187" spans="2:17" x14ac:dyDescent="0.15">
      <c r="B187" s="302"/>
      <c r="C187" s="301"/>
      <c r="D187" s="301"/>
      <c r="E187" s="301"/>
      <c r="F187" s="301"/>
      <c r="G187" s="301"/>
      <c r="H187" s="301"/>
      <c r="I187" s="301"/>
      <c r="J187" s="301"/>
      <c r="K187" s="301"/>
      <c r="L187" s="301"/>
      <c r="M187" s="301"/>
      <c r="N187" s="301"/>
      <c r="O187" s="319"/>
      <c r="P187" s="319"/>
      <c r="Q187" s="319"/>
    </row>
    <row r="188" spans="2:17" x14ac:dyDescent="0.15">
      <c r="B188" s="302"/>
      <c r="C188" s="301"/>
      <c r="D188" s="301"/>
      <c r="E188" s="301"/>
      <c r="F188" s="301"/>
      <c r="G188" s="301"/>
      <c r="H188" s="301"/>
      <c r="I188" s="301"/>
      <c r="J188" s="301"/>
      <c r="K188" s="301"/>
      <c r="L188" s="301"/>
      <c r="M188" s="301"/>
      <c r="N188" s="301"/>
      <c r="O188" s="319"/>
      <c r="P188" s="319"/>
      <c r="Q188" s="319"/>
    </row>
    <row r="189" spans="2:17" x14ac:dyDescent="0.15">
      <c r="B189" s="302"/>
      <c r="C189" s="301"/>
      <c r="D189" s="301"/>
      <c r="E189" s="301"/>
      <c r="F189" s="301"/>
      <c r="G189" s="301"/>
      <c r="H189" s="301"/>
      <c r="I189" s="301"/>
      <c r="J189" s="301"/>
      <c r="K189" s="301"/>
      <c r="L189" s="301"/>
      <c r="M189" s="301"/>
      <c r="N189" s="301"/>
      <c r="O189" s="319"/>
      <c r="P189" s="319"/>
      <c r="Q189" s="319"/>
    </row>
    <row r="190" spans="2:17" x14ac:dyDescent="0.15">
      <c r="B190" s="302"/>
      <c r="C190" s="301"/>
      <c r="D190" s="301"/>
      <c r="E190" s="301"/>
      <c r="F190" s="301"/>
      <c r="G190" s="301"/>
      <c r="H190" s="301"/>
      <c r="I190" s="301"/>
      <c r="J190" s="301"/>
      <c r="K190" s="301"/>
      <c r="L190" s="301"/>
      <c r="M190" s="301"/>
      <c r="N190" s="301"/>
      <c r="O190" s="319"/>
      <c r="P190" s="319"/>
      <c r="Q190" s="319"/>
    </row>
    <row r="191" spans="2:17" x14ac:dyDescent="0.15">
      <c r="B191" s="302"/>
      <c r="C191" s="301"/>
      <c r="D191" s="301"/>
      <c r="E191" s="301"/>
      <c r="F191" s="301"/>
      <c r="G191" s="301"/>
      <c r="H191" s="301"/>
      <c r="I191" s="301"/>
      <c r="J191" s="301"/>
      <c r="K191" s="301"/>
      <c r="L191" s="301"/>
      <c r="M191" s="301"/>
      <c r="N191" s="301"/>
      <c r="O191" s="319"/>
      <c r="P191" s="319"/>
      <c r="Q191" s="319"/>
    </row>
    <row r="192" spans="2:17" x14ac:dyDescent="0.15">
      <c r="B192" s="302"/>
      <c r="C192" s="301"/>
      <c r="D192" s="301"/>
      <c r="E192" s="301"/>
      <c r="F192" s="301"/>
      <c r="G192" s="301"/>
      <c r="H192" s="301"/>
      <c r="I192" s="301"/>
      <c r="J192" s="301"/>
      <c r="K192" s="301"/>
      <c r="L192" s="301"/>
      <c r="M192" s="301"/>
      <c r="N192" s="301"/>
      <c r="O192" s="319"/>
      <c r="P192" s="319"/>
      <c r="Q192" s="319"/>
    </row>
    <row r="193" spans="2:17" x14ac:dyDescent="0.15">
      <c r="B193" s="302"/>
      <c r="C193" s="301"/>
      <c r="D193" s="301"/>
      <c r="E193" s="301"/>
      <c r="F193" s="301"/>
      <c r="G193" s="301"/>
      <c r="H193" s="301"/>
      <c r="I193" s="301"/>
      <c r="J193" s="301"/>
      <c r="K193" s="301"/>
      <c r="L193" s="301"/>
      <c r="M193" s="301"/>
      <c r="N193" s="301"/>
      <c r="O193" s="319"/>
      <c r="P193" s="319"/>
      <c r="Q193" s="319"/>
    </row>
    <row r="194" spans="2:17" x14ac:dyDescent="0.15">
      <c r="B194" s="302"/>
      <c r="C194" s="301"/>
      <c r="D194" s="301"/>
      <c r="E194" s="301"/>
      <c r="F194" s="301"/>
      <c r="G194" s="301"/>
      <c r="H194" s="301"/>
      <c r="I194" s="301"/>
      <c r="J194" s="301"/>
      <c r="K194" s="301"/>
      <c r="L194" s="301"/>
      <c r="M194" s="301"/>
      <c r="N194" s="301"/>
      <c r="O194" s="319"/>
      <c r="P194" s="319"/>
      <c r="Q194" s="319"/>
    </row>
    <row r="195" spans="2:17" x14ac:dyDescent="0.15">
      <c r="B195" s="302"/>
      <c r="C195" s="301"/>
      <c r="D195" s="301"/>
      <c r="E195" s="301"/>
      <c r="F195" s="301"/>
      <c r="G195" s="301"/>
      <c r="H195" s="301"/>
      <c r="I195" s="301"/>
      <c r="J195" s="301"/>
      <c r="K195" s="301"/>
      <c r="L195" s="301"/>
      <c r="M195" s="301"/>
      <c r="N195" s="301"/>
      <c r="O195" s="319"/>
      <c r="P195" s="319"/>
      <c r="Q195" s="319"/>
    </row>
    <row r="196" spans="2:17" x14ac:dyDescent="0.15">
      <c r="B196" s="302"/>
      <c r="C196" s="301"/>
      <c r="D196" s="301"/>
      <c r="E196" s="301"/>
      <c r="F196" s="301"/>
      <c r="G196" s="301"/>
      <c r="H196" s="301"/>
      <c r="I196" s="301"/>
      <c r="J196" s="301"/>
      <c r="K196" s="301"/>
      <c r="L196" s="301"/>
      <c r="M196" s="301"/>
      <c r="N196" s="301"/>
      <c r="O196" s="319"/>
      <c r="P196" s="319"/>
      <c r="Q196" s="319"/>
    </row>
    <row r="197" spans="2:17" x14ac:dyDescent="0.15">
      <c r="B197" s="302"/>
      <c r="C197" s="301"/>
      <c r="D197" s="301"/>
      <c r="E197" s="301"/>
      <c r="F197" s="301"/>
      <c r="G197" s="301"/>
      <c r="H197" s="301"/>
      <c r="I197" s="301"/>
      <c r="J197" s="301"/>
      <c r="K197" s="301"/>
      <c r="L197" s="301"/>
      <c r="M197" s="301"/>
      <c r="N197" s="301"/>
      <c r="O197" s="319"/>
      <c r="P197" s="319"/>
      <c r="Q197" s="319"/>
    </row>
    <row r="198" spans="2:17" x14ac:dyDescent="0.15">
      <c r="B198" s="302"/>
      <c r="C198" s="301"/>
      <c r="D198" s="301"/>
      <c r="E198" s="301"/>
      <c r="F198" s="301"/>
      <c r="G198" s="301"/>
      <c r="H198" s="301"/>
      <c r="I198" s="301"/>
      <c r="J198" s="301"/>
      <c r="K198" s="301"/>
      <c r="L198" s="301"/>
      <c r="M198" s="301"/>
      <c r="N198" s="301"/>
      <c r="O198" s="319"/>
      <c r="P198" s="319"/>
      <c r="Q198" s="319"/>
    </row>
    <row r="199" spans="2:17" x14ac:dyDescent="0.15">
      <c r="B199" s="302"/>
      <c r="C199" s="301"/>
      <c r="D199" s="301"/>
      <c r="E199" s="301"/>
      <c r="F199" s="301"/>
      <c r="G199" s="301"/>
      <c r="H199" s="301"/>
      <c r="I199" s="301"/>
      <c r="J199" s="301"/>
      <c r="K199" s="301"/>
      <c r="L199" s="301"/>
      <c r="M199" s="301"/>
      <c r="N199" s="301"/>
      <c r="O199" s="319"/>
      <c r="P199" s="319"/>
      <c r="Q199" s="319"/>
    </row>
    <row r="200" spans="2:17" x14ac:dyDescent="0.15">
      <c r="B200" s="302"/>
      <c r="C200" s="301"/>
      <c r="D200" s="301"/>
      <c r="E200" s="301"/>
      <c r="F200" s="301"/>
      <c r="G200" s="301"/>
      <c r="H200" s="301"/>
      <c r="I200" s="301"/>
      <c r="J200" s="301"/>
      <c r="K200" s="301"/>
      <c r="L200" s="301"/>
      <c r="M200" s="301"/>
      <c r="N200" s="301"/>
      <c r="O200" s="319"/>
      <c r="P200" s="319"/>
      <c r="Q200" s="319"/>
    </row>
    <row r="201" spans="2:17" x14ac:dyDescent="0.15">
      <c r="B201" s="302"/>
      <c r="C201" s="301"/>
      <c r="D201" s="301"/>
      <c r="E201" s="301"/>
      <c r="F201" s="301"/>
      <c r="G201" s="301"/>
      <c r="H201" s="301"/>
      <c r="I201" s="301"/>
      <c r="J201" s="301"/>
      <c r="K201" s="301"/>
      <c r="L201" s="301"/>
      <c r="M201" s="301"/>
      <c r="N201" s="301"/>
      <c r="O201" s="319"/>
      <c r="P201" s="319"/>
      <c r="Q201" s="319"/>
    </row>
    <row r="202" spans="2:17" x14ac:dyDescent="0.15">
      <c r="B202" s="302"/>
      <c r="C202" s="301"/>
      <c r="D202" s="301"/>
      <c r="E202" s="301"/>
      <c r="F202" s="301"/>
      <c r="G202" s="301"/>
      <c r="H202" s="301"/>
      <c r="I202" s="301"/>
      <c r="J202" s="301"/>
      <c r="K202" s="301"/>
      <c r="L202" s="301"/>
      <c r="M202" s="301"/>
      <c r="N202" s="301"/>
      <c r="O202" s="319"/>
      <c r="P202" s="319"/>
      <c r="Q202" s="319"/>
    </row>
    <row r="203" spans="2:17" x14ac:dyDescent="0.15">
      <c r="B203" s="302"/>
      <c r="C203" s="301"/>
      <c r="D203" s="301"/>
      <c r="E203" s="301"/>
      <c r="F203" s="301"/>
      <c r="G203" s="301"/>
      <c r="H203" s="301"/>
      <c r="I203" s="301"/>
      <c r="J203" s="301"/>
      <c r="K203" s="301"/>
      <c r="L203" s="301"/>
      <c r="M203" s="301"/>
      <c r="N203" s="301"/>
      <c r="O203" s="319"/>
      <c r="P203" s="319"/>
      <c r="Q203" s="319"/>
    </row>
    <row r="204" spans="2:17" x14ac:dyDescent="0.15">
      <c r="B204" s="302"/>
      <c r="C204" s="301"/>
      <c r="D204" s="301"/>
      <c r="E204" s="301"/>
      <c r="F204" s="301"/>
      <c r="G204" s="301"/>
      <c r="H204" s="301"/>
      <c r="I204" s="301"/>
      <c r="J204" s="301"/>
      <c r="K204" s="301"/>
      <c r="L204" s="301"/>
      <c r="M204" s="301"/>
      <c r="N204" s="301"/>
      <c r="O204" s="319"/>
      <c r="P204" s="319"/>
      <c r="Q204" s="319"/>
    </row>
    <row r="205" spans="2:17" x14ac:dyDescent="0.15">
      <c r="B205" s="302"/>
      <c r="C205" s="301"/>
      <c r="D205" s="301"/>
      <c r="E205" s="301"/>
      <c r="F205" s="301"/>
      <c r="G205" s="301"/>
      <c r="H205" s="301"/>
      <c r="I205" s="301"/>
      <c r="J205" s="301"/>
      <c r="K205" s="301"/>
      <c r="L205" s="301"/>
      <c r="M205" s="301"/>
      <c r="N205" s="301"/>
      <c r="O205" s="319"/>
      <c r="P205" s="319"/>
      <c r="Q205" s="319"/>
    </row>
    <row r="206" spans="2:17" x14ac:dyDescent="0.15">
      <c r="B206" s="302"/>
      <c r="C206" s="301"/>
      <c r="D206" s="301"/>
      <c r="E206" s="301"/>
      <c r="F206" s="301"/>
      <c r="G206" s="301"/>
      <c r="H206" s="301"/>
      <c r="I206" s="301"/>
      <c r="J206" s="301"/>
      <c r="K206" s="301"/>
      <c r="L206" s="301"/>
      <c r="M206" s="301"/>
      <c r="N206" s="301"/>
      <c r="O206" s="319"/>
      <c r="P206" s="319"/>
      <c r="Q206" s="319"/>
    </row>
    <row r="207" spans="2:17" x14ac:dyDescent="0.15">
      <c r="B207" s="302"/>
      <c r="C207" s="301"/>
      <c r="D207" s="301"/>
      <c r="E207" s="301"/>
      <c r="F207" s="301"/>
      <c r="G207" s="301"/>
      <c r="H207" s="301"/>
      <c r="I207" s="301"/>
      <c r="J207" s="301"/>
      <c r="K207" s="301"/>
      <c r="L207" s="301"/>
      <c r="M207" s="301"/>
      <c r="N207" s="301"/>
      <c r="O207" s="319"/>
      <c r="P207" s="319"/>
      <c r="Q207" s="319"/>
    </row>
    <row r="208" spans="2:17" x14ac:dyDescent="0.15">
      <c r="B208" s="302"/>
      <c r="C208" s="301"/>
      <c r="D208" s="301"/>
      <c r="E208" s="301"/>
      <c r="F208" s="301"/>
      <c r="G208" s="301"/>
      <c r="H208" s="301"/>
      <c r="I208" s="301"/>
      <c r="J208" s="301"/>
      <c r="K208" s="301"/>
      <c r="L208" s="301"/>
      <c r="M208" s="301"/>
      <c r="N208" s="301"/>
      <c r="O208" s="319"/>
      <c r="P208" s="319"/>
      <c r="Q208" s="319"/>
    </row>
    <row r="209" spans="2:17" x14ac:dyDescent="0.15">
      <c r="B209" s="302"/>
      <c r="C209" s="301"/>
      <c r="D209" s="301"/>
      <c r="E209" s="301"/>
      <c r="F209" s="301"/>
      <c r="G209" s="301"/>
      <c r="H209" s="301"/>
      <c r="I209" s="301"/>
      <c r="J209" s="301"/>
      <c r="K209" s="301"/>
      <c r="L209" s="301"/>
      <c r="M209" s="301"/>
      <c r="N209" s="301"/>
      <c r="O209" s="319"/>
      <c r="P209" s="319"/>
      <c r="Q209" s="319"/>
    </row>
    <row r="210" spans="2:17" x14ac:dyDescent="0.15">
      <c r="B210" s="302"/>
      <c r="C210" s="301"/>
      <c r="D210" s="301"/>
      <c r="E210" s="301"/>
      <c r="F210" s="301"/>
      <c r="G210" s="301"/>
      <c r="H210" s="301"/>
      <c r="I210" s="301"/>
      <c r="J210" s="301"/>
      <c r="K210" s="301"/>
      <c r="L210" s="301"/>
      <c r="M210" s="301"/>
      <c r="N210" s="301"/>
      <c r="O210" s="319"/>
      <c r="P210" s="319"/>
      <c r="Q210" s="319"/>
    </row>
    <row r="211" spans="2:17" x14ac:dyDescent="0.15">
      <c r="B211" s="302"/>
      <c r="C211" s="301"/>
      <c r="D211" s="301"/>
      <c r="E211" s="301"/>
      <c r="F211" s="301"/>
      <c r="G211" s="301"/>
      <c r="H211" s="301"/>
      <c r="I211" s="301"/>
      <c r="J211" s="301"/>
      <c r="K211" s="301"/>
      <c r="L211" s="301"/>
      <c r="M211" s="301"/>
      <c r="N211" s="301"/>
      <c r="O211" s="319"/>
      <c r="P211" s="319"/>
      <c r="Q211" s="319"/>
    </row>
    <row r="212" spans="2:17" x14ac:dyDescent="0.15">
      <c r="B212" s="302"/>
      <c r="C212" s="301"/>
      <c r="D212" s="301"/>
      <c r="E212" s="301"/>
      <c r="F212" s="301"/>
      <c r="G212" s="301"/>
      <c r="H212" s="301"/>
      <c r="I212" s="301"/>
      <c r="J212" s="301"/>
      <c r="K212" s="301"/>
      <c r="L212" s="301"/>
      <c r="M212" s="301"/>
      <c r="N212" s="301"/>
      <c r="O212" s="319"/>
      <c r="P212" s="319"/>
      <c r="Q212" s="319"/>
    </row>
    <row r="213" spans="2:17" x14ac:dyDescent="0.15">
      <c r="B213" s="302"/>
      <c r="C213" s="301"/>
      <c r="D213" s="301"/>
      <c r="E213" s="301"/>
      <c r="F213" s="301"/>
      <c r="G213" s="301"/>
      <c r="H213" s="301"/>
      <c r="I213" s="301"/>
      <c r="J213" s="301"/>
      <c r="K213" s="301"/>
      <c r="L213" s="301"/>
      <c r="M213" s="301"/>
      <c r="N213" s="301"/>
      <c r="O213" s="319"/>
      <c r="P213" s="319"/>
      <c r="Q213" s="319"/>
    </row>
    <row r="214" spans="2:17" x14ac:dyDescent="0.15">
      <c r="B214" s="302"/>
      <c r="C214" s="301"/>
      <c r="D214" s="301"/>
      <c r="E214" s="301"/>
      <c r="F214" s="301"/>
      <c r="G214" s="301"/>
      <c r="H214" s="301"/>
      <c r="I214" s="301"/>
      <c r="J214" s="301"/>
      <c r="K214" s="301"/>
      <c r="L214" s="301"/>
      <c r="M214" s="301"/>
      <c r="N214" s="301"/>
      <c r="O214" s="319"/>
      <c r="P214" s="319"/>
      <c r="Q214" s="319"/>
    </row>
    <row r="215" spans="2:17" x14ac:dyDescent="0.15">
      <c r="B215" s="302"/>
      <c r="C215" s="301"/>
      <c r="D215" s="301"/>
      <c r="E215" s="301"/>
      <c r="F215" s="301"/>
      <c r="G215" s="301"/>
      <c r="H215" s="301"/>
      <c r="I215" s="301"/>
      <c r="J215" s="301"/>
      <c r="K215" s="301"/>
      <c r="L215" s="301"/>
      <c r="M215" s="301"/>
      <c r="N215" s="301"/>
      <c r="O215" s="319"/>
      <c r="P215" s="319"/>
      <c r="Q215" s="319"/>
    </row>
    <row r="216" spans="2:17" x14ac:dyDescent="0.15">
      <c r="B216" s="302"/>
      <c r="C216" s="301"/>
      <c r="D216" s="301"/>
      <c r="E216" s="301"/>
      <c r="F216" s="301"/>
      <c r="G216" s="301"/>
      <c r="H216" s="301"/>
      <c r="I216" s="301"/>
      <c r="J216" s="301"/>
      <c r="K216" s="301"/>
      <c r="L216" s="301"/>
      <c r="M216" s="301"/>
      <c r="N216" s="301"/>
      <c r="O216" s="319"/>
      <c r="P216" s="319"/>
      <c r="Q216" s="319"/>
    </row>
    <row r="217" spans="2:17" x14ac:dyDescent="0.15">
      <c r="B217" s="302"/>
      <c r="C217" s="301"/>
      <c r="D217" s="301"/>
      <c r="E217" s="301"/>
      <c r="F217" s="301"/>
      <c r="G217" s="301"/>
      <c r="H217" s="301"/>
      <c r="I217" s="301"/>
      <c r="J217" s="301"/>
      <c r="K217" s="301"/>
      <c r="L217" s="301"/>
      <c r="M217" s="301"/>
      <c r="N217" s="301"/>
      <c r="O217" s="319"/>
      <c r="P217" s="319"/>
      <c r="Q217" s="319"/>
    </row>
    <row r="218" spans="2:17" x14ac:dyDescent="0.15">
      <c r="B218" s="302"/>
      <c r="C218" s="301"/>
      <c r="D218" s="301"/>
      <c r="E218" s="301"/>
      <c r="F218" s="301"/>
      <c r="G218" s="301"/>
      <c r="H218" s="301"/>
      <c r="I218" s="301"/>
      <c r="J218" s="301"/>
      <c r="K218" s="301"/>
      <c r="L218" s="301"/>
      <c r="M218" s="301"/>
      <c r="N218" s="301"/>
      <c r="O218" s="319"/>
      <c r="P218" s="319"/>
      <c r="Q218" s="319"/>
    </row>
    <row r="219" spans="2:17" x14ac:dyDescent="0.15">
      <c r="B219" s="302"/>
      <c r="C219" s="301"/>
      <c r="D219" s="301"/>
      <c r="E219" s="301"/>
      <c r="F219" s="301"/>
      <c r="G219" s="301"/>
      <c r="H219" s="301"/>
      <c r="I219" s="301"/>
      <c r="J219" s="301"/>
      <c r="K219" s="301"/>
      <c r="L219" s="301"/>
      <c r="M219" s="301"/>
      <c r="N219" s="301"/>
      <c r="O219" s="319"/>
      <c r="P219" s="319"/>
      <c r="Q219" s="319"/>
    </row>
    <row r="220" spans="2:17" x14ac:dyDescent="0.15">
      <c r="B220" s="302"/>
      <c r="C220" s="301"/>
      <c r="D220" s="301"/>
      <c r="E220" s="301"/>
      <c r="F220" s="301"/>
      <c r="G220" s="301"/>
      <c r="H220" s="301"/>
      <c r="I220" s="301"/>
      <c r="J220" s="301"/>
      <c r="K220" s="301"/>
      <c r="L220" s="301"/>
      <c r="M220" s="301"/>
      <c r="N220" s="301"/>
      <c r="O220" s="319"/>
      <c r="P220" s="319"/>
      <c r="Q220" s="319"/>
    </row>
    <row r="221" spans="2:17" x14ac:dyDescent="0.15">
      <c r="B221" s="302"/>
      <c r="C221" s="301"/>
      <c r="D221" s="301"/>
      <c r="E221" s="301"/>
      <c r="F221" s="301"/>
      <c r="G221" s="301"/>
      <c r="H221" s="301"/>
      <c r="I221" s="301"/>
      <c r="J221" s="301"/>
      <c r="K221" s="301"/>
      <c r="L221" s="301"/>
      <c r="M221" s="301"/>
      <c r="N221" s="301"/>
      <c r="O221" s="319"/>
      <c r="P221" s="319"/>
      <c r="Q221" s="319"/>
    </row>
    <row r="222" spans="2:17" x14ac:dyDescent="0.15">
      <c r="B222" s="302"/>
      <c r="C222" s="301"/>
      <c r="D222" s="301"/>
      <c r="E222" s="301"/>
      <c r="F222" s="301"/>
      <c r="G222" s="301"/>
      <c r="H222" s="301"/>
      <c r="I222" s="301"/>
      <c r="J222" s="301"/>
      <c r="K222" s="301"/>
      <c r="L222" s="301"/>
      <c r="M222" s="301"/>
      <c r="N222" s="301"/>
      <c r="O222" s="319"/>
      <c r="P222" s="319"/>
      <c r="Q222" s="319"/>
    </row>
    <row r="223" spans="2:17" x14ac:dyDescent="0.15">
      <c r="B223" s="302"/>
      <c r="C223" s="301"/>
      <c r="D223" s="301"/>
      <c r="E223" s="301"/>
      <c r="F223" s="301"/>
      <c r="G223" s="301"/>
      <c r="H223" s="301"/>
      <c r="I223" s="301"/>
      <c r="J223" s="301"/>
      <c r="K223" s="301"/>
      <c r="L223" s="301"/>
      <c r="M223" s="301"/>
      <c r="N223" s="301"/>
      <c r="O223" s="319"/>
      <c r="P223" s="319"/>
      <c r="Q223" s="319"/>
    </row>
    <row r="224" spans="2:17" x14ac:dyDescent="0.15">
      <c r="B224" s="302"/>
      <c r="C224" s="301"/>
      <c r="D224" s="301"/>
      <c r="E224" s="301"/>
      <c r="F224" s="301"/>
      <c r="G224" s="301"/>
      <c r="H224" s="301"/>
      <c r="I224" s="301"/>
      <c r="J224" s="301"/>
      <c r="K224" s="301"/>
      <c r="L224" s="301"/>
      <c r="M224" s="301"/>
      <c r="N224" s="301"/>
      <c r="O224" s="319"/>
      <c r="P224" s="319"/>
      <c r="Q224" s="319"/>
    </row>
    <row r="225" spans="2:17" x14ac:dyDescent="0.15">
      <c r="B225" s="302"/>
      <c r="C225" s="301"/>
      <c r="D225" s="301"/>
      <c r="E225" s="301"/>
      <c r="F225" s="301"/>
      <c r="G225" s="301"/>
      <c r="H225" s="301"/>
      <c r="I225" s="301"/>
      <c r="J225" s="301"/>
      <c r="K225" s="301"/>
      <c r="L225" s="301"/>
      <c r="M225" s="301"/>
      <c r="N225" s="301"/>
      <c r="O225" s="319"/>
      <c r="P225" s="319"/>
      <c r="Q225" s="319"/>
    </row>
    <row r="226" spans="2:17" x14ac:dyDescent="0.15">
      <c r="B226" s="302"/>
      <c r="C226" s="301"/>
      <c r="D226" s="301"/>
      <c r="E226" s="301"/>
      <c r="F226" s="301"/>
      <c r="G226" s="301"/>
      <c r="H226" s="301"/>
      <c r="I226" s="301"/>
      <c r="J226" s="301"/>
      <c r="K226" s="301"/>
      <c r="L226" s="301"/>
      <c r="M226" s="301"/>
      <c r="N226" s="301"/>
      <c r="O226" s="319"/>
      <c r="P226" s="319"/>
      <c r="Q226" s="319"/>
    </row>
    <row r="227" spans="2:17" x14ac:dyDescent="0.15">
      <c r="B227" s="302"/>
      <c r="C227" s="301"/>
      <c r="D227" s="301"/>
      <c r="E227" s="301"/>
      <c r="F227" s="301"/>
      <c r="G227" s="301"/>
      <c r="H227" s="301"/>
      <c r="I227" s="301"/>
      <c r="J227" s="301"/>
      <c r="K227" s="301"/>
      <c r="L227" s="301"/>
      <c r="M227" s="301"/>
      <c r="N227" s="301"/>
      <c r="O227" s="319"/>
      <c r="P227" s="319"/>
      <c r="Q227" s="319"/>
    </row>
    <row r="228" spans="2:17" x14ac:dyDescent="0.15">
      <c r="B228" s="302"/>
      <c r="C228" s="301"/>
      <c r="D228" s="301"/>
      <c r="E228" s="301"/>
      <c r="F228" s="301"/>
      <c r="G228" s="301"/>
      <c r="H228" s="301"/>
      <c r="I228" s="301"/>
      <c r="J228" s="301"/>
      <c r="K228" s="301"/>
      <c r="L228" s="301"/>
      <c r="M228" s="301"/>
      <c r="N228" s="301"/>
      <c r="O228" s="319"/>
      <c r="P228" s="319"/>
      <c r="Q228" s="319"/>
    </row>
    <row r="229" spans="2:17" x14ac:dyDescent="0.15">
      <c r="B229" s="302"/>
      <c r="C229" s="301"/>
      <c r="D229" s="301"/>
      <c r="E229" s="301"/>
      <c r="F229" s="301"/>
      <c r="G229" s="301"/>
      <c r="H229" s="301"/>
      <c r="I229" s="301"/>
      <c r="J229" s="301"/>
      <c r="K229" s="301"/>
      <c r="L229" s="301"/>
      <c r="M229" s="301"/>
      <c r="N229" s="301"/>
      <c r="O229" s="319"/>
      <c r="P229" s="319"/>
      <c r="Q229" s="319"/>
    </row>
    <row r="230" spans="2:17" x14ac:dyDescent="0.15">
      <c r="B230" s="302"/>
      <c r="C230" s="301"/>
      <c r="D230" s="301"/>
      <c r="E230" s="301"/>
      <c r="F230" s="301"/>
      <c r="G230" s="301"/>
      <c r="H230" s="301"/>
      <c r="I230" s="301"/>
      <c r="J230" s="301"/>
      <c r="K230" s="301"/>
      <c r="L230" s="301"/>
      <c r="M230" s="301"/>
      <c r="N230" s="301"/>
      <c r="O230" s="319"/>
      <c r="P230" s="319"/>
      <c r="Q230" s="319"/>
    </row>
    <row r="231" spans="2:17" x14ac:dyDescent="0.15">
      <c r="B231" s="302"/>
      <c r="C231" s="301"/>
      <c r="D231" s="301"/>
      <c r="E231" s="301"/>
      <c r="F231" s="301"/>
      <c r="G231" s="301"/>
      <c r="H231" s="301"/>
      <c r="I231" s="301"/>
      <c r="J231" s="301"/>
      <c r="K231" s="301"/>
      <c r="L231" s="301"/>
      <c r="M231" s="301"/>
      <c r="N231" s="301"/>
      <c r="O231" s="319"/>
      <c r="P231" s="319"/>
      <c r="Q231" s="319"/>
    </row>
    <row r="232" spans="2:17" x14ac:dyDescent="0.15">
      <c r="B232" s="302"/>
      <c r="C232" s="301"/>
      <c r="D232" s="301"/>
      <c r="E232" s="301"/>
      <c r="F232" s="301"/>
      <c r="G232" s="301"/>
      <c r="H232" s="301"/>
      <c r="I232" s="301"/>
      <c r="J232" s="301"/>
      <c r="K232" s="301"/>
      <c r="L232" s="301"/>
      <c r="M232" s="301"/>
      <c r="N232" s="301"/>
      <c r="O232" s="319"/>
      <c r="P232" s="319"/>
      <c r="Q232" s="319"/>
    </row>
    <row r="233" spans="2:17" x14ac:dyDescent="0.15">
      <c r="B233" s="302"/>
      <c r="C233" s="301"/>
      <c r="D233" s="301"/>
      <c r="E233" s="301"/>
      <c r="F233" s="301"/>
      <c r="G233" s="301"/>
      <c r="H233" s="301"/>
      <c r="I233" s="301"/>
      <c r="J233" s="301"/>
      <c r="K233" s="301"/>
      <c r="L233" s="301"/>
      <c r="M233" s="301"/>
      <c r="N233" s="301"/>
      <c r="O233" s="319"/>
      <c r="P233" s="319"/>
      <c r="Q233" s="319"/>
    </row>
    <row r="234" spans="2:17" x14ac:dyDescent="0.15">
      <c r="B234" s="302"/>
      <c r="C234" s="301"/>
      <c r="D234" s="301"/>
      <c r="E234" s="301"/>
      <c r="F234" s="301"/>
      <c r="G234" s="301"/>
      <c r="H234" s="301"/>
      <c r="I234" s="301"/>
      <c r="J234" s="301"/>
      <c r="K234" s="301"/>
      <c r="L234" s="301"/>
      <c r="M234" s="301"/>
      <c r="N234" s="301"/>
      <c r="O234" s="319"/>
      <c r="P234" s="319"/>
      <c r="Q234" s="319"/>
    </row>
    <row r="235" spans="2:17" x14ac:dyDescent="0.15">
      <c r="B235" s="302"/>
      <c r="C235" s="301"/>
      <c r="D235" s="301"/>
      <c r="E235" s="301"/>
      <c r="F235" s="301"/>
      <c r="G235" s="301"/>
      <c r="H235" s="301"/>
      <c r="I235" s="301"/>
      <c r="J235" s="301"/>
      <c r="K235" s="301"/>
      <c r="L235" s="301"/>
      <c r="M235" s="301"/>
      <c r="N235" s="301"/>
      <c r="O235" s="319"/>
      <c r="P235" s="319"/>
      <c r="Q235" s="319"/>
    </row>
    <row r="236" spans="2:17" x14ac:dyDescent="0.15">
      <c r="B236" s="302"/>
      <c r="C236" s="301"/>
      <c r="D236" s="301"/>
      <c r="E236" s="301"/>
      <c r="F236" s="301"/>
      <c r="G236" s="301"/>
      <c r="H236" s="301"/>
      <c r="I236" s="301"/>
      <c r="J236" s="301"/>
      <c r="K236" s="301"/>
      <c r="L236" s="301"/>
      <c r="M236" s="301"/>
      <c r="N236" s="301"/>
      <c r="O236" s="319"/>
      <c r="P236" s="319"/>
      <c r="Q236" s="319"/>
    </row>
    <row r="237" spans="2:17" x14ac:dyDescent="0.15">
      <c r="B237" s="302"/>
      <c r="C237" s="301"/>
      <c r="D237" s="301"/>
      <c r="E237" s="301"/>
      <c r="F237" s="301"/>
      <c r="G237" s="301"/>
      <c r="H237" s="301"/>
      <c r="I237" s="301"/>
      <c r="J237" s="301"/>
      <c r="K237" s="301"/>
      <c r="L237" s="301"/>
      <c r="M237" s="301"/>
      <c r="N237" s="301"/>
      <c r="O237" s="319"/>
      <c r="P237" s="319"/>
      <c r="Q237" s="319"/>
    </row>
    <row r="238" spans="2:17" x14ac:dyDescent="0.15">
      <c r="B238" s="302"/>
      <c r="C238" s="301"/>
      <c r="D238" s="301"/>
      <c r="E238" s="301"/>
      <c r="F238" s="301"/>
      <c r="G238" s="301"/>
      <c r="H238" s="301"/>
      <c r="I238" s="301"/>
      <c r="J238" s="301"/>
      <c r="K238" s="301"/>
      <c r="L238" s="301"/>
      <c r="M238" s="301"/>
      <c r="N238" s="301"/>
      <c r="O238" s="319"/>
      <c r="P238" s="319"/>
      <c r="Q238" s="319"/>
    </row>
    <row r="239" spans="2:17" x14ac:dyDescent="0.15">
      <c r="B239" s="302"/>
      <c r="C239" s="301"/>
      <c r="D239" s="301"/>
      <c r="E239" s="301"/>
      <c r="F239" s="301"/>
      <c r="G239" s="301"/>
      <c r="H239" s="301"/>
      <c r="I239" s="301"/>
      <c r="J239" s="301"/>
      <c r="K239" s="301"/>
      <c r="L239" s="301"/>
      <c r="M239" s="301"/>
      <c r="N239" s="301"/>
      <c r="O239" s="319"/>
      <c r="P239" s="319"/>
      <c r="Q239" s="319"/>
    </row>
    <row r="240" spans="2:17" x14ac:dyDescent="0.15">
      <c r="B240" s="302"/>
      <c r="C240" s="301"/>
      <c r="D240" s="301"/>
      <c r="E240" s="301"/>
      <c r="F240" s="301"/>
      <c r="G240" s="301"/>
      <c r="H240" s="301"/>
      <c r="I240" s="301"/>
      <c r="J240" s="301"/>
      <c r="K240" s="301"/>
      <c r="L240" s="301"/>
      <c r="M240" s="301"/>
      <c r="N240" s="301"/>
      <c r="O240" s="319"/>
      <c r="P240" s="319"/>
      <c r="Q240" s="319"/>
    </row>
    <row r="241" spans="2:17" x14ac:dyDescent="0.15">
      <c r="B241" s="302"/>
      <c r="C241" s="301"/>
      <c r="D241" s="301"/>
      <c r="E241" s="301"/>
      <c r="F241" s="301"/>
      <c r="G241" s="301"/>
      <c r="H241" s="301"/>
      <c r="I241" s="301"/>
      <c r="J241" s="301"/>
      <c r="K241" s="301"/>
      <c r="L241" s="301"/>
      <c r="M241" s="301"/>
      <c r="N241" s="301"/>
      <c r="O241" s="319"/>
      <c r="P241" s="319"/>
      <c r="Q241" s="319"/>
    </row>
    <row r="242" spans="2:17" x14ac:dyDescent="0.15">
      <c r="B242" s="302"/>
      <c r="C242" s="301"/>
      <c r="D242" s="301"/>
      <c r="E242" s="301"/>
      <c r="F242" s="301"/>
      <c r="G242" s="301"/>
      <c r="H242" s="301"/>
      <c r="I242" s="301"/>
      <c r="J242" s="301"/>
      <c r="K242" s="301"/>
      <c r="L242" s="301"/>
      <c r="M242" s="301"/>
      <c r="N242" s="301"/>
      <c r="O242" s="319"/>
      <c r="P242" s="319"/>
      <c r="Q242" s="319"/>
    </row>
    <row r="243" spans="2:17" x14ac:dyDescent="0.15">
      <c r="B243" s="302"/>
      <c r="C243" s="301"/>
      <c r="D243" s="301"/>
      <c r="E243" s="301"/>
      <c r="F243" s="301"/>
      <c r="G243" s="301"/>
      <c r="H243" s="301"/>
      <c r="I243" s="301"/>
      <c r="J243" s="301"/>
      <c r="K243" s="301"/>
      <c r="L243" s="301"/>
      <c r="M243" s="301"/>
      <c r="N243" s="301"/>
      <c r="O243" s="319"/>
      <c r="P243" s="319"/>
      <c r="Q243" s="319"/>
    </row>
    <row r="244" spans="2:17" x14ac:dyDescent="0.15">
      <c r="B244" s="302"/>
      <c r="C244" s="301"/>
      <c r="D244" s="301"/>
      <c r="E244" s="301"/>
      <c r="F244" s="301"/>
      <c r="G244" s="301"/>
      <c r="H244" s="301"/>
      <c r="I244" s="301"/>
      <c r="J244" s="301"/>
      <c r="K244" s="301"/>
      <c r="L244" s="301"/>
      <c r="M244" s="301"/>
      <c r="N244" s="301"/>
      <c r="O244" s="319"/>
      <c r="P244" s="319"/>
      <c r="Q244" s="319"/>
    </row>
    <row r="245" spans="2:17" x14ac:dyDescent="0.15">
      <c r="B245" s="302"/>
      <c r="C245" s="301"/>
      <c r="D245" s="301"/>
      <c r="E245" s="301"/>
      <c r="F245" s="301"/>
      <c r="G245" s="301"/>
      <c r="H245" s="301"/>
      <c r="I245" s="301"/>
      <c r="J245" s="301"/>
      <c r="K245" s="301"/>
      <c r="L245" s="301"/>
      <c r="M245" s="301"/>
      <c r="N245" s="301"/>
      <c r="O245" s="319"/>
      <c r="P245" s="319"/>
      <c r="Q245" s="319"/>
    </row>
    <row r="246" spans="2:17" x14ac:dyDescent="0.15">
      <c r="B246" s="302"/>
      <c r="C246" s="301"/>
      <c r="D246" s="301"/>
      <c r="E246" s="301"/>
      <c r="F246" s="301"/>
      <c r="G246" s="301"/>
      <c r="H246" s="301"/>
      <c r="I246" s="301"/>
      <c r="J246" s="301"/>
      <c r="K246" s="301"/>
      <c r="L246" s="301"/>
      <c r="M246" s="301"/>
      <c r="N246" s="301"/>
      <c r="O246" s="319"/>
      <c r="P246" s="319"/>
      <c r="Q246" s="319"/>
    </row>
    <row r="247" spans="2:17" x14ac:dyDescent="0.15">
      <c r="B247" s="302"/>
      <c r="C247" s="301"/>
      <c r="D247" s="301"/>
      <c r="E247" s="301"/>
      <c r="F247" s="301"/>
      <c r="G247" s="301"/>
      <c r="H247" s="301"/>
      <c r="I247" s="301"/>
      <c r="J247" s="301"/>
      <c r="K247" s="301"/>
      <c r="L247" s="301"/>
      <c r="M247" s="301"/>
      <c r="N247" s="301"/>
      <c r="O247" s="319"/>
      <c r="P247" s="319"/>
      <c r="Q247" s="319"/>
    </row>
    <row r="248" spans="2:17" x14ac:dyDescent="0.15">
      <c r="B248" s="302"/>
      <c r="C248" s="301"/>
      <c r="D248" s="301"/>
      <c r="E248" s="301"/>
      <c r="F248" s="301"/>
      <c r="G248" s="301"/>
      <c r="H248" s="301"/>
      <c r="I248" s="301"/>
      <c r="J248" s="301"/>
      <c r="K248" s="301"/>
      <c r="L248" s="301"/>
      <c r="M248" s="301"/>
      <c r="N248" s="301"/>
      <c r="O248" s="319"/>
      <c r="P248" s="319"/>
      <c r="Q248" s="319"/>
    </row>
    <row r="249" spans="2:17" x14ac:dyDescent="0.15">
      <c r="B249" s="302"/>
      <c r="C249" s="301"/>
      <c r="D249" s="301"/>
      <c r="E249" s="301"/>
      <c r="F249" s="301"/>
      <c r="G249" s="301"/>
      <c r="H249" s="301"/>
      <c r="I249" s="301"/>
      <c r="J249" s="301"/>
      <c r="K249" s="301"/>
      <c r="L249" s="301"/>
      <c r="M249" s="301"/>
      <c r="N249" s="301"/>
      <c r="O249" s="319"/>
      <c r="P249" s="319"/>
      <c r="Q249" s="319"/>
    </row>
    <row r="250" spans="2:17" x14ac:dyDescent="0.15">
      <c r="B250" s="302"/>
      <c r="C250" s="301"/>
      <c r="D250" s="301"/>
      <c r="E250" s="301"/>
      <c r="F250" s="301"/>
      <c r="G250" s="301"/>
      <c r="H250" s="301"/>
      <c r="I250" s="301"/>
      <c r="J250" s="301"/>
      <c r="K250" s="301"/>
      <c r="L250" s="301"/>
      <c r="M250" s="301"/>
      <c r="N250" s="301"/>
      <c r="O250" s="319"/>
      <c r="P250" s="319"/>
      <c r="Q250" s="319"/>
    </row>
    <row r="251" spans="2:17" x14ac:dyDescent="0.15">
      <c r="B251" s="302"/>
      <c r="C251" s="301"/>
      <c r="D251" s="301"/>
      <c r="E251" s="301"/>
      <c r="F251" s="301"/>
      <c r="G251" s="301"/>
      <c r="H251" s="301"/>
      <c r="I251" s="301"/>
      <c r="J251" s="301"/>
      <c r="K251" s="301"/>
      <c r="L251" s="301"/>
      <c r="M251" s="301"/>
      <c r="N251" s="301"/>
      <c r="O251" s="319"/>
      <c r="P251" s="319"/>
      <c r="Q251" s="319"/>
    </row>
    <row r="252" spans="2:17" x14ac:dyDescent="0.15">
      <c r="B252" s="302"/>
      <c r="C252" s="301"/>
      <c r="D252" s="301"/>
      <c r="E252" s="301"/>
      <c r="F252" s="301"/>
      <c r="G252" s="301"/>
      <c r="H252" s="301"/>
      <c r="I252" s="301"/>
      <c r="J252" s="301"/>
      <c r="K252" s="301"/>
      <c r="L252" s="301"/>
      <c r="M252" s="301"/>
      <c r="N252" s="301"/>
      <c r="O252" s="319"/>
      <c r="P252" s="319"/>
      <c r="Q252" s="319"/>
    </row>
    <row r="253" spans="2:17" x14ac:dyDescent="0.15">
      <c r="B253" s="302"/>
      <c r="C253" s="301"/>
      <c r="D253" s="301"/>
      <c r="E253" s="301"/>
      <c r="F253" s="301"/>
      <c r="G253" s="301"/>
      <c r="H253" s="301"/>
      <c r="I253" s="301"/>
      <c r="J253" s="301"/>
      <c r="K253" s="301"/>
      <c r="L253" s="301"/>
      <c r="M253" s="301"/>
      <c r="N253" s="301"/>
      <c r="O253" s="319"/>
      <c r="P253" s="319"/>
      <c r="Q253" s="319"/>
    </row>
    <row r="254" spans="2:17" x14ac:dyDescent="0.15">
      <c r="B254" s="302"/>
      <c r="C254" s="301"/>
      <c r="D254" s="301"/>
      <c r="E254" s="301"/>
      <c r="F254" s="301"/>
      <c r="G254" s="301"/>
      <c r="H254" s="301"/>
      <c r="I254" s="301"/>
      <c r="J254" s="301"/>
      <c r="K254" s="301"/>
      <c r="L254" s="301"/>
      <c r="M254" s="301"/>
      <c r="N254" s="301"/>
      <c r="O254" s="319"/>
      <c r="P254" s="319"/>
      <c r="Q254" s="319"/>
    </row>
    <row r="255" spans="2:17" x14ac:dyDescent="0.15">
      <c r="B255" s="302"/>
      <c r="C255" s="301"/>
      <c r="D255" s="301"/>
      <c r="E255" s="301"/>
      <c r="F255" s="301"/>
      <c r="G255" s="301"/>
      <c r="H255" s="301"/>
      <c r="I255" s="301"/>
      <c r="J255" s="301"/>
      <c r="K255" s="301"/>
      <c r="L255" s="301"/>
      <c r="M255" s="301"/>
      <c r="N255" s="301"/>
      <c r="O255" s="319"/>
      <c r="P255" s="319"/>
      <c r="Q255" s="319"/>
    </row>
    <row r="256" spans="2:17" x14ac:dyDescent="0.15">
      <c r="B256" s="302"/>
      <c r="C256" s="301"/>
      <c r="D256" s="301"/>
      <c r="E256" s="301"/>
      <c r="F256" s="301"/>
      <c r="G256" s="301"/>
      <c r="H256" s="301"/>
      <c r="I256" s="301"/>
      <c r="J256" s="301"/>
      <c r="K256" s="301"/>
      <c r="L256" s="301"/>
      <c r="M256" s="301"/>
      <c r="N256" s="301"/>
      <c r="O256" s="319"/>
      <c r="P256" s="319"/>
      <c r="Q256" s="319"/>
    </row>
    <row r="257" spans="2:17" x14ac:dyDescent="0.15">
      <c r="B257" s="302"/>
      <c r="C257" s="301"/>
      <c r="D257" s="301"/>
      <c r="E257" s="301"/>
      <c r="F257" s="301"/>
      <c r="G257" s="301"/>
      <c r="H257" s="301"/>
      <c r="I257" s="301"/>
      <c r="J257" s="301"/>
      <c r="K257" s="301"/>
      <c r="L257" s="301"/>
      <c r="M257" s="301"/>
      <c r="N257" s="301"/>
      <c r="O257" s="319"/>
      <c r="P257" s="319"/>
      <c r="Q257" s="319"/>
    </row>
    <row r="258" spans="2:17" x14ac:dyDescent="0.15">
      <c r="B258" s="302"/>
      <c r="C258" s="301"/>
      <c r="D258" s="301"/>
      <c r="E258" s="301"/>
      <c r="F258" s="301"/>
      <c r="G258" s="301"/>
      <c r="H258" s="301"/>
      <c r="I258" s="301"/>
      <c r="J258" s="301"/>
      <c r="K258" s="301"/>
      <c r="L258" s="301"/>
      <c r="M258" s="301"/>
      <c r="N258" s="301"/>
      <c r="O258" s="319"/>
      <c r="P258" s="319"/>
      <c r="Q258" s="319"/>
    </row>
    <row r="259" spans="2:17" x14ac:dyDescent="0.15">
      <c r="B259" s="302"/>
      <c r="C259" s="301"/>
      <c r="D259" s="301"/>
      <c r="E259" s="301"/>
      <c r="F259" s="301"/>
      <c r="G259" s="301"/>
      <c r="H259" s="301"/>
      <c r="I259" s="301"/>
      <c r="J259" s="301"/>
      <c r="K259" s="301"/>
      <c r="L259" s="301"/>
      <c r="M259" s="301"/>
      <c r="N259" s="301"/>
      <c r="O259" s="319"/>
      <c r="P259" s="319"/>
      <c r="Q259" s="319"/>
    </row>
    <row r="260" spans="2:17" x14ac:dyDescent="0.15">
      <c r="B260" s="302"/>
      <c r="C260" s="301"/>
      <c r="D260" s="301"/>
      <c r="E260" s="301"/>
      <c r="F260" s="301"/>
      <c r="G260" s="301"/>
      <c r="H260" s="301"/>
      <c r="I260" s="301"/>
      <c r="J260" s="301"/>
      <c r="K260" s="301"/>
      <c r="L260" s="301"/>
      <c r="M260" s="301"/>
      <c r="N260" s="301"/>
      <c r="O260" s="319"/>
      <c r="P260" s="319"/>
      <c r="Q260" s="319"/>
    </row>
    <row r="261" spans="2:17" x14ac:dyDescent="0.15">
      <c r="B261" s="302"/>
      <c r="C261" s="301"/>
      <c r="D261" s="301"/>
      <c r="E261" s="301"/>
      <c r="F261" s="301"/>
      <c r="G261" s="301"/>
      <c r="H261" s="301"/>
      <c r="I261" s="301"/>
      <c r="J261" s="301"/>
      <c r="K261" s="301"/>
      <c r="L261" s="301"/>
      <c r="M261" s="301"/>
      <c r="N261" s="301"/>
      <c r="O261" s="319"/>
      <c r="P261" s="319"/>
      <c r="Q261" s="319"/>
    </row>
    <row r="262" spans="2:17" x14ac:dyDescent="0.15">
      <c r="B262" s="302"/>
      <c r="C262" s="301"/>
      <c r="D262" s="301"/>
      <c r="E262" s="301"/>
      <c r="F262" s="301"/>
      <c r="G262" s="301"/>
      <c r="H262" s="301"/>
      <c r="I262" s="301"/>
      <c r="J262" s="301"/>
      <c r="K262" s="301"/>
      <c r="L262" s="301"/>
      <c r="M262" s="301"/>
      <c r="N262" s="301"/>
      <c r="O262" s="319"/>
      <c r="P262" s="319"/>
      <c r="Q262" s="319"/>
    </row>
    <row r="263" spans="2:17" x14ac:dyDescent="0.15">
      <c r="B263" s="302"/>
      <c r="C263" s="301"/>
      <c r="D263" s="301"/>
      <c r="E263" s="301"/>
      <c r="F263" s="301"/>
      <c r="G263" s="301"/>
      <c r="H263" s="301"/>
      <c r="I263" s="301"/>
      <c r="J263" s="301"/>
      <c r="K263" s="301"/>
      <c r="L263" s="301"/>
      <c r="M263" s="301"/>
      <c r="N263" s="301"/>
      <c r="O263" s="319"/>
      <c r="P263" s="319"/>
      <c r="Q263" s="319"/>
    </row>
    <row r="264" spans="2:17" x14ac:dyDescent="0.15">
      <c r="B264" s="302"/>
      <c r="C264" s="301"/>
      <c r="D264" s="301"/>
      <c r="E264" s="301"/>
      <c r="F264" s="301"/>
      <c r="G264" s="301"/>
      <c r="H264" s="301"/>
      <c r="I264" s="301"/>
      <c r="J264" s="301"/>
      <c r="K264" s="301"/>
      <c r="L264" s="301"/>
      <c r="M264" s="301"/>
      <c r="N264" s="301"/>
      <c r="O264" s="319"/>
      <c r="P264" s="319"/>
      <c r="Q264" s="319"/>
    </row>
    <row r="265" spans="2:17" x14ac:dyDescent="0.15">
      <c r="B265" s="302"/>
      <c r="C265" s="301"/>
      <c r="D265" s="301"/>
      <c r="E265" s="301"/>
      <c r="F265" s="301"/>
      <c r="G265" s="301"/>
      <c r="H265" s="301"/>
      <c r="I265" s="301"/>
      <c r="J265" s="301"/>
      <c r="K265" s="301"/>
      <c r="L265" s="301"/>
      <c r="M265" s="301"/>
      <c r="N265" s="301"/>
      <c r="O265" s="319"/>
      <c r="P265" s="319"/>
      <c r="Q265" s="319"/>
    </row>
    <row r="266" spans="2:17" x14ac:dyDescent="0.15">
      <c r="B266" s="302"/>
      <c r="C266" s="301"/>
      <c r="D266" s="301"/>
      <c r="E266" s="301"/>
      <c r="F266" s="301"/>
      <c r="G266" s="301"/>
      <c r="H266" s="301"/>
      <c r="I266" s="301"/>
      <c r="J266" s="301"/>
      <c r="K266" s="301"/>
      <c r="L266" s="301"/>
      <c r="M266" s="301"/>
      <c r="N266" s="301"/>
      <c r="O266" s="319"/>
      <c r="P266" s="319"/>
      <c r="Q266" s="319"/>
    </row>
    <row r="267" spans="2:17" x14ac:dyDescent="0.15">
      <c r="B267" s="302"/>
      <c r="C267" s="301"/>
      <c r="D267" s="301"/>
      <c r="E267" s="301"/>
      <c r="F267" s="301"/>
      <c r="G267" s="301"/>
      <c r="H267" s="301"/>
      <c r="I267" s="301"/>
      <c r="J267" s="301"/>
      <c r="K267" s="301"/>
      <c r="L267" s="301"/>
      <c r="M267" s="301"/>
      <c r="N267" s="301"/>
      <c r="O267" s="319"/>
      <c r="P267" s="319"/>
      <c r="Q267" s="319"/>
    </row>
    <row r="268" spans="2:17" x14ac:dyDescent="0.15">
      <c r="B268" s="302"/>
      <c r="C268" s="301"/>
      <c r="D268" s="301"/>
      <c r="E268" s="301"/>
      <c r="F268" s="301"/>
      <c r="G268" s="301"/>
      <c r="H268" s="301"/>
      <c r="I268" s="301"/>
      <c r="J268" s="301"/>
      <c r="K268" s="301"/>
      <c r="L268" s="301"/>
      <c r="M268" s="301"/>
      <c r="N268" s="301"/>
      <c r="O268" s="319"/>
      <c r="P268" s="319"/>
      <c r="Q268" s="319"/>
    </row>
    <row r="269" spans="2:17" x14ac:dyDescent="0.15">
      <c r="B269" s="302"/>
      <c r="C269" s="301"/>
      <c r="D269" s="301"/>
      <c r="E269" s="301"/>
      <c r="F269" s="301"/>
      <c r="G269" s="301"/>
      <c r="H269" s="301"/>
      <c r="I269" s="301"/>
      <c r="J269" s="301"/>
      <c r="K269" s="301"/>
      <c r="L269" s="301"/>
      <c r="M269" s="301"/>
      <c r="N269" s="301"/>
      <c r="O269" s="319"/>
      <c r="P269" s="319"/>
      <c r="Q269" s="319"/>
    </row>
    <row r="270" spans="2:17" x14ac:dyDescent="0.15">
      <c r="B270" s="302"/>
      <c r="C270" s="301"/>
      <c r="D270" s="301"/>
      <c r="E270" s="301"/>
      <c r="F270" s="301"/>
      <c r="G270" s="301"/>
      <c r="H270" s="301"/>
      <c r="I270" s="301"/>
      <c r="J270" s="301"/>
      <c r="K270" s="301"/>
      <c r="L270" s="301"/>
      <c r="M270" s="301"/>
      <c r="N270" s="301"/>
      <c r="O270" s="319"/>
      <c r="P270" s="319"/>
      <c r="Q270" s="319"/>
    </row>
    <row r="271" spans="2:17" x14ac:dyDescent="0.15">
      <c r="B271" s="302"/>
      <c r="C271" s="301"/>
      <c r="D271" s="301"/>
      <c r="E271" s="301"/>
      <c r="F271" s="301"/>
      <c r="G271" s="301"/>
      <c r="H271" s="301"/>
      <c r="I271" s="301"/>
      <c r="J271" s="301"/>
      <c r="K271" s="301"/>
      <c r="L271" s="301"/>
      <c r="M271" s="301"/>
      <c r="N271" s="301"/>
      <c r="O271" s="319"/>
      <c r="P271" s="319"/>
      <c r="Q271" s="319"/>
    </row>
    <row r="272" spans="2:17" x14ac:dyDescent="0.15">
      <c r="B272" s="302"/>
      <c r="C272" s="301"/>
      <c r="D272" s="301"/>
      <c r="E272" s="301"/>
      <c r="F272" s="301"/>
      <c r="G272" s="301"/>
      <c r="H272" s="301"/>
      <c r="I272" s="301"/>
      <c r="J272" s="301"/>
      <c r="K272" s="301"/>
      <c r="L272" s="301"/>
      <c r="M272" s="301"/>
      <c r="N272" s="301"/>
      <c r="O272" s="319"/>
      <c r="P272" s="319"/>
      <c r="Q272" s="319"/>
    </row>
    <row r="273" spans="2:17" x14ac:dyDescent="0.15">
      <c r="B273" s="302"/>
      <c r="C273" s="301"/>
      <c r="D273" s="301"/>
      <c r="E273" s="301"/>
      <c r="F273" s="301"/>
      <c r="G273" s="301"/>
      <c r="H273" s="301"/>
      <c r="I273" s="301"/>
      <c r="J273" s="301"/>
      <c r="K273" s="301"/>
      <c r="L273" s="301"/>
      <c r="M273" s="301"/>
      <c r="N273" s="301"/>
      <c r="O273" s="319"/>
      <c r="P273" s="319"/>
      <c r="Q273" s="319"/>
    </row>
    <row r="274" spans="2:17" x14ac:dyDescent="0.15">
      <c r="B274" s="302"/>
      <c r="C274" s="301"/>
      <c r="D274" s="301"/>
      <c r="E274" s="301"/>
      <c r="F274" s="301"/>
      <c r="G274" s="301"/>
      <c r="H274" s="301"/>
      <c r="I274" s="301"/>
      <c r="J274" s="301"/>
      <c r="K274" s="301"/>
      <c r="L274" s="301"/>
      <c r="M274" s="301"/>
      <c r="N274" s="301"/>
      <c r="O274" s="319"/>
      <c r="P274" s="319"/>
      <c r="Q274" s="319"/>
    </row>
    <row r="275" spans="2:17" x14ac:dyDescent="0.15">
      <c r="B275" s="302"/>
      <c r="C275" s="301"/>
      <c r="D275" s="301"/>
      <c r="E275" s="301"/>
      <c r="F275" s="301"/>
      <c r="G275" s="301"/>
      <c r="H275" s="301"/>
      <c r="I275" s="301"/>
      <c r="J275" s="301"/>
      <c r="K275" s="301"/>
      <c r="L275" s="301"/>
      <c r="M275" s="301"/>
      <c r="N275" s="301"/>
      <c r="O275" s="319"/>
      <c r="P275" s="319"/>
      <c r="Q275" s="319"/>
    </row>
    <row r="276" spans="2:17" x14ac:dyDescent="0.15">
      <c r="B276" s="302"/>
      <c r="C276" s="301"/>
      <c r="D276" s="301"/>
      <c r="E276" s="301"/>
      <c r="F276" s="301"/>
      <c r="G276" s="301"/>
      <c r="H276" s="301"/>
      <c r="I276" s="301"/>
      <c r="J276" s="301"/>
      <c r="K276" s="301"/>
      <c r="L276" s="301"/>
      <c r="M276" s="301"/>
      <c r="N276" s="301"/>
      <c r="O276" s="319"/>
      <c r="P276" s="319"/>
      <c r="Q276" s="319"/>
    </row>
    <row r="277" spans="2:17" x14ac:dyDescent="0.15">
      <c r="B277" s="302"/>
      <c r="C277" s="301"/>
      <c r="D277" s="301"/>
      <c r="E277" s="301"/>
      <c r="F277" s="301"/>
      <c r="G277" s="301"/>
      <c r="H277" s="301"/>
      <c r="I277" s="301"/>
      <c r="J277" s="301"/>
      <c r="K277" s="301"/>
      <c r="L277" s="301"/>
      <c r="M277" s="301"/>
      <c r="N277" s="301"/>
      <c r="O277" s="319"/>
      <c r="P277" s="319"/>
      <c r="Q277" s="319"/>
    </row>
    <row r="278" spans="2:17" x14ac:dyDescent="0.15">
      <c r="B278" s="302"/>
      <c r="C278" s="301"/>
      <c r="D278" s="301"/>
      <c r="E278" s="301"/>
      <c r="F278" s="301"/>
      <c r="G278" s="301"/>
      <c r="H278" s="301"/>
      <c r="I278" s="301"/>
      <c r="J278" s="301"/>
      <c r="K278" s="301"/>
      <c r="L278" s="301"/>
      <c r="M278" s="301"/>
      <c r="N278" s="301"/>
      <c r="O278" s="319"/>
      <c r="P278" s="319"/>
      <c r="Q278" s="319"/>
    </row>
    <row r="279" spans="2:17" x14ac:dyDescent="0.15">
      <c r="B279" s="302"/>
      <c r="C279" s="301"/>
      <c r="D279" s="301"/>
      <c r="E279" s="301"/>
      <c r="F279" s="301"/>
      <c r="G279" s="301"/>
      <c r="H279" s="301"/>
      <c r="I279" s="301"/>
      <c r="J279" s="301"/>
      <c r="K279" s="301"/>
      <c r="L279" s="301"/>
      <c r="M279" s="301"/>
      <c r="N279" s="301"/>
      <c r="O279" s="319"/>
      <c r="P279" s="319"/>
      <c r="Q279" s="319"/>
    </row>
    <row r="280" spans="2:17" x14ac:dyDescent="0.15">
      <c r="B280" s="302"/>
      <c r="C280" s="301"/>
      <c r="D280" s="301"/>
      <c r="E280" s="301"/>
      <c r="F280" s="301"/>
      <c r="G280" s="301"/>
      <c r="H280" s="301"/>
      <c r="I280" s="301"/>
      <c r="J280" s="301"/>
      <c r="K280" s="301"/>
      <c r="L280" s="301"/>
      <c r="M280" s="301"/>
      <c r="N280" s="301"/>
      <c r="O280" s="319"/>
      <c r="P280" s="319"/>
      <c r="Q280" s="319"/>
    </row>
    <row r="281" spans="2:17" x14ac:dyDescent="0.15">
      <c r="B281" s="302"/>
      <c r="C281" s="301"/>
      <c r="D281" s="301"/>
      <c r="E281" s="301"/>
      <c r="F281" s="301"/>
      <c r="G281" s="301"/>
      <c r="H281" s="301"/>
      <c r="I281" s="301"/>
      <c r="J281" s="301"/>
      <c r="K281" s="301"/>
      <c r="L281" s="301"/>
      <c r="M281" s="301"/>
      <c r="N281" s="301"/>
      <c r="O281" s="319"/>
      <c r="P281" s="319"/>
      <c r="Q281" s="319"/>
    </row>
    <row r="282" spans="2:17" x14ac:dyDescent="0.15">
      <c r="B282" s="302"/>
      <c r="C282" s="301"/>
      <c r="D282" s="301"/>
      <c r="E282" s="301"/>
      <c r="F282" s="301"/>
      <c r="G282" s="301"/>
      <c r="H282" s="301"/>
      <c r="I282" s="301"/>
      <c r="J282" s="301"/>
      <c r="K282" s="301"/>
      <c r="L282" s="301"/>
      <c r="M282" s="301"/>
      <c r="N282" s="301"/>
      <c r="O282" s="319"/>
      <c r="P282" s="319"/>
      <c r="Q282" s="319"/>
    </row>
    <row r="283" spans="2:17" x14ac:dyDescent="0.15">
      <c r="B283" s="302"/>
      <c r="C283" s="301"/>
      <c r="D283" s="301"/>
      <c r="E283" s="301"/>
      <c r="F283" s="301"/>
      <c r="G283" s="301"/>
      <c r="H283" s="301"/>
      <c r="I283" s="301"/>
      <c r="J283" s="301"/>
      <c r="K283" s="301"/>
      <c r="L283" s="301"/>
      <c r="M283" s="301"/>
      <c r="N283" s="301"/>
      <c r="O283" s="319"/>
      <c r="P283" s="319"/>
      <c r="Q283" s="319"/>
    </row>
    <row r="284" spans="2:17" x14ac:dyDescent="0.15">
      <c r="B284" s="302"/>
      <c r="C284" s="301"/>
      <c r="D284" s="301"/>
      <c r="E284" s="301"/>
      <c r="F284" s="301"/>
      <c r="G284" s="301"/>
      <c r="H284" s="301"/>
      <c r="I284" s="301"/>
      <c r="J284" s="301"/>
      <c r="K284" s="301"/>
      <c r="L284" s="301"/>
      <c r="M284" s="301"/>
      <c r="N284" s="301"/>
      <c r="O284" s="319"/>
      <c r="P284" s="319"/>
      <c r="Q284" s="319"/>
    </row>
    <row r="285" spans="2:17" x14ac:dyDescent="0.15">
      <c r="B285" s="302"/>
      <c r="C285" s="301"/>
      <c r="D285" s="301"/>
      <c r="E285" s="301"/>
      <c r="F285" s="301"/>
      <c r="G285" s="301"/>
      <c r="H285" s="301"/>
      <c r="I285" s="301"/>
      <c r="J285" s="301"/>
      <c r="K285" s="301"/>
      <c r="L285" s="301"/>
      <c r="M285" s="301"/>
      <c r="N285" s="301"/>
      <c r="O285" s="319"/>
      <c r="P285" s="319"/>
      <c r="Q285" s="319"/>
    </row>
    <row r="286" spans="2:17" x14ac:dyDescent="0.15">
      <c r="B286" s="302"/>
      <c r="C286" s="301"/>
      <c r="D286" s="301"/>
      <c r="E286" s="301"/>
      <c r="F286" s="301"/>
      <c r="G286" s="301"/>
      <c r="H286" s="301"/>
      <c r="I286" s="301"/>
      <c r="J286" s="301"/>
      <c r="K286" s="301"/>
      <c r="L286" s="301"/>
      <c r="M286" s="301"/>
      <c r="N286" s="301"/>
      <c r="O286" s="319"/>
      <c r="P286" s="319"/>
      <c r="Q286" s="319"/>
    </row>
    <row r="287" spans="2:17" x14ac:dyDescent="0.15">
      <c r="B287" s="302"/>
      <c r="C287" s="301"/>
      <c r="D287" s="301"/>
      <c r="E287" s="301"/>
      <c r="F287" s="301"/>
      <c r="G287" s="301"/>
      <c r="H287" s="301"/>
      <c r="I287" s="301"/>
      <c r="J287" s="301"/>
      <c r="K287" s="301"/>
      <c r="L287" s="301"/>
      <c r="M287" s="301"/>
      <c r="N287" s="301"/>
      <c r="O287" s="319"/>
      <c r="P287" s="319"/>
      <c r="Q287" s="319"/>
    </row>
    <row r="288" spans="2:17" x14ac:dyDescent="0.15">
      <c r="B288" s="302"/>
      <c r="C288" s="301"/>
      <c r="D288" s="301"/>
      <c r="E288" s="301"/>
      <c r="F288" s="301"/>
      <c r="G288" s="301"/>
      <c r="H288" s="301"/>
      <c r="I288" s="301"/>
      <c r="J288" s="301"/>
      <c r="K288" s="301"/>
      <c r="L288" s="301"/>
      <c r="M288" s="301"/>
      <c r="N288" s="301"/>
      <c r="O288" s="319"/>
      <c r="P288" s="319"/>
      <c r="Q288" s="319"/>
    </row>
    <row r="289" spans="2:17" x14ac:dyDescent="0.15">
      <c r="B289" s="302"/>
      <c r="C289" s="301"/>
      <c r="D289" s="301"/>
      <c r="E289" s="301"/>
      <c r="F289" s="301"/>
      <c r="G289" s="301"/>
      <c r="H289" s="301"/>
      <c r="I289" s="301"/>
      <c r="J289" s="301"/>
      <c r="K289" s="301"/>
      <c r="L289" s="301"/>
      <c r="M289" s="301"/>
      <c r="N289" s="301"/>
      <c r="O289" s="319"/>
      <c r="P289" s="319"/>
      <c r="Q289" s="319"/>
    </row>
    <row r="290" spans="2:17" x14ac:dyDescent="0.15">
      <c r="B290" s="302"/>
      <c r="C290" s="301"/>
      <c r="D290" s="301"/>
      <c r="E290" s="301"/>
      <c r="F290" s="301"/>
      <c r="G290" s="301"/>
      <c r="H290" s="301"/>
      <c r="I290" s="301"/>
      <c r="J290" s="301"/>
      <c r="K290" s="301"/>
      <c r="L290" s="301"/>
      <c r="M290" s="301"/>
      <c r="N290" s="301"/>
      <c r="O290" s="319"/>
      <c r="P290" s="319"/>
      <c r="Q290" s="319"/>
    </row>
    <row r="291" spans="2:17" x14ac:dyDescent="0.15">
      <c r="B291" s="302"/>
      <c r="C291" s="301"/>
      <c r="D291" s="301"/>
      <c r="E291" s="301"/>
      <c r="F291" s="301"/>
      <c r="G291" s="301"/>
      <c r="H291" s="301"/>
      <c r="I291" s="301"/>
      <c r="J291" s="301"/>
      <c r="K291" s="301"/>
      <c r="L291" s="301"/>
      <c r="M291" s="301"/>
      <c r="N291" s="301"/>
      <c r="O291" s="319"/>
      <c r="P291" s="319"/>
      <c r="Q291" s="319"/>
    </row>
    <row r="292" spans="2:17" x14ac:dyDescent="0.15">
      <c r="B292" s="302"/>
      <c r="C292" s="301"/>
      <c r="D292" s="301"/>
      <c r="E292" s="301"/>
      <c r="F292" s="301"/>
      <c r="G292" s="301"/>
      <c r="H292" s="301"/>
      <c r="I292" s="301"/>
      <c r="J292" s="301"/>
      <c r="K292" s="301"/>
      <c r="L292" s="301"/>
      <c r="M292" s="301"/>
      <c r="N292" s="301"/>
      <c r="O292" s="319"/>
      <c r="P292" s="319"/>
      <c r="Q292" s="319"/>
    </row>
    <row r="293" spans="2:17" x14ac:dyDescent="0.15">
      <c r="B293" s="302"/>
      <c r="C293" s="301"/>
      <c r="D293" s="301"/>
      <c r="E293" s="301"/>
      <c r="F293" s="301"/>
      <c r="G293" s="301"/>
      <c r="H293" s="301"/>
      <c r="I293" s="301"/>
      <c r="J293" s="301"/>
      <c r="K293" s="301"/>
      <c r="L293" s="301"/>
      <c r="M293" s="301"/>
      <c r="N293" s="301"/>
      <c r="O293" s="319"/>
      <c r="P293" s="319"/>
      <c r="Q293" s="319"/>
    </row>
    <row r="294" spans="2:17" x14ac:dyDescent="0.15">
      <c r="B294" s="302"/>
      <c r="C294" s="301"/>
      <c r="D294" s="301"/>
      <c r="E294" s="301"/>
      <c r="F294" s="301"/>
      <c r="G294" s="301"/>
      <c r="H294" s="301"/>
      <c r="I294" s="301"/>
      <c r="J294" s="301"/>
      <c r="K294" s="301"/>
      <c r="L294" s="301"/>
      <c r="M294" s="301"/>
      <c r="N294" s="301"/>
      <c r="O294" s="319"/>
      <c r="P294" s="319"/>
      <c r="Q294" s="319"/>
    </row>
    <row r="295" spans="2:17" x14ac:dyDescent="0.15">
      <c r="B295" s="302"/>
      <c r="C295" s="301"/>
      <c r="D295" s="301"/>
      <c r="E295" s="301"/>
      <c r="F295" s="301"/>
      <c r="G295" s="301"/>
      <c r="H295" s="301"/>
      <c r="I295" s="301"/>
      <c r="J295" s="301"/>
      <c r="K295" s="301"/>
      <c r="L295" s="301"/>
      <c r="M295" s="301"/>
      <c r="N295" s="301"/>
      <c r="O295" s="319"/>
      <c r="P295" s="319"/>
      <c r="Q295" s="319"/>
    </row>
    <row r="296" spans="2:17" x14ac:dyDescent="0.15">
      <c r="B296" s="302"/>
      <c r="C296" s="301"/>
      <c r="D296" s="301"/>
      <c r="E296" s="301"/>
      <c r="F296" s="301"/>
      <c r="G296" s="301"/>
      <c r="H296" s="301"/>
      <c r="I296" s="301"/>
      <c r="J296" s="301"/>
      <c r="K296" s="301"/>
      <c r="L296" s="301"/>
      <c r="M296" s="301"/>
      <c r="N296" s="301"/>
      <c r="O296" s="319"/>
      <c r="P296" s="319"/>
      <c r="Q296" s="319"/>
    </row>
    <row r="297" spans="2:17" x14ac:dyDescent="0.15">
      <c r="B297" s="302"/>
      <c r="C297" s="301"/>
      <c r="D297" s="301"/>
      <c r="E297" s="301"/>
      <c r="F297" s="301"/>
      <c r="G297" s="301"/>
      <c r="H297" s="301"/>
      <c r="I297" s="301"/>
      <c r="J297" s="301"/>
      <c r="K297" s="301"/>
      <c r="L297" s="301"/>
      <c r="M297" s="301"/>
      <c r="N297" s="301"/>
      <c r="O297" s="319"/>
      <c r="P297" s="319"/>
      <c r="Q297" s="319"/>
    </row>
    <row r="298" spans="2:17" x14ac:dyDescent="0.15">
      <c r="B298" s="302"/>
      <c r="C298" s="301"/>
      <c r="D298" s="301"/>
      <c r="E298" s="301"/>
      <c r="F298" s="301"/>
      <c r="G298" s="301"/>
      <c r="H298" s="301"/>
      <c r="I298" s="301"/>
      <c r="J298" s="301"/>
      <c r="K298" s="301"/>
      <c r="L298" s="301"/>
      <c r="M298" s="301"/>
      <c r="N298" s="301"/>
      <c r="O298" s="319"/>
      <c r="P298" s="319"/>
      <c r="Q298" s="319"/>
    </row>
    <row r="299" spans="2:17" x14ac:dyDescent="0.15">
      <c r="B299" s="302"/>
      <c r="C299" s="301"/>
      <c r="D299" s="301"/>
      <c r="E299" s="301"/>
      <c r="F299" s="301"/>
      <c r="G299" s="301"/>
      <c r="H299" s="301"/>
      <c r="I299" s="301"/>
      <c r="J299" s="301"/>
      <c r="K299" s="301"/>
      <c r="L299" s="301"/>
      <c r="M299" s="301"/>
      <c r="N299" s="301"/>
      <c r="O299" s="319"/>
      <c r="P299" s="319"/>
      <c r="Q299" s="319"/>
    </row>
    <row r="300" spans="2:17" x14ac:dyDescent="0.15">
      <c r="B300" s="302"/>
      <c r="C300" s="301"/>
      <c r="D300" s="301"/>
      <c r="E300" s="301"/>
      <c r="F300" s="301"/>
      <c r="G300" s="301"/>
      <c r="H300" s="301"/>
      <c r="I300" s="301"/>
      <c r="J300" s="301"/>
      <c r="K300" s="301"/>
      <c r="L300" s="301"/>
      <c r="M300" s="301"/>
      <c r="N300" s="301"/>
      <c r="O300" s="319"/>
      <c r="P300" s="319"/>
      <c r="Q300" s="319"/>
    </row>
    <row r="301" spans="2:17" x14ac:dyDescent="0.15">
      <c r="B301" s="302"/>
      <c r="C301" s="301"/>
      <c r="D301" s="301"/>
      <c r="E301" s="301"/>
      <c r="F301" s="301"/>
      <c r="G301" s="301"/>
      <c r="H301" s="301"/>
      <c r="I301" s="301"/>
      <c r="J301" s="301"/>
      <c r="K301" s="301"/>
      <c r="L301" s="301"/>
      <c r="M301" s="301"/>
      <c r="N301" s="301"/>
      <c r="O301" s="319"/>
      <c r="P301" s="319"/>
      <c r="Q301" s="319"/>
    </row>
    <row r="302" spans="2:17" x14ac:dyDescent="0.15">
      <c r="B302" s="302"/>
      <c r="C302" s="301"/>
      <c r="D302" s="301"/>
      <c r="E302" s="301"/>
      <c r="F302" s="301"/>
      <c r="G302" s="301"/>
      <c r="H302" s="301"/>
      <c r="I302" s="301"/>
      <c r="J302" s="301"/>
      <c r="K302" s="301"/>
      <c r="L302" s="301"/>
      <c r="M302" s="301"/>
      <c r="N302" s="301"/>
      <c r="O302" s="319"/>
      <c r="P302" s="319"/>
      <c r="Q302" s="319"/>
    </row>
    <row r="303" spans="2:17" x14ac:dyDescent="0.15">
      <c r="B303" s="302"/>
      <c r="C303" s="301"/>
      <c r="D303" s="301"/>
      <c r="E303" s="301"/>
      <c r="F303" s="301"/>
      <c r="G303" s="301"/>
      <c r="H303" s="301"/>
      <c r="I303" s="301"/>
      <c r="J303" s="301"/>
      <c r="K303" s="301"/>
      <c r="L303" s="301"/>
      <c r="M303" s="301"/>
      <c r="N303" s="301"/>
      <c r="O303" s="319"/>
      <c r="P303" s="319"/>
      <c r="Q303" s="319"/>
    </row>
    <row r="304" spans="2:17" x14ac:dyDescent="0.15">
      <c r="B304" s="302"/>
      <c r="C304" s="301"/>
      <c r="D304" s="301"/>
      <c r="E304" s="301"/>
      <c r="F304" s="301"/>
      <c r="G304" s="301"/>
      <c r="H304" s="301"/>
      <c r="I304" s="301"/>
      <c r="J304" s="301"/>
      <c r="K304" s="301"/>
      <c r="L304" s="301"/>
      <c r="M304" s="301"/>
      <c r="N304" s="301"/>
      <c r="O304" s="319"/>
      <c r="P304" s="319"/>
      <c r="Q304" s="319"/>
    </row>
    <row r="305" spans="2:17" x14ac:dyDescent="0.15">
      <c r="B305" s="302"/>
      <c r="C305" s="301"/>
      <c r="D305" s="301"/>
      <c r="E305" s="301"/>
      <c r="F305" s="301"/>
      <c r="G305" s="301"/>
      <c r="H305" s="301"/>
      <c r="I305" s="301"/>
      <c r="J305" s="301"/>
      <c r="K305" s="301"/>
      <c r="L305" s="301"/>
      <c r="M305" s="301"/>
      <c r="N305" s="301"/>
      <c r="O305" s="319"/>
      <c r="P305" s="319"/>
      <c r="Q305" s="319"/>
    </row>
    <row r="306" spans="2:17" x14ac:dyDescent="0.15">
      <c r="B306" s="302"/>
      <c r="C306" s="301"/>
      <c r="D306" s="301"/>
      <c r="E306" s="301"/>
      <c r="F306" s="301"/>
      <c r="G306" s="301"/>
      <c r="H306" s="301"/>
      <c r="I306" s="301"/>
      <c r="J306" s="301"/>
      <c r="K306" s="301"/>
      <c r="L306" s="301"/>
      <c r="M306" s="301"/>
      <c r="N306" s="301"/>
      <c r="O306" s="319"/>
      <c r="P306" s="319"/>
      <c r="Q306" s="319"/>
    </row>
    <row r="307" spans="2:17" x14ac:dyDescent="0.15">
      <c r="B307" s="302"/>
      <c r="C307" s="301"/>
      <c r="D307" s="301"/>
      <c r="E307" s="301"/>
      <c r="F307" s="301"/>
      <c r="G307" s="301"/>
      <c r="H307" s="301"/>
      <c r="I307" s="301"/>
      <c r="J307" s="301"/>
      <c r="K307" s="301"/>
      <c r="L307" s="301"/>
      <c r="M307" s="301"/>
      <c r="N307" s="301"/>
      <c r="O307" s="319"/>
      <c r="P307" s="319"/>
      <c r="Q307" s="319"/>
    </row>
    <row r="308" spans="2:17" x14ac:dyDescent="0.15">
      <c r="B308" s="302"/>
      <c r="C308" s="301"/>
      <c r="D308" s="301"/>
      <c r="E308" s="301"/>
      <c r="F308" s="301"/>
      <c r="G308" s="301"/>
      <c r="H308" s="301"/>
      <c r="I308" s="301"/>
      <c r="J308" s="301"/>
      <c r="K308" s="301"/>
      <c r="L308" s="301"/>
      <c r="M308" s="301"/>
      <c r="N308" s="301"/>
      <c r="O308" s="319"/>
      <c r="P308" s="319"/>
      <c r="Q308" s="319"/>
    </row>
    <row r="309" spans="2:17" x14ac:dyDescent="0.15">
      <c r="B309" s="302"/>
      <c r="C309" s="301"/>
      <c r="D309" s="301"/>
      <c r="E309" s="301"/>
      <c r="F309" s="301"/>
      <c r="G309" s="301"/>
      <c r="H309" s="301"/>
      <c r="I309" s="301"/>
      <c r="J309" s="301"/>
      <c r="K309" s="301"/>
      <c r="L309" s="301"/>
      <c r="M309" s="301"/>
      <c r="N309" s="301"/>
      <c r="O309" s="319"/>
      <c r="P309" s="319"/>
      <c r="Q309" s="319"/>
    </row>
    <row r="310" spans="2:17" x14ac:dyDescent="0.15">
      <c r="B310" s="302"/>
      <c r="C310" s="301"/>
      <c r="D310" s="301"/>
      <c r="E310" s="301"/>
      <c r="F310" s="301"/>
      <c r="G310" s="301"/>
      <c r="H310" s="301"/>
      <c r="I310" s="301"/>
      <c r="J310" s="301"/>
      <c r="K310" s="301"/>
      <c r="L310" s="301"/>
      <c r="M310" s="301"/>
      <c r="N310" s="301"/>
      <c r="O310" s="319"/>
      <c r="P310" s="319"/>
      <c r="Q310" s="319"/>
    </row>
    <row r="311" spans="2:17" x14ac:dyDescent="0.15">
      <c r="B311" s="302"/>
      <c r="C311" s="301"/>
      <c r="D311" s="301"/>
      <c r="E311" s="301"/>
      <c r="F311" s="301"/>
      <c r="G311" s="301"/>
      <c r="H311" s="301"/>
      <c r="I311" s="301"/>
      <c r="J311" s="301"/>
      <c r="K311" s="301"/>
      <c r="L311" s="301"/>
      <c r="M311" s="301"/>
      <c r="N311" s="301"/>
      <c r="O311" s="312"/>
      <c r="P311" s="312"/>
      <c r="Q311" s="312"/>
    </row>
    <row r="312" spans="2:17" x14ac:dyDescent="0.15">
      <c r="B312" s="302"/>
      <c r="C312" s="301"/>
      <c r="D312" s="301"/>
      <c r="E312" s="301"/>
      <c r="F312" s="301"/>
      <c r="G312" s="301"/>
      <c r="H312" s="301"/>
      <c r="I312" s="301"/>
      <c r="J312" s="301"/>
      <c r="K312" s="301"/>
      <c r="L312" s="301"/>
      <c r="M312" s="301"/>
      <c r="N312" s="301"/>
      <c r="O312" s="312"/>
      <c r="P312" s="312"/>
      <c r="Q312" s="312"/>
    </row>
    <row r="313" spans="2:17" x14ac:dyDescent="0.15">
      <c r="B313" s="302"/>
      <c r="C313" s="301"/>
      <c r="D313" s="301"/>
      <c r="E313" s="301"/>
      <c r="F313" s="301"/>
      <c r="G313" s="301"/>
      <c r="H313" s="301"/>
      <c r="I313" s="301"/>
      <c r="J313" s="301"/>
      <c r="K313" s="301"/>
      <c r="L313" s="301"/>
      <c r="M313" s="301"/>
      <c r="N313" s="301"/>
      <c r="O313" s="312"/>
      <c r="P313" s="312"/>
      <c r="Q313" s="312"/>
    </row>
    <row r="314" spans="2:17" x14ac:dyDescent="0.15">
      <c r="B314" s="302"/>
      <c r="C314" s="301"/>
      <c r="D314" s="301"/>
      <c r="E314" s="301"/>
      <c r="F314" s="301"/>
      <c r="G314" s="301"/>
      <c r="H314" s="301"/>
      <c r="I314" s="301"/>
      <c r="J314" s="301"/>
      <c r="K314" s="301"/>
      <c r="L314" s="301"/>
      <c r="M314" s="301"/>
      <c r="N314" s="301"/>
      <c r="O314" s="312"/>
      <c r="P314" s="312"/>
      <c r="Q314" s="312"/>
    </row>
    <row r="315" spans="2:17" x14ac:dyDescent="0.15">
      <c r="B315" s="302"/>
      <c r="C315" s="301"/>
      <c r="D315" s="301"/>
      <c r="E315" s="301"/>
      <c r="F315" s="301"/>
      <c r="G315" s="301"/>
      <c r="H315" s="301"/>
      <c r="I315" s="301"/>
      <c r="J315" s="301"/>
      <c r="K315" s="301"/>
      <c r="L315" s="301"/>
      <c r="M315" s="301"/>
      <c r="N315" s="301"/>
      <c r="O315" s="312"/>
      <c r="P315" s="312"/>
      <c r="Q315" s="312"/>
    </row>
    <row r="316" spans="2:17" x14ac:dyDescent="0.15">
      <c r="B316" s="302"/>
      <c r="C316" s="301"/>
      <c r="D316" s="301"/>
      <c r="E316" s="301"/>
      <c r="F316" s="301"/>
      <c r="G316" s="301"/>
      <c r="H316" s="301"/>
      <c r="I316" s="301"/>
      <c r="J316" s="301"/>
      <c r="K316" s="301"/>
      <c r="L316" s="301"/>
      <c r="M316" s="301"/>
      <c r="N316" s="301"/>
      <c r="O316" s="312"/>
      <c r="P316" s="312"/>
      <c r="Q316" s="312"/>
    </row>
    <row r="317" spans="2:17" x14ac:dyDescent="0.15">
      <c r="B317" s="302"/>
      <c r="C317" s="301"/>
      <c r="D317" s="301"/>
      <c r="E317" s="301"/>
      <c r="F317" s="301"/>
      <c r="G317" s="301"/>
      <c r="H317" s="301"/>
      <c r="I317" s="301"/>
      <c r="J317" s="301"/>
      <c r="K317" s="301"/>
      <c r="L317" s="301"/>
      <c r="M317" s="301"/>
      <c r="N317" s="301"/>
      <c r="O317" s="312"/>
      <c r="P317" s="312"/>
      <c r="Q317" s="312"/>
    </row>
    <row r="318" spans="2:17" x14ac:dyDescent="0.15">
      <c r="B318" s="302"/>
      <c r="C318" s="301"/>
      <c r="D318" s="301"/>
      <c r="E318" s="301"/>
      <c r="F318" s="301"/>
      <c r="G318" s="301"/>
      <c r="H318" s="301"/>
      <c r="I318" s="301"/>
      <c r="J318" s="301"/>
      <c r="K318" s="301"/>
      <c r="L318" s="301"/>
      <c r="M318" s="301"/>
      <c r="N318" s="301"/>
      <c r="O318" s="312"/>
      <c r="P318" s="312"/>
      <c r="Q318" s="312"/>
    </row>
    <row r="319" spans="2:17" x14ac:dyDescent="0.15">
      <c r="B319" s="302"/>
      <c r="C319" s="301"/>
      <c r="D319" s="301"/>
      <c r="E319" s="301"/>
      <c r="F319" s="301"/>
      <c r="G319" s="301"/>
      <c r="H319" s="301"/>
      <c r="I319" s="301"/>
      <c r="J319" s="301"/>
      <c r="K319" s="301"/>
      <c r="L319" s="301"/>
      <c r="M319" s="301"/>
      <c r="N319" s="301"/>
      <c r="O319" s="312"/>
      <c r="P319" s="312"/>
      <c r="Q319" s="312"/>
    </row>
    <row r="320" spans="2:17" x14ac:dyDescent="0.15">
      <c r="B320" s="302"/>
      <c r="C320" s="301"/>
      <c r="D320" s="301"/>
      <c r="E320" s="301"/>
      <c r="F320" s="301"/>
      <c r="G320" s="301"/>
      <c r="H320" s="301"/>
      <c r="I320" s="301"/>
      <c r="J320" s="301"/>
      <c r="K320" s="301"/>
      <c r="L320" s="301"/>
      <c r="M320" s="301"/>
      <c r="N320" s="301"/>
      <c r="O320" s="312"/>
      <c r="P320" s="312"/>
      <c r="Q320" s="312"/>
    </row>
    <row r="321" spans="2:17" x14ac:dyDescent="0.15">
      <c r="B321" s="302"/>
      <c r="C321" s="301"/>
      <c r="D321" s="301"/>
      <c r="E321" s="301"/>
      <c r="F321" s="301"/>
      <c r="G321" s="301"/>
      <c r="H321" s="301"/>
      <c r="I321" s="301"/>
      <c r="J321" s="301"/>
      <c r="K321" s="301"/>
      <c r="L321" s="301"/>
      <c r="M321" s="301"/>
      <c r="N321" s="301"/>
      <c r="O321" s="312"/>
      <c r="P321" s="312"/>
      <c r="Q321" s="312"/>
    </row>
    <row r="322" spans="2:17" s="326" customFormat="1" x14ac:dyDescent="0.15">
      <c r="B322" s="302"/>
      <c r="C322" s="301"/>
      <c r="D322" s="301"/>
      <c r="E322" s="301"/>
      <c r="F322" s="301"/>
      <c r="G322" s="301"/>
      <c r="H322" s="301"/>
      <c r="I322" s="301"/>
      <c r="J322" s="301"/>
      <c r="K322" s="301"/>
      <c r="L322" s="301"/>
      <c r="M322" s="301"/>
      <c r="N322" s="301"/>
    </row>
    <row r="323" spans="2:17" s="326" customFormat="1" x14ac:dyDescent="0.15">
      <c r="B323" s="302"/>
      <c r="C323" s="301"/>
      <c r="D323" s="301"/>
      <c r="E323" s="301"/>
      <c r="F323" s="301"/>
      <c r="G323" s="301"/>
      <c r="H323" s="301"/>
      <c r="I323" s="301"/>
      <c r="J323" s="301"/>
      <c r="K323" s="301"/>
      <c r="L323" s="301"/>
      <c r="M323" s="301"/>
      <c r="N323" s="301"/>
    </row>
    <row r="324" spans="2:17" s="326" customFormat="1" x14ac:dyDescent="0.15">
      <c r="B324" s="302"/>
      <c r="C324" s="301"/>
      <c r="D324" s="301"/>
      <c r="E324" s="301"/>
      <c r="F324" s="301"/>
      <c r="G324" s="301"/>
      <c r="H324" s="301"/>
      <c r="I324" s="301"/>
      <c r="J324" s="301"/>
      <c r="K324" s="301"/>
      <c r="L324" s="301"/>
      <c r="M324" s="301"/>
      <c r="N324" s="301"/>
    </row>
    <row r="325" spans="2:17" s="326" customFormat="1" x14ac:dyDescent="0.15">
      <c r="B325" s="302"/>
      <c r="C325" s="301"/>
      <c r="D325" s="301"/>
      <c r="E325" s="301"/>
      <c r="F325" s="301"/>
      <c r="G325" s="301"/>
      <c r="H325" s="301"/>
      <c r="I325" s="301"/>
      <c r="J325" s="301"/>
      <c r="K325" s="301"/>
      <c r="L325" s="301"/>
      <c r="M325" s="301"/>
      <c r="N325" s="301"/>
    </row>
    <row r="326" spans="2:17" s="326" customFormat="1" x14ac:dyDescent="0.15">
      <c r="B326" s="302"/>
      <c r="C326" s="301"/>
      <c r="D326" s="301"/>
      <c r="E326" s="301"/>
      <c r="F326" s="301"/>
      <c r="G326" s="301"/>
      <c r="H326" s="301"/>
      <c r="I326" s="301"/>
      <c r="J326" s="301"/>
      <c r="K326" s="301"/>
      <c r="L326" s="301"/>
      <c r="M326" s="301"/>
      <c r="N326" s="301"/>
    </row>
    <row r="327" spans="2:17" s="326" customFormat="1" x14ac:dyDescent="0.15">
      <c r="B327" s="302"/>
      <c r="C327" s="301"/>
      <c r="D327" s="301"/>
      <c r="E327" s="301"/>
      <c r="F327" s="301"/>
      <c r="G327" s="301"/>
      <c r="H327" s="301"/>
      <c r="I327" s="301"/>
      <c r="J327" s="301"/>
      <c r="K327" s="301"/>
      <c r="L327" s="301"/>
      <c r="M327" s="301"/>
      <c r="N327" s="301"/>
    </row>
    <row r="328" spans="2:17" s="326" customFormat="1" x14ac:dyDescent="0.15">
      <c r="B328" s="302"/>
      <c r="C328" s="301"/>
      <c r="D328" s="301"/>
      <c r="E328" s="301"/>
      <c r="F328" s="301"/>
      <c r="G328" s="301"/>
      <c r="H328" s="301"/>
      <c r="I328" s="301"/>
      <c r="J328" s="301"/>
      <c r="K328" s="301"/>
      <c r="L328" s="301"/>
      <c r="M328" s="301"/>
      <c r="N328" s="301"/>
    </row>
    <row r="329" spans="2:17" s="326" customFormat="1" x14ac:dyDescent="0.15">
      <c r="B329" s="302"/>
      <c r="C329" s="301"/>
      <c r="D329" s="301"/>
      <c r="E329" s="301"/>
      <c r="F329" s="301"/>
      <c r="G329" s="301"/>
      <c r="H329" s="301"/>
      <c r="I329" s="301"/>
      <c r="J329" s="301"/>
      <c r="K329" s="301"/>
      <c r="L329" s="301"/>
      <c r="M329" s="301"/>
      <c r="N329" s="301"/>
    </row>
    <row r="330" spans="2:17" s="326" customFormat="1" x14ac:dyDescent="0.15">
      <c r="B330" s="302"/>
      <c r="C330" s="301"/>
      <c r="D330" s="301"/>
      <c r="E330" s="301"/>
      <c r="F330" s="301"/>
      <c r="G330" s="301"/>
      <c r="H330" s="301"/>
      <c r="I330" s="301"/>
      <c r="J330" s="301"/>
      <c r="K330" s="301"/>
      <c r="L330" s="301"/>
      <c r="M330" s="301"/>
      <c r="N330" s="301"/>
    </row>
    <row r="331" spans="2:17" s="326" customFormat="1" x14ac:dyDescent="0.15">
      <c r="B331" s="302"/>
      <c r="C331" s="301"/>
      <c r="D331" s="301"/>
      <c r="E331" s="301"/>
      <c r="F331" s="301"/>
      <c r="G331" s="301"/>
      <c r="H331" s="301"/>
      <c r="I331" s="301"/>
      <c r="J331" s="301"/>
      <c r="K331" s="301"/>
      <c r="L331" s="301"/>
      <c r="M331" s="301"/>
      <c r="N331" s="301"/>
    </row>
    <row r="332" spans="2:17" s="326" customFormat="1" x14ac:dyDescent="0.15">
      <c r="B332" s="302"/>
      <c r="C332" s="301"/>
      <c r="D332" s="301"/>
      <c r="E332" s="301"/>
      <c r="F332" s="301"/>
      <c r="G332" s="301"/>
      <c r="H332" s="301"/>
      <c r="I332" s="301"/>
      <c r="J332" s="301"/>
      <c r="K332" s="301"/>
      <c r="L332" s="301"/>
      <c r="M332" s="301"/>
      <c r="N332" s="301"/>
    </row>
    <row r="333" spans="2:17" s="326" customFormat="1" x14ac:dyDescent="0.15">
      <c r="B333" s="302"/>
      <c r="C333" s="301"/>
      <c r="D333" s="301"/>
      <c r="E333" s="301"/>
      <c r="F333" s="301"/>
      <c r="G333" s="301"/>
      <c r="H333" s="301"/>
      <c r="I333" s="301"/>
      <c r="J333" s="301"/>
      <c r="K333" s="301"/>
      <c r="L333" s="301"/>
      <c r="M333" s="301"/>
      <c r="N333" s="301"/>
    </row>
    <row r="334" spans="2:17" s="326" customFormat="1" x14ac:dyDescent="0.15">
      <c r="B334" s="302"/>
      <c r="C334" s="301"/>
      <c r="D334" s="301"/>
      <c r="E334" s="301"/>
      <c r="F334" s="301"/>
      <c r="G334" s="301"/>
      <c r="H334" s="301"/>
      <c r="I334" s="301"/>
      <c r="J334" s="301"/>
      <c r="K334" s="301"/>
      <c r="L334" s="301"/>
      <c r="M334" s="301"/>
      <c r="N334" s="301"/>
    </row>
    <row r="335" spans="2:17" s="326" customFormat="1" x14ac:dyDescent="0.15">
      <c r="B335" s="302"/>
      <c r="C335" s="301"/>
      <c r="D335" s="301"/>
      <c r="E335" s="301"/>
      <c r="F335" s="301"/>
      <c r="G335" s="301"/>
      <c r="H335" s="301"/>
      <c r="I335" s="301"/>
      <c r="J335" s="301"/>
      <c r="K335" s="301"/>
      <c r="L335" s="301"/>
      <c r="M335" s="301"/>
      <c r="N335" s="301"/>
    </row>
    <row r="336" spans="2:17" s="326" customFormat="1" x14ac:dyDescent="0.15">
      <c r="B336" s="302"/>
      <c r="C336" s="301"/>
      <c r="D336" s="301"/>
      <c r="E336" s="301"/>
      <c r="F336" s="301"/>
      <c r="G336" s="301"/>
      <c r="H336" s="301"/>
      <c r="I336" s="301"/>
      <c r="J336" s="301"/>
      <c r="K336" s="301"/>
      <c r="L336" s="301"/>
      <c r="M336" s="301"/>
      <c r="N336" s="301"/>
    </row>
    <row r="337" spans="2:14" s="326" customFormat="1" x14ac:dyDescent="0.15">
      <c r="B337" s="302"/>
      <c r="C337" s="301"/>
      <c r="D337" s="301"/>
      <c r="E337" s="301"/>
      <c r="F337" s="301"/>
      <c r="G337" s="301"/>
      <c r="H337" s="301"/>
      <c r="I337" s="301"/>
      <c r="J337" s="301"/>
      <c r="K337" s="301"/>
      <c r="L337" s="301"/>
      <c r="M337" s="301"/>
      <c r="N337" s="301"/>
    </row>
    <row r="338" spans="2:14" s="326" customFormat="1" x14ac:dyDescent="0.15">
      <c r="B338" s="302"/>
      <c r="C338" s="301"/>
      <c r="D338" s="301"/>
      <c r="E338" s="301"/>
      <c r="F338" s="301"/>
      <c r="G338" s="301"/>
      <c r="H338" s="301"/>
      <c r="I338" s="301"/>
      <c r="J338" s="301"/>
      <c r="K338" s="301"/>
      <c r="L338" s="301"/>
      <c r="M338" s="301"/>
      <c r="N338" s="301"/>
    </row>
    <row r="339" spans="2:14" s="326" customFormat="1" x14ac:dyDescent="0.15">
      <c r="B339" s="302"/>
      <c r="C339" s="301"/>
      <c r="D339" s="301"/>
      <c r="E339" s="301"/>
      <c r="F339" s="301"/>
      <c r="G339" s="301"/>
      <c r="H339" s="301"/>
      <c r="I339" s="301"/>
      <c r="J339" s="301"/>
      <c r="K339" s="301"/>
      <c r="L339" s="301"/>
      <c r="M339" s="301"/>
      <c r="N339" s="301"/>
    </row>
    <row r="340" spans="2:14" s="326" customFormat="1" x14ac:dyDescent="0.15">
      <c r="B340" s="302"/>
      <c r="C340" s="301"/>
      <c r="D340" s="301"/>
      <c r="E340" s="301"/>
      <c r="F340" s="301"/>
      <c r="G340" s="301"/>
      <c r="H340" s="301"/>
      <c r="I340" s="301"/>
      <c r="J340" s="301"/>
      <c r="K340" s="301"/>
      <c r="L340" s="301"/>
      <c r="M340" s="301"/>
      <c r="N340" s="301"/>
    </row>
    <row r="341" spans="2:14" s="326" customFormat="1" x14ac:dyDescent="0.15">
      <c r="B341" s="302"/>
      <c r="C341" s="301"/>
      <c r="D341" s="301"/>
      <c r="E341" s="301"/>
      <c r="F341" s="301"/>
      <c r="G341" s="301"/>
      <c r="H341" s="301"/>
      <c r="I341" s="301"/>
      <c r="J341" s="301"/>
      <c r="K341" s="301"/>
      <c r="L341" s="301"/>
      <c r="M341" s="301"/>
      <c r="N341" s="301"/>
    </row>
    <row r="342" spans="2:14" s="326" customFormat="1" x14ac:dyDescent="0.15">
      <c r="B342" s="302"/>
      <c r="C342" s="301"/>
      <c r="D342" s="301"/>
      <c r="E342" s="301"/>
      <c r="F342" s="301"/>
      <c r="G342" s="301"/>
      <c r="H342" s="301"/>
      <c r="I342" s="301"/>
      <c r="J342" s="301"/>
      <c r="K342" s="301"/>
      <c r="L342" s="301"/>
      <c r="M342" s="301"/>
      <c r="N342" s="301"/>
    </row>
    <row r="343" spans="2:14" s="326" customFormat="1" x14ac:dyDescent="0.15">
      <c r="B343" s="302"/>
      <c r="C343" s="301"/>
      <c r="D343" s="301"/>
      <c r="E343" s="301"/>
      <c r="F343" s="301"/>
      <c r="G343" s="301"/>
      <c r="H343" s="301"/>
      <c r="I343" s="301"/>
      <c r="J343" s="301"/>
      <c r="K343" s="301"/>
      <c r="L343" s="301"/>
      <c r="M343" s="301"/>
      <c r="N343" s="301"/>
    </row>
    <row r="344" spans="2:14" s="326" customFormat="1" x14ac:dyDescent="0.15">
      <c r="B344" s="302"/>
      <c r="C344" s="301"/>
      <c r="D344" s="301"/>
      <c r="E344" s="301"/>
      <c r="F344" s="301"/>
      <c r="G344" s="301"/>
      <c r="H344" s="301"/>
      <c r="I344" s="301"/>
      <c r="J344" s="301"/>
      <c r="K344" s="301"/>
      <c r="L344" s="301"/>
      <c r="M344" s="301"/>
      <c r="N344" s="301"/>
    </row>
    <row r="345" spans="2:14" s="326" customFormat="1" x14ac:dyDescent="0.15">
      <c r="B345" s="302"/>
      <c r="C345" s="301"/>
      <c r="D345" s="301"/>
      <c r="E345" s="301"/>
      <c r="F345" s="301"/>
      <c r="G345" s="301"/>
      <c r="H345" s="301"/>
      <c r="I345" s="301"/>
      <c r="J345" s="301"/>
      <c r="K345" s="301"/>
      <c r="L345" s="301"/>
      <c r="M345" s="301"/>
      <c r="N345" s="301"/>
    </row>
    <row r="346" spans="2:14" s="326" customFormat="1" x14ac:dyDescent="0.15">
      <c r="B346" s="302"/>
      <c r="C346" s="301"/>
      <c r="D346" s="301"/>
      <c r="E346" s="301"/>
      <c r="F346" s="301"/>
      <c r="G346" s="301"/>
      <c r="H346" s="301"/>
      <c r="I346" s="301"/>
      <c r="J346" s="301"/>
      <c r="K346" s="301"/>
      <c r="L346" s="301"/>
      <c r="M346" s="301"/>
      <c r="N346" s="301"/>
    </row>
    <row r="347" spans="2:14" s="326" customFormat="1" x14ac:dyDescent="0.15">
      <c r="B347" s="302"/>
      <c r="C347" s="301"/>
      <c r="D347" s="301"/>
      <c r="E347" s="301"/>
      <c r="F347" s="301"/>
      <c r="G347" s="301"/>
      <c r="H347" s="301"/>
      <c r="I347" s="301"/>
      <c r="J347" s="301"/>
      <c r="K347" s="301"/>
      <c r="L347" s="301"/>
      <c r="M347" s="301"/>
      <c r="N347" s="301"/>
    </row>
    <row r="348" spans="2:14" s="326" customFormat="1" x14ac:dyDescent="0.15">
      <c r="B348" s="302"/>
      <c r="C348" s="301"/>
      <c r="D348" s="301"/>
      <c r="E348" s="301"/>
      <c r="F348" s="301"/>
      <c r="G348" s="301"/>
      <c r="H348" s="301"/>
      <c r="I348" s="301"/>
      <c r="J348" s="301"/>
      <c r="K348" s="301"/>
      <c r="L348" s="301"/>
      <c r="M348" s="301"/>
      <c r="N348" s="301"/>
    </row>
    <row r="349" spans="2:14" s="326" customFormat="1" x14ac:dyDescent="0.15">
      <c r="B349" s="302"/>
      <c r="C349" s="301"/>
      <c r="D349" s="301"/>
      <c r="E349" s="301"/>
      <c r="F349" s="301"/>
      <c r="G349" s="301"/>
      <c r="H349" s="301"/>
      <c r="I349" s="301"/>
      <c r="J349" s="301"/>
      <c r="K349" s="301"/>
      <c r="L349" s="301"/>
      <c r="M349" s="301"/>
      <c r="N349" s="301"/>
    </row>
    <row r="350" spans="2:14" s="326" customFormat="1" x14ac:dyDescent="0.15">
      <c r="B350" s="302"/>
      <c r="C350" s="301"/>
      <c r="D350" s="301"/>
      <c r="E350" s="301"/>
      <c r="F350" s="301"/>
      <c r="G350" s="301"/>
      <c r="H350" s="301"/>
      <c r="I350" s="301"/>
      <c r="J350" s="301"/>
      <c r="K350" s="301"/>
      <c r="L350" s="301"/>
      <c r="M350" s="301"/>
      <c r="N350" s="301"/>
    </row>
    <row r="351" spans="2:14" s="326" customFormat="1" x14ac:dyDescent="0.15">
      <c r="B351" s="302"/>
      <c r="C351" s="301"/>
      <c r="D351" s="301"/>
      <c r="E351" s="301"/>
      <c r="F351" s="301"/>
      <c r="G351" s="301"/>
      <c r="H351" s="301"/>
      <c r="I351" s="301"/>
      <c r="J351" s="301"/>
      <c r="K351" s="301"/>
      <c r="L351" s="301"/>
      <c r="M351" s="301"/>
      <c r="N351" s="301"/>
    </row>
    <row r="352" spans="2:14" s="326" customFormat="1" x14ac:dyDescent="0.15">
      <c r="B352" s="302"/>
      <c r="C352" s="301"/>
      <c r="D352" s="301"/>
      <c r="E352" s="301"/>
      <c r="F352" s="301"/>
      <c r="G352" s="301"/>
      <c r="H352" s="301"/>
      <c r="I352" s="301"/>
      <c r="J352" s="301"/>
      <c r="K352" s="301"/>
      <c r="L352" s="301"/>
      <c r="M352" s="301"/>
      <c r="N352" s="301"/>
    </row>
    <row r="353" spans="2:14" s="326" customFormat="1" x14ac:dyDescent="0.15">
      <c r="B353" s="302"/>
      <c r="C353" s="301"/>
      <c r="D353" s="301"/>
      <c r="E353" s="301"/>
      <c r="F353" s="301"/>
      <c r="G353" s="301"/>
      <c r="H353" s="301"/>
      <c r="I353" s="301"/>
      <c r="J353" s="301"/>
      <c r="K353" s="301"/>
      <c r="L353" s="301"/>
      <c r="M353" s="301"/>
      <c r="N353" s="301"/>
    </row>
    <row r="354" spans="2:14" s="326" customFormat="1" x14ac:dyDescent="0.15">
      <c r="B354" s="302"/>
      <c r="C354" s="301"/>
      <c r="D354" s="301"/>
      <c r="E354" s="301"/>
      <c r="F354" s="301"/>
      <c r="G354" s="301"/>
      <c r="H354" s="301"/>
      <c r="I354" s="301"/>
      <c r="J354" s="301"/>
      <c r="K354" s="301"/>
      <c r="L354" s="301"/>
      <c r="M354" s="301"/>
      <c r="N354" s="301"/>
    </row>
    <row r="355" spans="2:14" s="326" customFormat="1" x14ac:dyDescent="0.15">
      <c r="B355" s="302"/>
      <c r="C355" s="301"/>
      <c r="D355" s="301"/>
      <c r="E355" s="301"/>
      <c r="F355" s="301"/>
      <c r="G355" s="301"/>
      <c r="H355" s="301"/>
      <c r="I355" s="301"/>
      <c r="J355" s="301"/>
      <c r="K355" s="301"/>
      <c r="L355" s="301"/>
      <c r="M355" s="301"/>
      <c r="N355" s="301"/>
    </row>
    <row r="356" spans="2:14" s="326" customFormat="1" x14ac:dyDescent="0.15">
      <c r="B356" s="302"/>
      <c r="C356" s="301"/>
      <c r="D356" s="301"/>
      <c r="E356" s="301"/>
      <c r="F356" s="301"/>
      <c r="G356" s="301"/>
      <c r="H356" s="301"/>
      <c r="I356" s="301"/>
      <c r="J356" s="301"/>
      <c r="K356" s="301"/>
      <c r="L356" s="301"/>
      <c r="M356" s="301"/>
      <c r="N356" s="301"/>
    </row>
    <row r="357" spans="2:14" s="326" customFormat="1" x14ac:dyDescent="0.15">
      <c r="B357" s="302"/>
      <c r="C357" s="301"/>
      <c r="D357" s="301"/>
      <c r="E357" s="301"/>
      <c r="F357" s="301"/>
      <c r="G357" s="301"/>
      <c r="H357" s="301"/>
      <c r="I357" s="301"/>
      <c r="J357" s="301"/>
      <c r="K357" s="301"/>
      <c r="L357" s="301"/>
      <c r="M357" s="301"/>
      <c r="N357" s="301"/>
    </row>
    <row r="358" spans="2:14" s="326" customFormat="1" x14ac:dyDescent="0.15">
      <c r="B358" s="302"/>
      <c r="C358" s="301"/>
      <c r="D358" s="301"/>
      <c r="E358" s="301"/>
      <c r="F358" s="301"/>
      <c r="G358" s="301"/>
      <c r="H358" s="301"/>
      <c r="I358" s="301"/>
      <c r="J358" s="301"/>
      <c r="K358" s="301"/>
      <c r="L358" s="301"/>
      <c r="M358" s="301"/>
      <c r="N358" s="301"/>
    </row>
    <row r="359" spans="2:14" s="326" customFormat="1" x14ac:dyDescent="0.15">
      <c r="B359" s="302"/>
      <c r="C359" s="301"/>
      <c r="D359" s="301"/>
      <c r="E359" s="301"/>
      <c r="F359" s="301"/>
      <c r="G359" s="301"/>
      <c r="H359" s="301"/>
      <c r="I359" s="301"/>
      <c r="J359" s="301"/>
      <c r="K359" s="301"/>
      <c r="L359" s="301"/>
      <c r="M359" s="301"/>
      <c r="N359" s="301"/>
    </row>
    <row r="360" spans="2:14" s="326" customFormat="1" x14ac:dyDescent="0.15">
      <c r="B360" s="302"/>
      <c r="C360" s="301"/>
      <c r="D360" s="301"/>
      <c r="E360" s="301"/>
      <c r="F360" s="301"/>
      <c r="G360" s="301"/>
      <c r="H360" s="301"/>
      <c r="I360" s="301"/>
      <c r="J360" s="301"/>
      <c r="K360" s="301"/>
      <c r="L360" s="301"/>
      <c r="M360" s="301"/>
      <c r="N360" s="301"/>
    </row>
    <row r="361" spans="2:14" s="326" customFormat="1" x14ac:dyDescent="0.15">
      <c r="B361" s="302"/>
      <c r="C361" s="301"/>
      <c r="D361" s="301"/>
      <c r="E361" s="301"/>
      <c r="F361" s="301"/>
      <c r="G361" s="301"/>
      <c r="H361" s="301"/>
      <c r="I361" s="301"/>
      <c r="J361" s="301"/>
      <c r="K361" s="301"/>
      <c r="L361" s="301"/>
      <c r="M361" s="301"/>
      <c r="N361" s="301"/>
    </row>
    <row r="362" spans="2:14" s="326" customFormat="1" x14ac:dyDescent="0.15">
      <c r="B362" s="302"/>
      <c r="C362" s="301"/>
      <c r="D362" s="301"/>
      <c r="E362" s="301"/>
      <c r="F362" s="301"/>
      <c r="G362" s="301"/>
      <c r="H362" s="301"/>
      <c r="I362" s="301"/>
      <c r="J362" s="301"/>
      <c r="K362" s="301"/>
      <c r="L362" s="301"/>
      <c r="M362" s="301"/>
      <c r="N362" s="301"/>
    </row>
    <row r="363" spans="2:14" s="326" customFormat="1" x14ac:dyDescent="0.15">
      <c r="B363" s="302"/>
      <c r="C363" s="301"/>
      <c r="D363" s="301"/>
      <c r="E363" s="301"/>
      <c r="F363" s="301"/>
      <c r="G363" s="301"/>
      <c r="H363" s="301"/>
      <c r="I363" s="301"/>
      <c r="J363" s="301"/>
      <c r="K363" s="301"/>
      <c r="L363" s="301"/>
      <c r="M363" s="301"/>
      <c r="N363" s="301"/>
    </row>
    <row r="364" spans="2:14" s="326" customFormat="1" x14ac:dyDescent="0.15">
      <c r="B364" s="302"/>
      <c r="C364" s="301"/>
      <c r="D364" s="301"/>
      <c r="E364" s="301"/>
      <c r="F364" s="301"/>
      <c r="G364" s="301"/>
      <c r="H364" s="301"/>
      <c r="I364" s="301"/>
      <c r="J364" s="301"/>
      <c r="K364" s="301"/>
      <c r="L364" s="301"/>
      <c r="M364" s="301"/>
      <c r="N364" s="301"/>
    </row>
    <row r="365" spans="2:14" s="326" customFormat="1" x14ac:dyDescent="0.15">
      <c r="B365" s="302"/>
      <c r="C365" s="301"/>
      <c r="D365" s="301"/>
      <c r="E365" s="301"/>
      <c r="F365" s="301"/>
      <c r="G365" s="301"/>
      <c r="H365" s="301"/>
      <c r="I365" s="301"/>
      <c r="J365" s="301"/>
      <c r="K365" s="301"/>
      <c r="L365" s="301"/>
      <c r="M365" s="301"/>
      <c r="N365" s="301"/>
    </row>
    <row r="366" spans="2:14" s="326" customFormat="1" x14ac:dyDescent="0.15">
      <c r="B366" s="302"/>
      <c r="C366" s="301"/>
      <c r="D366" s="301"/>
      <c r="E366" s="301"/>
      <c r="F366" s="301"/>
      <c r="G366" s="301"/>
      <c r="H366" s="301"/>
      <c r="I366" s="301"/>
      <c r="J366" s="301"/>
      <c r="K366" s="301"/>
      <c r="L366" s="301"/>
      <c r="M366" s="301"/>
      <c r="N366" s="301"/>
    </row>
    <row r="367" spans="2:14" s="326" customFormat="1" x14ac:dyDescent="0.15">
      <c r="B367" s="302"/>
      <c r="C367" s="301"/>
      <c r="D367" s="301"/>
      <c r="E367" s="301"/>
      <c r="F367" s="301"/>
      <c r="G367" s="301"/>
      <c r="H367" s="301"/>
      <c r="I367" s="301"/>
      <c r="J367" s="301"/>
      <c r="K367" s="301"/>
      <c r="L367" s="301"/>
      <c r="M367" s="301"/>
      <c r="N367" s="301"/>
    </row>
    <row r="368" spans="2:14" s="326" customFormat="1" x14ac:dyDescent="0.15">
      <c r="B368" s="302"/>
      <c r="C368" s="301"/>
      <c r="D368" s="301"/>
      <c r="E368" s="301"/>
      <c r="F368" s="301"/>
      <c r="G368" s="301"/>
      <c r="H368" s="301"/>
      <c r="I368" s="301"/>
      <c r="J368" s="301"/>
      <c r="K368" s="301"/>
      <c r="L368" s="301"/>
      <c r="M368" s="301"/>
      <c r="N368" s="301"/>
    </row>
    <row r="369" spans="2:14" s="326" customFormat="1" x14ac:dyDescent="0.15">
      <c r="B369" s="302"/>
      <c r="C369" s="301"/>
      <c r="D369" s="301"/>
      <c r="E369" s="301"/>
      <c r="F369" s="301"/>
      <c r="G369" s="301"/>
      <c r="H369" s="301"/>
      <c r="I369" s="301"/>
      <c r="J369" s="301"/>
      <c r="K369" s="301"/>
      <c r="L369" s="301"/>
      <c r="M369" s="301"/>
      <c r="N369" s="301"/>
    </row>
    <row r="370" spans="2:14" s="326" customFormat="1" x14ac:dyDescent="0.15">
      <c r="B370" s="302"/>
      <c r="C370" s="301"/>
      <c r="D370" s="301"/>
      <c r="E370" s="301"/>
      <c r="F370" s="301"/>
      <c r="G370" s="301"/>
      <c r="H370" s="301"/>
      <c r="I370" s="301"/>
      <c r="J370" s="301"/>
      <c r="K370" s="301"/>
      <c r="L370" s="301"/>
      <c r="M370" s="301"/>
      <c r="N370" s="301"/>
    </row>
    <row r="371" spans="2:14" s="326" customFormat="1" x14ac:dyDescent="0.15">
      <c r="B371" s="302"/>
      <c r="C371" s="301"/>
      <c r="D371" s="301"/>
      <c r="E371" s="301"/>
      <c r="F371" s="301"/>
      <c r="G371" s="301"/>
      <c r="H371" s="301"/>
      <c r="I371" s="301"/>
      <c r="J371" s="301"/>
      <c r="K371" s="301"/>
      <c r="L371" s="301"/>
      <c r="M371" s="301"/>
      <c r="N371" s="301"/>
    </row>
    <row r="372" spans="2:14" s="326" customFormat="1" x14ac:dyDescent="0.15">
      <c r="B372" s="302"/>
      <c r="C372" s="301"/>
      <c r="D372" s="301"/>
      <c r="E372" s="301"/>
      <c r="F372" s="301"/>
      <c r="G372" s="301"/>
      <c r="H372" s="301"/>
      <c r="I372" s="301"/>
      <c r="J372" s="301"/>
      <c r="K372" s="301"/>
      <c r="L372" s="301"/>
      <c r="M372" s="301"/>
      <c r="N372" s="301"/>
    </row>
    <row r="373" spans="2:14" s="326" customFormat="1" x14ac:dyDescent="0.15">
      <c r="B373" s="302"/>
      <c r="C373" s="301"/>
      <c r="D373" s="301"/>
      <c r="E373" s="301"/>
      <c r="F373" s="301"/>
      <c r="G373" s="301"/>
      <c r="H373" s="301"/>
      <c r="I373" s="301"/>
      <c r="J373" s="301"/>
      <c r="K373" s="301"/>
      <c r="L373" s="301"/>
      <c r="M373" s="301"/>
      <c r="N373" s="301"/>
    </row>
    <row r="374" spans="2:14" s="326" customFormat="1" x14ac:dyDescent="0.15">
      <c r="B374" s="302"/>
      <c r="C374" s="301"/>
      <c r="D374" s="301"/>
      <c r="E374" s="301"/>
      <c r="F374" s="301"/>
      <c r="G374" s="301"/>
      <c r="H374" s="301"/>
      <c r="I374" s="301"/>
      <c r="J374" s="301"/>
      <c r="K374" s="301"/>
      <c r="L374" s="301"/>
      <c r="M374" s="301"/>
      <c r="N374" s="301"/>
    </row>
    <row r="375" spans="2:14" s="326" customFormat="1" x14ac:dyDescent="0.15">
      <c r="B375" s="302"/>
      <c r="C375" s="301"/>
      <c r="D375" s="301"/>
      <c r="E375" s="301"/>
      <c r="F375" s="301"/>
      <c r="G375" s="301"/>
      <c r="H375" s="301"/>
      <c r="I375" s="301"/>
      <c r="J375" s="301"/>
      <c r="K375" s="301"/>
      <c r="L375" s="301"/>
      <c r="M375" s="301"/>
      <c r="N375" s="301"/>
    </row>
    <row r="376" spans="2:14" s="326" customFormat="1" x14ac:dyDescent="0.15">
      <c r="B376" s="302"/>
      <c r="C376" s="301"/>
      <c r="D376" s="301"/>
      <c r="E376" s="301"/>
      <c r="F376" s="301"/>
      <c r="G376" s="301"/>
      <c r="H376" s="301"/>
      <c r="I376" s="301"/>
      <c r="J376" s="301"/>
      <c r="K376" s="301"/>
      <c r="L376" s="301"/>
      <c r="M376" s="301"/>
      <c r="N376" s="301"/>
    </row>
    <row r="377" spans="2:14" s="326" customFormat="1" x14ac:dyDescent="0.15">
      <c r="B377" s="302"/>
      <c r="C377" s="301"/>
      <c r="D377" s="301"/>
      <c r="E377" s="301"/>
      <c r="F377" s="301"/>
      <c r="G377" s="301"/>
      <c r="H377" s="301"/>
      <c r="I377" s="301"/>
      <c r="J377" s="301"/>
      <c r="K377" s="301"/>
      <c r="L377" s="301"/>
      <c r="M377" s="301"/>
      <c r="N377" s="301"/>
    </row>
    <row r="378" spans="2:14" s="326" customFormat="1" x14ac:dyDescent="0.15">
      <c r="B378" s="302"/>
      <c r="C378" s="301"/>
      <c r="D378" s="301"/>
      <c r="E378" s="301"/>
      <c r="F378" s="301"/>
      <c r="G378" s="301"/>
      <c r="H378" s="301"/>
      <c r="I378" s="301"/>
      <c r="J378" s="301"/>
      <c r="K378" s="301"/>
      <c r="L378" s="301"/>
      <c r="M378" s="301"/>
      <c r="N378" s="301"/>
    </row>
    <row r="379" spans="2:14" s="326" customFormat="1" x14ac:dyDescent="0.15">
      <c r="B379" s="302"/>
      <c r="C379" s="301"/>
      <c r="D379" s="301"/>
      <c r="E379" s="301"/>
      <c r="F379" s="301"/>
      <c r="G379" s="301"/>
      <c r="H379" s="301"/>
      <c r="I379" s="301"/>
      <c r="J379" s="301"/>
      <c r="K379" s="301"/>
      <c r="L379" s="301"/>
      <c r="M379" s="301"/>
      <c r="N379" s="301"/>
    </row>
    <row r="380" spans="2:14" s="326" customFormat="1" x14ac:dyDescent="0.15">
      <c r="B380" s="302"/>
      <c r="C380" s="301"/>
      <c r="D380" s="301"/>
      <c r="E380" s="301"/>
      <c r="F380" s="301"/>
      <c r="G380" s="301"/>
      <c r="H380" s="301"/>
      <c r="I380" s="301"/>
      <c r="J380" s="301"/>
      <c r="K380" s="301"/>
      <c r="L380" s="301"/>
      <c r="M380" s="301"/>
      <c r="N380" s="301"/>
    </row>
    <row r="381" spans="2:14" s="326" customFormat="1" x14ac:dyDescent="0.15">
      <c r="B381" s="302"/>
      <c r="C381" s="301"/>
      <c r="D381" s="301"/>
      <c r="E381" s="301"/>
      <c r="F381" s="301"/>
      <c r="G381" s="301"/>
      <c r="H381" s="301"/>
      <c r="I381" s="301"/>
      <c r="J381" s="301"/>
      <c r="K381" s="301"/>
      <c r="L381" s="301"/>
      <c r="M381" s="301"/>
      <c r="N381" s="301"/>
    </row>
    <row r="382" spans="2:14" s="326" customFormat="1" x14ac:dyDescent="0.15">
      <c r="B382" s="302"/>
      <c r="C382" s="301"/>
      <c r="D382" s="301"/>
      <c r="E382" s="301"/>
      <c r="F382" s="301"/>
      <c r="G382" s="301"/>
      <c r="H382" s="301"/>
      <c r="I382" s="301"/>
      <c r="J382" s="301"/>
      <c r="K382" s="301"/>
      <c r="L382" s="301"/>
      <c r="M382" s="301"/>
      <c r="N382" s="301"/>
    </row>
    <row r="383" spans="2:14" s="326" customFormat="1" x14ac:dyDescent="0.15">
      <c r="B383" s="302"/>
      <c r="C383" s="301"/>
      <c r="D383" s="301"/>
      <c r="E383" s="301"/>
      <c r="F383" s="301"/>
      <c r="G383" s="301"/>
      <c r="H383" s="301"/>
      <c r="I383" s="301"/>
      <c r="J383" s="301"/>
      <c r="K383" s="301"/>
      <c r="L383" s="301"/>
      <c r="M383" s="301"/>
      <c r="N383" s="301"/>
    </row>
    <row r="384" spans="2:14" s="326" customFormat="1" x14ac:dyDescent="0.15">
      <c r="B384" s="302"/>
      <c r="C384" s="301"/>
      <c r="D384" s="301"/>
      <c r="E384" s="301"/>
      <c r="F384" s="301"/>
      <c r="G384" s="301"/>
      <c r="H384" s="301"/>
      <c r="I384" s="301"/>
      <c r="J384" s="301"/>
      <c r="K384" s="301"/>
      <c r="L384" s="301"/>
      <c r="M384" s="301"/>
      <c r="N384" s="301"/>
    </row>
    <row r="385" spans="2:14" s="326" customFormat="1" x14ac:dyDescent="0.15">
      <c r="B385" s="302"/>
      <c r="C385" s="301"/>
      <c r="D385" s="301"/>
      <c r="E385" s="301"/>
      <c r="F385" s="301"/>
      <c r="G385" s="301"/>
      <c r="H385" s="301"/>
      <c r="I385" s="301"/>
      <c r="J385" s="301"/>
      <c r="K385" s="301"/>
      <c r="L385" s="301"/>
      <c r="M385" s="301"/>
      <c r="N385" s="301"/>
    </row>
    <row r="386" spans="2:14" s="326" customFormat="1" x14ac:dyDescent="0.15">
      <c r="B386" s="302"/>
      <c r="C386" s="301"/>
      <c r="D386" s="301"/>
      <c r="E386" s="301"/>
      <c r="F386" s="301"/>
      <c r="G386" s="301"/>
      <c r="H386" s="301"/>
      <c r="I386" s="301"/>
      <c r="J386" s="301"/>
      <c r="K386" s="301"/>
      <c r="L386" s="301"/>
      <c r="M386" s="301"/>
      <c r="N386" s="301"/>
    </row>
    <row r="387" spans="2:14" s="326" customFormat="1" x14ac:dyDescent="0.15">
      <c r="B387" s="302"/>
      <c r="C387" s="301"/>
      <c r="D387" s="301"/>
      <c r="E387" s="301"/>
      <c r="F387" s="301"/>
      <c r="G387" s="301"/>
      <c r="H387" s="301"/>
      <c r="I387" s="301"/>
      <c r="J387" s="301"/>
      <c r="K387" s="301"/>
      <c r="L387" s="301"/>
      <c r="M387" s="301"/>
      <c r="N387" s="301"/>
    </row>
    <row r="388" spans="2:14" s="326" customFormat="1" x14ac:dyDescent="0.15">
      <c r="B388" s="302"/>
      <c r="C388" s="301"/>
      <c r="D388" s="301"/>
      <c r="E388" s="301"/>
      <c r="F388" s="301"/>
      <c r="G388" s="301"/>
      <c r="H388" s="301"/>
      <c r="I388" s="301"/>
      <c r="J388" s="301"/>
      <c r="K388" s="301"/>
      <c r="L388" s="301"/>
      <c r="M388" s="301"/>
      <c r="N388" s="301"/>
    </row>
    <row r="389" spans="2:14" s="326" customFormat="1" x14ac:dyDescent="0.15">
      <c r="B389" s="302"/>
      <c r="C389" s="301"/>
      <c r="D389" s="301"/>
      <c r="E389" s="301"/>
      <c r="F389" s="301"/>
      <c r="G389" s="301"/>
      <c r="H389" s="301"/>
      <c r="I389" s="301"/>
      <c r="J389" s="301"/>
      <c r="K389" s="301"/>
      <c r="L389" s="301"/>
      <c r="M389" s="301"/>
      <c r="N389" s="301"/>
    </row>
    <row r="390" spans="2:14" s="326" customFormat="1" x14ac:dyDescent="0.15">
      <c r="B390" s="302"/>
      <c r="C390" s="301"/>
      <c r="D390" s="301"/>
      <c r="E390" s="301"/>
      <c r="F390" s="301"/>
      <c r="G390" s="301"/>
      <c r="H390" s="301"/>
      <c r="I390" s="301"/>
      <c r="J390" s="301"/>
      <c r="K390" s="301"/>
      <c r="L390" s="301"/>
      <c r="M390" s="301"/>
      <c r="N390" s="301"/>
    </row>
    <row r="391" spans="2:14" s="326" customFormat="1" x14ac:dyDescent="0.15">
      <c r="B391" s="302"/>
      <c r="C391" s="301"/>
      <c r="D391" s="301"/>
      <c r="E391" s="301"/>
      <c r="F391" s="301"/>
      <c r="G391" s="301"/>
      <c r="H391" s="301"/>
      <c r="I391" s="301"/>
      <c r="J391" s="301"/>
      <c r="K391" s="301"/>
      <c r="L391" s="301"/>
      <c r="M391" s="301"/>
      <c r="N391" s="301"/>
    </row>
    <row r="392" spans="2:14" s="326" customFormat="1" x14ac:dyDescent="0.15">
      <c r="B392" s="302"/>
      <c r="C392" s="301"/>
      <c r="D392" s="301"/>
      <c r="E392" s="301"/>
      <c r="F392" s="301"/>
      <c r="G392" s="301"/>
      <c r="H392" s="301"/>
      <c r="I392" s="301"/>
      <c r="J392" s="301"/>
      <c r="K392" s="301"/>
      <c r="L392" s="301"/>
      <c r="M392" s="301"/>
      <c r="N392" s="301"/>
    </row>
    <row r="393" spans="2:14" s="326" customFormat="1" x14ac:dyDescent="0.15">
      <c r="B393" s="302"/>
      <c r="C393" s="301"/>
      <c r="D393" s="301"/>
      <c r="E393" s="301"/>
      <c r="F393" s="301"/>
      <c r="G393" s="301"/>
      <c r="H393" s="301"/>
      <c r="I393" s="301"/>
      <c r="J393" s="301"/>
      <c r="K393" s="301"/>
      <c r="L393" s="301"/>
      <c r="M393" s="301"/>
      <c r="N393" s="301"/>
    </row>
    <row r="394" spans="2:14" s="326" customFormat="1" x14ac:dyDescent="0.15">
      <c r="B394" s="302"/>
      <c r="C394" s="301"/>
      <c r="D394" s="301"/>
      <c r="E394" s="301"/>
      <c r="F394" s="301"/>
      <c r="G394" s="301"/>
      <c r="H394" s="301"/>
      <c r="I394" s="301"/>
      <c r="J394" s="301"/>
      <c r="K394" s="301"/>
      <c r="L394" s="301"/>
      <c r="M394" s="301"/>
      <c r="N394" s="301"/>
    </row>
    <row r="395" spans="2:14" s="326" customFormat="1" x14ac:dyDescent="0.15">
      <c r="B395" s="302"/>
      <c r="C395" s="301"/>
      <c r="D395" s="301"/>
      <c r="E395" s="301"/>
      <c r="F395" s="301"/>
      <c r="G395" s="301"/>
      <c r="H395" s="301"/>
      <c r="I395" s="301"/>
      <c r="J395" s="301"/>
      <c r="K395" s="301"/>
      <c r="L395" s="301"/>
      <c r="M395" s="301"/>
      <c r="N395" s="301"/>
    </row>
    <row r="396" spans="2:14" s="326" customFormat="1" x14ac:dyDescent="0.15">
      <c r="B396" s="302"/>
      <c r="C396" s="301"/>
      <c r="D396" s="301"/>
      <c r="E396" s="301"/>
      <c r="F396" s="301"/>
      <c r="G396" s="301"/>
      <c r="H396" s="301"/>
      <c r="I396" s="301"/>
      <c r="J396" s="301"/>
      <c r="K396" s="301"/>
      <c r="L396" s="301"/>
      <c r="M396" s="301"/>
      <c r="N396" s="301"/>
    </row>
    <row r="397" spans="2:14" s="326" customFormat="1" x14ac:dyDescent="0.15">
      <c r="B397" s="302"/>
      <c r="C397" s="301"/>
      <c r="D397" s="301"/>
      <c r="E397" s="301"/>
      <c r="F397" s="301"/>
      <c r="G397" s="301"/>
      <c r="H397" s="301"/>
      <c r="I397" s="301"/>
      <c r="J397" s="301"/>
      <c r="K397" s="301"/>
      <c r="L397" s="301"/>
      <c r="M397" s="301"/>
      <c r="N397" s="301"/>
    </row>
    <row r="398" spans="2:14" s="326" customFormat="1" x14ac:dyDescent="0.15">
      <c r="B398" s="302"/>
      <c r="C398" s="301"/>
      <c r="D398" s="301"/>
      <c r="E398" s="301"/>
      <c r="F398" s="301"/>
      <c r="G398" s="301"/>
      <c r="H398" s="301"/>
      <c r="I398" s="301"/>
      <c r="J398" s="301"/>
      <c r="K398" s="301"/>
      <c r="L398" s="301"/>
      <c r="M398" s="301"/>
      <c r="N398" s="301"/>
    </row>
    <row r="399" spans="2:14" s="326" customFormat="1" x14ac:dyDescent="0.15">
      <c r="B399" s="302"/>
      <c r="C399" s="301"/>
      <c r="D399" s="301"/>
      <c r="E399" s="301"/>
      <c r="F399" s="301"/>
      <c r="G399" s="301"/>
      <c r="H399" s="301"/>
      <c r="I399" s="301"/>
      <c r="J399" s="301"/>
      <c r="K399" s="301"/>
      <c r="L399" s="301"/>
      <c r="M399" s="301"/>
      <c r="N399" s="301"/>
    </row>
    <row r="400" spans="2:14" s="326" customFormat="1" x14ac:dyDescent="0.15">
      <c r="B400" s="302"/>
      <c r="C400" s="301"/>
      <c r="D400" s="301"/>
      <c r="E400" s="301"/>
      <c r="F400" s="301"/>
      <c r="G400" s="301"/>
      <c r="H400" s="301"/>
      <c r="I400" s="301"/>
      <c r="J400" s="301"/>
      <c r="K400" s="301"/>
      <c r="L400" s="301"/>
      <c r="M400" s="301"/>
      <c r="N400" s="301"/>
    </row>
    <row r="401" spans="2:14" s="326" customFormat="1" x14ac:dyDescent="0.15">
      <c r="B401" s="302"/>
      <c r="C401" s="301"/>
      <c r="D401" s="301"/>
      <c r="E401" s="301"/>
      <c r="F401" s="301"/>
      <c r="G401" s="301"/>
      <c r="H401" s="301"/>
      <c r="I401" s="301"/>
      <c r="J401" s="301"/>
      <c r="K401" s="301"/>
      <c r="L401" s="301"/>
      <c r="M401" s="301"/>
      <c r="N401" s="301"/>
    </row>
    <row r="402" spans="2:14" s="326" customFormat="1" x14ac:dyDescent="0.15">
      <c r="B402" s="302"/>
      <c r="C402" s="301"/>
      <c r="D402" s="301"/>
      <c r="E402" s="301"/>
      <c r="F402" s="301"/>
      <c r="G402" s="301"/>
      <c r="H402" s="301"/>
      <c r="I402" s="301"/>
      <c r="J402" s="301"/>
      <c r="K402" s="301"/>
      <c r="L402" s="301"/>
      <c r="M402" s="301"/>
      <c r="N402" s="301"/>
    </row>
    <row r="403" spans="2:14" s="326" customFormat="1" x14ac:dyDescent="0.15">
      <c r="B403" s="302"/>
      <c r="C403" s="301"/>
      <c r="D403" s="301"/>
      <c r="E403" s="301"/>
      <c r="F403" s="301"/>
      <c r="G403" s="301"/>
      <c r="H403" s="301"/>
      <c r="I403" s="301"/>
      <c r="J403" s="301"/>
      <c r="K403" s="301"/>
      <c r="L403" s="301"/>
      <c r="M403" s="301"/>
      <c r="N403" s="301"/>
    </row>
    <row r="404" spans="2:14" s="326" customFormat="1" x14ac:dyDescent="0.15">
      <c r="B404" s="302"/>
      <c r="C404" s="301"/>
      <c r="D404" s="301"/>
      <c r="E404" s="301"/>
      <c r="F404" s="301"/>
      <c r="G404" s="301"/>
      <c r="H404" s="301"/>
      <c r="I404" s="301"/>
      <c r="J404" s="301"/>
      <c r="K404" s="301"/>
      <c r="L404" s="301"/>
      <c r="M404" s="301"/>
      <c r="N404" s="301"/>
    </row>
    <row r="405" spans="2:14" s="326" customFormat="1" x14ac:dyDescent="0.15">
      <c r="B405" s="302"/>
      <c r="C405" s="301"/>
      <c r="D405" s="301"/>
      <c r="E405" s="301"/>
      <c r="F405" s="301"/>
      <c r="G405" s="301"/>
      <c r="H405" s="301"/>
      <c r="I405" s="301"/>
      <c r="J405" s="301"/>
      <c r="K405" s="301"/>
      <c r="L405" s="301"/>
      <c r="M405" s="301"/>
      <c r="N405" s="301"/>
    </row>
    <row r="406" spans="2:14" s="326" customFormat="1" x14ac:dyDescent="0.15">
      <c r="B406" s="302"/>
      <c r="C406" s="301"/>
      <c r="D406" s="301"/>
      <c r="E406" s="301"/>
      <c r="F406" s="301"/>
      <c r="G406" s="301"/>
      <c r="H406" s="301"/>
      <c r="I406" s="301"/>
      <c r="J406" s="301"/>
      <c r="K406" s="301"/>
      <c r="L406" s="301"/>
      <c r="M406" s="301"/>
      <c r="N406" s="301"/>
    </row>
    <row r="407" spans="2:14" s="326" customFormat="1" x14ac:dyDescent="0.15">
      <c r="B407" s="302"/>
      <c r="C407" s="301"/>
      <c r="D407" s="301"/>
      <c r="E407" s="301"/>
      <c r="F407" s="301"/>
      <c r="G407" s="301"/>
      <c r="H407" s="301"/>
      <c r="I407" s="301"/>
      <c r="J407" s="301"/>
      <c r="K407" s="301"/>
      <c r="L407" s="301"/>
      <c r="M407" s="301"/>
      <c r="N407" s="301"/>
    </row>
    <row r="408" spans="2:14" s="326" customFormat="1" x14ac:dyDescent="0.15">
      <c r="B408" s="302"/>
      <c r="C408" s="301"/>
      <c r="D408" s="301"/>
      <c r="E408" s="301"/>
      <c r="F408" s="301"/>
      <c r="G408" s="301"/>
      <c r="H408" s="301"/>
      <c r="I408" s="301"/>
      <c r="J408" s="301"/>
      <c r="K408" s="301"/>
      <c r="L408" s="301"/>
      <c r="M408" s="301"/>
      <c r="N408" s="301"/>
    </row>
    <row r="409" spans="2:14" s="326" customFormat="1" x14ac:dyDescent="0.15">
      <c r="B409" s="302"/>
      <c r="C409" s="301"/>
      <c r="D409" s="301"/>
      <c r="E409" s="301"/>
      <c r="F409" s="301"/>
      <c r="G409" s="301"/>
      <c r="H409" s="301"/>
      <c r="I409" s="301"/>
      <c r="J409" s="301"/>
      <c r="K409" s="301"/>
      <c r="L409" s="301"/>
      <c r="M409" s="301"/>
      <c r="N409" s="301"/>
    </row>
    <row r="410" spans="2:14" s="326" customFormat="1" x14ac:dyDescent="0.15">
      <c r="B410" s="302"/>
      <c r="C410" s="301"/>
      <c r="D410" s="301"/>
      <c r="E410" s="301"/>
      <c r="F410" s="301"/>
      <c r="G410" s="301"/>
      <c r="H410" s="301"/>
      <c r="I410" s="301"/>
      <c r="J410" s="301"/>
      <c r="K410" s="301"/>
      <c r="L410" s="301"/>
      <c r="M410" s="301"/>
      <c r="N410" s="301"/>
    </row>
    <row r="411" spans="2:14" s="326" customFormat="1" x14ac:dyDescent="0.15">
      <c r="B411" s="302"/>
      <c r="C411" s="301"/>
      <c r="D411" s="301"/>
      <c r="E411" s="301"/>
      <c r="F411" s="301"/>
      <c r="G411" s="301"/>
      <c r="H411" s="301"/>
      <c r="I411" s="301"/>
      <c r="J411" s="301"/>
      <c r="K411" s="301"/>
      <c r="L411" s="301"/>
      <c r="M411" s="301"/>
      <c r="N411" s="301"/>
    </row>
    <row r="412" spans="2:14" s="326" customFormat="1" x14ac:dyDescent="0.15">
      <c r="B412" s="302"/>
      <c r="C412" s="301"/>
      <c r="D412" s="301"/>
      <c r="E412" s="301"/>
      <c r="F412" s="301"/>
      <c r="G412" s="301"/>
      <c r="H412" s="301"/>
      <c r="I412" s="301"/>
      <c r="J412" s="301"/>
      <c r="K412" s="301"/>
      <c r="L412" s="301"/>
      <c r="M412" s="301"/>
      <c r="N412" s="301"/>
    </row>
    <row r="413" spans="2:14" s="326" customFormat="1" x14ac:dyDescent="0.15">
      <c r="B413" s="302"/>
      <c r="C413" s="301"/>
      <c r="D413" s="301"/>
      <c r="E413" s="301"/>
      <c r="F413" s="301"/>
      <c r="G413" s="301"/>
      <c r="H413" s="301"/>
      <c r="I413" s="301"/>
      <c r="J413" s="301"/>
      <c r="K413" s="301"/>
      <c r="L413" s="301"/>
      <c r="M413" s="301"/>
      <c r="N413" s="301"/>
    </row>
    <row r="414" spans="2:14" s="326" customFormat="1" x14ac:dyDescent="0.15">
      <c r="B414" s="302"/>
      <c r="C414" s="301"/>
      <c r="D414" s="301"/>
      <c r="E414" s="301"/>
      <c r="F414" s="301"/>
      <c r="G414" s="301"/>
      <c r="H414" s="301"/>
      <c r="I414" s="301"/>
      <c r="J414" s="301"/>
      <c r="K414" s="301"/>
      <c r="L414" s="301"/>
      <c r="M414" s="301"/>
      <c r="N414" s="301"/>
    </row>
    <row r="415" spans="2:14" s="326" customFormat="1" x14ac:dyDescent="0.15">
      <c r="B415" s="302"/>
      <c r="C415" s="301"/>
      <c r="D415" s="301"/>
      <c r="E415" s="301"/>
      <c r="F415" s="301"/>
      <c r="G415" s="301"/>
      <c r="H415" s="301"/>
      <c r="I415" s="301"/>
      <c r="J415" s="301"/>
      <c r="K415" s="301"/>
      <c r="L415" s="301"/>
      <c r="M415" s="301"/>
      <c r="N415" s="301"/>
    </row>
    <row r="416" spans="2:14" s="326" customFormat="1" x14ac:dyDescent="0.15">
      <c r="B416" s="302"/>
      <c r="C416" s="301"/>
      <c r="D416" s="301"/>
      <c r="E416" s="301"/>
      <c r="F416" s="301"/>
      <c r="G416" s="301"/>
      <c r="H416" s="301"/>
      <c r="I416" s="301"/>
      <c r="J416" s="301"/>
      <c r="K416" s="301"/>
      <c r="L416" s="301"/>
      <c r="M416" s="301"/>
      <c r="N416" s="301"/>
    </row>
    <row r="417" spans="2:14" s="326" customFormat="1" x14ac:dyDescent="0.15">
      <c r="B417" s="302"/>
      <c r="C417" s="301"/>
      <c r="D417" s="301"/>
      <c r="E417" s="301"/>
      <c r="F417" s="301"/>
      <c r="G417" s="301"/>
      <c r="H417" s="301"/>
      <c r="I417" s="301"/>
      <c r="J417" s="301"/>
      <c r="K417" s="301"/>
      <c r="L417" s="301"/>
      <c r="M417" s="301"/>
      <c r="N417" s="301"/>
    </row>
    <row r="418" spans="2:14" s="326" customFormat="1" x14ac:dyDescent="0.15">
      <c r="B418" s="302"/>
      <c r="C418" s="301"/>
      <c r="D418" s="301"/>
      <c r="E418" s="301"/>
      <c r="F418" s="301"/>
      <c r="G418" s="301"/>
      <c r="H418" s="301"/>
      <c r="I418" s="301"/>
      <c r="J418" s="301"/>
      <c r="K418" s="301"/>
      <c r="L418" s="301"/>
      <c r="M418" s="301"/>
      <c r="N418" s="301"/>
    </row>
    <row r="419" spans="2:14" s="326" customFormat="1" x14ac:dyDescent="0.15">
      <c r="B419" s="302"/>
      <c r="C419" s="301"/>
      <c r="D419" s="301"/>
      <c r="E419" s="301"/>
      <c r="F419" s="301"/>
      <c r="G419" s="301"/>
      <c r="H419" s="301"/>
      <c r="I419" s="301"/>
      <c r="J419" s="301"/>
      <c r="K419" s="301"/>
      <c r="L419" s="301"/>
      <c r="M419" s="301"/>
      <c r="N419" s="301"/>
    </row>
    <row r="420" spans="2:14" s="326" customFormat="1" x14ac:dyDescent="0.15">
      <c r="B420" s="302"/>
      <c r="C420" s="301"/>
      <c r="D420" s="301"/>
      <c r="E420" s="301"/>
      <c r="F420" s="301"/>
      <c r="G420" s="301"/>
      <c r="H420" s="301"/>
      <c r="I420" s="301"/>
      <c r="J420" s="301"/>
      <c r="K420" s="301"/>
      <c r="L420" s="301"/>
      <c r="M420" s="301"/>
      <c r="N420" s="301"/>
    </row>
    <row r="421" spans="2:14" s="326" customFormat="1" x14ac:dyDescent="0.15">
      <c r="B421" s="302"/>
      <c r="C421" s="301"/>
      <c r="D421" s="301"/>
      <c r="E421" s="301"/>
      <c r="F421" s="301"/>
      <c r="G421" s="301"/>
      <c r="H421" s="301"/>
      <c r="I421" s="301"/>
      <c r="J421" s="301"/>
      <c r="K421" s="301"/>
      <c r="L421" s="301"/>
      <c r="M421" s="301"/>
      <c r="N421" s="301"/>
    </row>
    <row r="422" spans="2:14" s="326" customFormat="1" x14ac:dyDescent="0.15">
      <c r="B422" s="302"/>
      <c r="C422" s="301"/>
      <c r="D422" s="301"/>
      <c r="E422" s="301"/>
      <c r="F422" s="301"/>
      <c r="G422" s="301"/>
      <c r="H422" s="301"/>
      <c r="I422" s="301"/>
      <c r="J422" s="301"/>
      <c r="K422" s="301"/>
      <c r="L422" s="301"/>
      <c r="M422" s="301"/>
      <c r="N422" s="301"/>
    </row>
    <row r="423" spans="2:14" s="326" customFormat="1" x14ac:dyDescent="0.15">
      <c r="B423" s="302"/>
      <c r="C423" s="301"/>
      <c r="D423" s="301"/>
      <c r="E423" s="301"/>
      <c r="F423" s="301"/>
      <c r="G423" s="301"/>
      <c r="H423" s="301"/>
      <c r="I423" s="301"/>
      <c r="J423" s="301"/>
      <c r="K423" s="301"/>
      <c r="L423" s="301"/>
      <c r="M423" s="301"/>
      <c r="N423" s="301"/>
    </row>
    <row r="424" spans="2:14" s="326" customFormat="1" x14ac:dyDescent="0.15">
      <c r="B424" s="302"/>
      <c r="C424" s="301"/>
      <c r="D424" s="301"/>
      <c r="E424" s="301"/>
      <c r="F424" s="301"/>
      <c r="G424" s="301"/>
      <c r="H424" s="301"/>
      <c r="I424" s="301"/>
      <c r="J424" s="301"/>
      <c r="K424" s="301"/>
      <c r="L424" s="301"/>
      <c r="M424" s="301"/>
      <c r="N424" s="301"/>
    </row>
    <row r="425" spans="2:14" s="326" customFormat="1" x14ac:dyDescent="0.15">
      <c r="B425" s="302"/>
      <c r="C425" s="301"/>
      <c r="D425" s="301"/>
      <c r="E425" s="301"/>
      <c r="F425" s="301"/>
      <c r="G425" s="301"/>
      <c r="H425" s="301"/>
      <c r="I425" s="301"/>
      <c r="J425" s="301"/>
      <c r="K425" s="301"/>
      <c r="L425" s="301"/>
      <c r="M425" s="301"/>
      <c r="N425" s="301"/>
    </row>
    <row r="426" spans="2:14" s="326" customFormat="1" x14ac:dyDescent="0.15">
      <c r="B426" s="302"/>
      <c r="C426" s="301"/>
      <c r="D426" s="301"/>
      <c r="E426" s="301"/>
      <c r="F426" s="301"/>
      <c r="G426" s="301"/>
      <c r="H426" s="301"/>
      <c r="I426" s="301"/>
      <c r="J426" s="301"/>
      <c r="K426" s="301"/>
      <c r="L426" s="301"/>
      <c r="M426" s="301"/>
      <c r="N426" s="301"/>
    </row>
    <row r="427" spans="2:14" s="326" customFormat="1" x14ac:dyDescent="0.15">
      <c r="B427" s="302"/>
      <c r="C427" s="301"/>
      <c r="D427" s="301"/>
      <c r="E427" s="301"/>
      <c r="F427" s="301"/>
      <c r="G427" s="301"/>
      <c r="H427" s="301"/>
      <c r="I427" s="301"/>
      <c r="J427" s="301"/>
      <c r="K427" s="301"/>
      <c r="L427" s="301"/>
      <c r="M427" s="301"/>
      <c r="N427" s="301"/>
    </row>
    <row r="428" spans="2:14" s="326" customFormat="1" x14ac:dyDescent="0.15">
      <c r="B428" s="302"/>
      <c r="C428" s="301"/>
      <c r="D428" s="301"/>
      <c r="E428" s="301"/>
      <c r="F428" s="301"/>
      <c r="G428" s="301"/>
      <c r="H428" s="301"/>
      <c r="I428" s="301"/>
      <c r="J428" s="301"/>
      <c r="K428" s="301"/>
      <c r="L428" s="301"/>
      <c r="M428" s="301"/>
      <c r="N428" s="301"/>
    </row>
    <row r="429" spans="2:14" s="326" customFormat="1" x14ac:dyDescent="0.15">
      <c r="B429" s="302"/>
      <c r="C429" s="301"/>
      <c r="D429" s="301"/>
      <c r="E429" s="301"/>
      <c r="F429" s="301"/>
      <c r="G429" s="301"/>
      <c r="H429" s="301"/>
      <c r="I429" s="301"/>
      <c r="J429" s="301"/>
      <c r="K429" s="301"/>
      <c r="L429" s="301"/>
      <c r="M429" s="301"/>
      <c r="N429" s="301"/>
    </row>
    <row r="430" spans="2:14" s="326" customFormat="1" x14ac:dyDescent="0.15">
      <c r="B430" s="327"/>
      <c r="C430" s="312"/>
      <c r="D430" s="312"/>
      <c r="E430" s="312"/>
      <c r="F430" s="312"/>
      <c r="G430" s="312"/>
      <c r="H430" s="312"/>
      <c r="I430" s="312"/>
      <c r="J430" s="312"/>
      <c r="K430" s="312"/>
      <c r="L430" s="312"/>
      <c r="M430" s="312"/>
      <c r="N430" s="312"/>
    </row>
    <row r="431" spans="2:14" s="326" customFormat="1" x14ac:dyDescent="0.15">
      <c r="B431" s="327"/>
      <c r="C431" s="312"/>
      <c r="D431" s="312"/>
      <c r="E431" s="312"/>
      <c r="F431" s="312"/>
      <c r="G431" s="312"/>
      <c r="H431" s="312"/>
      <c r="I431" s="312"/>
      <c r="J431" s="312"/>
      <c r="K431" s="312"/>
      <c r="L431" s="312"/>
      <c r="M431" s="312"/>
      <c r="N431" s="312"/>
    </row>
  </sheetData>
  <sheetProtection formatCells="0" formatColumns="0" formatRows="0" insertColumns="0" insertRows="0" insertHyperlinks="0" deleteColumns="0" deleteRows="0" sort="0" autoFilter="0" pivotTables="0"/>
  <autoFilter ref="B6:Q169" xr:uid="{00000000-0009-0000-0000-000001000000}"/>
  <dataConsolidate function="average">
    <dataRefs count="1">
      <dataRef ref="A6:B221" sheet="Monthly Summary Jan-Mar" r:id="rId1"/>
    </dataRefs>
  </dataConsolidate>
  <mergeCells count="10">
    <mergeCell ref="X4:Z4"/>
    <mergeCell ref="S5:S6"/>
    <mergeCell ref="U5:U6"/>
    <mergeCell ref="W5:W6"/>
    <mergeCell ref="Z5:Z6"/>
    <mergeCell ref="B1:Q1"/>
    <mergeCell ref="B2:Q2"/>
    <mergeCell ref="B3:Q3"/>
    <mergeCell ref="C5:P5"/>
    <mergeCell ref="Q5:Q6"/>
  </mergeCells>
  <conditionalFormatting sqref="I7:I80 I82:I169 O7:O169">
    <cfRule type="cellIs" dxfId="274" priority="40" stopIfTrue="1" operator="greaterThan">
      <formula>30</formula>
    </cfRule>
    <cfRule type="cellIs" dxfId="273" priority="41" stopIfTrue="1" operator="between">
      <formula>0.1</formula>
      <formula>10</formula>
    </cfRule>
    <cfRule type="cellIs" dxfId="272" priority="42" stopIfTrue="1" operator="lessThan">
      <formula>0.1</formula>
    </cfRule>
  </conditionalFormatting>
  <conditionalFormatting sqref="P7:P169">
    <cfRule type="containsBlanks" priority="39" stopIfTrue="1">
      <formula>LEN(TRIM(P7))=0</formula>
    </cfRule>
    <cfRule type="cellIs" dxfId="271" priority="44" stopIfTrue="1" operator="greaterThan">
      <formula>40</formula>
    </cfRule>
  </conditionalFormatting>
  <conditionalFormatting sqref="C7:C80 C143:C169 C82:C141">
    <cfRule type="cellIs" dxfId="270" priority="36" stopIfTrue="1" operator="greaterThan">
      <formula>30</formula>
    </cfRule>
    <cfRule type="cellIs" dxfId="269" priority="37" stopIfTrue="1" operator="between">
      <formula>0.1</formula>
      <formula>10</formula>
    </cfRule>
    <cfRule type="cellIs" dxfId="268" priority="38" stopIfTrue="1" operator="lessThan">
      <formula>0.1</formula>
    </cfRule>
  </conditionalFormatting>
  <conditionalFormatting sqref="D7:D64 D82:D169">
    <cfRule type="cellIs" dxfId="267" priority="33" stopIfTrue="1" operator="greaterThan">
      <formula>30</formula>
    </cfRule>
    <cfRule type="cellIs" dxfId="266" priority="34" stopIfTrue="1" operator="between">
      <formula>0.1</formula>
      <formula>10</formula>
    </cfRule>
    <cfRule type="cellIs" dxfId="265" priority="35" stopIfTrue="1" operator="lessThan">
      <formula>0.1</formula>
    </cfRule>
  </conditionalFormatting>
  <conditionalFormatting sqref="D65:D80">
    <cfRule type="cellIs" dxfId="264" priority="30" stopIfTrue="1" operator="greaterThan">
      <formula>30</formula>
    </cfRule>
    <cfRule type="cellIs" dxfId="263" priority="31" stopIfTrue="1" operator="between">
      <formula>0.1</formula>
      <formula>10</formula>
    </cfRule>
    <cfRule type="cellIs" dxfId="262" priority="32" stopIfTrue="1" operator="lessThan">
      <formula>0.1</formula>
    </cfRule>
  </conditionalFormatting>
  <conditionalFormatting sqref="E7:E80 E82:E169">
    <cfRule type="cellIs" dxfId="261" priority="27" stopIfTrue="1" operator="greaterThan">
      <formula>30</formula>
    </cfRule>
    <cfRule type="cellIs" dxfId="260" priority="28" stopIfTrue="1" operator="between">
      <formula>0.1</formula>
      <formula>10</formula>
    </cfRule>
    <cfRule type="cellIs" dxfId="259" priority="29" stopIfTrue="1" operator="lessThan">
      <formula>0.1</formula>
    </cfRule>
  </conditionalFormatting>
  <conditionalFormatting sqref="F7:F80 F82:F169">
    <cfRule type="cellIs" dxfId="258" priority="24" stopIfTrue="1" operator="greaterThan">
      <formula>30</formula>
    </cfRule>
    <cfRule type="cellIs" dxfId="257" priority="25" stopIfTrue="1" operator="between">
      <formula>0.1</formula>
      <formula>10</formula>
    </cfRule>
    <cfRule type="cellIs" dxfId="256" priority="26" stopIfTrue="1" operator="lessThan">
      <formula>0.1</formula>
    </cfRule>
  </conditionalFormatting>
  <conditionalFormatting sqref="G7:G80 G82:G169">
    <cfRule type="cellIs" dxfId="255" priority="21" stopIfTrue="1" operator="greaterThan">
      <formula>30</formula>
    </cfRule>
    <cfRule type="cellIs" dxfId="254" priority="22" stopIfTrue="1" operator="between">
      <formula>0.1</formula>
      <formula>10</formula>
    </cfRule>
    <cfRule type="cellIs" dxfId="253" priority="23" stopIfTrue="1" operator="lessThan">
      <formula>0.1</formula>
    </cfRule>
  </conditionalFormatting>
  <conditionalFormatting sqref="H7:H80 H82:H169">
    <cfRule type="cellIs" dxfId="252" priority="18" stopIfTrue="1" operator="greaterThan">
      <formula>30</formula>
    </cfRule>
    <cfRule type="cellIs" dxfId="251" priority="19" stopIfTrue="1" operator="between">
      <formula>0.1</formula>
      <formula>10</formula>
    </cfRule>
    <cfRule type="cellIs" dxfId="250" priority="20" stopIfTrue="1" operator="lessThan">
      <formula>0.1</formula>
    </cfRule>
  </conditionalFormatting>
  <conditionalFormatting sqref="J7:J74 J76:J169">
    <cfRule type="cellIs" dxfId="249" priority="15" stopIfTrue="1" operator="greaterThan">
      <formula>30</formula>
    </cfRule>
    <cfRule type="cellIs" dxfId="248" priority="16" stopIfTrue="1" operator="between">
      <formula>0.1</formula>
      <formula>10</formula>
    </cfRule>
    <cfRule type="cellIs" dxfId="247" priority="17" stopIfTrue="1" operator="lessThan">
      <formula>0.1</formula>
    </cfRule>
  </conditionalFormatting>
  <conditionalFormatting sqref="K7:K74 K76:K169">
    <cfRule type="cellIs" dxfId="246" priority="12" stopIfTrue="1" operator="greaterThan">
      <formula>30</formula>
    </cfRule>
    <cfRule type="cellIs" dxfId="245" priority="13" stopIfTrue="1" operator="between">
      <formula>0.1</formula>
      <formula>10</formula>
    </cfRule>
    <cfRule type="cellIs" dxfId="244" priority="14" stopIfTrue="1" operator="lessThan">
      <formula>0.1</formula>
    </cfRule>
  </conditionalFormatting>
  <conditionalFormatting sqref="L7:L74 L76:L169">
    <cfRule type="cellIs" dxfId="243" priority="9" stopIfTrue="1" operator="greaterThan">
      <formula>30</formula>
    </cfRule>
    <cfRule type="cellIs" dxfId="242" priority="10" stopIfTrue="1" operator="between">
      <formula>0.1</formula>
      <formula>10</formula>
    </cfRule>
    <cfRule type="cellIs" dxfId="241" priority="11" stopIfTrue="1" operator="lessThan">
      <formula>0.1</formula>
    </cfRule>
  </conditionalFormatting>
  <conditionalFormatting sqref="M7:M74 M76:M169">
    <cfRule type="cellIs" dxfId="240" priority="6" stopIfTrue="1" operator="greaterThan">
      <formula>30</formula>
    </cfRule>
    <cfRule type="cellIs" dxfId="239" priority="7" stopIfTrue="1" operator="between">
      <formula>0.1</formula>
      <formula>10</formula>
    </cfRule>
    <cfRule type="cellIs" dxfId="238" priority="8" stopIfTrue="1" operator="lessThan">
      <formula>0.1</formula>
    </cfRule>
  </conditionalFormatting>
  <conditionalFormatting sqref="N7:N74 N76:N169">
    <cfRule type="cellIs" dxfId="237" priority="3" stopIfTrue="1" operator="greaterThan">
      <formula>30</formula>
    </cfRule>
    <cfRule type="cellIs" dxfId="236" priority="4" stopIfTrue="1" operator="between">
      <formula>0.1</formula>
      <formula>10</formula>
    </cfRule>
    <cfRule type="cellIs" dxfId="235" priority="5" stopIfTrue="1" operator="lessThan">
      <formula>0.1</formula>
    </cfRule>
  </conditionalFormatting>
  <conditionalFormatting sqref="S7:S169 U7:U169 W7:W169 Q7:Q169">
    <cfRule type="cellIs" dxfId="234" priority="1" stopIfTrue="1" operator="lessThan">
      <formula>0.5</formula>
    </cfRule>
  </conditionalFormatting>
  <conditionalFormatting sqref="W7:W169 U7:U169 S7:S169 Q7:Q169">
    <cfRule type="cellIs" dxfId="233" priority="2" stopIfTrue="1" operator="lessThan">
      <formula>0.75</formula>
    </cfRule>
  </conditionalFormatting>
  <printOptions horizontalCentered="1"/>
  <pageMargins left="0.74803149606299213" right="0.74803149606299213" top="0.98425196850393704" bottom="0.98425196850393704" header="0.51181102362204722" footer="0.51181102362204722"/>
  <pageSetup paperSize="9" scale="32" orientation="portrait" r:id="rId2"/>
  <headerFooter alignWithMargins="0"/>
  <rowBreaks count="1" manualBreakCount="1">
    <brk id="81" max="7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B1:AI431"/>
  <sheetViews>
    <sheetView zoomScale="48" zoomScaleNormal="100" workbookViewId="0">
      <pane xSplit="2" ySplit="6" topLeftCell="C82" activePane="bottomRight" state="frozen"/>
      <selection pane="topRight" activeCell="C1" sqref="C1"/>
      <selection pane="bottomLeft" activeCell="A7" sqref="A7"/>
      <selection pane="bottomRight" activeCell="R84" sqref="R84"/>
    </sheetView>
  </sheetViews>
  <sheetFormatPr defaultColWidth="10.140625" defaultRowHeight="10.5" x14ac:dyDescent="0.15"/>
  <cols>
    <col min="1" max="1" width="10.140625" style="188"/>
    <col min="2" max="2" width="17.5703125" style="197" customWidth="1"/>
    <col min="3" max="14" width="17.5703125" style="188" customWidth="1"/>
    <col min="15" max="17" width="17.5703125" style="196" customWidth="1"/>
    <col min="18" max="27" width="10.140625" style="188"/>
    <col min="28" max="28" width="20.140625" style="188" bestFit="1" customWidth="1"/>
    <col min="29" max="29" width="10.140625" style="188"/>
    <col min="30" max="30" width="16.7109375" style="188" bestFit="1" customWidth="1"/>
    <col min="31" max="257" width="10.140625" style="188"/>
    <col min="258" max="273" width="17.5703125" style="188" customWidth="1"/>
    <col min="274" max="513" width="10.140625" style="188"/>
    <col min="514" max="529" width="17.5703125" style="188" customWidth="1"/>
    <col min="530" max="769" width="10.140625" style="188"/>
    <col min="770" max="785" width="17.5703125" style="188" customWidth="1"/>
    <col min="786" max="1025" width="10.140625" style="188"/>
    <col min="1026" max="1041" width="17.5703125" style="188" customWidth="1"/>
    <col min="1042" max="1281" width="10.140625" style="188"/>
    <col min="1282" max="1297" width="17.5703125" style="188" customWidth="1"/>
    <col min="1298" max="1537" width="10.140625" style="188"/>
    <col min="1538" max="1553" width="17.5703125" style="188" customWidth="1"/>
    <col min="1554" max="1793" width="10.140625" style="188"/>
    <col min="1794" max="1809" width="17.5703125" style="188" customWidth="1"/>
    <col min="1810" max="2049" width="10.140625" style="188"/>
    <col min="2050" max="2065" width="17.5703125" style="188" customWidth="1"/>
    <col min="2066" max="2305" width="10.140625" style="188"/>
    <col min="2306" max="2321" width="17.5703125" style="188" customWidth="1"/>
    <col min="2322" max="2561" width="10.140625" style="188"/>
    <col min="2562" max="2577" width="17.5703125" style="188" customWidth="1"/>
    <col min="2578" max="2817" width="10.140625" style="188"/>
    <col min="2818" max="2833" width="17.5703125" style="188" customWidth="1"/>
    <col min="2834" max="3073" width="10.140625" style="188"/>
    <col min="3074" max="3089" width="17.5703125" style="188" customWidth="1"/>
    <col min="3090" max="3329" width="10.140625" style="188"/>
    <col min="3330" max="3345" width="17.5703125" style="188" customWidth="1"/>
    <col min="3346" max="3585" width="10.140625" style="188"/>
    <col min="3586" max="3601" width="17.5703125" style="188" customWidth="1"/>
    <col min="3602" max="3841" width="10.140625" style="188"/>
    <col min="3842" max="3857" width="17.5703125" style="188" customWidth="1"/>
    <col min="3858" max="4097" width="10.140625" style="188"/>
    <col min="4098" max="4113" width="17.5703125" style="188" customWidth="1"/>
    <col min="4114" max="4353" width="10.140625" style="188"/>
    <col min="4354" max="4369" width="17.5703125" style="188" customWidth="1"/>
    <col min="4370" max="4609" width="10.140625" style="188"/>
    <col min="4610" max="4625" width="17.5703125" style="188" customWidth="1"/>
    <col min="4626" max="4865" width="10.140625" style="188"/>
    <col min="4866" max="4881" width="17.5703125" style="188" customWidth="1"/>
    <col min="4882" max="5121" width="10.140625" style="188"/>
    <col min="5122" max="5137" width="17.5703125" style="188" customWidth="1"/>
    <col min="5138" max="5377" width="10.140625" style="188"/>
    <col min="5378" max="5393" width="17.5703125" style="188" customWidth="1"/>
    <col min="5394" max="5633" width="10.140625" style="188"/>
    <col min="5634" max="5649" width="17.5703125" style="188" customWidth="1"/>
    <col min="5650" max="5889" width="10.140625" style="188"/>
    <col min="5890" max="5905" width="17.5703125" style="188" customWidth="1"/>
    <col min="5906" max="6145" width="10.140625" style="188"/>
    <col min="6146" max="6161" width="17.5703125" style="188" customWidth="1"/>
    <col min="6162" max="6401" width="10.140625" style="188"/>
    <col min="6402" max="6417" width="17.5703125" style="188" customWidth="1"/>
    <col min="6418" max="6657" width="10.140625" style="188"/>
    <col min="6658" max="6673" width="17.5703125" style="188" customWidth="1"/>
    <col min="6674" max="6913" width="10.140625" style="188"/>
    <col min="6914" max="6929" width="17.5703125" style="188" customWidth="1"/>
    <col min="6930" max="7169" width="10.140625" style="188"/>
    <col min="7170" max="7185" width="17.5703125" style="188" customWidth="1"/>
    <col min="7186" max="7425" width="10.140625" style="188"/>
    <col min="7426" max="7441" width="17.5703125" style="188" customWidth="1"/>
    <col min="7442" max="7681" width="10.140625" style="188"/>
    <col min="7682" max="7697" width="17.5703125" style="188" customWidth="1"/>
    <col min="7698" max="7937" width="10.140625" style="188"/>
    <col min="7938" max="7953" width="17.5703125" style="188" customWidth="1"/>
    <col min="7954" max="8193" width="10.140625" style="188"/>
    <col min="8194" max="8209" width="17.5703125" style="188" customWidth="1"/>
    <col min="8210" max="8449" width="10.140625" style="188"/>
    <col min="8450" max="8465" width="17.5703125" style="188" customWidth="1"/>
    <col min="8466" max="8705" width="10.140625" style="188"/>
    <col min="8706" max="8721" width="17.5703125" style="188" customWidth="1"/>
    <col min="8722" max="8961" width="10.140625" style="188"/>
    <col min="8962" max="8977" width="17.5703125" style="188" customWidth="1"/>
    <col min="8978" max="9217" width="10.140625" style="188"/>
    <col min="9218" max="9233" width="17.5703125" style="188" customWidth="1"/>
    <col min="9234" max="9473" width="10.140625" style="188"/>
    <col min="9474" max="9489" width="17.5703125" style="188" customWidth="1"/>
    <col min="9490" max="9729" width="10.140625" style="188"/>
    <col min="9730" max="9745" width="17.5703125" style="188" customWidth="1"/>
    <col min="9746" max="9985" width="10.140625" style="188"/>
    <col min="9986" max="10001" width="17.5703125" style="188" customWidth="1"/>
    <col min="10002" max="10241" width="10.140625" style="188"/>
    <col min="10242" max="10257" width="17.5703125" style="188" customWidth="1"/>
    <col min="10258" max="10497" width="10.140625" style="188"/>
    <col min="10498" max="10513" width="17.5703125" style="188" customWidth="1"/>
    <col min="10514" max="10753" width="10.140625" style="188"/>
    <col min="10754" max="10769" width="17.5703125" style="188" customWidth="1"/>
    <col min="10770" max="11009" width="10.140625" style="188"/>
    <col min="11010" max="11025" width="17.5703125" style="188" customWidth="1"/>
    <col min="11026" max="11265" width="10.140625" style="188"/>
    <col min="11266" max="11281" width="17.5703125" style="188" customWidth="1"/>
    <col min="11282" max="11521" width="10.140625" style="188"/>
    <col min="11522" max="11537" width="17.5703125" style="188" customWidth="1"/>
    <col min="11538" max="11777" width="10.140625" style="188"/>
    <col min="11778" max="11793" width="17.5703125" style="188" customWidth="1"/>
    <col min="11794" max="12033" width="10.140625" style="188"/>
    <col min="12034" max="12049" width="17.5703125" style="188" customWidth="1"/>
    <col min="12050" max="12289" width="10.140625" style="188"/>
    <col min="12290" max="12305" width="17.5703125" style="188" customWidth="1"/>
    <col min="12306" max="12545" width="10.140625" style="188"/>
    <col min="12546" max="12561" width="17.5703125" style="188" customWidth="1"/>
    <col min="12562" max="12801" width="10.140625" style="188"/>
    <col min="12802" max="12817" width="17.5703125" style="188" customWidth="1"/>
    <col min="12818" max="13057" width="10.140625" style="188"/>
    <col min="13058" max="13073" width="17.5703125" style="188" customWidth="1"/>
    <col min="13074" max="13313" width="10.140625" style="188"/>
    <col min="13314" max="13329" width="17.5703125" style="188" customWidth="1"/>
    <col min="13330" max="13569" width="10.140625" style="188"/>
    <col min="13570" max="13585" width="17.5703125" style="188" customWidth="1"/>
    <col min="13586" max="13825" width="10.140625" style="188"/>
    <col min="13826" max="13841" width="17.5703125" style="188" customWidth="1"/>
    <col min="13842" max="14081" width="10.140625" style="188"/>
    <col min="14082" max="14097" width="17.5703125" style="188" customWidth="1"/>
    <col min="14098" max="14337" width="10.140625" style="188"/>
    <col min="14338" max="14353" width="17.5703125" style="188" customWidth="1"/>
    <col min="14354" max="14593" width="10.140625" style="188"/>
    <col min="14594" max="14609" width="17.5703125" style="188" customWidth="1"/>
    <col min="14610" max="14849" width="10.140625" style="188"/>
    <col min="14850" max="14865" width="17.5703125" style="188" customWidth="1"/>
    <col min="14866" max="15105" width="10.140625" style="188"/>
    <col min="15106" max="15121" width="17.5703125" style="188" customWidth="1"/>
    <col min="15122" max="15361" width="10.140625" style="188"/>
    <col min="15362" max="15377" width="17.5703125" style="188" customWidth="1"/>
    <col min="15378" max="15617" width="10.140625" style="188"/>
    <col min="15618" max="15633" width="17.5703125" style="188" customWidth="1"/>
    <col min="15634" max="15873" width="10.140625" style="188"/>
    <col min="15874" max="15889" width="17.5703125" style="188" customWidth="1"/>
    <col min="15890" max="16129" width="10.140625" style="188"/>
    <col min="16130" max="16145" width="17.5703125" style="188" customWidth="1"/>
    <col min="16146" max="16384" width="10.140625" style="188"/>
  </cols>
  <sheetData>
    <row r="1" spans="2:35" s="181" customFormat="1" ht="18" customHeight="1" thickTop="1" x14ac:dyDescent="0.15">
      <c r="B1" s="433" t="s">
        <v>448</v>
      </c>
      <c r="C1" s="434"/>
      <c r="D1" s="434"/>
      <c r="E1" s="434"/>
      <c r="F1" s="434"/>
      <c r="G1" s="434"/>
      <c r="H1" s="434"/>
      <c r="I1" s="434"/>
      <c r="J1" s="434"/>
      <c r="K1" s="434"/>
      <c r="L1" s="434"/>
      <c r="M1" s="434"/>
      <c r="N1" s="434"/>
      <c r="O1" s="434"/>
      <c r="P1" s="434"/>
      <c r="Q1" s="435"/>
    </row>
    <row r="2" spans="2:35" s="181" customFormat="1" ht="18" customHeight="1" x14ac:dyDescent="0.15">
      <c r="B2" s="423" t="s">
        <v>449</v>
      </c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5"/>
    </row>
    <row r="3" spans="2:35" s="181" customFormat="1" ht="18" customHeight="1" thickBot="1" x14ac:dyDescent="0.2">
      <c r="B3" s="426" t="s">
        <v>985</v>
      </c>
      <c r="C3" s="427"/>
      <c r="D3" s="427"/>
      <c r="E3" s="427"/>
      <c r="F3" s="427"/>
      <c r="G3" s="427"/>
      <c r="H3" s="427"/>
      <c r="I3" s="427"/>
      <c r="J3" s="427"/>
      <c r="K3" s="427"/>
      <c r="L3" s="427"/>
      <c r="M3" s="427"/>
      <c r="N3" s="427"/>
      <c r="O3" s="427"/>
      <c r="P3" s="427"/>
      <c r="Q3" s="428"/>
    </row>
    <row r="4" spans="2:35" s="181" customFormat="1" ht="12" thickTop="1" thickBot="1" x14ac:dyDescent="0.2">
      <c r="B4" s="182"/>
      <c r="O4" s="183"/>
      <c r="P4" s="183"/>
      <c r="Q4" s="183"/>
      <c r="R4" s="204" t="s">
        <v>497</v>
      </c>
      <c r="S4" s="204"/>
      <c r="T4" s="204" t="s">
        <v>498</v>
      </c>
      <c r="U4" s="205"/>
      <c r="V4" s="205"/>
      <c r="W4" s="205"/>
      <c r="X4" s="416" t="s">
        <v>508</v>
      </c>
      <c r="Y4" s="416"/>
      <c r="Z4" s="416"/>
      <c r="AA4" s="105"/>
      <c r="AB4" s="31"/>
      <c r="AC4" s="31"/>
      <c r="AD4" s="206"/>
      <c r="AE4" s="206"/>
      <c r="AF4" s="31"/>
      <c r="AG4" s="31"/>
      <c r="AH4" s="31"/>
      <c r="AI4" s="31"/>
    </row>
    <row r="5" spans="2:35" s="181" customFormat="1" ht="12" thickTop="1" thickBot="1" x14ac:dyDescent="0.2">
      <c r="B5" s="275"/>
      <c r="C5" s="429" t="s">
        <v>451</v>
      </c>
      <c r="D5" s="429"/>
      <c r="E5" s="429"/>
      <c r="F5" s="429"/>
      <c r="G5" s="429"/>
      <c r="H5" s="429"/>
      <c r="I5" s="429"/>
      <c r="J5" s="429"/>
      <c r="K5" s="429"/>
      <c r="L5" s="429"/>
      <c r="M5" s="429"/>
      <c r="N5" s="429"/>
      <c r="O5" s="429"/>
      <c r="P5" s="430"/>
      <c r="Q5" s="431" t="s">
        <v>452</v>
      </c>
      <c r="R5" s="214" t="s">
        <v>461</v>
      </c>
      <c r="S5" s="421" t="s">
        <v>452</v>
      </c>
      <c r="T5" s="214" t="s">
        <v>460</v>
      </c>
      <c r="U5" s="421" t="s">
        <v>452</v>
      </c>
      <c r="V5" s="215" t="s">
        <v>494</v>
      </c>
      <c r="W5" s="421" t="s">
        <v>452</v>
      </c>
      <c r="X5" s="214" t="s">
        <v>461</v>
      </c>
      <c r="Y5" s="214" t="s">
        <v>460</v>
      </c>
      <c r="Z5" s="421" t="s">
        <v>509</v>
      </c>
      <c r="AA5" s="107"/>
      <c r="AB5" s="95"/>
      <c r="AC5" s="96"/>
      <c r="AD5" s="96"/>
      <c r="AE5" s="96"/>
      <c r="AF5" s="96"/>
      <c r="AG5" s="96"/>
      <c r="AH5" s="96"/>
      <c r="AI5" s="97"/>
    </row>
    <row r="6" spans="2:35" s="181" customFormat="1" ht="14.25" customHeight="1" thickTop="1" x14ac:dyDescent="0.15">
      <c r="B6" s="185" t="s">
        <v>453</v>
      </c>
      <c r="C6" s="186">
        <v>43101</v>
      </c>
      <c r="D6" s="186">
        <v>43132</v>
      </c>
      <c r="E6" s="186">
        <v>43160</v>
      </c>
      <c r="F6" s="186">
        <v>43191</v>
      </c>
      <c r="G6" s="186">
        <v>43221</v>
      </c>
      <c r="H6" s="186">
        <v>43252</v>
      </c>
      <c r="I6" s="186">
        <v>43282</v>
      </c>
      <c r="J6" s="186">
        <v>43313</v>
      </c>
      <c r="K6" s="186">
        <v>43344</v>
      </c>
      <c r="L6" s="186">
        <v>43374</v>
      </c>
      <c r="M6" s="186">
        <v>43405</v>
      </c>
      <c r="N6" s="186">
        <v>43435</v>
      </c>
      <c r="O6" s="187" t="s">
        <v>454</v>
      </c>
      <c r="P6" s="187" t="s">
        <v>484</v>
      </c>
      <c r="Q6" s="432"/>
      <c r="R6" s="219" t="s">
        <v>454</v>
      </c>
      <c r="S6" s="422"/>
      <c r="T6" s="219" t="s">
        <v>454</v>
      </c>
      <c r="U6" s="422"/>
      <c r="V6" s="220" t="s">
        <v>454</v>
      </c>
      <c r="W6" s="422"/>
      <c r="X6" s="219" t="s">
        <v>454</v>
      </c>
      <c r="Y6" s="219" t="s">
        <v>454</v>
      </c>
      <c r="Z6" s="422"/>
      <c r="AA6" s="31"/>
      <c r="AB6" s="98" t="s">
        <v>166</v>
      </c>
      <c r="AC6" s="34" t="s">
        <v>476</v>
      </c>
      <c r="AD6" s="34" t="s">
        <v>1087</v>
      </c>
      <c r="AE6" s="34" t="s">
        <v>1088</v>
      </c>
      <c r="AF6" s="34" t="s">
        <v>472</v>
      </c>
      <c r="AG6" s="34" t="s">
        <v>474</v>
      </c>
      <c r="AH6" s="34" t="s">
        <v>473</v>
      </c>
      <c r="AI6" s="99" t="s">
        <v>475</v>
      </c>
    </row>
    <row r="7" spans="2:35" ht="12" customHeight="1" x14ac:dyDescent="0.15">
      <c r="B7" s="189" t="s">
        <v>989</v>
      </c>
      <c r="C7" s="190">
        <v>9.6999999999999993</v>
      </c>
      <c r="D7" s="190">
        <v>6.7</v>
      </c>
      <c r="E7" s="190">
        <v>13</v>
      </c>
      <c r="F7" s="190">
        <v>15.4</v>
      </c>
      <c r="G7" s="190">
        <v>16.899999999999999</v>
      </c>
      <c r="H7" s="190">
        <v>20</v>
      </c>
      <c r="I7" s="190">
        <v>20.5</v>
      </c>
      <c r="J7" s="190">
        <v>16.7</v>
      </c>
      <c r="K7" s="190">
        <v>13.3</v>
      </c>
      <c r="L7" s="190">
        <v>13.3</v>
      </c>
      <c r="M7" s="190">
        <v>13.3</v>
      </c>
      <c r="N7" s="190">
        <v>8.1</v>
      </c>
      <c r="O7" s="191">
        <f t="shared" ref="O7:O71" si="0">(AVERAGE(C7:N7))</f>
        <v>13.908333333333333</v>
      </c>
      <c r="P7" s="191">
        <f t="shared" ref="P7:P71" si="1">IFERROR((STDEVP(C7:N7)/O7)*100,"")</f>
        <v>29.707943329477573</v>
      </c>
      <c r="Q7" s="192">
        <f t="shared" ref="Q7:Q71" si="2">COUNT(C7:N7)/COUNT($C$6:$N$6)</f>
        <v>1</v>
      </c>
      <c r="R7" s="225">
        <f>IF($S7=0%,"",IF($S7&gt;66%,AVERAGE($C7:$E7),"-"))</f>
        <v>9.7999999999999989</v>
      </c>
      <c r="S7" s="226">
        <f>COUNT(C7:E7)/3</f>
        <v>1</v>
      </c>
      <c r="T7" s="225">
        <f>IF($U7=0%,"",IF($U7&gt;66%,AVERAGE($I7:$K7),"-"))</f>
        <v>16.833333333333332</v>
      </c>
      <c r="U7" s="226">
        <f>COUNT(I7:K7)/3</f>
        <v>1</v>
      </c>
      <c r="V7" s="227">
        <f>IF(AND(($S7&gt;33%),($U7&gt;33%),($W7&gt;=75%)),AVERAGE($C7:$N7),"-")</f>
        <v>13.908333333333333</v>
      </c>
      <c r="W7" s="228">
        <f>Q7</f>
        <v>1</v>
      </c>
      <c r="X7" s="144">
        <f>IF(VLOOKUP($B7,$AC$6:$AI$180,3,FALSE)="",$R7,IF(ISERROR(AVERAGEIF($AD$6:$AD$180,VLOOKUP($B7,$AC$6:$AI$180,2,FALSE),$R$6:$R$180)),"",AVERAGEIF($AD$6:$AD$180,VLOOKUP($B7,$AC$6:$AI$180,2,FALSE),$R$6:$R$180)))</f>
        <v>9.7999999999999989</v>
      </c>
      <c r="Y7" s="144">
        <f>IF(VLOOKUP($B7,$AC$6:$AI$180,3,FALSE)="",$T7,IF(ISERROR(AVERAGEIF($AD$6:$AD$180,VLOOKUP($B7,$AC$6:$AI$180,2,FALSE),$T$6:$T$180)),"",AVERAGEIF($AD$6:$AD$180,VLOOKUP($B7,$AC$6:$AI$180,2,FALSE),$T$6:$T$180)))</f>
        <v>16.833333333333332</v>
      </c>
      <c r="Z7" s="144">
        <f>IF(VLOOKUP($B7,$AC$6:$AI$180,3,FALSE)="",$V7,IF(ISERROR(AVERAGEIF($AD$6:$AD$180,VLOOKUP($B7,$AC$6:$AI$180,2,FALSE),$V$6:$V$180)),"",AVERAGEIF($AD$6:$AD$180,VLOOKUP($B7,$AC$6:$AI$180,2,FALSE),$V$6:$V$180)))</f>
        <v>13.908333333333333</v>
      </c>
      <c r="AA7" s="205"/>
      <c r="AB7" s="100" t="str">
        <f>VLOOKUP($B7,'2007-2020 Metadata'!$A$4:$S$214,MATCH("Urban Area /Monitoring Zone",'2007-2020 Metadata'!$A$4:$S$4,0),FALSE)</f>
        <v>Auckland - Northern</v>
      </c>
      <c r="AC7" s="229" t="str">
        <f>VLOOKUP(B7,'2007-2020 Metadata'!$A$6:$A$214,1,FALSE)</f>
        <v>AUC004a</v>
      </c>
      <c r="AD7" s="230" t="str">
        <f>VLOOKUP($AC7,'2007-2020 Metadata'!$A$6:$S$214,9,FALSE)</f>
        <v>Rodney</v>
      </c>
      <c r="AE7" s="230" t="str">
        <f>IF(ISBLANK(VLOOKUP($AC7,'2007-2020 Metadata'!$A$6:$S$214,19,FALSE)),"",VLOOKUP($AC7,'2007-2020 Metadata'!$A$6:$S$214,19,FALSE))</f>
        <v/>
      </c>
      <c r="AF7" s="88" t="str">
        <f>VLOOKUP($B7,'2007-2020 Metadata'!$A$4:$S$214,MATCH("Site type",'2007-2020 Metadata'!$A$4:$S$4,0),FALSE)</f>
        <v>Local (ex SH)</v>
      </c>
      <c r="AG7" s="143">
        <f>MIN(C7:N7)</f>
        <v>6.7</v>
      </c>
      <c r="AH7" s="143">
        <f>MAX(C7:N7)</f>
        <v>20.5</v>
      </c>
      <c r="AI7" s="144">
        <f>IF(W7&gt;=75%,Z7," ")</f>
        <v>13.908333333333333</v>
      </c>
    </row>
    <row r="8" spans="2:35" ht="12" customHeight="1" x14ac:dyDescent="0.15">
      <c r="B8" s="193" t="s">
        <v>4</v>
      </c>
      <c r="C8" s="190">
        <v>24.3</v>
      </c>
      <c r="D8" s="190">
        <v>26.2</v>
      </c>
      <c r="E8" s="190">
        <v>31</v>
      </c>
      <c r="F8" s="190">
        <v>34.700000000000003</v>
      </c>
      <c r="G8" s="190">
        <v>32.9</v>
      </c>
      <c r="H8" s="190">
        <v>43.2</v>
      </c>
      <c r="I8" s="190">
        <v>40.5</v>
      </c>
      <c r="J8" s="190">
        <v>36.9</v>
      </c>
      <c r="K8" s="190">
        <v>34.700000000000003</v>
      </c>
      <c r="L8" s="190">
        <v>29.3</v>
      </c>
      <c r="M8" s="190">
        <v>28.6</v>
      </c>
      <c r="N8" s="190">
        <v>21.5</v>
      </c>
      <c r="O8" s="191">
        <f t="shared" si="0"/>
        <v>31.983333333333334</v>
      </c>
      <c r="P8" s="191">
        <f t="shared" si="1"/>
        <v>19.360636677957068</v>
      </c>
      <c r="Q8" s="192">
        <f t="shared" si="2"/>
        <v>1</v>
      </c>
      <c r="R8" s="225">
        <f>IF($S8=0%,"",IF($S8&gt;66%,AVERAGE($C8:$E8),"-"))</f>
        <v>27.166666666666668</v>
      </c>
      <c r="S8" s="226">
        <f t="shared" ref="S8:S19" si="3">COUNT(C8:E8)/3</f>
        <v>1</v>
      </c>
      <c r="T8" s="225">
        <f>IF($U8=0%,"",IF($U8&gt;66%,AVERAGE($I8:$K8),"-"))</f>
        <v>37.366666666666667</v>
      </c>
      <c r="U8" s="226">
        <f t="shared" ref="U8:U19" si="4">COUNT(I8:K8)/3</f>
        <v>1</v>
      </c>
      <c r="V8" s="227">
        <f>IF(AND(($S8&gt;33%),($U8&gt;33%),($W8&gt;=75%)),AVERAGE($C8:$N8),"-")</f>
        <v>31.983333333333334</v>
      </c>
      <c r="W8" s="228">
        <f t="shared" ref="W8:W19" si="5">Q8</f>
        <v>1</v>
      </c>
      <c r="X8" s="144">
        <f>IF(VLOOKUP($B8,$AC$6:$AI$180,3,FALSE)="",$R8,IF(ISERROR(AVERAGEIF($AD$6:$AD$180,VLOOKUP($B8,$AC$6:$AI$180,2,FALSE),$R$6:$R$180)),"",AVERAGEIF($AD$6:$AD$180,VLOOKUP($B8,$AC$6:$AI$180,2,FALSE),$R$6:$R$180)))</f>
        <v>20.083333333333332</v>
      </c>
      <c r="Y8" s="144">
        <f>IF(VLOOKUP($B8,$AC$6:$AI$180,3,FALSE)="",$T8,IF(ISERROR(AVERAGEIF($AD$6:$AD$180,VLOOKUP($B8,$AC$6:$AI$180,2,FALSE),$T$6:$T$180)),"",AVERAGEIF($AD$6:$AD$180,VLOOKUP($B8,$AC$6:$AI$180,2,FALSE),$T$6:$T$180)))</f>
        <v>30.733333333333327</v>
      </c>
      <c r="Z8" s="144">
        <f>IF(VLOOKUP($B8,$AC$6:$AI$180,3,FALSE)="",$V8,IF(ISERROR(AVERAGEIF($AD$6:$AD$180,VLOOKUP($B8,$AC$6:$AI$180,2,FALSE),$V$6:$V$180)),"",AVERAGEIF($AD$6:$AD$180,VLOOKUP($B8,$AC$6:$AI$180,2,FALSE),$V$6:$V$180)))</f>
        <v>25.626969696969695</v>
      </c>
      <c r="AA8" s="205"/>
      <c r="AB8" s="357" t="str">
        <f>VLOOKUP($B8,'2007-2020 Metadata'!$A$4:$S$214,MATCH("Urban Area /Monitoring Zone",'2007-2020 Metadata'!$A$4:$S$4,0),FALSE)</f>
        <v>Auckland - Northern</v>
      </c>
      <c r="AC8" s="229" t="str">
        <f>VLOOKUP(B8,'2007-2020 Metadata'!$A$6:$A$214,1,FALSE)</f>
        <v>AUC005</v>
      </c>
      <c r="AD8" s="230" t="str">
        <f>VLOOKUP($AC8,'2007-2020 Metadata'!$A$6:$S$214,9,FALSE)</f>
        <v xml:space="preserve">North Shore </v>
      </c>
      <c r="AE8" s="230">
        <f>IF(ISBLANK(VLOOKUP($AC8,'2007-2020 Metadata'!$A$6:$S$214,19,FALSE)),"",VLOOKUP($AC8,'2007-2020 Metadata'!$A$6:$S$214,19,FALSE))</f>
        <v>2.1</v>
      </c>
      <c r="AF8" s="88" t="str">
        <f>VLOOKUP($B8,'2007-2020 Metadata'!$A$4:$S$214,MATCH("Site type",'2007-2020 Metadata'!$A$4:$S$4,0),FALSE)</f>
        <v>Local</v>
      </c>
      <c r="AG8" s="143">
        <f t="shared" ref="AG8:AG19" si="6">MIN(C8:N8)</f>
        <v>21.5</v>
      </c>
      <c r="AH8" s="143">
        <f t="shared" ref="AH8:AH19" si="7">MAX(C8:N8)</f>
        <v>43.2</v>
      </c>
      <c r="AI8" s="144">
        <f t="shared" ref="AI8:AI19" si="8">IF(W8&gt;=75%,Z8," ")</f>
        <v>25.626969696969695</v>
      </c>
    </row>
    <row r="9" spans="2:35" ht="12" customHeight="1" x14ac:dyDescent="0.15">
      <c r="B9" s="193" t="s">
        <v>6</v>
      </c>
      <c r="C9" s="190">
        <v>23.4</v>
      </c>
      <c r="D9" s="190">
        <v>23.7</v>
      </c>
      <c r="E9" s="190">
        <v>26.5</v>
      </c>
      <c r="F9" s="190">
        <v>19.399999999999999</v>
      </c>
      <c r="G9" s="190">
        <v>25.6</v>
      </c>
      <c r="H9" s="190">
        <v>32.799999999999997</v>
      </c>
      <c r="I9" s="190">
        <v>27</v>
      </c>
      <c r="J9" s="190">
        <v>27.7</v>
      </c>
      <c r="K9" s="190">
        <v>26</v>
      </c>
      <c r="L9" s="190">
        <v>16.600000000000001</v>
      </c>
      <c r="M9" s="190">
        <v>25.1</v>
      </c>
      <c r="N9" s="190">
        <v>13.4</v>
      </c>
      <c r="O9" s="191">
        <f t="shared" si="0"/>
        <v>23.933333333333326</v>
      </c>
      <c r="P9" s="191">
        <f t="shared" si="1"/>
        <v>20.989555692239133</v>
      </c>
      <c r="Q9" s="192">
        <f t="shared" si="2"/>
        <v>1</v>
      </c>
      <c r="R9" s="225">
        <f>IF($S9=0%,"",IF($S9&gt;66%,AVERAGE($C9:$E9),"-"))</f>
        <v>24.533333333333331</v>
      </c>
      <c r="S9" s="226">
        <f t="shared" si="3"/>
        <v>1</v>
      </c>
      <c r="T9" s="225">
        <f>IF($U9=0%,"",IF($U9&gt;66%,AVERAGE($I9:$K9),"-"))</f>
        <v>26.900000000000002</v>
      </c>
      <c r="U9" s="226">
        <f t="shared" si="4"/>
        <v>1</v>
      </c>
      <c r="V9" s="227">
        <f>IF(AND(($S9&gt;33%),($U9&gt;33%),($W9&gt;=75%)),AVERAGE($C9:$N9),"-")</f>
        <v>23.933333333333326</v>
      </c>
      <c r="W9" s="228">
        <f t="shared" si="5"/>
        <v>1</v>
      </c>
      <c r="X9" s="144">
        <f t="shared" ref="X9:X72" si="9">IF(VLOOKUP($B9,$AC$6:$AI$180,3,FALSE)="",$R9,IF(ISERROR(AVERAGEIF($AD$6:$AD$180,VLOOKUP($B9,$AC$6:$AI$180,2,FALSE),$R$6:$R$180)),"",AVERAGEIF($AD$6:$AD$180,VLOOKUP($B9,$AC$6:$AI$180,2,FALSE),$R$6:$R$180)))</f>
        <v>20.083333333333332</v>
      </c>
      <c r="Y9" s="144">
        <f t="shared" ref="Y9:Y72" si="10">IF(VLOOKUP($B9,$AC$6:$AI$180,3,FALSE)="",$T9,IF(ISERROR(AVERAGEIF($AD$6:$AD$180,VLOOKUP($B9,$AC$6:$AI$180,2,FALSE),$T$6:$T$180)),"",AVERAGEIF($AD$6:$AD$180,VLOOKUP($B9,$AC$6:$AI$180,2,FALSE),$T$6:$T$180)))</f>
        <v>30.733333333333327</v>
      </c>
      <c r="Z9" s="144">
        <f t="shared" ref="Z9:Z72" si="11">IF(VLOOKUP($B9,$AC$6:$AI$180,3,FALSE)="",$V9,IF(ISERROR(AVERAGEIF($AD$6:$AD$180,VLOOKUP($B9,$AC$6:$AI$180,2,FALSE),$V$6:$V$180)),"",AVERAGEIF($AD$6:$AD$180,VLOOKUP($B9,$AC$6:$AI$180,2,FALSE),$V$6:$V$180)))</f>
        <v>25.626969696969695</v>
      </c>
      <c r="AA9" s="205"/>
      <c r="AB9" s="357" t="str">
        <f>VLOOKUP($B9,'2007-2020 Metadata'!$A$4:$S$214,MATCH("Urban Area /Monitoring Zone",'2007-2020 Metadata'!$A$4:$S$4,0),FALSE)</f>
        <v>Auckland - Northern</v>
      </c>
      <c r="AC9" s="229" t="str">
        <f>VLOOKUP(B9,'2007-2020 Metadata'!$A$6:$A$214,1,FALSE)</f>
        <v>AUC007</v>
      </c>
      <c r="AD9" s="230" t="str">
        <f>VLOOKUP($AC9,'2007-2020 Metadata'!$A$6:$S$214,9,FALSE)</f>
        <v xml:space="preserve">North Shore </v>
      </c>
      <c r="AE9" s="230">
        <f>IF(ISBLANK(VLOOKUP($AC9,'2007-2020 Metadata'!$A$6:$S$214,19,FALSE)),"",VLOOKUP($AC9,'2007-2020 Metadata'!$A$6:$S$214,19,FALSE))</f>
        <v>3</v>
      </c>
      <c r="AF9" s="88" t="str">
        <f>VLOOKUP($B9,'2007-2020 Metadata'!$A$4:$S$214,MATCH("Site type",'2007-2020 Metadata'!$A$4:$S$4,0),FALSE)</f>
        <v>SH</v>
      </c>
      <c r="AG9" s="143">
        <f t="shared" si="6"/>
        <v>13.4</v>
      </c>
      <c r="AH9" s="143">
        <f t="shared" si="7"/>
        <v>32.799999999999997</v>
      </c>
      <c r="AI9" s="144">
        <f t="shared" si="8"/>
        <v>25.626969696969695</v>
      </c>
    </row>
    <row r="10" spans="2:35" ht="12" customHeight="1" x14ac:dyDescent="0.15">
      <c r="B10" s="193" t="s">
        <v>7</v>
      </c>
      <c r="C10" s="190">
        <v>19.899999999999999</v>
      </c>
      <c r="D10" s="190">
        <v>27</v>
      </c>
      <c r="E10" s="190">
        <v>25.4</v>
      </c>
      <c r="F10" s="190">
        <v>19.399999999999999</v>
      </c>
      <c r="G10" s="190">
        <v>29.6</v>
      </c>
      <c r="H10" s="190">
        <v>21.6</v>
      </c>
      <c r="I10" s="190">
        <v>36.200000000000003</v>
      </c>
      <c r="J10" s="190">
        <v>27.7</v>
      </c>
      <c r="K10" s="190">
        <v>23</v>
      </c>
      <c r="L10" s="190">
        <v>16</v>
      </c>
      <c r="M10" s="190">
        <v>26.8</v>
      </c>
      <c r="N10" s="190">
        <v>13.5</v>
      </c>
      <c r="O10" s="191">
        <f t="shared" si="0"/>
        <v>23.841666666666665</v>
      </c>
      <c r="P10" s="191">
        <f t="shared" si="1"/>
        <v>25.147644652301889</v>
      </c>
      <c r="Q10" s="192">
        <f t="shared" si="2"/>
        <v>1</v>
      </c>
      <c r="R10" s="225">
        <f t="shared" ref="R10:R74" si="12">IF($S10=0%,"",IF($S10&gt;66%,AVERAGE($C10:$E10),"-"))</f>
        <v>24.099999999999998</v>
      </c>
      <c r="S10" s="226">
        <f t="shared" si="3"/>
        <v>1</v>
      </c>
      <c r="T10" s="225">
        <f t="shared" ref="T10:T74" si="13">IF($U10=0%,"",IF($U10&gt;66%,AVERAGE($I10:$K10),"-"))</f>
        <v>28.966666666666669</v>
      </c>
      <c r="U10" s="226">
        <f t="shared" si="4"/>
        <v>1</v>
      </c>
      <c r="V10" s="227">
        <f t="shared" ref="V10:V74" si="14">IF(AND(($S10&gt;33%),($U10&gt;33%),($W10&gt;=75%)),AVERAGE($C10:$N10),"-")</f>
        <v>23.841666666666665</v>
      </c>
      <c r="W10" s="228">
        <f t="shared" si="5"/>
        <v>1</v>
      </c>
      <c r="X10" s="144">
        <f t="shared" si="9"/>
        <v>21.464999999999996</v>
      </c>
      <c r="Y10" s="144">
        <f t="shared" si="10"/>
        <v>33.945454545454545</v>
      </c>
      <c r="Z10" s="144">
        <f t="shared" si="11"/>
        <v>28.335858585858588</v>
      </c>
      <c r="AA10" s="205"/>
      <c r="AB10" s="357" t="str">
        <f>VLOOKUP($B10,'2007-2020 Metadata'!$A$4:$S$214,MATCH("Urban Area /Monitoring Zone",'2007-2020 Metadata'!$A$4:$S$4,0),FALSE)</f>
        <v>Auckland - Central</v>
      </c>
      <c r="AC10" s="229" t="str">
        <f>VLOOKUP(B10,'2007-2020 Metadata'!$A$6:$A$214,1,FALSE)</f>
        <v>AUC008</v>
      </c>
      <c r="AD10" s="230" t="str">
        <f>VLOOKUP($AC10,'2007-2020 Metadata'!$A$6:$S$214,9,FALSE)</f>
        <v>Auckland</v>
      </c>
      <c r="AE10" s="230">
        <f>IF(ISBLANK(VLOOKUP($AC10,'2007-2020 Metadata'!$A$6:$S$214,19,FALSE)),"",VLOOKUP($AC10,'2007-2020 Metadata'!$A$6:$S$214,19,FALSE))</f>
        <v>3</v>
      </c>
      <c r="AF10" s="88" t="str">
        <f>VLOOKUP($B10,'2007-2020 Metadata'!$A$4:$S$214,MATCH("Site type",'2007-2020 Metadata'!$A$4:$S$4,0),FALSE)</f>
        <v>SH</v>
      </c>
      <c r="AG10" s="143">
        <f t="shared" si="6"/>
        <v>13.5</v>
      </c>
      <c r="AH10" s="143">
        <f t="shared" si="7"/>
        <v>36.200000000000003</v>
      </c>
      <c r="AI10" s="144">
        <f t="shared" si="8"/>
        <v>28.335858585858588</v>
      </c>
    </row>
    <row r="11" spans="2:35" ht="12" customHeight="1" x14ac:dyDescent="0.15">
      <c r="B11" s="193" t="s">
        <v>991</v>
      </c>
      <c r="C11" s="190">
        <v>31.8</v>
      </c>
      <c r="D11" s="190">
        <v>33.700000000000003</v>
      </c>
      <c r="E11" s="190">
        <v>41.8</v>
      </c>
      <c r="F11" s="190"/>
      <c r="G11" s="190">
        <v>49.7</v>
      </c>
      <c r="H11" s="190">
        <v>57.9</v>
      </c>
      <c r="I11" s="190">
        <v>51.9</v>
      </c>
      <c r="J11" s="190">
        <v>51.9</v>
      </c>
      <c r="K11" s="190">
        <v>50.8</v>
      </c>
      <c r="L11" s="190"/>
      <c r="M11" s="190">
        <v>36.799999999999997</v>
      </c>
      <c r="N11" s="190">
        <v>29.5</v>
      </c>
      <c r="O11" s="191">
        <f t="shared" si="0"/>
        <v>43.58</v>
      </c>
      <c r="P11" s="191">
        <f t="shared" si="1"/>
        <v>21.971683771451179</v>
      </c>
      <c r="Q11" s="192">
        <f t="shared" si="2"/>
        <v>0.83333333333333337</v>
      </c>
      <c r="R11" s="225">
        <f t="shared" si="12"/>
        <v>35.766666666666666</v>
      </c>
      <c r="S11" s="226">
        <f t="shared" si="3"/>
        <v>1</v>
      </c>
      <c r="T11" s="225">
        <f t="shared" si="13"/>
        <v>51.533333333333331</v>
      </c>
      <c r="U11" s="226">
        <f t="shared" si="4"/>
        <v>1</v>
      </c>
      <c r="V11" s="227">
        <f t="shared" si="14"/>
        <v>43.58</v>
      </c>
      <c r="W11" s="228">
        <f t="shared" si="5"/>
        <v>0.83333333333333337</v>
      </c>
      <c r="X11" s="144">
        <f t="shared" si="9"/>
        <v>35.766666666666666</v>
      </c>
      <c r="Y11" s="144">
        <f t="shared" si="10"/>
        <v>51.533333333333331</v>
      </c>
      <c r="Z11" s="144">
        <f t="shared" si="11"/>
        <v>43.58</v>
      </c>
      <c r="AA11" s="205"/>
      <c r="AB11" s="357" t="str">
        <f>VLOOKUP($B11,'2007-2020 Metadata'!$A$4:$S$214,MATCH("Urban Area /Monitoring Zone",'2007-2020 Metadata'!$A$4:$S$4,0),FALSE)</f>
        <v>Auckland - Central</v>
      </c>
      <c r="AC11" s="229" t="str">
        <f>VLOOKUP(B11,'2007-2020 Metadata'!$A$6:$A$214,1,FALSE)</f>
        <v>AUC009b</v>
      </c>
      <c r="AD11" s="230" t="str">
        <f>VLOOKUP($AC11,'2007-2020 Metadata'!$A$6:$S$214,9,FALSE)</f>
        <v>Auckland</v>
      </c>
      <c r="AE11" s="230" t="str">
        <f>IF(ISBLANK(VLOOKUP($AC11,'2007-2020 Metadata'!$A$6:$S$214,19,FALSE)),"",VLOOKUP($AC11,'2007-2020 Metadata'!$A$6:$S$214,19,FALSE))</f>
        <v/>
      </c>
      <c r="AF11" s="88" t="str">
        <f>VLOOKUP($B11,'2007-2020 Metadata'!$A$4:$S$214,MATCH("Site type",'2007-2020 Metadata'!$A$4:$S$4,0),FALSE)</f>
        <v>SH</v>
      </c>
      <c r="AG11" s="143">
        <f t="shared" si="6"/>
        <v>29.5</v>
      </c>
      <c r="AH11" s="143">
        <f t="shared" si="7"/>
        <v>57.9</v>
      </c>
      <c r="AI11" s="144">
        <f t="shared" si="8"/>
        <v>43.58</v>
      </c>
    </row>
    <row r="12" spans="2:35" ht="12" customHeight="1" x14ac:dyDescent="0.15">
      <c r="B12" s="193" t="s">
        <v>9</v>
      </c>
      <c r="C12" s="190">
        <v>16.600000000000001</v>
      </c>
      <c r="D12" s="190">
        <v>13.2</v>
      </c>
      <c r="E12" s="190">
        <v>31.6</v>
      </c>
      <c r="F12" s="190">
        <v>36.799999999999997</v>
      </c>
      <c r="G12" s="190">
        <v>35.700000000000003</v>
      </c>
      <c r="H12" s="190">
        <v>53.2</v>
      </c>
      <c r="I12" s="190">
        <v>36.299999999999997</v>
      </c>
      <c r="J12" s="190">
        <v>37.5</v>
      </c>
      <c r="K12" s="190">
        <v>39</v>
      </c>
      <c r="L12" s="190">
        <v>31.2</v>
      </c>
      <c r="M12" s="190">
        <v>24.2</v>
      </c>
      <c r="N12" s="190">
        <v>20.8</v>
      </c>
      <c r="O12" s="191">
        <f t="shared" si="0"/>
        <v>31.341666666666669</v>
      </c>
      <c r="P12" s="191">
        <f t="shared" si="1"/>
        <v>33.921843472448565</v>
      </c>
      <c r="Q12" s="192">
        <f t="shared" si="2"/>
        <v>1</v>
      </c>
      <c r="R12" s="225">
        <f t="shared" si="12"/>
        <v>20.466666666666669</v>
      </c>
      <c r="S12" s="226">
        <f t="shared" si="3"/>
        <v>1</v>
      </c>
      <c r="T12" s="225">
        <f t="shared" si="13"/>
        <v>37.6</v>
      </c>
      <c r="U12" s="226">
        <f t="shared" si="4"/>
        <v>1</v>
      </c>
      <c r="V12" s="227">
        <f t="shared" si="14"/>
        <v>31.341666666666669</v>
      </c>
      <c r="W12" s="228">
        <f t="shared" si="5"/>
        <v>1</v>
      </c>
      <c r="X12" s="144">
        <f t="shared" si="9"/>
        <v>21.464999999999996</v>
      </c>
      <c r="Y12" s="144">
        <f t="shared" si="10"/>
        <v>33.945454545454545</v>
      </c>
      <c r="Z12" s="144">
        <f t="shared" si="11"/>
        <v>28.335858585858588</v>
      </c>
      <c r="AA12" s="205"/>
      <c r="AB12" s="357" t="str">
        <f>VLOOKUP($B12,'2007-2020 Metadata'!$A$4:$S$214,MATCH("Urban Area /Monitoring Zone",'2007-2020 Metadata'!$A$4:$S$4,0),FALSE)</f>
        <v>Auckland - Central</v>
      </c>
      <c r="AC12" s="229" t="str">
        <f>VLOOKUP(B12,'2007-2020 Metadata'!$A$6:$A$214,1,FALSE)</f>
        <v>AUC011</v>
      </c>
      <c r="AD12" s="230" t="str">
        <f>VLOOKUP($AC12,'2007-2020 Metadata'!$A$6:$S$214,9,FALSE)</f>
        <v>Auckland</v>
      </c>
      <c r="AE12" s="230">
        <f>IF(ISBLANK(VLOOKUP($AC12,'2007-2020 Metadata'!$A$6:$S$214,19,FALSE)),"",VLOOKUP($AC12,'2007-2020 Metadata'!$A$6:$S$214,19,FALSE))</f>
        <v>3</v>
      </c>
      <c r="AF12" s="88" t="str">
        <f>VLOOKUP($B12,'2007-2020 Metadata'!$A$4:$S$214,MATCH("Site type",'2007-2020 Metadata'!$A$4:$S$4,0),FALSE)</f>
        <v>SH</v>
      </c>
      <c r="AG12" s="143">
        <f t="shared" si="6"/>
        <v>13.2</v>
      </c>
      <c r="AH12" s="143">
        <f t="shared" si="7"/>
        <v>53.2</v>
      </c>
      <c r="AI12" s="144">
        <f t="shared" si="8"/>
        <v>28.335858585858588</v>
      </c>
    </row>
    <row r="13" spans="2:35" ht="12" customHeight="1" x14ac:dyDescent="0.15">
      <c r="B13" s="193" t="s">
        <v>10</v>
      </c>
      <c r="C13" s="190">
        <v>13.8</v>
      </c>
      <c r="D13" s="190">
        <v>19.2</v>
      </c>
      <c r="E13" s="190">
        <v>25</v>
      </c>
      <c r="F13" s="190">
        <v>33.700000000000003</v>
      </c>
      <c r="G13" s="190">
        <v>37.1</v>
      </c>
      <c r="H13" s="190">
        <v>46.2</v>
      </c>
      <c r="I13" s="190">
        <v>39.799999999999997</v>
      </c>
      <c r="J13" s="190">
        <v>35.1</v>
      </c>
      <c r="K13" s="190">
        <v>26.9</v>
      </c>
      <c r="L13" s="190">
        <v>27.6</v>
      </c>
      <c r="M13" s="190">
        <v>17.3</v>
      </c>
      <c r="N13" s="190">
        <v>16.100000000000001</v>
      </c>
      <c r="O13" s="191">
        <f t="shared" si="0"/>
        <v>28.150000000000006</v>
      </c>
      <c r="P13" s="191">
        <f t="shared" si="1"/>
        <v>35.248636897457459</v>
      </c>
      <c r="Q13" s="192">
        <f t="shared" si="2"/>
        <v>1</v>
      </c>
      <c r="R13" s="251">
        <f t="shared" si="12"/>
        <v>19.333333333333332</v>
      </c>
      <c r="S13" s="252">
        <f t="shared" si="3"/>
        <v>1</v>
      </c>
      <c r="T13" s="251">
        <f t="shared" si="13"/>
        <v>33.933333333333337</v>
      </c>
      <c r="U13" s="252">
        <f t="shared" si="4"/>
        <v>1</v>
      </c>
      <c r="V13" s="253">
        <f t="shared" si="14"/>
        <v>28.150000000000006</v>
      </c>
      <c r="W13" s="252">
        <f t="shared" si="5"/>
        <v>1</v>
      </c>
      <c r="X13" s="359">
        <f t="shared" si="9"/>
        <v>21.464999999999996</v>
      </c>
      <c r="Y13" s="359">
        <f t="shared" si="10"/>
        <v>33.945454545454545</v>
      </c>
      <c r="Z13" s="359">
        <f t="shared" si="11"/>
        <v>28.335858585858588</v>
      </c>
      <c r="AA13" s="366"/>
      <c r="AB13" s="357" t="str">
        <f>VLOOKUP($B13,'2007-2020 Metadata'!$A$4:$S$214,MATCH("Urban Area /Monitoring Zone",'2007-2020 Metadata'!$A$4:$S$4,0),FALSE)</f>
        <v>Auckland - Central</v>
      </c>
      <c r="AC13" s="255" t="str">
        <f>VLOOKUP(B13,'2007-2020 Metadata'!$A$6:$A$214,1,FALSE)</f>
        <v>AUC013</v>
      </c>
      <c r="AD13" s="361" t="str">
        <f>VLOOKUP($AC13,'2007-2020 Metadata'!$A$6:$S$214,9,FALSE)</f>
        <v>Auckland</v>
      </c>
      <c r="AE13" s="361">
        <f>IF(ISBLANK(VLOOKUP($AC13,'2007-2020 Metadata'!$A$6:$S$214,19,FALSE)),"",VLOOKUP($AC13,'2007-2020 Metadata'!$A$6:$S$214,19,FALSE))</f>
        <v>4</v>
      </c>
      <c r="AF13" s="360" t="str">
        <f>VLOOKUP($B13,'2007-2020 Metadata'!$A$4:$S$214,MATCH("Site type",'2007-2020 Metadata'!$A$4:$S$4,0),FALSE)</f>
        <v>SH</v>
      </c>
      <c r="AG13" s="365">
        <f>MIN(AVERAGE($C$13:$C$15),AVERAGE($D$13:$D$15),AVERAGE($E$13:$E$15),AVERAGE($F$13:$F$15),AVERAGE($G$13:$G$15),AVERAGE($H$13:$H$15),AVERAGE($I$13:$I$15),AVERAGE($J$13:$J$15),AVERAGE($K$13:$K$15),AVERAGE($L$13:$L$15),AVERAGE($M$13:$M$15),AVERAGE($N$13:$N$15))</f>
        <v>14.366666666666667</v>
      </c>
      <c r="AH13" s="365">
        <f>MAX(AVERAGE($C$13:$C$15),AVERAGE($D$13:$D$15),AVERAGE($E$13:$E$15),AVERAGE($F$13:$F$15),AVERAGE($G$13:$G$15),AVERAGE($H$13:$H$15),AVERAGE($I$13:$I$15),AVERAGE($J$13:$J$15),AVERAGE($K$13:$K$15),AVERAGE($L$13:$L$15),AVERAGE($M$13:$M$15),AVERAGE($N$13:$N$15))</f>
        <v>44.300000000000004</v>
      </c>
      <c r="AI13" s="359">
        <f t="shared" si="8"/>
        <v>28.335858585858588</v>
      </c>
    </row>
    <row r="14" spans="2:35" ht="12" customHeight="1" x14ac:dyDescent="0.15">
      <c r="B14" s="193" t="s">
        <v>11</v>
      </c>
      <c r="C14" s="190">
        <v>14.3</v>
      </c>
      <c r="D14" s="190">
        <v>15.4</v>
      </c>
      <c r="E14" s="190">
        <v>23.1</v>
      </c>
      <c r="F14" s="190">
        <v>29.5</v>
      </c>
      <c r="G14" s="190">
        <v>33.4</v>
      </c>
      <c r="H14" s="190">
        <v>42.7</v>
      </c>
      <c r="I14" s="190">
        <v>41.2</v>
      </c>
      <c r="J14" s="190">
        <v>34.9</v>
      </c>
      <c r="K14" s="190">
        <v>27.5</v>
      </c>
      <c r="L14" s="190">
        <v>30</v>
      </c>
      <c r="M14" s="190">
        <v>20.9</v>
      </c>
      <c r="N14" s="190">
        <v>16.899999999999999</v>
      </c>
      <c r="O14" s="191">
        <f t="shared" si="0"/>
        <v>27.483333333333331</v>
      </c>
      <c r="P14" s="191">
        <f t="shared" si="1"/>
        <v>33.454997594740874</v>
      </c>
      <c r="Q14" s="192">
        <f t="shared" si="2"/>
        <v>1</v>
      </c>
      <c r="R14" s="251">
        <f t="shared" si="12"/>
        <v>17.600000000000001</v>
      </c>
      <c r="S14" s="252">
        <f t="shared" si="3"/>
        <v>1</v>
      </c>
      <c r="T14" s="251">
        <f t="shared" si="13"/>
        <v>34.533333333333331</v>
      </c>
      <c r="U14" s="252">
        <f t="shared" si="4"/>
        <v>1</v>
      </c>
      <c r="V14" s="253">
        <f t="shared" si="14"/>
        <v>27.483333333333331</v>
      </c>
      <c r="W14" s="252">
        <f t="shared" si="5"/>
        <v>1</v>
      </c>
      <c r="X14" s="359">
        <f t="shared" si="9"/>
        <v>21.464999999999996</v>
      </c>
      <c r="Y14" s="359">
        <f t="shared" si="10"/>
        <v>33.945454545454545</v>
      </c>
      <c r="Z14" s="359">
        <f t="shared" si="11"/>
        <v>28.335858585858588</v>
      </c>
      <c r="AA14" s="366"/>
      <c r="AB14" s="357" t="str">
        <f>VLOOKUP($B14,'2007-2020 Metadata'!$A$4:$S$214,MATCH("Urban Area /Monitoring Zone",'2007-2020 Metadata'!$A$4:$S$4,0),FALSE)</f>
        <v>Auckland - Central</v>
      </c>
      <c r="AC14" s="255" t="str">
        <f>VLOOKUP(B14,'2007-2020 Metadata'!$A$6:$A$214,1,FALSE)</f>
        <v>AUC014</v>
      </c>
      <c r="AD14" s="361" t="str">
        <f>VLOOKUP($AC14,'2007-2020 Metadata'!$A$6:$S$214,9,FALSE)</f>
        <v>Auckland</v>
      </c>
      <c r="AE14" s="361">
        <f>IF(ISBLANK(VLOOKUP($AC14,'2007-2020 Metadata'!$A$6:$S$214,19,FALSE)),"",VLOOKUP($AC14,'2007-2020 Metadata'!$A$6:$S$214,19,FALSE))</f>
        <v>4</v>
      </c>
      <c r="AF14" s="360" t="str">
        <f>VLOOKUP($B14,'2007-2020 Metadata'!$A$4:$S$214,MATCH("Site type",'2007-2020 Metadata'!$A$4:$S$4,0),FALSE)</f>
        <v>SH</v>
      </c>
      <c r="AG14" s="365">
        <f>MIN(AVERAGE($C$13:$C$15),AVERAGE($D$13:$D$15),AVERAGE($E$13:$E$15),AVERAGE($F$13:$F$15),AVERAGE($G$13:$G$15),AVERAGE($H$13:$H$15),AVERAGE($I$13:$I$15),AVERAGE($J$13:$J$15),AVERAGE($K$13:$K$15),AVERAGE($L$13:$L$15),AVERAGE($M$13:$M$15),AVERAGE($N$13:$N$15))</f>
        <v>14.366666666666667</v>
      </c>
      <c r="AH14" s="365">
        <f>MAX(AVERAGE($C$13:$C$15),AVERAGE($D$13:$D$15),AVERAGE($E$13:$E$15),AVERAGE($F$13:$F$15),AVERAGE($G$13:$G$15),AVERAGE($H$13:$H$15),AVERAGE($I$13:$I$15),AVERAGE($J$13:$J$15),AVERAGE($K$13:$K$15),AVERAGE($L$13:$L$15),AVERAGE($M$13:$M$15),AVERAGE($N$13:$N$15))</f>
        <v>44.300000000000004</v>
      </c>
      <c r="AI14" s="359">
        <f t="shared" si="8"/>
        <v>28.335858585858588</v>
      </c>
    </row>
    <row r="15" spans="2:35" ht="12" customHeight="1" x14ac:dyDescent="0.15">
      <c r="B15" s="193" t="s">
        <v>12</v>
      </c>
      <c r="C15" s="190">
        <v>15</v>
      </c>
      <c r="D15" s="190">
        <v>17.899999999999999</v>
      </c>
      <c r="E15" s="190">
        <v>21</v>
      </c>
      <c r="F15" s="190">
        <v>34.799999999999997</v>
      </c>
      <c r="G15" s="190">
        <v>32.700000000000003</v>
      </c>
      <c r="H15" s="190">
        <v>44</v>
      </c>
      <c r="I15" s="190">
        <v>37.9</v>
      </c>
      <c r="J15" s="190">
        <v>33.1</v>
      </c>
      <c r="K15" s="190">
        <v>35.200000000000003</v>
      </c>
      <c r="L15" s="190">
        <v>26.2</v>
      </c>
      <c r="M15" s="190">
        <v>23.6</v>
      </c>
      <c r="N15" s="190">
        <v>16.8</v>
      </c>
      <c r="O15" s="191">
        <f t="shared" si="0"/>
        <v>28.183333333333334</v>
      </c>
      <c r="P15" s="191">
        <f t="shared" si="1"/>
        <v>31.86530322177143</v>
      </c>
      <c r="Q15" s="192">
        <f t="shared" si="2"/>
        <v>1</v>
      </c>
      <c r="R15" s="251">
        <f t="shared" si="12"/>
        <v>17.966666666666665</v>
      </c>
      <c r="S15" s="252">
        <f t="shared" si="3"/>
        <v>1</v>
      </c>
      <c r="T15" s="251">
        <f t="shared" si="13"/>
        <v>35.4</v>
      </c>
      <c r="U15" s="252">
        <f t="shared" si="4"/>
        <v>1</v>
      </c>
      <c r="V15" s="253">
        <f t="shared" si="14"/>
        <v>28.183333333333334</v>
      </c>
      <c r="W15" s="252">
        <f t="shared" si="5"/>
        <v>1</v>
      </c>
      <c r="X15" s="359">
        <f t="shared" si="9"/>
        <v>21.464999999999996</v>
      </c>
      <c r="Y15" s="359">
        <f t="shared" si="10"/>
        <v>33.945454545454545</v>
      </c>
      <c r="Z15" s="359">
        <f t="shared" si="11"/>
        <v>28.335858585858588</v>
      </c>
      <c r="AA15" s="366"/>
      <c r="AB15" s="357" t="str">
        <f>VLOOKUP($B15,'2007-2020 Metadata'!$A$4:$S$214,MATCH("Urban Area /Monitoring Zone",'2007-2020 Metadata'!$A$4:$S$4,0),FALSE)</f>
        <v>Auckland - Central</v>
      </c>
      <c r="AC15" s="255" t="str">
        <f>VLOOKUP(B15,'2007-2020 Metadata'!$A$6:$A$214,1,FALSE)</f>
        <v>AUC015</v>
      </c>
      <c r="AD15" s="361" t="str">
        <f>VLOOKUP($AC15,'2007-2020 Metadata'!$A$6:$S$214,9,FALSE)</f>
        <v>Auckland</v>
      </c>
      <c r="AE15" s="361">
        <f>IF(ISBLANK(VLOOKUP($AC15,'2007-2020 Metadata'!$A$6:$S$214,19,FALSE)),"",VLOOKUP($AC15,'2007-2020 Metadata'!$A$6:$S$214,19,FALSE))</f>
        <v>4</v>
      </c>
      <c r="AF15" s="360" t="str">
        <f>VLOOKUP($B15,'2007-2020 Metadata'!$A$4:$S$214,MATCH("Site type",'2007-2020 Metadata'!$A$4:$S$4,0),FALSE)</f>
        <v>SH</v>
      </c>
      <c r="AG15" s="365">
        <f>MIN(AVERAGE($C$13:$C$15),AVERAGE($D$13:$D$15),AVERAGE($E$13:$E$15),AVERAGE($F$13:$F$15),AVERAGE($G$13:$G$15),AVERAGE($H$13:$H$15),AVERAGE($I$13:$I$15),AVERAGE($J$13:$J$15),AVERAGE($K$13:$K$15),AVERAGE($L$13:$L$15),AVERAGE($M$13:$M$15),AVERAGE($N$13:$N$15))</f>
        <v>14.366666666666667</v>
      </c>
      <c r="AH15" s="365">
        <f>MAX(AVERAGE($C$13:$C$15),AVERAGE($D$13:$D$15),AVERAGE($E$13:$E$15),AVERAGE($F$13:$F$15),AVERAGE($G$13:$G$15),AVERAGE($H$13:$H$15),AVERAGE($I$13:$I$15),AVERAGE($J$13:$J$15),AVERAGE($K$13:$K$15),AVERAGE($L$13:$L$15),AVERAGE($M$13:$M$15),AVERAGE($N$13:$N$15))</f>
        <v>44.300000000000004</v>
      </c>
      <c r="AI15" s="359">
        <f t="shared" si="8"/>
        <v>28.335858585858588</v>
      </c>
    </row>
    <row r="16" spans="2:35" ht="12" customHeight="1" x14ac:dyDescent="0.15">
      <c r="B16" s="193" t="s">
        <v>992</v>
      </c>
      <c r="C16" s="190">
        <v>14.4</v>
      </c>
      <c r="D16" s="190">
        <v>15.7</v>
      </c>
      <c r="E16" s="190">
        <v>21.9</v>
      </c>
      <c r="F16" s="190">
        <v>32.200000000000003</v>
      </c>
      <c r="G16" s="190">
        <v>35.5</v>
      </c>
      <c r="H16" s="190">
        <v>47.4</v>
      </c>
      <c r="I16" s="190">
        <v>42.6</v>
      </c>
      <c r="J16" s="190">
        <v>36.799999999999997</v>
      </c>
      <c r="K16" s="190">
        <v>34.5</v>
      </c>
      <c r="L16" s="190">
        <v>31</v>
      </c>
      <c r="M16" s="190">
        <v>22.9</v>
      </c>
      <c r="N16" s="190">
        <v>21.4</v>
      </c>
      <c r="O16" s="191">
        <f t="shared" si="0"/>
        <v>29.691666666666663</v>
      </c>
      <c r="P16" s="191">
        <f t="shared" si="1"/>
        <v>33.690556230180192</v>
      </c>
      <c r="Q16" s="192">
        <f t="shared" si="2"/>
        <v>1</v>
      </c>
      <c r="R16" s="332">
        <f t="shared" si="12"/>
        <v>17.333333333333332</v>
      </c>
      <c r="S16" s="226">
        <f t="shared" si="3"/>
        <v>1</v>
      </c>
      <c r="T16" s="332">
        <f t="shared" si="13"/>
        <v>37.966666666666669</v>
      </c>
      <c r="U16" s="226">
        <f t="shared" si="4"/>
        <v>1</v>
      </c>
      <c r="V16" s="333">
        <f t="shared" si="14"/>
        <v>29.691666666666663</v>
      </c>
      <c r="W16" s="226">
        <f t="shared" si="5"/>
        <v>1</v>
      </c>
      <c r="X16" s="144">
        <f t="shared" si="9"/>
        <v>17.333333333333332</v>
      </c>
      <c r="Y16" s="144">
        <f t="shared" si="10"/>
        <v>37.966666666666669</v>
      </c>
      <c r="Z16" s="144">
        <f t="shared" si="11"/>
        <v>29.691666666666663</v>
      </c>
      <c r="AA16" s="249"/>
      <c r="AB16" s="357">
        <f>VLOOKUP($B16,'2007-2020 Metadata'!$A$4:$S$214,MATCH("Urban Area /Monitoring Zone",'2007-2020 Metadata'!$A$4:$S$4,0),FALSE)</f>
        <v>0</v>
      </c>
      <c r="AC16" s="334" t="str">
        <f>VLOOKUP(B16,'2007-2020 Metadata'!$A$6:$A$214,1,FALSE)</f>
        <v>AUC018a</v>
      </c>
      <c r="AD16" s="250">
        <f>VLOOKUP($AC16,'2007-2020 Metadata'!$A$6:$S$214,9,FALSE)</f>
        <v>0</v>
      </c>
      <c r="AE16" s="250" t="str">
        <f>IF(ISBLANK(VLOOKUP($AC16,'2007-2020 Metadata'!$A$6:$S$214,19,FALSE)),"",VLOOKUP($AC16,'2007-2020 Metadata'!$A$6:$S$214,19,FALSE))</f>
        <v/>
      </c>
      <c r="AF16" s="335" t="str">
        <f>VLOOKUP($B16,'2007-2020 Metadata'!$A$4:$S$214,MATCH("Site type",'2007-2020 Metadata'!$A$4:$S$4,0),FALSE)</f>
        <v>SH</v>
      </c>
      <c r="AG16" s="336">
        <f t="shared" si="6"/>
        <v>14.4</v>
      </c>
      <c r="AH16" s="336">
        <f t="shared" si="7"/>
        <v>47.4</v>
      </c>
      <c r="AI16" s="267">
        <f t="shared" si="8"/>
        <v>29.691666666666663</v>
      </c>
    </row>
    <row r="17" spans="2:35" ht="12" customHeight="1" x14ac:dyDescent="0.15">
      <c r="B17" s="193" t="s">
        <v>14</v>
      </c>
      <c r="C17" s="190">
        <v>17.100000000000001</v>
      </c>
      <c r="D17" s="190">
        <v>19.600000000000001</v>
      </c>
      <c r="E17" s="190">
        <v>18.7</v>
      </c>
      <c r="F17" s="190">
        <v>25.4</v>
      </c>
      <c r="G17" s="190">
        <v>30.7</v>
      </c>
      <c r="H17" s="190">
        <v>34.700000000000003</v>
      </c>
      <c r="I17" s="190">
        <v>34.9</v>
      </c>
      <c r="J17" s="190">
        <v>31</v>
      </c>
      <c r="K17" s="190">
        <v>21.3</v>
      </c>
      <c r="L17" s="190">
        <v>19.8</v>
      </c>
      <c r="M17" s="190">
        <v>17.3</v>
      </c>
      <c r="N17" s="190">
        <v>15.7</v>
      </c>
      <c r="O17" s="191">
        <f t="shared" si="0"/>
        <v>23.850000000000005</v>
      </c>
      <c r="P17" s="191">
        <f t="shared" si="1"/>
        <v>28.710460288862844</v>
      </c>
      <c r="Q17" s="192">
        <f t="shared" si="2"/>
        <v>1</v>
      </c>
      <c r="R17" s="332">
        <f t="shared" si="12"/>
        <v>18.466666666666669</v>
      </c>
      <c r="S17" s="226">
        <f t="shared" si="3"/>
        <v>1</v>
      </c>
      <c r="T17" s="332">
        <f t="shared" si="13"/>
        <v>29.066666666666666</v>
      </c>
      <c r="U17" s="226">
        <f t="shared" si="4"/>
        <v>1</v>
      </c>
      <c r="V17" s="333">
        <f t="shared" si="14"/>
        <v>23.850000000000005</v>
      </c>
      <c r="W17" s="226">
        <f t="shared" si="5"/>
        <v>1</v>
      </c>
      <c r="X17" s="144">
        <f t="shared" si="9"/>
        <v>17.454166666666666</v>
      </c>
      <c r="Y17" s="144">
        <f t="shared" si="10"/>
        <v>27.231249999999992</v>
      </c>
      <c r="Z17" s="144">
        <f t="shared" si="11"/>
        <v>22.236111111111114</v>
      </c>
      <c r="AA17" s="249"/>
      <c r="AB17" s="357" t="str">
        <f>VLOOKUP($B17,'2007-2020 Metadata'!$A$4:$S$214,MATCH("Urban Area /Monitoring Zone",'2007-2020 Metadata'!$A$4:$S$4,0),FALSE)</f>
        <v xml:space="preserve">Auckland - Southern </v>
      </c>
      <c r="AC17" s="334" t="str">
        <f>VLOOKUP(B17,'2007-2020 Metadata'!$A$6:$A$214,1,FALSE)</f>
        <v>AUC019</v>
      </c>
      <c r="AD17" s="250" t="str">
        <f>VLOOKUP($AC17,'2007-2020 Metadata'!$A$6:$S$214,9,FALSE)</f>
        <v>Manukau</v>
      </c>
      <c r="AE17" s="250">
        <f>IF(ISBLANK(VLOOKUP($AC17,'2007-2020 Metadata'!$A$6:$S$214,19,FALSE)),"",VLOOKUP($AC17,'2007-2020 Metadata'!$A$6:$S$214,19,FALSE))</f>
        <v>2</v>
      </c>
      <c r="AF17" s="335" t="str">
        <f>VLOOKUP($B17,'2007-2020 Metadata'!$A$4:$S$214,MATCH("Site type",'2007-2020 Metadata'!$A$4:$S$4,0),FALSE)</f>
        <v>SH</v>
      </c>
      <c r="AG17" s="336">
        <f t="shared" si="6"/>
        <v>15.7</v>
      </c>
      <c r="AH17" s="336">
        <f t="shared" si="7"/>
        <v>34.9</v>
      </c>
      <c r="AI17" s="267">
        <f t="shared" si="8"/>
        <v>22.236111111111114</v>
      </c>
    </row>
    <row r="18" spans="2:35" ht="12" customHeight="1" x14ac:dyDescent="0.15">
      <c r="B18" s="193" t="s">
        <v>993</v>
      </c>
      <c r="C18" s="190">
        <v>7.9</v>
      </c>
      <c r="D18" s="190">
        <v>9.6</v>
      </c>
      <c r="E18" s="190">
        <v>13.1</v>
      </c>
      <c r="F18" s="190">
        <v>17.899999999999999</v>
      </c>
      <c r="G18" s="190">
        <v>20</v>
      </c>
      <c r="H18" s="190">
        <v>23.8</v>
      </c>
      <c r="I18" s="190">
        <v>25.9</v>
      </c>
      <c r="J18" s="190">
        <v>21.2</v>
      </c>
      <c r="K18" s="190">
        <v>18.5</v>
      </c>
      <c r="L18" s="190">
        <v>13.7</v>
      </c>
      <c r="M18" s="190">
        <v>11.9</v>
      </c>
      <c r="N18" s="190">
        <v>8.6999999999999993</v>
      </c>
      <c r="O18" s="191">
        <f t="shared" si="0"/>
        <v>16.016666666666662</v>
      </c>
      <c r="P18" s="191">
        <f t="shared" si="1"/>
        <v>36.14209112933446</v>
      </c>
      <c r="Q18" s="192">
        <f t="shared" si="2"/>
        <v>1</v>
      </c>
      <c r="R18" s="332">
        <f t="shared" si="12"/>
        <v>10.200000000000001</v>
      </c>
      <c r="S18" s="226">
        <f t="shared" si="3"/>
        <v>1</v>
      </c>
      <c r="T18" s="332">
        <f t="shared" si="13"/>
        <v>21.866666666666664</v>
      </c>
      <c r="U18" s="226">
        <f t="shared" si="4"/>
        <v>1</v>
      </c>
      <c r="V18" s="333">
        <f t="shared" si="14"/>
        <v>16.016666666666662</v>
      </c>
      <c r="W18" s="226">
        <f t="shared" si="5"/>
        <v>1</v>
      </c>
      <c r="X18" s="144">
        <f t="shared" si="9"/>
        <v>10.200000000000001</v>
      </c>
      <c r="Y18" s="144">
        <f t="shared" si="10"/>
        <v>21.866666666666664</v>
      </c>
      <c r="Z18" s="144">
        <f t="shared" si="11"/>
        <v>16.016666666666662</v>
      </c>
      <c r="AA18" s="249"/>
      <c r="AB18" s="357">
        <f>VLOOKUP($B18,'2007-2020 Metadata'!$A$4:$S$214,MATCH("Urban Area /Monitoring Zone",'2007-2020 Metadata'!$A$4:$S$4,0),FALSE)</f>
        <v>0</v>
      </c>
      <c r="AC18" s="334" t="str">
        <f>VLOOKUP(B18,'2007-2020 Metadata'!$A$6:$A$214,1,FALSE)</f>
        <v>AUC020a</v>
      </c>
      <c r="AD18" s="250">
        <f>VLOOKUP($AC18,'2007-2020 Metadata'!$A$6:$S$214,9,FALSE)</f>
        <v>0</v>
      </c>
      <c r="AE18" s="250" t="str">
        <f>IF(ISBLANK(VLOOKUP($AC18,'2007-2020 Metadata'!$A$6:$S$214,19,FALSE)),"",VLOOKUP($AC18,'2007-2020 Metadata'!$A$6:$S$214,19,FALSE))</f>
        <v/>
      </c>
      <c r="AF18" s="335" t="str">
        <f>VLOOKUP($B18,'2007-2020 Metadata'!$A$4:$S$214,MATCH("Site type",'2007-2020 Metadata'!$A$4:$S$4,0),FALSE)</f>
        <v>SH</v>
      </c>
      <c r="AG18" s="336">
        <f t="shared" si="6"/>
        <v>7.9</v>
      </c>
      <c r="AH18" s="336">
        <f t="shared" si="7"/>
        <v>25.9</v>
      </c>
      <c r="AI18" s="267">
        <f t="shared" si="8"/>
        <v>16.016666666666662</v>
      </c>
    </row>
    <row r="19" spans="2:35" ht="12" customHeight="1" x14ac:dyDescent="0.15">
      <c r="B19" s="193" t="s">
        <v>1007</v>
      </c>
      <c r="C19" s="190">
        <v>12.5</v>
      </c>
      <c r="D19" s="190">
        <v>18.899999999999999</v>
      </c>
      <c r="E19" s="190">
        <v>20.399999999999999</v>
      </c>
      <c r="F19" s="190">
        <v>17.3</v>
      </c>
      <c r="G19" s="190">
        <v>23.8</v>
      </c>
      <c r="H19" s="190">
        <v>31.3</v>
      </c>
      <c r="I19" s="190"/>
      <c r="J19" s="190">
        <v>42.1</v>
      </c>
      <c r="K19" s="190">
        <v>17.2</v>
      </c>
      <c r="L19" s="190">
        <v>14.4</v>
      </c>
      <c r="M19" s="190">
        <v>17.399999999999999</v>
      </c>
      <c r="N19" s="190"/>
      <c r="O19" s="191">
        <f t="shared" si="0"/>
        <v>21.529999999999998</v>
      </c>
      <c r="P19" s="191">
        <f t="shared" si="1"/>
        <v>39.356683541484458</v>
      </c>
      <c r="Q19" s="192">
        <f t="shared" si="2"/>
        <v>0.83333333333333337</v>
      </c>
      <c r="R19" s="332">
        <f t="shared" si="12"/>
        <v>17.266666666666666</v>
      </c>
      <c r="S19" s="226">
        <f t="shared" si="3"/>
        <v>1</v>
      </c>
      <c r="T19" s="332">
        <f t="shared" si="13"/>
        <v>29.65</v>
      </c>
      <c r="U19" s="226">
        <f t="shared" si="4"/>
        <v>0.66666666666666663</v>
      </c>
      <c r="V19" s="333">
        <f t="shared" si="14"/>
        <v>21.529999999999998</v>
      </c>
      <c r="W19" s="226">
        <f t="shared" si="5"/>
        <v>0.83333333333333337</v>
      </c>
      <c r="X19" s="144">
        <f t="shared" si="9"/>
        <v>17.266666666666666</v>
      </c>
      <c r="Y19" s="144">
        <f t="shared" si="10"/>
        <v>29.65</v>
      </c>
      <c r="Z19" s="144">
        <f t="shared" si="11"/>
        <v>21.529999999999998</v>
      </c>
      <c r="AA19" s="249"/>
      <c r="AB19" s="357">
        <f>VLOOKUP($B19,'2007-2020 Metadata'!$A$4:$S$214,MATCH("Urban Area /Monitoring Zone",'2007-2020 Metadata'!$A$4:$S$4,0),FALSE)</f>
        <v>0</v>
      </c>
      <c r="AC19" s="334" t="str">
        <f>VLOOKUP(B19,'2007-2020 Metadata'!$A$6:$A$214,1,FALSE)</f>
        <v>AUC021b</v>
      </c>
      <c r="AD19" s="250">
        <f>VLOOKUP($AC19,'2007-2020 Metadata'!$A$6:$S$214,9,FALSE)</f>
        <v>0</v>
      </c>
      <c r="AE19" s="250" t="str">
        <f>IF(ISBLANK(VLOOKUP($AC19,'2007-2020 Metadata'!$A$6:$S$214,19,FALSE)),"",VLOOKUP($AC19,'2007-2020 Metadata'!$A$6:$S$214,19,FALSE))</f>
        <v/>
      </c>
      <c r="AF19" s="335" t="str">
        <f>VLOOKUP($B19,'2007-2020 Metadata'!$A$4:$S$214,MATCH("Site type",'2007-2020 Metadata'!$A$4:$S$4,0),FALSE)</f>
        <v>Background</v>
      </c>
      <c r="AG19" s="336">
        <f t="shared" si="6"/>
        <v>12.5</v>
      </c>
      <c r="AH19" s="336">
        <f t="shared" si="7"/>
        <v>42.1</v>
      </c>
      <c r="AI19" s="267">
        <f t="shared" si="8"/>
        <v>21.529999999999998</v>
      </c>
    </row>
    <row r="20" spans="2:35" ht="12" customHeight="1" x14ac:dyDescent="0.15">
      <c r="B20" s="193" t="s">
        <v>996</v>
      </c>
      <c r="C20" s="190"/>
      <c r="D20" s="190">
        <v>19.5</v>
      </c>
      <c r="E20" s="190">
        <v>23.3</v>
      </c>
      <c r="F20" s="190"/>
      <c r="G20" s="190">
        <v>27.3</v>
      </c>
      <c r="H20" s="190">
        <v>35.299999999999997</v>
      </c>
      <c r="I20" s="190">
        <v>30</v>
      </c>
      <c r="J20" s="190">
        <v>28.5</v>
      </c>
      <c r="K20" s="190">
        <v>24.9</v>
      </c>
      <c r="L20" s="190">
        <v>21</v>
      </c>
      <c r="M20" s="190">
        <v>24.8</v>
      </c>
      <c r="N20" s="190">
        <v>16.8</v>
      </c>
      <c r="O20" s="191">
        <f t="shared" si="0"/>
        <v>25.14</v>
      </c>
      <c r="P20" s="191">
        <f t="shared" si="1"/>
        <v>20.471336325365776</v>
      </c>
      <c r="Q20" s="192">
        <f t="shared" si="2"/>
        <v>0.83333333333333337</v>
      </c>
      <c r="R20" s="332">
        <f t="shared" si="12"/>
        <v>21.4</v>
      </c>
      <c r="S20" s="226">
        <f t="shared" ref="S20:S85" si="15">COUNT(C20:E20)/3</f>
        <v>0.66666666666666663</v>
      </c>
      <c r="T20" s="332">
        <f t="shared" si="13"/>
        <v>27.8</v>
      </c>
      <c r="U20" s="226">
        <f t="shared" ref="U20:U85" si="16">COUNT(I20:K20)/3</f>
        <v>1</v>
      </c>
      <c r="V20" s="333">
        <f t="shared" si="14"/>
        <v>25.14</v>
      </c>
      <c r="W20" s="226">
        <f t="shared" ref="W20:W85" si="17">Q20</f>
        <v>0.83333333333333337</v>
      </c>
      <c r="X20" s="144">
        <f t="shared" si="9"/>
        <v>21.4</v>
      </c>
      <c r="Y20" s="144">
        <f t="shared" si="10"/>
        <v>27.8</v>
      </c>
      <c r="Z20" s="144">
        <f t="shared" si="11"/>
        <v>25.14</v>
      </c>
      <c r="AA20" s="249"/>
      <c r="AB20" s="357">
        <f>VLOOKUP($B20,'2007-2020 Metadata'!$A$4:$S$214,MATCH("Urban Area /Monitoring Zone",'2007-2020 Metadata'!$A$4:$S$4,0),FALSE)</f>
        <v>0</v>
      </c>
      <c r="AC20" s="334" t="str">
        <f>VLOOKUP(B20,'2007-2020 Metadata'!$A$6:$A$214,1,FALSE)</f>
        <v>AUC022a</v>
      </c>
      <c r="AD20" s="250">
        <f>VLOOKUP($AC20,'2007-2020 Metadata'!$A$6:$S$214,9,FALSE)</f>
        <v>0</v>
      </c>
      <c r="AE20" s="250" t="str">
        <f>IF(ISBLANK(VLOOKUP($AC20,'2007-2020 Metadata'!$A$6:$S$214,19,FALSE)),"",VLOOKUP($AC20,'2007-2020 Metadata'!$A$6:$S$214,19,FALSE))</f>
        <v/>
      </c>
      <c r="AF20" s="335" t="str">
        <f>VLOOKUP($B20,'2007-2020 Metadata'!$A$4:$S$214,MATCH("Site type",'2007-2020 Metadata'!$A$4:$S$4,0),FALSE)</f>
        <v>SH</v>
      </c>
      <c r="AG20" s="336">
        <f t="shared" ref="AG20:AG27" si="18">MIN(C20:N20)</f>
        <v>16.8</v>
      </c>
      <c r="AH20" s="336">
        <f t="shared" ref="AH20:AH27" si="19">MAX(C20:N20)</f>
        <v>35.299999999999997</v>
      </c>
      <c r="AI20" s="267">
        <f t="shared" ref="AI20:AI85" si="20">IF(W20&gt;=75%,Z20," ")</f>
        <v>25.14</v>
      </c>
    </row>
    <row r="21" spans="2:35" ht="12" customHeight="1" x14ac:dyDescent="0.15">
      <c r="B21" s="193" t="s">
        <v>18</v>
      </c>
      <c r="C21" s="190">
        <v>13.5</v>
      </c>
      <c r="D21" s="190">
        <v>18</v>
      </c>
      <c r="E21" s="190">
        <v>19.899999999999999</v>
      </c>
      <c r="F21" s="190">
        <v>15.2</v>
      </c>
      <c r="G21" s="190">
        <v>20.9</v>
      </c>
      <c r="H21" s="190">
        <v>27.3</v>
      </c>
      <c r="I21" s="190">
        <v>33.299999999999997</v>
      </c>
      <c r="J21" s="190">
        <v>23.7</v>
      </c>
      <c r="K21" s="190">
        <v>15.8</v>
      </c>
      <c r="L21" s="190">
        <v>14.1</v>
      </c>
      <c r="M21" s="190">
        <v>18.3</v>
      </c>
      <c r="N21" s="190">
        <v>9.6</v>
      </c>
      <c r="O21" s="191">
        <f t="shared" si="0"/>
        <v>19.133333333333333</v>
      </c>
      <c r="P21" s="191">
        <f t="shared" si="1"/>
        <v>32.655631492644893</v>
      </c>
      <c r="Q21" s="192">
        <f t="shared" si="2"/>
        <v>1</v>
      </c>
      <c r="R21" s="332">
        <f t="shared" si="12"/>
        <v>17.133333333333333</v>
      </c>
      <c r="S21" s="226">
        <f t="shared" si="15"/>
        <v>1</v>
      </c>
      <c r="T21" s="332">
        <f t="shared" si="13"/>
        <v>24.266666666666666</v>
      </c>
      <c r="U21" s="226">
        <f t="shared" si="16"/>
        <v>1</v>
      </c>
      <c r="V21" s="333">
        <f t="shared" si="14"/>
        <v>19.133333333333333</v>
      </c>
      <c r="W21" s="226">
        <f t="shared" si="17"/>
        <v>1</v>
      </c>
      <c r="X21" s="144">
        <f t="shared" si="9"/>
        <v>21.464999999999996</v>
      </c>
      <c r="Y21" s="144">
        <f t="shared" si="10"/>
        <v>33.945454545454545</v>
      </c>
      <c r="Z21" s="144">
        <f t="shared" si="11"/>
        <v>28.335858585858588</v>
      </c>
      <c r="AA21" s="249"/>
      <c r="AB21" s="357" t="str">
        <f>VLOOKUP($B21,'2007-2020 Metadata'!$A$4:$S$214,MATCH("Urban Area /Monitoring Zone",'2007-2020 Metadata'!$A$4:$S$4,0),FALSE)</f>
        <v>Auckland - Central</v>
      </c>
      <c r="AC21" s="334" t="str">
        <f>VLOOKUP(B21,'2007-2020 Metadata'!$A$6:$A$214,1,FALSE)</f>
        <v>AUC025</v>
      </c>
      <c r="AD21" s="250" t="str">
        <f>VLOOKUP($AC21,'2007-2020 Metadata'!$A$6:$S$214,9,FALSE)</f>
        <v>Auckland</v>
      </c>
      <c r="AE21" s="250">
        <f>IF(ISBLANK(VLOOKUP($AC21,'2007-2020 Metadata'!$A$6:$S$214,19,FALSE)),"",VLOOKUP($AC21,'2007-2020 Metadata'!$A$6:$S$214,19,FALSE))</f>
        <v>3</v>
      </c>
      <c r="AF21" s="335" t="str">
        <f>VLOOKUP($B21,'2007-2020 Metadata'!$A$4:$S$214,MATCH("Site type",'2007-2020 Metadata'!$A$4:$S$4,0),FALSE)</f>
        <v>SH</v>
      </c>
      <c r="AG21" s="336">
        <f t="shared" si="18"/>
        <v>9.6</v>
      </c>
      <c r="AH21" s="336">
        <f t="shared" si="19"/>
        <v>33.299999999999997</v>
      </c>
      <c r="AI21" s="267">
        <f t="shared" si="20"/>
        <v>28.335858585858588</v>
      </c>
    </row>
    <row r="22" spans="2:35" ht="12" customHeight="1" x14ac:dyDescent="0.15">
      <c r="B22" s="193" t="s">
        <v>19</v>
      </c>
      <c r="C22" s="190">
        <v>19.899999999999999</v>
      </c>
      <c r="D22" s="190">
        <v>23</v>
      </c>
      <c r="E22" s="190">
        <v>22.7</v>
      </c>
      <c r="F22" s="190">
        <v>17.8</v>
      </c>
      <c r="G22" s="190">
        <v>24.2</v>
      </c>
      <c r="H22" s="190">
        <v>26.7</v>
      </c>
      <c r="I22" s="190">
        <v>29.4</v>
      </c>
      <c r="J22" s="190">
        <v>29.2</v>
      </c>
      <c r="K22" s="190">
        <v>20.100000000000001</v>
      </c>
      <c r="L22" s="190">
        <v>15.1</v>
      </c>
      <c r="M22" s="190">
        <v>26.6</v>
      </c>
      <c r="N22" s="190">
        <v>12.2</v>
      </c>
      <c r="O22" s="191">
        <f t="shared" si="0"/>
        <v>22.241666666666664</v>
      </c>
      <c r="P22" s="191">
        <f t="shared" si="1"/>
        <v>23.390678338823491</v>
      </c>
      <c r="Q22" s="192">
        <f t="shared" si="2"/>
        <v>1</v>
      </c>
      <c r="R22" s="332">
        <f t="shared" si="12"/>
        <v>21.866666666666664</v>
      </c>
      <c r="S22" s="226">
        <f t="shared" si="15"/>
        <v>1</v>
      </c>
      <c r="T22" s="332">
        <f t="shared" si="13"/>
        <v>26.233333333333331</v>
      </c>
      <c r="U22" s="226">
        <f t="shared" si="16"/>
        <v>1</v>
      </c>
      <c r="V22" s="333">
        <f t="shared" si="14"/>
        <v>22.241666666666664</v>
      </c>
      <c r="W22" s="226">
        <f t="shared" si="17"/>
        <v>1</v>
      </c>
      <c r="X22" s="144">
        <f t="shared" si="9"/>
        <v>17.454166666666666</v>
      </c>
      <c r="Y22" s="144">
        <f t="shared" si="10"/>
        <v>27.231249999999992</v>
      </c>
      <c r="Z22" s="144">
        <f t="shared" si="11"/>
        <v>22.236111111111114</v>
      </c>
      <c r="AA22" s="249"/>
      <c r="AB22" s="357" t="str">
        <f>VLOOKUP($B22,'2007-2020 Metadata'!$A$4:$S$214,MATCH("Urban Area /Monitoring Zone",'2007-2020 Metadata'!$A$4:$S$4,0),FALSE)</f>
        <v xml:space="preserve">Auckland - Southern </v>
      </c>
      <c r="AC22" s="334" t="str">
        <f>VLOOKUP(B22,'2007-2020 Metadata'!$A$6:$A$214,1,FALSE)</f>
        <v>AUC026</v>
      </c>
      <c r="AD22" s="250" t="str">
        <f>VLOOKUP($AC22,'2007-2020 Metadata'!$A$6:$S$214,9,FALSE)</f>
        <v>Manukau</v>
      </c>
      <c r="AE22" s="250">
        <f>IF(ISBLANK(VLOOKUP($AC22,'2007-2020 Metadata'!$A$6:$S$214,19,FALSE)),"",VLOOKUP($AC22,'2007-2020 Metadata'!$A$6:$S$214,19,FALSE))</f>
        <v>3</v>
      </c>
      <c r="AF22" s="335" t="str">
        <f>VLOOKUP($B22,'2007-2020 Metadata'!$A$4:$S$214,MATCH("Site type",'2007-2020 Metadata'!$A$4:$S$4,0),FALSE)</f>
        <v>SH</v>
      </c>
      <c r="AG22" s="336">
        <f t="shared" si="18"/>
        <v>12.2</v>
      </c>
      <c r="AH22" s="336">
        <f t="shared" si="19"/>
        <v>29.4</v>
      </c>
      <c r="AI22" s="267">
        <f t="shared" si="20"/>
        <v>22.236111111111114</v>
      </c>
    </row>
    <row r="23" spans="2:35" ht="12" customHeight="1" x14ac:dyDescent="0.15">
      <c r="B23" s="193" t="s">
        <v>998</v>
      </c>
      <c r="C23" s="190"/>
      <c r="D23" s="190"/>
      <c r="E23" s="190">
        <v>19.5</v>
      </c>
      <c r="F23" s="190"/>
      <c r="G23" s="190"/>
      <c r="H23" s="190">
        <v>43.8</v>
      </c>
      <c r="I23" s="190">
        <v>42.2</v>
      </c>
      <c r="J23" s="190"/>
      <c r="K23" s="190">
        <v>27.1</v>
      </c>
      <c r="L23" s="190"/>
      <c r="M23" s="190"/>
      <c r="N23" s="190">
        <v>17.100000000000001</v>
      </c>
      <c r="O23" s="191">
        <f t="shared" si="0"/>
        <v>29.939999999999998</v>
      </c>
      <c r="P23" s="191">
        <f t="shared" si="1"/>
        <v>37.322523435370194</v>
      </c>
      <c r="Q23" s="192">
        <f t="shared" si="2"/>
        <v>0.41666666666666669</v>
      </c>
      <c r="R23" s="332" t="str">
        <f t="shared" si="12"/>
        <v>-</v>
      </c>
      <c r="S23" s="226">
        <f t="shared" si="15"/>
        <v>0.33333333333333331</v>
      </c>
      <c r="T23" s="332">
        <f t="shared" si="13"/>
        <v>34.650000000000006</v>
      </c>
      <c r="U23" s="226">
        <f t="shared" si="16"/>
        <v>0.66666666666666663</v>
      </c>
      <c r="V23" s="333" t="str">
        <f t="shared" si="14"/>
        <v>-</v>
      </c>
      <c r="W23" s="226">
        <f t="shared" si="17"/>
        <v>0.41666666666666669</v>
      </c>
      <c r="X23" s="144" t="str">
        <f t="shared" si="9"/>
        <v>-</v>
      </c>
      <c r="Y23" s="144">
        <f t="shared" si="10"/>
        <v>34.650000000000006</v>
      </c>
      <c r="Z23" s="144" t="str">
        <f t="shared" si="11"/>
        <v>-</v>
      </c>
      <c r="AA23" s="249"/>
      <c r="AB23" s="357">
        <f>VLOOKUP($B23,'2007-2020 Metadata'!$A$4:$S$214,MATCH("Urban Area /Monitoring Zone",'2007-2020 Metadata'!$A$4:$S$4,0),FALSE)</f>
        <v>0</v>
      </c>
      <c r="AC23" s="334" t="str">
        <f>VLOOKUP(B23,'2007-2020 Metadata'!$A$6:$A$214,1,FALSE)</f>
        <v>AUC027a</v>
      </c>
      <c r="AD23" s="250">
        <f>VLOOKUP($AC23,'2007-2020 Metadata'!$A$6:$S$214,9,FALSE)</f>
        <v>0</v>
      </c>
      <c r="AE23" s="250" t="str">
        <f>IF(ISBLANK(VLOOKUP($AC23,'2007-2020 Metadata'!$A$6:$S$214,19,FALSE)),"",VLOOKUP($AC23,'2007-2020 Metadata'!$A$6:$S$214,19,FALSE))</f>
        <v/>
      </c>
      <c r="AF23" s="335" t="str">
        <f>VLOOKUP($B23,'2007-2020 Metadata'!$A$4:$S$214,MATCH("Site type",'2007-2020 Metadata'!$A$4:$S$4,0),FALSE)</f>
        <v>SH</v>
      </c>
      <c r="AG23" s="336">
        <f t="shared" si="18"/>
        <v>17.100000000000001</v>
      </c>
      <c r="AH23" s="336">
        <f t="shared" si="19"/>
        <v>43.8</v>
      </c>
      <c r="AI23" s="267" t="str">
        <f t="shared" si="20"/>
        <v xml:space="preserve"> </v>
      </c>
    </row>
    <row r="24" spans="2:35" ht="12" customHeight="1" x14ac:dyDescent="0.15">
      <c r="B24" s="193" t="s">
        <v>1013</v>
      </c>
      <c r="C24" s="190"/>
      <c r="D24" s="190">
        <v>13.9</v>
      </c>
      <c r="E24" s="190">
        <v>16.5</v>
      </c>
      <c r="F24" s="190"/>
      <c r="G24" s="190">
        <v>22.5</v>
      </c>
      <c r="H24" s="190">
        <v>23.3</v>
      </c>
      <c r="I24" s="190">
        <v>23.6</v>
      </c>
      <c r="J24" s="190">
        <v>21.1</v>
      </c>
      <c r="K24" s="190">
        <v>17.2</v>
      </c>
      <c r="L24" s="190">
        <v>13.7</v>
      </c>
      <c r="M24" s="190">
        <v>14.7</v>
      </c>
      <c r="N24" s="190">
        <v>7.4</v>
      </c>
      <c r="O24" s="191">
        <f t="shared" si="0"/>
        <v>17.389999999999997</v>
      </c>
      <c r="P24" s="191">
        <f t="shared" si="1"/>
        <v>28.580800478267793</v>
      </c>
      <c r="Q24" s="192">
        <f t="shared" si="2"/>
        <v>0.83333333333333337</v>
      </c>
      <c r="R24" s="332">
        <f t="shared" si="12"/>
        <v>15.2</v>
      </c>
      <c r="S24" s="226">
        <f t="shared" si="15"/>
        <v>0.66666666666666663</v>
      </c>
      <c r="T24" s="332">
        <f t="shared" si="13"/>
        <v>20.633333333333336</v>
      </c>
      <c r="U24" s="226">
        <f t="shared" si="16"/>
        <v>1</v>
      </c>
      <c r="V24" s="333">
        <f t="shared" si="14"/>
        <v>17.389999999999997</v>
      </c>
      <c r="W24" s="226">
        <f t="shared" si="17"/>
        <v>0.83333333333333337</v>
      </c>
      <c r="X24" s="144">
        <f t="shared" si="9"/>
        <v>15.2</v>
      </c>
      <c r="Y24" s="144">
        <f t="shared" si="10"/>
        <v>20.633333333333336</v>
      </c>
      <c r="Z24" s="144">
        <f t="shared" si="11"/>
        <v>17.389999999999997</v>
      </c>
      <c r="AA24" s="249"/>
      <c r="AB24" s="357">
        <f>VLOOKUP($B24,'2007-2020 Metadata'!$A$4:$S$214,MATCH("Urban Area /Monitoring Zone",'2007-2020 Metadata'!$A$4:$S$4,0),FALSE)</f>
        <v>0</v>
      </c>
      <c r="AC24" s="334" t="str">
        <f>VLOOKUP(B24,'2007-2020 Metadata'!$A$6:$A$214,1,FALSE)</f>
        <v>AUC039a</v>
      </c>
      <c r="AD24" s="250">
        <f>VLOOKUP($AC24,'2007-2020 Metadata'!$A$6:$S$214,9,FALSE)</f>
        <v>0</v>
      </c>
      <c r="AE24" s="250" t="str">
        <f>IF(ISBLANK(VLOOKUP($AC24,'2007-2020 Metadata'!$A$6:$S$214,19,FALSE)),"",VLOOKUP($AC24,'2007-2020 Metadata'!$A$6:$S$214,19,FALSE))</f>
        <v/>
      </c>
      <c r="AF24" s="335" t="str">
        <f>VLOOKUP($B24,'2007-2020 Metadata'!$A$4:$S$214,MATCH("Site type",'2007-2020 Metadata'!$A$4:$S$4,0),FALSE)</f>
        <v>SH</v>
      </c>
      <c r="AG24" s="336">
        <f t="shared" si="18"/>
        <v>7.4</v>
      </c>
      <c r="AH24" s="336">
        <f t="shared" si="19"/>
        <v>23.6</v>
      </c>
      <c r="AI24" s="267">
        <f t="shared" si="20"/>
        <v>17.389999999999997</v>
      </c>
    </row>
    <row r="25" spans="2:35" ht="12" customHeight="1" x14ac:dyDescent="0.15">
      <c r="B25" s="193" t="s">
        <v>61</v>
      </c>
      <c r="C25" s="190"/>
      <c r="D25" s="190">
        <v>11.5</v>
      </c>
      <c r="E25" s="190">
        <v>14.4</v>
      </c>
      <c r="F25" s="190"/>
      <c r="G25" s="190">
        <v>23.5</v>
      </c>
      <c r="H25" s="190">
        <v>27</v>
      </c>
      <c r="I25" s="190">
        <v>30.8</v>
      </c>
      <c r="J25" s="190">
        <v>22.4</v>
      </c>
      <c r="K25" s="190"/>
      <c r="L25" s="190"/>
      <c r="M25" s="190">
        <v>19.8</v>
      </c>
      <c r="N25" s="190">
        <v>9.5</v>
      </c>
      <c r="O25" s="191">
        <f t="shared" si="0"/>
        <v>19.862500000000001</v>
      </c>
      <c r="P25" s="191">
        <f t="shared" si="1"/>
        <v>35.484144951041003</v>
      </c>
      <c r="Q25" s="192">
        <f t="shared" si="2"/>
        <v>0.66666666666666663</v>
      </c>
      <c r="R25" s="332">
        <f t="shared" si="12"/>
        <v>12.95</v>
      </c>
      <c r="S25" s="226">
        <f t="shared" si="15"/>
        <v>0.66666666666666663</v>
      </c>
      <c r="T25" s="332">
        <f t="shared" si="13"/>
        <v>26.6</v>
      </c>
      <c r="U25" s="226">
        <f t="shared" si="16"/>
        <v>0.66666666666666663</v>
      </c>
      <c r="V25" s="333" t="str">
        <f t="shared" si="14"/>
        <v>-</v>
      </c>
      <c r="W25" s="226">
        <f t="shared" si="17"/>
        <v>0.66666666666666663</v>
      </c>
      <c r="X25" s="144">
        <f t="shared" si="9"/>
        <v>20.083333333333332</v>
      </c>
      <c r="Y25" s="144">
        <f t="shared" si="10"/>
        <v>30.733333333333327</v>
      </c>
      <c r="Z25" s="144">
        <f t="shared" si="11"/>
        <v>25.626969696969695</v>
      </c>
      <c r="AA25" s="249"/>
      <c r="AB25" s="357" t="str">
        <f>VLOOKUP($B25,'2007-2020 Metadata'!$A$4:$S$214,MATCH("Urban Area /Monitoring Zone",'2007-2020 Metadata'!$A$4:$S$4,0),FALSE)</f>
        <v>Auckland - Northern</v>
      </c>
      <c r="AC25" s="334" t="str">
        <f>VLOOKUP(B25,'2007-2020 Metadata'!$A$6:$A$214,1,FALSE)</f>
        <v>AUC040</v>
      </c>
      <c r="AD25" s="250" t="str">
        <f>VLOOKUP($AC25,'2007-2020 Metadata'!$A$6:$S$214,9,FALSE)</f>
        <v xml:space="preserve">North Shore </v>
      </c>
      <c r="AE25" s="250">
        <f>IF(ISBLANK(VLOOKUP($AC25,'2007-2020 Metadata'!$A$6:$S$214,19,FALSE)),"",VLOOKUP($AC25,'2007-2020 Metadata'!$A$6:$S$214,19,FALSE))</f>
        <v>2.5</v>
      </c>
      <c r="AF25" s="335" t="str">
        <f>VLOOKUP($B25,'2007-2020 Metadata'!$A$4:$S$214,MATCH("Site type",'2007-2020 Metadata'!$A$4:$S$4,0),FALSE)</f>
        <v>SH</v>
      </c>
      <c r="AG25" s="336">
        <f t="shared" si="18"/>
        <v>9.5</v>
      </c>
      <c r="AH25" s="336">
        <f t="shared" si="19"/>
        <v>30.8</v>
      </c>
      <c r="AI25" s="267" t="str">
        <f t="shared" si="20"/>
        <v xml:space="preserve"> </v>
      </c>
    </row>
    <row r="26" spans="2:35" ht="12" customHeight="1" x14ac:dyDescent="0.15">
      <c r="B26" s="193" t="s">
        <v>62</v>
      </c>
      <c r="C26" s="190">
        <v>20.3</v>
      </c>
      <c r="D26" s="190">
        <v>24</v>
      </c>
      <c r="E26" s="190">
        <v>21.3</v>
      </c>
      <c r="F26" s="190">
        <v>14.6</v>
      </c>
      <c r="G26" s="190">
        <v>24</v>
      </c>
      <c r="H26" s="190">
        <v>23.4</v>
      </c>
      <c r="I26" s="190">
        <v>28.8</v>
      </c>
      <c r="J26" s="190">
        <v>21.9</v>
      </c>
      <c r="K26" s="190">
        <v>16.899999999999999</v>
      </c>
      <c r="L26" s="190">
        <v>12.8</v>
      </c>
      <c r="M26" s="190">
        <v>22.9</v>
      </c>
      <c r="N26" s="190">
        <v>11.8</v>
      </c>
      <c r="O26" s="191">
        <f t="shared" si="0"/>
        <v>20.225000000000005</v>
      </c>
      <c r="P26" s="191">
        <f t="shared" si="1"/>
        <v>24.391801407847009</v>
      </c>
      <c r="Q26" s="192">
        <f t="shared" si="2"/>
        <v>1</v>
      </c>
      <c r="R26" s="332">
        <f t="shared" si="12"/>
        <v>21.866666666666664</v>
      </c>
      <c r="S26" s="226">
        <f t="shared" si="15"/>
        <v>1</v>
      </c>
      <c r="T26" s="332">
        <f t="shared" si="13"/>
        <v>22.533333333333331</v>
      </c>
      <c r="U26" s="226">
        <f t="shared" si="16"/>
        <v>1</v>
      </c>
      <c r="V26" s="333">
        <f t="shared" si="14"/>
        <v>20.225000000000005</v>
      </c>
      <c r="W26" s="226">
        <f t="shared" si="17"/>
        <v>1</v>
      </c>
      <c r="X26" s="144">
        <f t="shared" si="9"/>
        <v>20.083333333333332</v>
      </c>
      <c r="Y26" s="144">
        <f t="shared" si="10"/>
        <v>30.733333333333327</v>
      </c>
      <c r="Z26" s="144">
        <f t="shared" si="11"/>
        <v>25.626969696969695</v>
      </c>
      <c r="AA26" s="249"/>
      <c r="AB26" s="357" t="str">
        <f>VLOOKUP($B26,'2007-2020 Metadata'!$A$4:$S$214,MATCH("Urban Area /Monitoring Zone",'2007-2020 Metadata'!$A$4:$S$4,0),FALSE)</f>
        <v>Auckland - Northern</v>
      </c>
      <c r="AC26" s="334" t="str">
        <f>VLOOKUP(B26,'2007-2020 Metadata'!$A$6:$A$214,1,FALSE)</f>
        <v>AUC041</v>
      </c>
      <c r="AD26" s="250" t="str">
        <f>VLOOKUP($AC26,'2007-2020 Metadata'!$A$6:$S$214,9,FALSE)</f>
        <v xml:space="preserve">North Shore </v>
      </c>
      <c r="AE26" s="250">
        <f>IF(ISBLANK(VLOOKUP($AC26,'2007-2020 Metadata'!$A$6:$S$214,19,FALSE)),"",VLOOKUP($AC26,'2007-2020 Metadata'!$A$6:$S$214,19,FALSE))</f>
        <v>3</v>
      </c>
      <c r="AF26" s="335" t="str">
        <f>VLOOKUP($B26,'2007-2020 Metadata'!$A$4:$S$214,MATCH("Site type",'2007-2020 Metadata'!$A$4:$S$4,0),FALSE)</f>
        <v>Local</v>
      </c>
      <c r="AG26" s="336">
        <f t="shared" si="18"/>
        <v>11.8</v>
      </c>
      <c r="AH26" s="336">
        <f t="shared" si="19"/>
        <v>28.8</v>
      </c>
      <c r="AI26" s="267">
        <f t="shared" si="20"/>
        <v>25.626969696969695</v>
      </c>
    </row>
    <row r="27" spans="2:35" ht="12" customHeight="1" x14ac:dyDescent="0.15">
      <c r="B27" s="193" t="s">
        <v>63</v>
      </c>
      <c r="C27" s="190">
        <v>12.4</v>
      </c>
      <c r="D27" s="190">
        <v>16.7</v>
      </c>
      <c r="E27" s="190">
        <v>24.8</v>
      </c>
      <c r="F27" s="190">
        <v>27.4</v>
      </c>
      <c r="G27" s="190">
        <v>31.3</v>
      </c>
      <c r="H27" s="190">
        <v>37.6</v>
      </c>
      <c r="I27" s="190">
        <v>36.5</v>
      </c>
      <c r="J27" s="190">
        <v>36.299999999999997</v>
      </c>
      <c r="K27" s="190">
        <v>26.9</v>
      </c>
      <c r="L27" s="190">
        <v>25.5</v>
      </c>
      <c r="M27" s="190">
        <v>19.3</v>
      </c>
      <c r="N27" s="190">
        <v>15.7</v>
      </c>
      <c r="O27" s="191">
        <f t="shared" si="0"/>
        <v>25.866666666666664</v>
      </c>
      <c r="P27" s="191">
        <f t="shared" si="1"/>
        <v>31.67718699299445</v>
      </c>
      <c r="Q27" s="192">
        <f t="shared" si="2"/>
        <v>1</v>
      </c>
      <c r="R27" s="332">
        <f t="shared" si="12"/>
        <v>17.966666666666669</v>
      </c>
      <c r="S27" s="226">
        <f t="shared" si="15"/>
        <v>1</v>
      </c>
      <c r="T27" s="332">
        <f t="shared" si="13"/>
        <v>33.233333333333327</v>
      </c>
      <c r="U27" s="226">
        <f t="shared" si="16"/>
        <v>1</v>
      </c>
      <c r="V27" s="333">
        <f t="shared" si="14"/>
        <v>25.866666666666664</v>
      </c>
      <c r="W27" s="226">
        <f t="shared" si="17"/>
        <v>1</v>
      </c>
      <c r="X27" s="144">
        <f t="shared" si="9"/>
        <v>20.083333333333332</v>
      </c>
      <c r="Y27" s="144">
        <f t="shared" si="10"/>
        <v>30.733333333333327</v>
      </c>
      <c r="Z27" s="144">
        <f t="shared" si="11"/>
        <v>25.626969696969695</v>
      </c>
      <c r="AA27" s="249"/>
      <c r="AB27" s="357" t="str">
        <f>VLOOKUP($B27,'2007-2020 Metadata'!$A$4:$S$214,MATCH("Urban Area /Monitoring Zone",'2007-2020 Metadata'!$A$4:$S$4,0),FALSE)</f>
        <v>Auckland - Northern</v>
      </c>
      <c r="AC27" s="334" t="str">
        <f>VLOOKUP(B27,'2007-2020 Metadata'!$A$6:$A$214,1,FALSE)</f>
        <v>AUC042</v>
      </c>
      <c r="AD27" s="250" t="str">
        <f>VLOOKUP($AC27,'2007-2020 Metadata'!$A$6:$S$214,9,FALSE)</f>
        <v xml:space="preserve">North Shore </v>
      </c>
      <c r="AE27" s="250">
        <f>IF(ISBLANK(VLOOKUP($AC27,'2007-2020 Metadata'!$A$6:$S$214,19,FALSE)),"",VLOOKUP($AC27,'2007-2020 Metadata'!$A$6:$S$214,19,FALSE))</f>
        <v>3</v>
      </c>
      <c r="AF27" s="335" t="str">
        <f>VLOOKUP($B27,'2007-2020 Metadata'!$A$4:$S$214,MATCH("Site type",'2007-2020 Metadata'!$A$4:$S$4,0),FALSE)</f>
        <v>Local</v>
      </c>
      <c r="AG27" s="336">
        <f t="shared" si="18"/>
        <v>12.4</v>
      </c>
      <c r="AH27" s="336">
        <f t="shared" si="19"/>
        <v>37.6</v>
      </c>
      <c r="AI27" s="267">
        <f t="shared" si="20"/>
        <v>25.626969696969695</v>
      </c>
    </row>
    <row r="28" spans="2:35" ht="12" customHeight="1" x14ac:dyDescent="0.15">
      <c r="B28" s="193" t="s">
        <v>64</v>
      </c>
      <c r="C28" s="190">
        <v>12.5</v>
      </c>
      <c r="D28" s="190">
        <v>17.100000000000001</v>
      </c>
      <c r="E28" s="190">
        <v>25.5</v>
      </c>
      <c r="F28" s="190">
        <v>29.9</v>
      </c>
      <c r="G28" s="190">
        <v>33.299999999999997</v>
      </c>
      <c r="H28" s="190">
        <v>45.5</v>
      </c>
      <c r="I28" s="190">
        <v>34.799999999999997</v>
      </c>
      <c r="J28" s="190">
        <v>34.9</v>
      </c>
      <c r="K28" s="190">
        <v>28.1</v>
      </c>
      <c r="L28" s="190">
        <v>25.9</v>
      </c>
      <c r="M28" s="190">
        <v>21.5</v>
      </c>
      <c r="N28" s="190">
        <v>15.9</v>
      </c>
      <c r="O28" s="191">
        <f t="shared" si="0"/>
        <v>27.074999999999999</v>
      </c>
      <c r="P28" s="191">
        <f t="shared" si="1"/>
        <v>33.37619133985298</v>
      </c>
      <c r="Q28" s="192">
        <f t="shared" si="2"/>
        <v>1</v>
      </c>
      <c r="R28" s="251">
        <f t="shared" si="12"/>
        <v>18.366666666666667</v>
      </c>
      <c r="S28" s="252">
        <f t="shared" si="15"/>
        <v>1</v>
      </c>
      <c r="T28" s="251">
        <f t="shared" si="13"/>
        <v>32.599999999999994</v>
      </c>
      <c r="U28" s="252">
        <f t="shared" si="16"/>
        <v>1</v>
      </c>
      <c r="V28" s="253">
        <f t="shared" si="14"/>
        <v>27.074999999999999</v>
      </c>
      <c r="W28" s="252">
        <f t="shared" si="17"/>
        <v>1</v>
      </c>
      <c r="X28" s="359">
        <f t="shared" si="9"/>
        <v>20.083333333333332</v>
      </c>
      <c r="Y28" s="359">
        <f t="shared" si="10"/>
        <v>30.733333333333327</v>
      </c>
      <c r="Z28" s="359">
        <f t="shared" si="11"/>
        <v>25.626969696969695</v>
      </c>
      <c r="AA28" s="366"/>
      <c r="AB28" s="357" t="str">
        <f>VLOOKUP($B28,'2007-2020 Metadata'!$A$4:$S$214,MATCH("Urban Area /Monitoring Zone",'2007-2020 Metadata'!$A$4:$S$4,0),FALSE)</f>
        <v>Auckland - Northern</v>
      </c>
      <c r="AC28" s="255" t="str">
        <f>VLOOKUP(B28,'2007-2020 Metadata'!$A$6:$A$214,1,FALSE)</f>
        <v>AUC043</v>
      </c>
      <c r="AD28" s="361" t="str">
        <f>VLOOKUP($AC28,'2007-2020 Metadata'!$A$6:$S$214,9,FALSE)</f>
        <v xml:space="preserve">North Shore </v>
      </c>
      <c r="AE28" s="361">
        <f>IF(ISBLANK(VLOOKUP($AC28,'2007-2020 Metadata'!$A$6:$S$214,19,FALSE)),"",VLOOKUP($AC28,'2007-2020 Metadata'!$A$6:$S$214,19,FALSE))</f>
        <v>3</v>
      </c>
      <c r="AF28" s="360" t="str">
        <f>VLOOKUP($B28,'2007-2020 Metadata'!$A$4:$S$214,MATCH("Site type",'2007-2020 Metadata'!$A$4:$S$4,0),FALSE)</f>
        <v>SH</v>
      </c>
      <c r="AG28" s="365">
        <f>MIN(AVERAGE($C$28:$C$30),AVERAGE($D$28:$D$30),AVERAGE($E$28:$E$30),AVERAGE($F$28:$F$30),AVERAGE($G$28:$G$30),AVERAGE($H$28:$H$30),AVERAGE($I$28:$I$30),AVERAGE($J$28:$J$30),AVERAGE($K$28:$K$30),AVERAGE($L$28:$L$30),AVERAGE($M$28:$M$30),AVERAGE($N$28:$N$30))</f>
        <v>11.800000000000002</v>
      </c>
      <c r="AH28" s="365">
        <f>MAX(AVERAGE($C$28:$C$30),AVERAGE($D$28:$D$30),AVERAGE($E$28:$E$30),AVERAGE($F$28:$F$30),AVERAGE($G$28:$G$30),AVERAGE($H$28:$H$30),AVERAGE($I$28:$I$30),AVERAGE($J$28:$J$30),AVERAGE($K$28:$K$30),AVERAGE($L$28:$L$30),AVERAGE($M$28:$M$30),AVERAGE($N$28:$N$30))</f>
        <v>41.300000000000004</v>
      </c>
      <c r="AI28" s="359">
        <f t="shared" si="20"/>
        <v>25.626969696969695</v>
      </c>
    </row>
    <row r="29" spans="2:35" ht="12" customHeight="1" x14ac:dyDescent="0.15">
      <c r="B29" s="193" t="s">
        <v>65</v>
      </c>
      <c r="C29" s="190">
        <v>12.6</v>
      </c>
      <c r="D29" s="190">
        <v>16.100000000000001</v>
      </c>
      <c r="E29" s="190">
        <v>21</v>
      </c>
      <c r="F29" s="190">
        <v>29.8</v>
      </c>
      <c r="G29" s="190">
        <v>32.5</v>
      </c>
      <c r="H29" s="190">
        <v>42.4</v>
      </c>
      <c r="I29" s="190">
        <v>41.1</v>
      </c>
      <c r="J29" s="190">
        <v>31.9</v>
      </c>
      <c r="K29" s="190">
        <v>26</v>
      </c>
      <c r="L29" s="190">
        <v>24.6</v>
      </c>
      <c r="M29" s="190">
        <v>21.6</v>
      </c>
      <c r="N29" s="190">
        <v>14.8</v>
      </c>
      <c r="O29" s="191">
        <f t="shared" si="0"/>
        <v>26.200000000000003</v>
      </c>
      <c r="P29" s="191">
        <f t="shared" si="1"/>
        <v>35.486605728628277</v>
      </c>
      <c r="Q29" s="192">
        <f t="shared" si="2"/>
        <v>1</v>
      </c>
      <c r="R29" s="251">
        <f t="shared" si="12"/>
        <v>16.566666666666666</v>
      </c>
      <c r="S29" s="252">
        <f t="shared" si="15"/>
        <v>1</v>
      </c>
      <c r="T29" s="251">
        <f t="shared" si="13"/>
        <v>33</v>
      </c>
      <c r="U29" s="252">
        <f t="shared" si="16"/>
        <v>1</v>
      </c>
      <c r="V29" s="253">
        <f t="shared" si="14"/>
        <v>26.200000000000003</v>
      </c>
      <c r="W29" s="252">
        <f t="shared" si="17"/>
        <v>1</v>
      </c>
      <c r="X29" s="359">
        <f t="shared" si="9"/>
        <v>20.083333333333332</v>
      </c>
      <c r="Y29" s="359">
        <f t="shared" si="10"/>
        <v>30.733333333333327</v>
      </c>
      <c r="Z29" s="359">
        <f t="shared" si="11"/>
        <v>25.626969696969695</v>
      </c>
      <c r="AA29" s="366"/>
      <c r="AB29" s="357" t="str">
        <f>VLOOKUP($B29,'2007-2020 Metadata'!$A$4:$S$214,MATCH("Urban Area /Monitoring Zone",'2007-2020 Metadata'!$A$4:$S$4,0),FALSE)</f>
        <v>Auckland - Northern</v>
      </c>
      <c r="AC29" s="255" t="str">
        <f>VLOOKUP(B29,'2007-2020 Metadata'!$A$6:$A$214,1,FALSE)</f>
        <v>AUC044</v>
      </c>
      <c r="AD29" s="361" t="str">
        <f>VLOOKUP($AC29,'2007-2020 Metadata'!$A$6:$S$214,9,FALSE)</f>
        <v xml:space="preserve">North Shore </v>
      </c>
      <c r="AE29" s="361">
        <f>IF(ISBLANK(VLOOKUP($AC29,'2007-2020 Metadata'!$A$6:$S$214,19,FALSE)),"",VLOOKUP($AC29,'2007-2020 Metadata'!$A$6:$S$214,19,FALSE))</f>
        <v>3</v>
      </c>
      <c r="AF29" s="360" t="str">
        <f>VLOOKUP($B29,'2007-2020 Metadata'!$A$4:$S$214,MATCH("Site type",'2007-2020 Metadata'!$A$4:$S$4,0),FALSE)</f>
        <v>SH</v>
      </c>
      <c r="AG29" s="365">
        <f t="shared" ref="AG29:AG30" si="21">MIN(AVERAGE($C$28:$C$30),AVERAGE($D$28:$D$30),AVERAGE($E$28:$E$30),AVERAGE($F$28:$F$30),AVERAGE($G$28:$G$30),AVERAGE($H$28:$H$30),AVERAGE($I$28:$I$30),AVERAGE($J$28:$J$30),AVERAGE($K$28:$K$30),AVERAGE($L$28:$L$30),AVERAGE($M$28:$M$30),AVERAGE($N$28:$N$30))</f>
        <v>11.800000000000002</v>
      </c>
      <c r="AH29" s="365">
        <f t="shared" ref="AH29:AH30" si="22">MAX(AVERAGE($C$28:$C$30),AVERAGE($D$28:$D$30),AVERAGE($E$28:$E$30),AVERAGE($F$28:$F$30),AVERAGE($G$28:$G$30),AVERAGE($H$28:$H$30),AVERAGE($I$28:$I$30),AVERAGE($J$28:$J$30),AVERAGE($K$28:$K$30),AVERAGE($L$28:$L$30),AVERAGE($M$28:$M$30),AVERAGE($N$28:$N$30))</f>
        <v>41.300000000000004</v>
      </c>
      <c r="AI29" s="359">
        <f t="shared" si="20"/>
        <v>25.626969696969695</v>
      </c>
    </row>
    <row r="30" spans="2:35" ht="12" customHeight="1" x14ac:dyDescent="0.15">
      <c r="B30" s="193" t="s">
        <v>66</v>
      </c>
      <c r="C30" s="190">
        <v>10.3</v>
      </c>
      <c r="D30" s="190">
        <v>16.7</v>
      </c>
      <c r="E30" s="190">
        <v>23.5</v>
      </c>
      <c r="F30" s="190">
        <v>30.4</v>
      </c>
      <c r="G30" s="190">
        <v>33.200000000000003</v>
      </c>
      <c r="H30" s="190">
        <v>36</v>
      </c>
      <c r="I30" s="190">
        <v>41.9</v>
      </c>
      <c r="J30" s="190">
        <v>31</v>
      </c>
      <c r="K30" s="190">
        <v>26.4</v>
      </c>
      <c r="L30" s="190">
        <v>25.9</v>
      </c>
      <c r="M30" s="190">
        <v>22.4</v>
      </c>
      <c r="N30" s="190">
        <v>14.2</v>
      </c>
      <c r="O30" s="191">
        <f t="shared" si="0"/>
        <v>25.991666666666664</v>
      </c>
      <c r="P30" s="191">
        <f t="shared" si="1"/>
        <v>34.062761340521291</v>
      </c>
      <c r="Q30" s="192">
        <f t="shared" si="2"/>
        <v>1</v>
      </c>
      <c r="R30" s="251">
        <f t="shared" si="12"/>
        <v>16.833333333333332</v>
      </c>
      <c r="S30" s="252">
        <f t="shared" si="15"/>
        <v>1</v>
      </c>
      <c r="T30" s="251">
        <f t="shared" si="13"/>
        <v>33.1</v>
      </c>
      <c r="U30" s="252">
        <f t="shared" si="16"/>
        <v>1</v>
      </c>
      <c r="V30" s="253">
        <f t="shared" si="14"/>
        <v>25.991666666666664</v>
      </c>
      <c r="W30" s="252">
        <f t="shared" si="17"/>
        <v>1</v>
      </c>
      <c r="X30" s="359">
        <f t="shared" si="9"/>
        <v>20.083333333333332</v>
      </c>
      <c r="Y30" s="359">
        <f t="shared" si="10"/>
        <v>30.733333333333327</v>
      </c>
      <c r="Z30" s="359">
        <f t="shared" si="11"/>
        <v>25.626969696969695</v>
      </c>
      <c r="AA30" s="366"/>
      <c r="AB30" s="357" t="str">
        <f>VLOOKUP($B30,'2007-2020 Metadata'!$A$4:$S$214,MATCH("Urban Area /Monitoring Zone",'2007-2020 Metadata'!$A$4:$S$4,0),FALSE)</f>
        <v>Auckland - Northern</v>
      </c>
      <c r="AC30" s="255" t="str">
        <f>VLOOKUP(B30,'2007-2020 Metadata'!$A$6:$A$214,1,FALSE)</f>
        <v>AUC045</v>
      </c>
      <c r="AD30" s="361" t="str">
        <f>VLOOKUP($AC30,'2007-2020 Metadata'!$A$6:$S$214,9,FALSE)</f>
        <v xml:space="preserve">North Shore </v>
      </c>
      <c r="AE30" s="361">
        <f>IF(ISBLANK(VLOOKUP($AC30,'2007-2020 Metadata'!$A$6:$S$214,19,FALSE)),"",VLOOKUP($AC30,'2007-2020 Metadata'!$A$6:$S$214,19,FALSE))</f>
        <v>3</v>
      </c>
      <c r="AF30" s="360" t="str">
        <f>VLOOKUP($B30,'2007-2020 Metadata'!$A$4:$S$214,MATCH("Site type",'2007-2020 Metadata'!$A$4:$S$4,0),FALSE)</f>
        <v>SH</v>
      </c>
      <c r="AG30" s="365">
        <f t="shared" si="21"/>
        <v>11.800000000000002</v>
      </c>
      <c r="AH30" s="365">
        <f t="shared" si="22"/>
        <v>41.300000000000004</v>
      </c>
      <c r="AI30" s="359">
        <f t="shared" si="20"/>
        <v>25.626969696969695</v>
      </c>
    </row>
    <row r="31" spans="2:35" ht="12" customHeight="1" x14ac:dyDescent="0.15">
      <c r="B31" s="193" t="s">
        <v>67</v>
      </c>
      <c r="C31" s="190">
        <v>17.2</v>
      </c>
      <c r="D31" s="190">
        <v>14</v>
      </c>
      <c r="E31" s="190">
        <v>24.3</v>
      </c>
      <c r="F31" s="190">
        <v>32.1</v>
      </c>
      <c r="G31" s="190">
        <v>35</v>
      </c>
      <c r="H31" s="190">
        <v>45.2</v>
      </c>
      <c r="I31" s="190">
        <v>40.299999999999997</v>
      </c>
      <c r="J31" s="190">
        <v>32.4</v>
      </c>
      <c r="K31" s="190">
        <v>34.1</v>
      </c>
      <c r="L31" s="190">
        <v>31</v>
      </c>
      <c r="M31" s="190">
        <v>19.7</v>
      </c>
      <c r="N31" s="190">
        <v>18.100000000000001</v>
      </c>
      <c r="O31" s="191">
        <f t="shared" si="0"/>
        <v>28.616666666666671</v>
      </c>
      <c r="P31" s="191">
        <f t="shared" si="1"/>
        <v>32.954026963325148</v>
      </c>
      <c r="Q31" s="192">
        <f t="shared" si="2"/>
        <v>1</v>
      </c>
      <c r="R31" s="332">
        <f t="shared" si="12"/>
        <v>18.5</v>
      </c>
      <c r="S31" s="226">
        <f t="shared" si="15"/>
        <v>1</v>
      </c>
      <c r="T31" s="332">
        <f t="shared" si="13"/>
        <v>35.599999999999994</v>
      </c>
      <c r="U31" s="226">
        <f t="shared" si="16"/>
        <v>1</v>
      </c>
      <c r="V31" s="333">
        <f t="shared" si="14"/>
        <v>28.616666666666671</v>
      </c>
      <c r="W31" s="226">
        <f t="shared" si="17"/>
        <v>1</v>
      </c>
      <c r="X31" s="144">
        <f t="shared" si="9"/>
        <v>20.083333333333332</v>
      </c>
      <c r="Y31" s="144">
        <f t="shared" si="10"/>
        <v>30.733333333333327</v>
      </c>
      <c r="Z31" s="144">
        <f t="shared" si="11"/>
        <v>25.626969696969695</v>
      </c>
      <c r="AA31" s="249"/>
      <c r="AB31" s="357" t="str">
        <f>VLOOKUP($B31,'2007-2020 Metadata'!$A$4:$S$214,MATCH("Urban Area /Monitoring Zone",'2007-2020 Metadata'!$A$4:$S$4,0),FALSE)</f>
        <v>Auckland - Northern</v>
      </c>
      <c r="AC31" s="334" t="str">
        <f>VLOOKUP(B31,'2007-2020 Metadata'!$A$6:$A$214,1,FALSE)</f>
        <v>AUC046</v>
      </c>
      <c r="AD31" s="250" t="str">
        <f>VLOOKUP($AC31,'2007-2020 Metadata'!$A$6:$S$214,9,FALSE)</f>
        <v xml:space="preserve">North Shore </v>
      </c>
      <c r="AE31" s="250">
        <f>IF(ISBLANK(VLOOKUP($AC31,'2007-2020 Metadata'!$A$6:$S$214,19,FALSE)),"",VLOOKUP($AC31,'2007-2020 Metadata'!$A$6:$S$214,19,FALSE))</f>
        <v>3</v>
      </c>
      <c r="AF31" s="335" t="str">
        <f>VLOOKUP($B31,'2007-2020 Metadata'!$A$4:$S$214,MATCH("Site type",'2007-2020 Metadata'!$A$4:$S$4,0),FALSE)</f>
        <v>Local</v>
      </c>
      <c r="AG31" s="336">
        <f t="shared" ref="AG31:AG37" si="23">MIN(C31:N31)</f>
        <v>14</v>
      </c>
      <c r="AH31" s="336">
        <f t="shared" ref="AH31:AH37" si="24">MAX(C31:N31)</f>
        <v>45.2</v>
      </c>
      <c r="AI31" s="267">
        <f t="shared" si="20"/>
        <v>25.626969696969695</v>
      </c>
    </row>
    <row r="32" spans="2:35" ht="12" customHeight="1" x14ac:dyDescent="0.15">
      <c r="B32" s="193" t="s">
        <v>68</v>
      </c>
      <c r="C32" s="190"/>
      <c r="D32" s="190">
        <v>15.5</v>
      </c>
      <c r="E32" s="190">
        <v>17.899999999999999</v>
      </c>
      <c r="F32" s="190">
        <v>11.8</v>
      </c>
      <c r="G32" s="190">
        <v>14.3</v>
      </c>
      <c r="H32" s="190">
        <v>18.600000000000001</v>
      </c>
      <c r="I32" s="190">
        <v>17.600000000000001</v>
      </c>
      <c r="J32" s="190">
        <v>13.6</v>
      </c>
      <c r="K32" s="190">
        <v>11.5</v>
      </c>
      <c r="L32" s="190">
        <v>8.6999999999999993</v>
      </c>
      <c r="M32" s="190">
        <v>8.6999999999999993</v>
      </c>
      <c r="N32" s="190">
        <v>6.3</v>
      </c>
      <c r="O32" s="191">
        <f t="shared" si="0"/>
        <v>13.136363636363633</v>
      </c>
      <c r="P32" s="191">
        <f t="shared" si="1"/>
        <v>29.942614223710866</v>
      </c>
      <c r="Q32" s="192">
        <f t="shared" si="2"/>
        <v>0.91666666666666663</v>
      </c>
      <c r="R32" s="332">
        <f t="shared" si="12"/>
        <v>16.7</v>
      </c>
      <c r="S32" s="226">
        <f t="shared" si="15"/>
        <v>0.66666666666666663</v>
      </c>
      <c r="T32" s="332">
        <f t="shared" si="13"/>
        <v>14.233333333333334</v>
      </c>
      <c r="U32" s="226">
        <f t="shared" si="16"/>
        <v>1</v>
      </c>
      <c r="V32" s="333">
        <f t="shared" si="14"/>
        <v>13.136363636363633</v>
      </c>
      <c r="W32" s="226">
        <f t="shared" si="17"/>
        <v>0.91666666666666663</v>
      </c>
      <c r="X32" s="144">
        <f t="shared" si="9"/>
        <v>20.083333333333332</v>
      </c>
      <c r="Y32" s="144">
        <f t="shared" si="10"/>
        <v>30.733333333333327</v>
      </c>
      <c r="Z32" s="144">
        <f t="shared" si="11"/>
        <v>25.626969696969695</v>
      </c>
      <c r="AA32" s="249"/>
      <c r="AB32" s="357" t="str">
        <f>VLOOKUP($B32,'2007-2020 Metadata'!$A$4:$S$214,MATCH("Urban Area /Monitoring Zone",'2007-2020 Metadata'!$A$4:$S$4,0),FALSE)</f>
        <v>Auckland - Northern</v>
      </c>
      <c r="AC32" s="334" t="str">
        <f>VLOOKUP(B32,'2007-2020 Metadata'!$A$6:$A$214,1,FALSE)</f>
        <v>AUC047</v>
      </c>
      <c r="AD32" s="250" t="str">
        <f>VLOOKUP($AC32,'2007-2020 Metadata'!$A$6:$S$214,9,FALSE)</f>
        <v xml:space="preserve">North Shore </v>
      </c>
      <c r="AE32" s="250">
        <f>IF(ISBLANK(VLOOKUP($AC32,'2007-2020 Metadata'!$A$6:$S$214,19,FALSE)),"",VLOOKUP($AC32,'2007-2020 Metadata'!$A$6:$S$214,19,FALSE))</f>
        <v>3</v>
      </c>
      <c r="AF32" s="335" t="str">
        <f>VLOOKUP($B32,'2007-2020 Metadata'!$A$4:$S$214,MATCH("Site type",'2007-2020 Metadata'!$A$4:$S$4,0),FALSE)</f>
        <v>Background</v>
      </c>
      <c r="AG32" s="336">
        <f t="shared" si="23"/>
        <v>6.3</v>
      </c>
      <c r="AH32" s="336">
        <f t="shared" si="24"/>
        <v>18.600000000000001</v>
      </c>
      <c r="AI32" s="267">
        <f t="shared" si="20"/>
        <v>25.626969696969695</v>
      </c>
    </row>
    <row r="33" spans="2:35" ht="12" customHeight="1" x14ac:dyDescent="0.15">
      <c r="B33" s="193" t="s">
        <v>1019</v>
      </c>
      <c r="C33" s="190">
        <v>14.5</v>
      </c>
      <c r="D33" s="190">
        <v>14.8</v>
      </c>
      <c r="E33" s="190"/>
      <c r="F33" s="190">
        <v>25.3</v>
      </c>
      <c r="G33" s="190">
        <v>28.7</v>
      </c>
      <c r="H33" s="190">
        <v>30.8</v>
      </c>
      <c r="I33" s="190">
        <v>32.299999999999997</v>
      </c>
      <c r="J33" s="190">
        <v>28.2</v>
      </c>
      <c r="K33" s="190">
        <v>23.2</v>
      </c>
      <c r="L33" s="190">
        <v>24.2</v>
      </c>
      <c r="M33" s="190">
        <v>22.3</v>
      </c>
      <c r="N33" s="190">
        <v>17</v>
      </c>
      <c r="O33" s="191">
        <f t="shared" si="0"/>
        <v>23.75454545454545</v>
      </c>
      <c r="P33" s="191">
        <f t="shared" si="1"/>
        <v>24.851529444048886</v>
      </c>
      <c r="Q33" s="192">
        <f t="shared" si="2"/>
        <v>0.91666666666666663</v>
      </c>
      <c r="R33" s="332">
        <f t="shared" si="12"/>
        <v>14.65</v>
      </c>
      <c r="S33" s="226">
        <f t="shared" si="15"/>
        <v>0.66666666666666663</v>
      </c>
      <c r="T33" s="332">
        <f t="shared" si="13"/>
        <v>27.900000000000002</v>
      </c>
      <c r="U33" s="226">
        <f t="shared" si="16"/>
        <v>1</v>
      </c>
      <c r="V33" s="333">
        <f t="shared" si="14"/>
        <v>23.75454545454545</v>
      </c>
      <c r="W33" s="226">
        <f t="shared" si="17"/>
        <v>0.91666666666666663</v>
      </c>
      <c r="X33" s="144">
        <f t="shared" si="9"/>
        <v>14.65</v>
      </c>
      <c r="Y33" s="144">
        <f t="shared" si="10"/>
        <v>27.900000000000002</v>
      </c>
      <c r="Z33" s="144">
        <f t="shared" si="11"/>
        <v>23.75454545454545</v>
      </c>
      <c r="AA33" s="249"/>
      <c r="AB33" s="357" t="str">
        <f>VLOOKUP($B33,'2007-2020 Metadata'!$A$4:$S$214,MATCH("Urban Area /Monitoring Zone",'2007-2020 Metadata'!$A$4:$S$4,0),FALSE)</f>
        <v>Auckland - Western</v>
      </c>
      <c r="AC33" s="334" t="str">
        <f>VLOOKUP(B33,'2007-2020 Metadata'!$A$6:$A$214,1,FALSE)</f>
        <v>AUC049b</v>
      </c>
      <c r="AD33" s="250" t="str">
        <f>VLOOKUP($AC33,'2007-2020 Metadata'!$A$6:$S$214,9,FALSE)</f>
        <v>Waitakere</v>
      </c>
      <c r="AE33" s="250" t="str">
        <f>IF(ISBLANK(VLOOKUP($AC33,'2007-2020 Metadata'!$A$6:$S$214,19,FALSE)),"",VLOOKUP($AC33,'2007-2020 Metadata'!$A$6:$S$214,19,FALSE))</f>
        <v/>
      </c>
      <c r="AF33" s="335" t="str">
        <f>VLOOKUP($B33,'2007-2020 Metadata'!$A$4:$S$214,MATCH("Site type",'2007-2020 Metadata'!$A$4:$S$4,0),FALSE)</f>
        <v>Local (ex SH)</v>
      </c>
      <c r="AG33" s="336">
        <f t="shared" si="23"/>
        <v>14.5</v>
      </c>
      <c r="AH33" s="336">
        <f t="shared" si="24"/>
        <v>32.299999999999997</v>
      </c>
      <c r="AI33" s="267">
        <f t="shared" si="20"/>
        <v>23.75454545454545</v>
      </c>
    </row>
    <row r="34" spans="2:35" ht="12" customHeight="1" x14ac:dyDescent="0.15">
      <c r="B34" s="193" t="s">
        <v>1020</v>
      </c>
      <c r="C34" s="190">
        <v>19</v>
      </c>
      <c r="D34" s="190">
        <v>23.2</v>
      </c>
      <c r="E34" s="190">
        <v>23.4</v>
      </c>
      <c r="F34" s="190">
        <v>19.7</v>
      </c>
      <c r="G34" s="190"/>
      <c r="H34" s="190">
        <v>30.6</v>
      </c>
      <c r="I34" s="190">
        <v>29.6</v>
      </c>
      <c r="J34" s="190">
        <v>25.4</v>
      </c>
      <c r="K34" s="190">
        <v>24.2</v>
      </c>
      <c r="L34" s="190">
        <v>16.399999999999999</v>
      </c>
      <c r="M34" s="194"/>
      <c r="N34" s="194"/>
      <c r="O34" s="191">
        <f t="shared" si="0"/>
        <v>23.5</v>
      </c>
      <c r="P34" s="191">
        <f t="shared" si="1"/>
        <v>18.866847903169134</v>
      </c>
      <c r="Q34" s="192">
        <f t="shared" si="2"/>
        <v>0.75</v>
      </c>
      <c r="R34" s="332">
        <f t="shared" si="12"/>
        <v>21.866666666666664</v>
      </c>
      <c r="S34" s="226">
        <f t="shared" si="15"/>
        <v>1</v>
      </c>
      <c r="T34" s="332">
        <f t="shared" si="13"/>
        <v>26.400000000000002</v>
      </c>
      <c r="U34" s="226">
        <f t="shared" si="16"/>
        <v>1</v>
      </c>
      <c r="V34" s="333">
        <f t="shared" si="14"/>
        <v>23.5</v>
      </c>
      <c r="W34" s="226">
        <f t="shared" si="17"/>
        <v>0.75</v>
      </c>
      <c r="X34" s="144">
        <f t="shared" si="9"/>
        <v>21.866666666666664</v>
      </c>
      <c r="Y34" s="144">
        <f t="shared" si="10"/>
        <v>26.400000000000002</v>
      </c>
      <c r="Z34" s="144">
        <f t="shared" si="11"/>
        <v>23.5</v>
      </c>
      <c r="AA34" s="249"/>
      <c r="AB34" s="357">
        <f>VLOOKUP($B34,'2007-2020 Metadata'!$A$4:$S$214,MATCH("Urban Area /Monitoring Zone",'2007-2020 Metadata'!$A$4:$S$4,0),FALSE)</f>
        <v>0</v>
      </c>
      <c r="AC34" s="334" t="str">
        <f>VLOOKUP(B34,'2007-2020 Metadata'!$A$6:$A$214,1,FALSE)</f>
        <v>AUC050a</v>
      </c>
      <c r="AD34" s="250">
        <f>VLOOKUP($AC34,'2007-2020 Metadata'!$A$6:$S$214,9,FALSE)</f>
        <v>0</v>
      </c>
      <c r="AE34" s="250" t="str">
        <f>IF(ISBLANK(VLOOKUP($AC34,'2007-2020 Metadata'!$A$6:$S$214,19,FALSE)),"",VLOOKUP($AC34,'2007-2020 Metadata'!$A$6:$S$214,19,FALSE))</f>
        <v/>
      </c>
      <c r="AF34" s="335" t="str">
        <f>VLOOKUP($B34,'2007-2020 Metadata'!$A$4:$S$214,MATCH("Site type",'2007-2020 Metadata'!$A$4:$S$4,0),FALSE)</f>
        <v>SH</v>
      </c>
      <c r="AG34" s="336">
        <f t="shared" si="23"/>
        <v>16.399999999999999</v>
      </c>
      <c r="AH34" s="336">
        <f t="shared" si="24"/>
        <v>30.6</v>
      </c>
      <c r="AI34" s="267">
        <f t="shared" si="20"/>
        <v>23.5</v>
      </c>
    </row>
    <row r="35" spans="2:35" ht="12" customHeight="1" x14ac:dyDescent="0.15">
      <c r="B35" s="193" t="s">
        <v>1021</v>
      </c>
      <c r="C35" s="194"/>
      <c r="D35" s="194"/>
      <c r="E35" s="194"/>
      <c r="F35" s="194"/>
      <c r="G35" s="194"/>
      <c r="H35" s="194"/>
      <c r="I35" s="194"/>
      <c r="J35" s="194"/>
      <c r="K35" s="194"/>
      <c r="L35" s="194"/>
      <c r="M35" s="190">
        <v>20.5</v>
      </c>
      <c r="N35" s="190">
        <v>18.2</v>
      </c>
      <c r="O35" s="191">
        <f t="shared" ref="O35" si="25">(AVERAGE(C35:N35))</f>
        <v>19.350000000000001</v>
      </c>
      <c r="P35" s="191">
        <f t="shared" ref="P35" si="26">IFERROR((STDEVP(C35:N35)/O35)*100,"")</f>
        <v>5.9431524547803631</v>
      </c>
      <c r="Q35" s="192">
        <f t="shared" ref="Q35" si="27">COUNT(C35:N35)/COUNT($C$6:$N$6)</f>
        <v>0.16666666666666666</v>
      </c>
      <c r="R35" s="332" t="str">
        <f t="shared" si="12"/>
        <v/>
      </c>
      <c r="S35" s="226">
        <f t="shared" ref="S35" si="28">COUNT(C35:E35)/3</f>
        <v>0</v>
      </c>
      <c r="T35" s="332" t="str">
        <f t="shared" si="13"/>
        <v/>
      </c>
      <c r="U35" s="226">
        <f t="shared" ref="U35" si="29">COUNT(I35:K35)/3</f>
        <v>0</v>
      </c>
      <c r="V35" s="333" t="str">
        <f t="shared" si="14"/>
        <v>-</v>
      </c>
      <c r="W35" s="226">
        <f t="shared" ref="W35" si="30">Q35</f>
        <v>0.16666666666666666</v>
      </c>
      <c r="X35" s="144" t="str">
        <f t="shared" si="9"/>
        <v/>
      </c>
      <c r="Y35" s="144" t="str">
        <f t="shared" si="10"/>
        <v/>
      </c>
      <c r="Z35" s="144" t="str">
        <f t="shared" si="11"/>
        <v>-</v>
      </c>
      <c r="AA35" s="249"/>
      <c r="AB35" s="357">
        <f>VLOOKUP($B35,'2007-2020 Metadata'!$A$4:$S$214,MATCH("Urban Area /Monitoring Zone",'2007-2020 Metadata'!$A$4:$S$4,0),FALSE)</f>
        <v>0</v>
      </c>
      <c r="AC35" s="334" t="str">
        <f>VLOOKUP(B35,'2007-2020 Metadata'!$A$6:$A$214,1,FALSE)</f>
        <v>AUC050b</v>
      </c>
      <c r="AD35" s="250">
        <f>VLOOKUP($AC35,'2007-2020 Metadata'!$A$6:$S$214,9,FALSE)</f>
        <v>0</v>
      </c>
      <c r="AE35" s="250" t="str">
        <f>IF(ISBLANK(VLOOKUP($AC35,'2007-2020 Metadata'!$A$6:$S$214,19,FALSE)),"",VLOOKUP($AC35,'2007-2020 Metadata'!$A$6:$S$214,19,FALSE))</f>
        <v/>
      </c>
      <c r="AF35" s="335" t="str">
        <f>VLOOKUP($B35,'2007-2020 Metadata'!$A$4:$S$214,MATCH("Site type",'2007-2020 Metadata'!$A$4:$S$4,0),FALSE)</f>
        <v>SH</v>
      </c>
      <c r="AG35" s="336">
        <f t="shared" ref="AG35" si="31">MIN(C35:N35)</f>
        <v>18.2</v>
      </c>
      <c r="AH35" s="336">
        <f t="shared" ref="AH35" si="32">MAX(C35:N35)</f>
        <v>20.5</v>
      </c>
      <c r="AI35" s="267" t="str">
        <f t="shared" ref="AI35" si="33">IF(W35&gt;=75%,Z35," ")</f>
        <v xml:space="preserve"> </v>
      </c>
    </row>
    <row r="36" spans="2:35" ht="12" customHeight="1" x14ac:dyDescent="0.15">
      <c r="B36" s="193" t="s">
        <v>1024</v>
      </c>
      <c r="C36" s="190">
        <v>10</v>
      </c>
      <c r="D36" s="190">
        <v>10.7</v>
      </c>
      <c r="E36" s="190">
        <v>16.600000000000001</v>
      </c>
      <c r="F36" s="190">
        <v>22.1</v>
      </c>
      <c r="G36" s="190">
        <v>26.4</v>
      </c>
      <c r="H36" s="190">
        <v>32.1</v>
      </c>
      <c r="I36" s="190">
        <v>29.9</v>
      </c>
      <c r="J36" s="190"/>
      <c r="K36" s="190">
        <v>24.2</v>
      </c>
      <c r="L36" s="190">
        <v>22</v>
      </c>
      <c r="M36" s="190">
        <v>17.100000000000001</v>
      </c>
      <c r="N36" s="190">
        <v>9.9</v>
      </c>
      <c r="O36" s="191">
        <f t="shared" si="0"/>
        <v>20.09090909090909</v>
      </c>
      <c r="P36" s="191">
        <f t="shared" si="1"/>
        <v>37.362251526247483</v>
      </c>
      <c r="Q36" s="192">
        <f t="shared" si="2"/>
        <v>0.91666666666666663</v>
      </c>
      <c r="R36" s="332">
        <f t="shared" si="12"/>
        <v>12.433333333333332</v>
      </c>
      <c r="S36" s="226">
        <f t="shared" si="15"/>
        <v>1</v>
      </c>
      <c r="T36" s="332">
        <f t="shared" si="13"/>
        <v>27.049999999999997</v>
      </c>
      <c r="U36" s="226">
        <f t="shared" si="16"/>
        <v>0.66666666666666663</v>
      </c>
      <c r="V36" s="333">
        <f t="shared" si="14"/>
        <v>20.09090909090909</v>
      </c>
      <c r="W36" s="226">
        <f t="shared" si="17"/>
        <v>0.91666666666666663</v>
      </c>
      <c r="X36" s="144">
        <f t="shared" si="9"/>
        <v>12.433333333333332</v>
      </c>
      <c r="Y36" s="144">
        <f t="shared" si="10"/>
        <v>27.049999999999997</v>
      </c>
      <c r="Z36" s="144">
        <f t="shared" si="11"/>
        <v>20.09090909090909</v>
      </c>
      <c r="AA36" s="249"/>
      <c r="AB36" s="357">
        <f>VLOOKUP($B36,'2007-2020 Metadata'!$A$4:$S$214,MATCH("Urban Area /Monitoring Zone",'2007-2020 Metadata'!$A$4:$S$4,0),FALSE)</f>
        <v>0</v>
      </c>
      <c r="AC36" s="334" t="str">
        <f>VLOOKUP(B36,'2007-2020 Metadata'!$A$6:$A$214,1,FALSE)</f>
        <v>AUC051a</v>
      </c>
      <c r="AD36" s="250">
        <f>VLOOKUP($AC36,'2007-2020 Metadata'!$A$6:$S$214,9,FALSE)</f>
        <v>0</v>
      </c>
      <c r="AE36" s="250" t="str">
        <f>IF(ISBLANK(VLOOKUP($AC36,'2007-2020 Metadata'!$A$6:$S$214,19,FALSE)),"",VLOOKUP($AC36,'2007-2020 Metadata'!$A$6:$S$214,19,FALSE))</f>
        <v/>
      </c>
      <c r="AF36" s="335" t="str">
        <f>VLOOKUP($B36,'2007-2020 Metadata'!$A$4:$S$214,MATCH("Site type",'2007-2020 Metadata'!$A$4:$S$4,0),FALSE)</f>
        <v>SH</v>
      </c>
      <c r="AG36" s="336">
        <f t="shared" si="23"/>
        <v>9.9</v>
      </c>
      <c r="AH36" s="336">
        <f t="shared" si="24"/>
        <v>32.1</v>
      </c>
      <c r="AI36" s="267">
        <f t="shared" si="20"/>
        <v>20.09090909090909</v>
      </c>
    </row>
    <row r="37" spans="2:35" ht="12" customHeight="1" x14ac:dyDescent="0.15">
      <c r="B37" s="193" t="s">
        <v>73</v>
      </c>
      <c r="C37" s="190">
        <v>12.6</v>
      </c>
      <c r="D37" s="190">
        <v>14.7</v>
      </c>
      <c r="E37" s="190">
        <v>14</v>
      </c>
      <c r="F37" s="190">
        <v>18.5</v>
      </c>
      <c r="G37" s="190">
        <v>23.7</v>
      </c>
      <c r="H37" s="190">
        <v>24.8</v>
      </c>
      <c r="I37" s="190">
        <v>26.4</v>
      </c>
      <c r="J37" s="190">
        <v>20</v>
      </c>
      <c r="K37" s="190">
        <v>17.8</v>
      </c>
      <c r="L37" s="190">
        <v>14.6</v>
      </c>
      <c r="M37" s="190">
        <v>14.1</v>
      </c>
      <c r="N37" s="190">
        <v>9.9</v>
      </c>
      <c r="O37" s="191">
        <f t="shared" si="0"/>
        <v>17.591666666666665</v>
      </c>
      <c r="P37" s="191">
        <f t="shared" si="1"/>
        <v>28.422982785250809</v>
      </c>
      <c r="Q37" s="192">
        <f t="shared" si="2"/>
        <v>1</v>
      </c>
      <c r="R37" s="332">
        <f t="shared" si="12"/>
        <v>13.766666666666666</v>
      </c>
      <c r="S37" s="226">
        <f t="shared" si="15"/>
        <v>1</v>
      </c>
      <c r="T37" s="332">
        <f t="shared" si="13"/>
        <v>21.400000000000002</v>
      </c>
      <c r="U37" s="226">
        <f t="shared" si="16"/>
        <v>1</v>
      </c>
      <c r="V37" s="333">
        <f t="shared" si="14"/>
        <v>17.591666666666665</v>
      </c>
      <c r="W37" s="226">
        <f t="shared" si="17"/>
        <v>1</v>
      </c>
      <c r="X37" s="144">
        <f t="shared" si="9"/>
        <v>13.597619047619048</v>
      </c>
      <c r="Y37" s="144">
        <f t="shared" si="10"/>
        <v>19.161904761904761</v>
      </c>
      <c r="Z37" s="144">
        <f t="shared" si="11"/>
        <v>16.561796536796539</v>
      </c>
      <c r="AA37" s="249"/>
      <c r="AB37" s="357" t="str">
        <f>VLOOKUP($B37,'2007-2020 Metadata'!$A$4:$S$214,MATCH("Urban Area /Monitoring Zone",'2007-2020 Metadata'!$A$4:$S$4,0),FALSE)</f>
        <v>Auckland - Western</v>
      </c>
      <c r="AC37" s="334" t="str">
        <f>VLOOKUP(B37,'2007-2020 Metadata'!$A$6:$A$214,1,FALSE)</f>
        <v>AUC052</v>
      </c>
      <c r="AD37" s="250" t="str">
        <f>VLOOKUP($AC37,'2007-2020 Metadata'!$A$6:$S$214,9,FALSE)</f>
        <v>Waitakere</v>
      </c>
      <c r="AE37" s="250">
        <f>IF(ISBLANK(VLOOKUP($AC37,'2007-2020 Metadata'!$A$6:$S$214,19,FALSE)),"",VLOOKUP($AC37,'2007-2020 Metadata'!$A$6:$S$214,19,FALSE))</f>
        <v>3</v>
      </c>
      <c r="AF37" s="335" t="str">
        <f>VLOOKUP($B37,'2007-2020 Metadata'!$A$4:$S$214,MATCH("Site type",'2007-2020 Metadata'!$A$4:$S$4,0),FALSE)</f>
        <v>Local</v>
      </c>
      <c r="AG37" s="336">
        <f t="shared" si="23"/>
        <v>9.9</v>
      </c>
      <c r="AH37" s="336">
        <f t="shared" si="24"/>
        <v>26.4</v>
      </c>
      <c r="AI37" s="267">
        <f t="shared" si="20"/>
        <v>16.561796536796539</v>
      </c>
    </row>
    <row r="38" spans="2:35" ht="12" customHeight="1" x14ac:dyDescent="0.15">
      <c r="B38" s="193" t="s">
        <v>1028</v>
      </c>
      <c r="C38" s="190">
        <v>17.600000000000001</v>
      </c>
      <c r="D38" s="190">
        <v>20</v>
      </c>
      <c r="E38" s="190">
        <v>23.7</v>
      </c>
      <c r="F38" s="190">
        <v>29.2</v>
      </c>
      <c r="G38" s="190">
        <v>36.299999999999997</v>
      </c>
      <c r="H38" s="190">
        <v>38.799999999999997</v>
      </c>
      <c r="I38" s="190">
        <v>38.4</v>
      </c>
      <c r="J38" s="190">
        <v>39.1</v>
      </c>
      <c r="K38" s="190">
        <v>26.7</v>
      </c>
      <c r="L38" s="190">
        <v>29</v>
      </c>
      <c r="M38" s="190">
        <v>23.5</v>
      </c>
      <c r="N38" s="190">
        <v>18.5</v>
      </c>
      <c r="O38" s="191">
        <f t="shared" si="0"/>
        <v>28.400000000000002</v>
      </c>
      <c r="P38" s="191">
        <f t="shared" si="1"/>
        <v>27.279454730621929</v>
      </c>
      <c r="Q38" s="192">
        <f t="shared" si="2"/>
        <v>1</v>
      </c>
      <c r="R38" s="332">
        <f t="shared" si="12"/>
        <v>20.433333333333334</v>
      </c>
      <c r="S38" s="226">
        <f t="shared" si="15"/>
        <v>1</v>
      </c>
      <c r="T38" s="332">
        <f t="shared" si="13"/>
        <v>34.733333333333334</v>
      </c>
      <c r="U38" s="226">
        <f t="shared" si="16"/>
        <v>1</v>
      </c>
      <c r="V38" s="333">
        <f t="shared" si="14"/>
        <v>28.400000000000002</v>
      </c>
      <c r="W38" s="226">
        <f t="shared" si="17"/>
        <v>1</v>
      </c>
      <c r="X38" s="144">
        <f t="shared" si="9"/>
        <v>20.433333333333334</v>
      </c>
      <c r="Y38" s="144">
        <f t="shared" si="10"/>
        <v>34.733333333333334</v>
      </c>
      <c r="Z38" s="144">
        <f t="shared" si="11"/>
        <v>28.400000000000002</v>
      </c>
      <c r="AA38" s="249"/>
      <c r="AB38" s="357">
        <f>VLOOKUP($B38,'2007-2020 Metadata'!$A$4:$S$214,MATCH("Urban Area /Monitoring Zone",'2007-2020 Metadata'!$A$4:$S$4,0),FALSE)</f>
        <v>0</v>
      </c>
      <c r="AC38" s="334" t="str">
        <f>VLOOKUP(B38,'2007-2020 Metadata'!$A$6:$A$214,1,FALSE)</f>
        <v>AUC053b</v>
      </c>
      <c r="AD38" s="250">
        <f>VLOOKUP($AC38,'2007-2020 Metadata'!$A$6:$S$214,9,FALSE)</f>
        <v>0</v>
      </c>
      <c r="AE38" s="250" t="str">
        <f>IF(ISBLANK(VLOOKUP($AC38,'2007-2020 Metadata'!$A$6:$S$214,19,FALSE)),"",VLOOKUP($AC38,'2007-2020 Metadata'!$A$6:$S$214,19,FALSE))</f>
        <v/>
      </c>
      <c r="AF38" s="335" t="str">
        <f>VLOOKUP($B38,'2007-2020 Metadata'!$A$4:$S$214,MATCH("Site type",'2007-2020 Metadata'!$A$4:$S$4,0),FALSE)</f>
        <v>Local</v>
      </c>
      <c r="AG38" s="336">
        <f t="shared" ref="AG38" si="34">MIN(AVERAGE($C$13:$C$15),AVERAGE($D$13:$D$15),AVERAGE($E$13:$E$15),AVERAGE($F$13:$F$15),AVERAGE($G$13:$G$15),AVERAGE($H$13:$H$15),AVERAGE($I$13:$I$15),AVERAGE($J$13:$J$15),AVERAGE($K$13:$K$15),AVERAGE($L$13:$L$15),AVERAGE($M$13:$M$15),AVERAGE($N$13:$N$15))</f>
        <v>14.366666666666667</v>
      </c>
      <c r="AH38" s="336">
        <f t="shared" ref="AH38" si="35">MAX(AVERAGE($C$13:$C$15),AVERAGE($D$13:$D$15),AVERAGE($E$13:$E$15),AVERAGE($F$13:$F$15),AVERAGE($G$13:$G$15),AVERAGE($H$13:$H$15),AVERAGE($I$13:$I$15),AVERAGE($J$13:$J$15),AVERAGE($K$13:$K$15),AVERAGE($L$13:$L$15),AVERAGE($M$13:$M$15),AVERAGE($N$13:$N$15))</f>
        <v>44.300000000000004</v>
      </c>
      <c r="AI38" s="267">
        <f t="shared" si="20"/>
        <v>28.400000000000002</v>
      </c>
    </row>
    <row r="39" spans="2:35" ht="12" customHeight="1" x14ac:dyDescent="0.15">
      <c r="B39" s="193" t="s">
        <v>1030</v>
      </c>
      <c r="C39" s="190"/>
      <c r="D39" s="190">
        <v>14.3</v>
      </c>
      <c r="E39" s="190">
        <v>15.8</v>
      </c>
      <c r="F39" s="190">
        <v>14.8</v>
      </c>
      <c r="G39" s="190">
        <v>15.3</v>
      </c>
      <c r="H39" s="190">
        <v>22.2</v>
      </c>
      <c r="I39" s="190">
        <v>19.5</v>
      </c>
      <c r="J39" s="190">
        <v>17.3</v>
      </c>
      <c r="K39" s="190">
        <v>14.5</v>
      </c>
      <c r="L39" s="190">
        <v>11.2</v>
      </c>
      <c r="M39" s="190">
        <v>11.9</v>
      </c>
      <c r="N39" s="190">
        <v>8.1999999999999993</v>
      </c>
      <c r="O39" s="191">
        <f t="shared" si="0"/>
        <v>14.999999999999998</v>
      </c>
      <c r="P39" s="191">
        <f t="shared" si="1"/>
        <v>24.550915965549638</v>
      </c>
      <c r="Q39" s="192">
        <f t="shared" si="2"/>
        <v>0.91666666666666663</v>
      </c>
      <c r="R39" s="251">
        <f t="shared" si="12"/>
        <v>15.05</v>
      </c>
      <c r="S39" s="252">
        <f t="shared" si="15"/>
        <v>0.66666666666666663</v>
      </c>
      <c r="T39" s="251">
        <f t="shared" si="13"/>
        <v>17.099999999999998</v>
      </c>
      <c r="U39" s="252">
        <f t="shared" si="16"/>
        <v>1</v>
      </c>
      <c r="V39" s="253">
        <f t="shared" si="14"/>
        <v>14.999999999999998</v>
      </c>
      <c r="W39" s="252">
        <f t="shared" si="17"/>
        <v>0.91666666666666663</v>
      </c>
      <c r="X39" s="359">
        <f t="shared" si="9"/>
        <v>15.05</v>
      </c>
      <c r="Y39" s="359">
        <f t="shared" si="10"/>
        <v>17.099999999999998</v>
      </c>
      <c r="Z39" s="359">
        <f t="shared" si="11"/>
        <v>14.999999999999998</v>
      </c>
      <c r="AA39" s="366"/>
      <c r="AB39" s="357">
        <f>VLOOKUP($B39,'2007-2020 Metadata'!$A$4:$S$214,MATCH("Urban Area /Monitoring Zone",'2007-2020 Metadata'!$A$4:$S$4,0),FALSE)</f>
        <v>0</v>
      </c>
      <c r="AC39" s="255" t="str">
        <f>VLOOKUP(B39,'2007-2020 Metadata'!$A$6:$A$214,1,FALSE)</f>
        <v>AUC054a</v>
      </c>
      <c r="AD39" s="361">
        <f>VLOOKUP($AC39,'2007-2020 Metadata'!$A$6:$S$214,9,FALSE)</f>
        <v>0</v>
      </c>
      <c r="AE39" s="361" t="str">
        <f>IF(ISBLANK(VLOOKUP($AC39,'2007-2020 Metadata'!$A$6:$S$214,19,FALSE)),"",VLOOKUP($AC39,'2007-2020 Metadata'!$A$6:$S$214,19,FALSE))</f>
        <v/>
      </c>
      <c r="AF39" s="360" t="str">
        <f>VLOOKUP($B39,'2007-2020 Metadata'!$A$4:$S$214,MATCH("Site type",'2007-2020 Metadata'!$A$4:$S$4,0),FALSE)</f>
        <v>Local</v>
      </c>
      <c r="AG39" s="365">
        <f>MIN(AVERAGE($C$39:$C$41),AVERAGE($D$39:$D$41),AVERAGE($E$39:$E$41),AVERAGE($F$39:$F$41),AVERAGE($G$39:$G$41),AVERAGE($H$39:$H$41),AVERAGE($I$39:$I$41),AVERAGE($J$39:$J$41),AVERAGE($K$39:$K$41),AVERAGE($L$39:$L$41),AVERAGE($M$39:$M$41),AVERAGE($N$39:$N$41))</f>
        <v>7.8999999999999995</v>
      </c>
      <c r="AH39" s="365">
        <f>MAX(AVERAGE($C$39:$C$41),AVERAGE($D$39:$D$41),AVERAGE($E$39:$E$41),AVERAGE($F$39:$F$41),AVERAGE($G$39:$G$41),AVERAGE($H$39:$H$41),AVERAGE($I$39:$I$41),AVERAGE($J$39:$J$41),AVERAGE($K$39:$K$41),AVERAGE($L$39:$L$41),AVERAGE($M$39:$M$41),AVERAGE($N$39:$N$41))</f>
        <v>21.833333333333332</v>
      </c>
      <c r="AI39" s="359">
        <f t="shared" si="20"/>
        <v>14.999999999999998</v>
      </c>
    </row>
    <row r="40" spans="2:35" ht="12" customHeight="1" x14ac:dyDescent="0.15">
      <c r="B40" s="193" t="s">
        <v>1031</v>
      </c>
      <c r="C40" s="190">
        <v>12.3</v>
      </c>
      <c r="D40" s="190">
        <v>14.2</v>
      </c>
      <c r="E40" s="190">
        <v>16.5</v>
      </c>
      <c r="F40" s="190">
        <v>13.8</v>
      </c>
      <c r="G40" s="190">
        <v>19.399999999999999</v>
      </c>
      <c r="H40" s="190">
        <v>21.5</v>
      </c>
      <c r="I40" s="190">
        <v>20.9</v>
      </c>
      <c r="J40" s="190">
        <v>17.5</v>
      </c>
      <c r="K40" s="190">
        <v>15.3</v>
      </c>
      <c r="L40" s="190">
        <v>11.2</v>
      </c>
      <c r="M40" s="190">
        <v>12</v>
      </c>
      <c r="N40" s="190">
        <v>7.8</v>
      </c>
      <c r="O40" s="191">
        <f t="shared" si="0"/>
        <v>15.200000000000001</v>
      </c>
      <c r="P40" s="191">
        <f t="shared" si="1"/>
        <v>26.121818021173464</v>
      </c>
      <c r="Q40" s="192">
        <f t="shared" si="2"/>
        <v>1</v>
      </c>
      <c r="R40" s="251">
        <f t="shared" si="12"/>
        <v>14.333333333333334</v>
      </c>
      <c r="S40" s="252">
        <f t="shared" si="15"/>
        <v>1</v>
      </c>
      <c r="T40" s="251">
        <f t="shared" si="13"/>
        <v>17.900000000000002</v>
      </c>
      <c r="U40" s="252">
        <f t="shared" si="16"/>
        <v>1</v>
      </c>
      <c r="V40" s="253">
        <f t="shared" si="14"/>
        <v>15.200000000000001</v>
      </c>
      <c r="W40" s="252">
        <f t="shared" si="17"/>
        <v>1</v>
      </c>
      <c r="X40" s="359">
        <f t="shared" si="9"/>
        <v>14.333333333333334</v>
      </c>
      <c r="Y40" s="359">
        <f t="shared" si="10"/>
        <v>17.900000000000002</v>
      </c>
      <c r="Z40" s="359">
        <f t="shared" si="11"/>
        <v>15.200000000000001</v>
      </c>
      <c r="AA40" s="366"/>
      <c r="AB40" s="357">
        <f>VLOOKUP($B40,'2007-2020 Metadata'!$A$4:$S$214,MATCH("Urban Area /Monitoring Zone",'2007-2020 Metadata'!$A$4:$S$4,0),FALSE)</f>
        <v>0</v>
      </c>
      <c r="AC40" s="255" t="str">
        <f>VLOOKUP(B40,'2007-2020 Metadata'!$A$6:$A$214,1,FALSE)</f>
        <v>AUC055a</v>
      </c>
      <c r="AD40" s="361">
        <f>VLOOKUP($AC40,'2007-2020 Metadata'!$A$6:$S$214,9,FALSE)</f>
        <v>0</v>
      </c>
      <c r="AE40" s="361" t="str">
        <f>IF(ISBLANK(VLOOKUP($AC40,'2007-2020 Metadata'!$A$6:$S$214,19,FALSE)),"",VLOOKUP($AC40,'2007-2020 Metadata'!$A$6:$S$214,19,FALSE))</f>
        <v/>
      </c>
      <c r="AF40" s="360" t="str">
        <f>VLOOKUP($B40,'2007-2020 Metadata'!$A$4:$S$214,MATCH("Site type",'2007-2020 Metadata'!$A$4:$S$4,0),FALSE)</f>
        <v>Local</v>
      </c>
      <c r="AG40" s="365">
        <f t="shared" ref="AG40:AG41" si="36">MIN(AVERAGE($C$39:$C$41),AVERAGE($D$39:$D$41),AVERAGE($E$39:$E$41),AVERAGE($F$39:$F$41),AVERAGE($G$39:$G$41),AVERAGE($H$39:$H$41),AVERAGE($I$39:$I$41),AVERAGE($J$39:$J$41),AVERAGE($K$39:$K$41),AVERAGE($L$39:$L$41),AVERAGE($M$39:$M$41),AVERAGE($N$39:$N$41))</f>
        <v>7.8999999999999995</v>
      </c>
      <c r="AH40" s="365">
        <f t="shared" ref="AH40:AH41" si="37">MAX(AVERAGE($C$39:$C$41),AVERAGE($D$39:$D$41),AVERAGE($E$39:$E$41),AVERAGE($F$39:$F$41),AVERAGE($G$39:$G$41),AVERAGE($H$39:$H$41),AVERAGE($I$39:$I$41),AVERAGE($J$39:$J$41),AVERAGE($K$39:$K$41),AVERAGE($L$39:$L$41),AVERAGE($M$39:$M$41),AVERAGE($N$39:$N$41))</f>
        <v>21.833333333333332</v>
      </c>
      <c r="AI40" s="359">
        <f t="shared" si="20"/>
        <v>15.200000000000001</v>
      </c>
    </row>
    <row r="41" spans="2:35" ht="12" customHeight="1" x14ac:dyDescent="0.15">
      <c r="B41" s="193" t="s">
        <v>1032</v>
      </c>
      <c r="C41" s="190">
        <v>11.8</v>
      </c>
      <c r="D41" s="190">
        <v>13.2</v>
      </c>
      <c r="E41" s="190">
        <v>16.899999999999999</v>
      </c>
      <c r="F41" s="190">
        <v>14.6</v>
      </c>
      <c r="G41" s="190">
        <v>17.2</v>
      </c>
      <c r="H41" s="190">
        <v>21.8</v>
      </c>
      <c r="I41" s="190">
        <v>20.100000000000001</v>
      </c>
      <c r="J41" s="190">
        <v>18.100000000000001</v>
      </c>
      <c r="K41" s="190">
        <v>15.8</v>
      </c>
      <c r="L41" s="190">
        <v>10.3</v>
      </c>
      <c r="M41" s="190">
        <v>12.1</v>
      </c>
      <c r="N41" s="190">
        <v>7.7</v>
      </c>
      <c r="O41" s="191">
        <f t="shared" si="0"/>
        <v>14.966666666666667</v>
      </c>
      <c r="P41" s="191">
        <f t="shared" si="1"/>
        <v>26.471973352729737</v>
      </c>
      <c r="Q41" s="192">
        <f t="shared" si="2"/>
        <v>1</v>
      </c>
      <c r="R41" s="251">
        <f t="shared" si="12"/>
        <v>13.966666666666667</v>
      </c>
      <c r="S41" s="252">
        <f t="shared" si="15"/>
        <v>1</v>
      </c>
      <c r="T41" s="251">
        <f t="shared" si="13"/>
        <v>18</v>
      </c>
      <c r="U41" s="252">
        <f t="shared" si="16"/>
        <v>1</v>
      </c>
      <c r="V41" s="253">
        <f t="shared" si="14"/>
        <v>14.966666666666667</v>
      </c>
      <c r="W41" s="252">
        <f t="shared" si="17"/>
        <v>1</v>
      </c>
      <c r="X41" s="359">
        <f t="shared" si="9"/>
        <v>13.966666666666667</v>
      </c>
      <c r="Y41" s="359">
        <f t="shared" si="10"/>
        <v>18</v>
      </c>
      <c r="Z41" s="359">
        <f t="shared" si="11"/>
        <v>14.966666666666667</v>
      </c>
      <c r="AA41" s="366"/>
      <c r="AB41" s="357">
        <f>VLOOKUP($B41,'2007-2020 Metadata'!$A$4:$S$214,MATCH("Urban Area /Monitoring Zone",'2007-2020 Metadata'!$A$4:$S$4,0),FALSE)</f>
        <v>0</v>
      </c>
      <c r="AC41" s="255" t="str">
        <f>VLOOKUP(B41,'2007-2020 Metadata'!$A$6:$A$214,1,FALSE)</f>
        <v>AUC056a</v>
      </c>
      <c r="AD41" s="361">
        <f>VLOOKUP($AC41,'2007-2020 Metadata'!$A$6:$S$214,9,FALSE)</f>
        <v>0</v>
      </c>
      <c r="AE41" s="361" t="str">
        <f>IF(ISBLANK(VLOOKUP($AC41,'2007-2020 Metadata'!$A$6:$S$214,19,FALSE)),"",VLOOKUP($AC41,'2007-2020 Metadata'!$A$6:$S$214,19,FALSE))</f>
        <v/>
      </c>
      <c r="AF41" s="360" t="str">
        <f>VLOOKUP($B41,'2007-2020 Metadata'!$A$4:$S$214,MATCH("Site type",'2007-2020 Metadata'!$A$4:$S$4,0),FALSE)</f>
        <v>Local</v>
      </c>
      <c r="AG41" s="365">
        <f t="shared" si="36"/>
        <v>7.8999999999999995</v>
      </c>
      <c r="AH41" s="365">
        <f t="shared" si="37"/>
        <v>21.833333333333332</v>
      </c>
      <c r="AI41" s="359">
        <f t="shared" si="20"/>
        <v>14.966666666666667</v>
      </c>
    </row>
    <row r="42" spans="2:35" ht="12" customHeight="1" x14ac:dyDescent="0.15">
      <c r="B42" s="193" t="s">
        <v>78</v>
      </c>
      <c r="C42" s="190">
        <v>6.9</v>
      </c>
      <c r="D42" s="190">
        <v>7.8</v>
      </c>
      <c r="E42" s="190">
        <v>8.8000000000000007</v>
      </c>
      <c r="F42" s="190">
        <v>9.1</v>
      </c>
      <c r="G42" s="190">
        <v>10.199999999999999</v>
      </c>
      <c r="H42" s="190">
        <v>13.4</v>
      </c>
      <c r="I42" s="190">
        <v>13.8</v>
      </c>
      <c r="J42" s="190">
        <v>9.9</v>
      </c>
      <c r="K42" s="190">
        <v>6</v>
      </c>
      <c r="L42" s="190">
        <v>5.4</v>
      </c>
      <c r="M42" s="190">
        <v>6.8</v>
      </c>
      <c r="N42" s="190">
        <v>5.4</v>
      </c>
      <c r="O42" s="191">
        <f t="shared" si="0"/>
        <v>8.6250000000000018</v>
      </c>
      <c r="P42" s="191">
        <f t="shared" si="1"/>
        <v>31.508104108604414</v>
      </c>
      <c r="Q42" s="192">
        <f t="shared" si="2"/>
        <v>1</v>
      </c>
      <c r="R42" s="251">
        <f t="shared" si="12"/>
        <v>7.833333333333333</v>
      </c>
      <c r="S42" s="252">
        <f t="shared" si="15"/>
        <v>1</v>
      </c>
      <c r="T42" s="251">
        <f t="shared" si="13"/>
        <v>9.9</v>
      </c>
      <c r="U42" s="252">
        <f t="shared" si="16"/>
        <v>1</v>
      </c>
      <c r="V42" s="253">
        <f t="shared" si="14"/>
        <v>8.6250000000000018</v>
      </c>
      <c r="W42" s="252">
        <f t="shared" si="17"/>
        <v>1</v>
      </c>
      <c r="X42" s="359">
        <f t="shared" si="9"/>
        <v>13.597619047619048</v>
      </c>
      <c r="Y42" s="359">
        <f t="shared" si="10"/>
        <v>19.161904761904761</v>
      </c>
      <c r="Z42" s="359">
        <f t="shared" si="11"/>
        <v>16.561796536796539</v>
      </c>
      <c r="AA42" s="366"/>
      <c r="AB42" s="357" t="str">
        <f>VLOOKUP($B42,'2007-2020 Metadata'!$A$4:$S$214,MATCH("Urban Area /Monitoring Zone",'2007-2020 Metadata'!$A$4:$S$4,0),FALSE)</f>
        <v>Auckland - Western</v>
      </c>
      <c r="AC42" s="255" t="str">
        <f>VLOOKUP(B42,'2007-2020 Metadata'!$A$6:$A$214,1,FALSE)</f>
        <v>AUC057</v>
      </c>
      <c r="AD42" s="361" t="str">
        <f>VLOOKUP($AC42,'2007-2020 Metadata'!$A$6:$S$214,9,FALSE)</f>
        <v>Waitakere</v>
      </c>
      <c r="AE42" s="361">
        <f>IF(ISBLANK(VLOOKUP($AC42,'2007-2020 Metadata'!$A$6:$S$214,19,FALSE)),"",VLOOKUP($AC42,'2007-2020 Metadata'!$A$6:$S$214,19,FALSE))</f>
        <v>3</v>
      </c>
      <c r="AF42" s="360" t="str">
        <f>VLOOKUP($B42,'2007-2020 Metadata'!$A$4:$S$214,MATCH("Site type",'2007-2020 Metadata'!$A$4:$S$4,0),FALSE)</f>
        <v>Background</v>
      </c>
      <c r="AG42" s="365">
        <f>MIN(AVERAGE($C$42:$C$44),AVERAGE($D$42:$D$44),AVERAGE($E$42:$E$44),AVERAGE($F$42:$F$44),AVERAGE($G$42:$G$44),AVERAGE($H$42:$H$44),AVERAGE($I$42:$I$44),AVERAGE($J$42:$J$44),AVERAGE($K$42:$K$44),AVERAGE($L$42:$L$44),AVERAGE($M$42:$M$44),AVERAGE($N$42:$N$44))</f>
        <v>4.6333333333333337</v>
      </c>
      <c r="AH42" s="365">
        <f>MAX(AVERAGE($C$42:$C$44),AVERAGE($D$42:$D$44),AVERAGE($E$42:$E$44),AVERAGE($F$42:$F$44),AVERAGE($G$42:$G$44),AVERAGE($H$42:$H$44),AVERAGE($I$42:$I$44),AVERAGE($J$42:$J$44),AVERAGE($K$42:$K$44),AVERAGE($L$42:$L$44),AVERAGE($M$42:$M$44),AVERAGE($N$42:$N$44))</f>
        <v>13.533333333333333</v>
      </c>
      <c r="AI42" s="359">
        <f t="shared" si="20"/>
        <v>16.561796536796539</v>
      </c>
    </row>
    <row r="43" spans="2:35" ht="12" customHeight="1" x14ac:dyDescent="0.15">
      <c r="B43" s="193" t="s">
        <v>79</v>
      </c>
      <c r="C43" s="190">
        <v>6.9</v>
      </c>
      <c r="D43" s="190">
        <v>9.4</v>
      </c>
      <c r="E43" s="190">
        <v>8.5</v>
      </c>
      <c r="F43" s="190">
        <v>7.8</v>
      </c>
      <c r="G43" s="190">
        <v>10.3</v>
      </c>
      <c r="H43" s="190">
        <v>12</v>
      </c>
      <c r="I43" s="190">
        <v>14.3</v>
      </c>
      <c r="J43" s="190">
        <v>8.6999999999999993</v>
      </c>
      <c r="K43" s="190">
        <v>6.4</v>
      </c>
      <c r="L43" s="190">
        <v>3.4</v>
      </c>
      <c r="M43" s="190">
        <v>6.7</v>
      </c>
      <c r="N43" s="190">
        <v>4.3</v>
      </c>
      <c r="O43" s="191">
        <f t="shared" si="0"/>
        <v>8.2250000000000014</v>
      </c>
      <c r="P43" s="191">
        <f t="shared" si="1"/>
        <v>35.692830219128403</v>
      </c>
      <c r="Q43" s="192">
        <f t="shared" si="2"/>
        <v>1</v>
      </c>
      <c r="R43" s="251">
        <f t="shared" si="12"/>
        <v>8.2666666666666675</v>
      </c>
      <c r="S43" s="252">
        <f t="shared" si="15"/>
        <v>1</v>
      </c>
      <c r="T43" s="251">
        <f t="shared" si="13"/>
        <v>9.7999999999999989</v>
      </c>
      <c r="U43" s="252">
        <f t="shared" si="16"/>
        <v>1</v>
      </c>
      <c r="V43" s="253">
        <f t="shared" si="14"/>
        <v>8.2250000000000014</v>
      </c>
      <c r="W43" s="252">
        <f t="shared" si="17"/>
        <v>1</v>
      </c>
      <c r="X43" s="359">
        <f t="shared" si="9"/>
        <v>13.597619047619048</v>
      </c>
      <c r="Y43" s="359">
        <f t="shared" si="10"/>
        <v>19.161904761904761</v>
      </c>
      <c r="Z43" s="359">
        <f t="shared" si="11"/>
        <v>16.561796536796539</v>
      </c>
      <c r="AA43" s="366"/>
      <c r="AB43" s="357" t="str">
        <f>VLOOKUP($B43,'2007-2020 Metadata'!$A$4:$S$214,MATCH("Urban Area /Monitoring Zone",'2007-2020 Metadata'!$A$4:$S$4,0),FALSE)</f>
        <v>Auckland - Western</v>
      </c>
      <c r="AC43" s="255" t="str">
        <f>VLOOKUP(B43,'2007-2020 Metadata'!$A$6:$A$214,1,FALSE)</f>
        <v>AUC058</v>
      </c>
      <c r="AD43" s="361" t="str">
        <f>VLOOKUP($AC43,'2007-2020 Metadata'!$A$6:$S$214,9,FALSE)</f>
        <v>Waitakere</v>
      </c>
      <c r="AE43" s="361">
        <f>IF(ISBLANK(VLOOKUP($AC43,'2007-2020 Metadata'!$A$6:$S$214,19,FALSE)),"",VLOOKUP($AC43,'2007-2020 Metadata'!$A$6:$S$214,19,FALSE))</f>
        <v>3</v>
      </c>
      <c r="AF43" s="360" t="str">
        <f>VLOOKUP($B43,'2007-2020 Metadata'!$A$4:$S$214,MATCH("Site type",'2007-2020 Metadata'!$A$4:$S$4,0),FALSE)</f>
        <v>Background</v>
      </c>
      <c r="AG43" s="365">
        <f t="shared" ref="AG43:AG44" si="38">MIN(AVERAGE($C$42:$C$44),AVERAGE($D$42:$D$44),AVERAGE($E$42:$E$44),AVERAGE($F$42:$F$44),AVERAGE($G$42:$G$44),AVERAGE($H$42:$H$44),AVERAGE($I$42:$I$44),AVERAGE($J$42:$J$44),AVERAGE($K$42:$K$44),AVERAGE($L$42:$L$44),AVERAGE($M$42:$M$44),AVERAGE($N$42:$N$44))</f>
        <v>4.6333333333333337</v>
      </c>
      <c r="AH43" s="365">
        <f t="shared" ref="AH43:AH44" si="39">MAX(AVERAGE($C$42:$C$44),AVERAGE($D$42:$D$44),AVERAGE($E$42:$E$44),AVERAGE($F$42:$F$44),AVERAGE($G$42:$G$44),AVERAGE($H$42:$H$44),AVERAGE($I$42:$I$44),AVERAGE($J$42:$J$44),AVERAGE($K$42:$K$44),AVERAGE($L$42:$L$44),AVERAGE($M$42:$M$44),AVERAGE($N$42:$N$44))</f>
        <v>13.533333333333333</v>
      </c>
      <c r="AI43" s="359">
        <f t="shared" si="20"/>
        <v>16.561796536796539</v>
      </c>
    </row>
    <row r="44" spans="2:35" ht="12" customHeight="1" x14ac:dyDescent="0.15">
      <c r="B44" s="189" t="s">
        <v>80</v>
      </c>
      <c r="C44" s="190">
        <v>6.9</v>
      </c>
      <c r="D44" s="190">
        <v>9.1999999999999993</v>
      </c>
      <c r="E44" s="190">
        <v>9.1</v>
      </c>
      <c r="F44" s="190">
        <v>7.4</v>
      </c>
      <c r="G44" s="190">
        <v>10.6</v>
      </c>
      <c r="H44" s="190">
        <v>12.7</v>
      </c>
      <c r="I44" s="190">
        <v>12.5</v>
      </c>
      <c r="J44" s="190">
        <v>9.9</v>
      </c>
      <c r="K44" s="190">
        <v>6.4</v>
      </c>
      <c r="L44" s="190">
        <v>5.0999999999999996</v>
      </c>
      <c r="M44" s="190">
        <v>6.5</v>
      </c>
      <c r="N44" s="190">
        <v>4.5999999999999996</v>
      </c>
      <c r="O44" s="191">
        <f t="shared" si="0"/>
        <v>8.4083333333333332</v>
      </c>
      <c r="P44" s="191">
        <f t="shared" si="1"/>
        <v>30.651631176656576</v>
      </c>
      <c r="Q44" s="192">
        <f t="shared" si="2"/>
        <v>1</v>
      </c>
      <c r="R44" s="251">
        <f t="shared" si="12"/>
        <v>8.4</v>
      </c>
      <c r="S44" s="252">
        <f t="shared" si="15"/>
        <v>1</v>
      </c>
      <c r="T44" s="251">
        <f t="shared" si="13"/>
        <v>9.6</v>
      </c>
      <c r="U44" s="252">
        <f t="shared" si="16"/>
        <v>1</v>
      </c>
      <c r="V44" s="253">
        <f t="shared" si="14"/>
        <v>8.4083333333333332</v>
      </c>
      <c r="W44" s="252">
        <f t="shared" si="17"/>
        <v>1</v>
      </c>
      <c r="X44" s="359">
        <f t="shared" si="9"/>
        <v>13.597619047619048</v>
      </c>
      <c r="Y44" s="359">
        <f t="shared" si="10"/>
        <v>19.161904761904761</v>
      </c>
      <c r="Z44" s="359">
        <f t="shared" si="11"/>
        <v>16.561796536796539</v>
      </c>
      <c r="AA44" s="366"/>
      <c r="AB44" s="357" t="str">
        <f>VLOOKUP($B44,'2007-2020 Metadata'!$A$4:$S$214,MATCH("Urban Area /Monitoring Zone",'2007-2020 Metadata'!$A$4:$S$4,0),FALSE)</f>
        <v>Auckland - Western</v>
      </c>
      <c r="AC44" s="255" t="str">
        <f>VLOOKUP(B44,'2007-2020 Metadata'!$A$6:$A$214,1,FALSE)</f>
        <v>AUC059</v>
      </c>
      <c r="AD44" s="361" t="str">
        <f>VLOOKUP($AC44,'2007-2020 Metadata'!$A$6:$S$214,9,FALSE)</f>
        <v>Waitakere</v>
      </c>
      <c r="AE44" s="361">
        <f>IF(ISBLANK(VLOOKUP($AC44,'2007-2020 Metadata'!$A$6:$S$214,19,FALSE)),"",VLOOKUP($AC44,'2007-2020 Metadata'!$A$6:$S$214,19,FALSE))</f>
        <v>3</v>
      </c>
      <c r="AF44" s="360" t="str">
        <f>VLOOKUP($B44,'2007-2020 Metadata'!$A$4:$S$214,MATCH("Site type",'2007-2020 Metadata'!$A$4:$S$4,0),FALSE)</f>
        <v>Background</v>
      </c>
      <c r="AG44" s="365">
        <f t="shared" si="38"/>
        <v>4.6333333333333337</v>
      </c>
      <c r="AH44" s="365">
        <f t="shared" si="39"/>
        <v>13.533333333333333</v>
      </c>
      <c r="AI44" s="359">
        <f t="shared" si="20"/>
        <v>16.561796536796539</v>
      </c>
    </row>
    <row r="45" spans="2:35" ht="12" customHeight="1" x14ac:dyDescent="0.15">
      <c r="B45" s="193" t="s">
        <v>81</v>
      </c>
      <c r="C45" s="190"/>
      <c r="D45" s="190">
        <v>26.9</v>
      </c>
      <c r="E45" s="190"/>
      <c r="F45" s="190">
        <v>34.5</v>
      </c>
      <c r="G45" s="190"/>
      <c r="H45" s="190">
        <v>47.9</v>
      </c>
      <c r="I45" s="190">
        <v>40.700000000000003</v>
      </c>
      <c r="J45" s="190">
        <v>35.5</v>
      </c>
      <c r="K45" s="190">
        <v>29.7</v>
      </c>
      <c r="L45" s="190">
        <v>24.4</v>
      </c>
      <c r="M45" s="190">
        <v>27.6</v>
      </c>
      <c r="N45" s="190">
        <v>20.6</v>
      </c>
      <c r="O45" s="191">
        <f t="shared" si="0"/>
        <v>31.977777777777778</v>
      </c>
      <c r="P45" s="191">
        <f t="shared" si="1"/>
        <v>25.220155303911874</v>
      </c>
      <c r="Q45" s="192">
        <f t="shared" si="2"/>
        <v>0.75</v>
      </c>
      <c r="R45" s="332" t="str">
        <f t="shared" si="12"/>
        <v>-</v>
      </c>
      <c r="S45" s="226">
        <f t="shared" si="15"/>
        <v>0.33333333333333331</v>
      </c>
      <c r="T45" s="332">
        <f t="shared" si="13"/>
        <v>35.300000000000004</v>
      </c>
      <c r="U45" s="226">
        <f t="shared" si="16"/>
        <v>1</v>
      </c>
      <c r="V45" s="333">
        <f t="shared" si="14"/>
        <v>31.977777777777778</v>
      </c>
      <c r="W45" s="226">
        <f t="shared" si="17"/>
        <v>0.75</v>
      </c>
      <c r="X45" s="144">
        <f t="shared" si="9"/>
        <v>21.464999999999996</v>
      </c>
      <c r="Y45" s="144">
        <f t="shared" si="10"/>
        <v>33.945454545454545</v>
      </c>
      <c r="Z45" s="144">
        <f t="shared" si="11"/>
        <v>28.335858585858588</v>
      </c>
      <c r="AA45" s="249"/>
      <c r="AB45" s="357" t="str">
        <f>VLOOKUP($B45,'2007-2020 Metadata'!$A$4:$S$214,MATCH("Urban Area /Monitoring Zone",'2007-2020 Metadata'!$A$4:$S$4,0),FALSE)</f>
        <v>Auckland - Central</v>
      </c>
      <c r="AC45" s="334" t="str">
        <f>VLOOKUP(B45,'2007-2020 Metadata'!$A$6:$A$214,1,FALSE)</f>
        <v>AUC060</v>
      </c>
      <c r="AD45" s="250" t="str">
        <f>VLOOKUP($AC45,'2007-2020 Metadata'!$A$6:$S$214,9,FALSE)</f>
        <v>Auckland</v>
      </c>
      <c r="AE45" s="250">
        <f>IF(ISBLANK(VLOOKUP($AC45,'2007-2020 Metadata'!$A$6:$S$214,19,FALSE)),"",VLOOKUP($AC45,'2007-2020 Metadata'!$A$6:$S$214,19,FALSE))</f>
        <v>3</v>
      </c>
      <c r="AF45" s="335" t="str">
        <f>VLOOKUP($B45,'2007-2020 Metadata'!$A$4:$S$214,MATCH("Site type",'2007-2020 Metadata'!$A$4:$S$4,0),FALSE)</f>
        <v>Local</v>
      </c>
      <c r="AG45" s="336">
        <f t="shared" ref="AG45:AG49" si="40">MIN(C45:N45)</f>
        <v>20.6</v>
      </c>
      <c r="AH45" s="336">
        <f t="shared" ref="AH45:AH49" si="41">MAX(C45:N45)</f>
        <v>47.9</v>
      </c>
      <c r="AI45" s="267">
        <f t="shared" si="20"/>
        <v>28.335858585858588</v>
      </c>
    </row>
    <row r="46" spans="2:35" ht="12" customHeight="1" x14ac:dyDescent="0.15">
      <c r="B46" s="193" t="s">
        <v>82</v>
      </c>
      <c r="C46" s="190">
        <v>17.7</v>
      </c>
      <c r="D46" s="190">
        <v>26.5</v>
      </c>
      <c r="E46" s="190">
        <v>27.9</v>
      </c>
      <c r="F46" s="190">
        <v>30.5</v>
      </c>
      <c r="G46" s="190">
        <v>38.799999999999997</v>
      </c>
      <c r="H46" s="190">
        <v>51.4</v>
      </c>
      <c r="I46" s="190">
        <v>42.8</v>
      </c>
      <c r="J46" s="190">
        <v>38.9</v>
      </c>
      <c r="K46" s="190">
        <v>24.5</v>
      </c>
      <c r="L46" s="190">
        <v>26.4</v>
      </c>
      <c r="M46" s="190">
        <v>27.1</v>
      </c>
      <c r="N46" s="190">
        <v>16.7</v>
      </c>
      <c r="O46" s="191">
        <f t="shared" si="0"/>
        <v>30.766666666666662</v>
      </c>
      <c r="P46" s="191">
        <f t="shared" si="1"/>
        <v>32.067874992199471</v>
      </c>
      <c r="Q46" s="192">
        <f t="shared" si="2"/>
        <v>1</v>
      </c>
      <c r="R46" s="332">
        <f t="shared" si="12"/>
        <v>24.033333333333331</v>
      </c>
      <c r="S46" s="226">
        <f t="shared" si="15"/>
        <v>1</v>
      </c>
      <c r="T46" s="332">
        <f t="shared" si="13"/>
        <v>35.4</v>
      </c>
      <c r="U46" s="226">
        <f t="shared" si="16"/>
        <v>1</v>
      </c>
      <c r="V46" s="333">
        <f t="shared" si="14"/>
        <v>30.766666666666662</v>
      </c>
      <c r="W46" s="226">
        <f t="shared" si="17"/>
        <v>1</v>
      </c>
      <c r="X46" s="144">
        <f t="shared" si="9"/>
        <v>21.464999999999996</v>
      </c>
      <c r="Y46" s="144">
        <f t="shared" si="10"/>
        <v>33.945454545454545</v>
      </c>
      <c r="Z46" s="144">
        <f t="shared" si="11"/>
        <v>28.335858585858588</v>
      </c>
      <c r="AA46" s="249"/>
      <c r="AB46" s="357" t="str">
        <f>VLOOKUP($B46,'2007-2020 Metadata'!$A$4:$S$214,MATCH("Urban Area /Monitoring Zone",'2007-2020 Metadata'!$A$4:$S$4,0),FALSE)</f>
        <v>Auckland - Central</v>
      </c>
      <c r="AC46" s="334" t="str">
        <f>VLOOKUP(B46,'2007-2020 Metadata'!$A$6:$A$214,1,FALSE)</f>
        <v>AUC061</v>
      </c>
      <c r="AD46" s="250" t="str">
        <f>VLOOKUP($AC46,'2007-2020 Metadata'!$A$6:$S$214,9,FALSE)</f>
        <v>Auckland</v>
      </c>
      <c r="AE46" s="250">
        <f>IF(ISBLANK(VLOOKUP($AC46,'2007-2020 Metadata'!$A$6:$S$214,19,FALSE)),"",VLOOKUP($AC46,'2007-2020 Metadata'!$A$6:$S$214,19,FALSE))</f>
        <v>3</v>
      </c>
      <c r="AF46" s="335" t="str">
        <f>VLOOKUP($B46,'2007-2020 Metadata'!$A$4:$S$214,MATCH("Site type",'2007-2020 Metadata'!$A$4:$S$4,0),FALSE)</f>
        <v>Local</v>
      </c>
      <c r="AG46" s="336">
        <f t="shared" si="40"/>
        <v>16.7</v>
      </c>
      <c r="AH46" s="336">
        <f t="shared" si="41"/>
        <v>51.4</v>
      </c>
      <c r="AI46" s="267">
        <f t="shared" si="20"/>
        <v>28.335858585858588</v>
      </c>
    </row>
    <row r="47" spans="2:35" ht="12" customHeight="1" x14ac:dyDescent="0.15">
      <c r="B47" s="193" t="s">
        <v>83</v>
      </c>
      <c r="C47" s="190"/>
      <c r="D47" s="190">
        <v>17.8</v>
      </c>
      <c r="E47" s="190">
        <v>23.3</v>
      </c>
      <c r="F47" s="190"/>
      <c r="G47" s="190">
        <v>28.2</v>
      </c>
      <c r="H47" s="190">
        <v>35.1</v>
      </c>
      <c r="I47" s="190">
        <v>31.7</v>
      </c>
      <c r="J47" s="190">
        <v>27.5</v>
      </c>
      <c r="K47" s="190">
        <v>26.6</v>
      </c>
      <c r="L47" s="190">
        <v>26.3</v>
      </c>
      <c r="M47" s="190">
        <v>17.7</v>
      </c>
      <c r="N47" s="190">
        <v>15</v>
      </c>
      <c r="O47" s="191">
        <f t="shared" si="0"/>
        <v>24.919999999999998</v>
      </c>
      <c r="P47" s="191">
        <f t="shared" si="1"/>
        <v>24.593052747047729</v>
      </c>
      <c r="Q47" s="192">
        <f t="shared" si="2"/>
        <v>0.83333333333333337</v>
      </c>
      <c r="R47" s="332">
        <f t="shared" si="12"/>
        <v>20.55</v>
      </c>
      <c r="S47" s="226">
        <f t="shared" si="15"/>
        <v>0.66666666666666663</v>
      </c>
      <c r="T47" s="332">
        <f t="shared" si="13"/>
        <v>28.600000000000005</v>
      </c>
      <c r="U47" s="226">
        <f t="shared" si="16"/>
        <v>1</v>
      </c>
      <c r="V47" s="333">
        <f t="shared" si="14"/>
        <v>24.919999999999998</v>
      </c>
      <c r="W47" s="226">
        <f t="shared" si="17"/>
        <v>0.83333333333333337</v>
      </c>
      <c r="X47" s="144">
        <f t="shared" si="9"/>
        <v>21.464999999999996</v>
      </c>
      <c r="Y47" s="144">
        <f t="shared" si="10"/>
        <v>33.945454545454545</v>
      </c>
      <c r="Z47" s="144">
        <f t="shared" si="11"/>
        <v>28.335858585858588</v>
      </c>
      <c r="AA47" s="249"/>
      <c r="AB47" s="357" t="str">
        <f>VLOOKUP($B47,'2007-2020 Metadata'!$A$4:$S$214,MATCH("Urban Area /Monitoring Zone",'2007-2020 Metadata'!$A$4:$S$4,0),FALSE)</f>
        <v>Auckland - Central</v>
      </c>
      <c r="AC47" s="334" t="str">
        <f>VLOOKUP(B47,'2007-2020 Metadata'!$A$6:$A$214,1,FALSE)</f>
        <v>AUC062</v>
      </c>
      <c r="AD47" s="250" t="str">
        <f>VLOOKUP($AC47,'2007-2020 Metadata'!$A$6:$S$214,9,FALSE)</f>
        <v>Auckland</v>
      </c>
      <c r="AE47" s="250">
        <f>IF(ISBLANK(VLOOKUP($AC47,'2007-2020 Metadata'!$A$6:$S$214,19,FALSE)),"",VLOOKUP($AC47,'2007-2020 Metadata'!$A$6:$S$214,19,FALSE))</f>
        <v>2.5</v>
      </c>
      <c r="AF47" s="335" t="str">
        <f>VLOOKUP($B47,'2007-2020 Metadata'!$A$4:$S$214,MATCH("Site type",'2007-2020 Metadata'!$A$4:$S$4,0),FALSE)</f>
        <v>Local</v>
      </c>
      <c r="AG47" s="336">
        <f t="shared" si="40"/>
        <v>15</v>
      </c>
      <c r="AH47" s="336">
        <f t="shared" si="41"/>
        <v>35.1</v>
      </c>
      <c r="AI47" s="267">
        <f t="shared" si="20"/>
        <v>28.335858585858588</v>
      </c>
    </row>
    <row r="48" spans="2:35" ht="12" customHeight="1" x14ac:dyDescent="0.15">
      <c r="B48" s="193" t="s">
        <v>84</v>
      </c>
      <c r="C48" s="190">
        <v>25.8</v>
      </c>
      <c r="D48" s="190">
        <v>25.5</v>
      </c>
      <c r="E48" s="190">
        <v>30.7</v>
      </c>
      <c r="F48" s="190">
        <v>30.4</v>
      </c>
      <c r="G48" s="190">
        <v>36.1</v>
      </c>
      <c r="H48" s="190">
        <v>34.1</v>
      </c>
      <c r="I48" s="190">
        <v>35.5</v>
      </c>
      <c r="J48" s="190">
        <v>34</v>
      </c>
      <c r="K48" s="190">
        <v>35.4</v>
      </c>
      <c r="L48" s="190">
        <v>26.1</v>
      </c>
      <c r="M48" s="190">
        <v>26.7</v>
      </c>
      <c r="N48" s="190">
        <v>22</v>
      </c>
      <c r="O48" s="191">
        <f t="shared" si="0"/>
        <v>30.191666666666666</v>
      </c>
      <c r="P48" s="191">
        <f t="shared" si="1"/>
        <v>15.346869612707808</v>
      </c>
      <c r="Q48" s="192">
        <f t="shared" si="2"/>
        <v>1</v>
      </c>
      <c r="R48" s="332">
        <f t="shared" si="12"/>
        <v>27.333333333333332</v>
      </c>
      <c r="S48" s="226">
        <f t="shared" si="15"/>
        <v>1</v>
      </c>
      <c r="T48" s="332">
        <f t="shared" si="13"/>
        <v>34.966666666666669</v>
      </c>
      <c r="U48" s="226">
        <f t="shared" si="16"/>
        <v>1</v>
      </c>
      <c r="V48" s="333">
        <f t="shared" si="14"/>
        <v>30.191666666666666</v>
      </c>
      <c r="W48" s="226">
        <f t="shared" si="17"/>
        <v>1</v>
      </c>
      <c r="X48" s="144">
        <f t="shared" si="9"/>
        <v>13.597619047619048</v>
      </c>
      <c r="Y48" s="144">
        <f t="shared" si="10"/>
        <v>19.161904761904761</v>
      </c>
      <c r="Z48" s="144">
        <f t="shared" si="11"/>
        <v>16.561796536796539</v>
      </c>
      <c r="AA48" s="249"/>
      <c r="AB48" s="357" t="str">
        <f>VLOOKUP($B48,'2007-2020 Metadata'!$A$4:$S$214,MATCH("Urban Area /Monitoring Zone",'2007-2020 Metadata'!$A$4:$S$4,0),FALSE)</f>
        <v>Auckland - Western</v>
      </c>
      <c r="AC48" s="334" t="str">
        <f>VLOOKUP(B48,'2007-2020 Metadata'!$A$6:$A$214,1,FALSE)</f>
        <v>AUC063</v>
      </c>
      <c r="AD48" s="250" t="str">
        <f>VLOOKUP($AC48,'2007-2020 Metadata'!$A$6:$S$214,9,FALSE)</f>
        <v>Waitakere</v>
      </c>
      <c r="AE48" s="250">
        <f>IF(ISBLANK(VLOOKUP($AC48,'2007-2020 Metadata'!$A$6:$S$214,19,FALSE)),"",VLOOKUP($AC48,'2007-2020 Metadata'!$A$6:$S$214,19,FALSE))</f>
        <v>3</v>
      </c>
      <c r="AF48" s="335" t="str">
        <f>VLOOKUP($B48,'2007-2020 Metadata'!$A$4:$S$214,MATCH("Site type",'2007-2020 Metadata'!$A$4:$S$4,0),FALSE)</f>
        <v>Local</v>
      </c>
      <c r="AG48" s="336">
        <f t="shared" si="40"/>
        <v>22</v>
      </c>
      <c r="AH48" s="336">
        <f t="shared" si="41"/>
        <v>36.1</v>
      </c>
      <c r="AI48" s="267">
        <f t="shared" si="20"/>
        <v>16.561796536796539</v>
      </c>
    </row>
    <row r="49" spans="2:35" ht="12" customHeight="1" x14ac:dyDescent="0.15">
      <c r="B49" s="193" t="s">
        <v>85</v>
      </c>
      <c r="C49" s="190">
        <v>14.2</v>
      </c>
      <c r="D49" s="190">
        <v>18.5</v>
      </c>
      <c r="E49" s="190">
        <v>20.399999999999999</v>
      </c>
      <c r="F49" s="190">
        <v>21.2</v>
      </c>
      <c r="G49" s="190">
        <v>27</v>
      </c>
      <c r="H49" s="190">
        <v>33.200000000000003</v>
      </c>
      <c r="I49" s="190">
        <v>34.299999999999997</v>
      </c>
      <c r="J49" s="190">
        <v>30.2</v>
      </c>
      <c r="K49" s="190">
        <v>19.100000000000001</v>
      </c>
      <c r="L49" s="190">
        <v>17.100000000000001</v>
      </c>
      <c r="M49" s="190">
        <v>21</v>
      </c>
      <c r="N49" s="190">
        <v>11.6</v>
      </c>
      <c r="O49" s="191">
        <f t="shared" si="0"/>
        <v>22.316666666666666</v>
      </c>
      <c r="P49" s="191">
        <f t="shared" si="1"/>
        <v>31.303592424011462</v>
      </c>
      <c r="Q49" s="192">
        <f t="shared" si="2"/>
        <v>1</v>
      </c>
      <c r="R49" s="332">
        <f t="shared" si="12"/>
        <v>17.7</v>
      </c>
      <c r="S49" s="226">
        <f t="shared" si="15"/>
        <v>1</v>
      </c>
      <c r="T49" s="332">
        <f t="shared" si="13"/>
        <v>27.866666666666664</v>
      </c>
      <c r="U49" s="226">
        <f t="shared" si="16"/>
        <v>1</v>
      </c>
      <c r="V49" s="333">
        <f t="shared" si="14"/>
        <v>22.316666666666666</v>
      </c>
      <c r="W49" s="226">
        <f t="shared" si="17"/>
        <v>1</v>
      </c>
      <c r="X49" s="144">
        <f t="shared" si="9"/>
        <v>21.464999999999996</v>
      </c>
      <c r="Y49" s="144">
        <f t="shared" si="10"/>
        <v>33.945454545454545</v>
      </c>
      <c r="Z49" s="144">
        <f t="shared" si="11"/>
        <v>28.335858585858588</v>
      </c>
      <c r="AA49" s="249"/>
      <c r="AB49" s="357" t="str">
        <f>VLOOKUP($B49,'2007-2020 Metadata'!$A$4:$S$214,MATCH("Urban Area /Monitoring Zone",'2007-2020 Metadata'!$A$4:$S$4,0),FALSE)</f>
        <v>Auckland - Central</v>
      </c>
      <c r="AC49" s="334" t="str">
        <f>VLOOKUP(B49,'2007-2020 Metadata'!$A$6:$A$214,1,FALSE)</f>
        <v>AUC064</v>
      </c>
      <c r="AD49" s="250" t="str">
        <f>VLOOKUP($AC49,'2007-2020 Metadata'!$A$6:$S$214,9,FALSE)</f>
        <v>Auckland</v>
      </c>
      <c r="AE49" s="250">
        <f>IF(ISBLANK(VLOOKUP($AC49,'2007-2020 Metadata'!$A$6:$S$214,19,FALSE)),"",VLOOKUP($AC49,'2007-2020 Metadata'!$A$6:$S$214,19,FALSE))</f>
        <v>3</v>
      </c>
      <c r="AF49" s="335" t="str">
        <f>VLOOKUP($B49,'2007-2020 Metadata'!$A$4:$S$214,MATCH("Site type",'2007-2020 Metadata'!$A$4:$S$4,0),FALSE)</f>
        <v>Local</v>
      </c>
      <c r="AG49" s="336">
        <f t="shared" si="40"/>
        <v>11.6</v>
      </c>
      <c r="AH49" s="336">
        <f t="shared" si="41"/>
        <v>34.299999999999997</v>
      </c>
      <c r="AI49" s="267">
        <f t="shared" si="20"/>
        <v>28.335858585858588</v>
      </c>
    </row>
    <row r="50" spans="2:35" ht="12" customHeight="1" x14ac:dyDescent="0.15">
      <c r="B50" s="193" t="s">
        <v>86</v>
      </c>
      <c r="C50" s="190">
        <v>16.399999999999999</v>
      </c>
      <c r="D50" s="190">
        <v>19.7</v>
      </c>
      <c r="E50" s="190">
        <v>21.5</v>
      </c>
      <c r="F50" s="190">
        <v>32.200000000000003</v>
      </c>
      <c r="G50" s="190">
        <v>33.1</v>
      </c>
      <c r="H50" s="190">
        <v>41.1</v>
      </c>
      <c r="I50" s="190">
        <v>41.4</v>
      </c>
      <c r="J50" s="190">
        <v>33.299999999999997</v>
      </c>
      <c r="K50" s="190">
        <v>28.7</v>
      </c>
      <c r="L50" s="190">
        <v>28.4</v>
      </c>
      <c r="M50" s="190">
        <v>22.2</v>
      </c>
      <c r="N50" s="190">
        <v>19.2</v>
      </c>
      <c r="O50" s="191">
        <f t="shared" si="0"/>
        <v>28.099999999999994</v>
      </c>
      <c r="P50" s="191">
        <f t="shared" si="1"/>
        <v>28.695354637739939</v>
      </c>
      <c r="Q50" s="192">
        <f t="shared" si="2"/>
        <v>1</v>
      </c>
      <c r="R50" s="332">
        <f t="shared" si="12"/>
        <v>19.2</v>
      </c>
      <c r="S50" s="226">
        <f t="shared" si="15"/>
        <v>1</v>
      </c>
      <c r="T50" s="332">
        <f t="shared" si="13"/>
        <v>34.466666666666661</v>
      </c>
      <c r="U50" s="226">
        <f t="shared" si="16"/>
        <v>1</v>
      </c>
      <c r="V50" s="333">
        <f t="shared" si="14"/>
        <v>28.099999999999994</v>
      </c>
      <c r="W50" s="226">
        <f t="shared" si="17"/>
        <v>1</v>
      </c>
      <c r="X50" s="144">
        <f t="shared" si="9"/>
        <v>17.454166666666666</v>
      </c>
      <c r="Y50" s="144">
        <f t="shared" si="10"/>
        <v>27.231249999999992</v>
      </c>
      <c r="Z50" s="144">
        <f t="shared" si="11"/>
        <v>22.236111111111114</v>
      </c>
      <c r="AA50" s="249"/>
      <c r="AB50" s="357" t="str">
        <f>VLOOKUP($B50,'2007-2020 Metadata'!$A$4:$S$214,MATCH("Urban Area /Monitoring Zone",'2007-2020 Metadata'!$A$4:$S$4,0),FALSE)</f>
        <v xml:space="preserve">Auckland - Southern </v>
      </c>
      <c r="AC50" s="334" t="str">
        <f>VLOOKUP(B50,'2007-2020 Metadata'!$A$6:$A$214,1,FALSE)</f>
        <v>AUC067</v>
      </c>
      <c r="AD50" s="250" t="str">
        <f>VLOOKUP($AC50,'2007-2020 Metadata'!$A$6:$S$214,9,FALSE)</f>
        <v>Manukau</v>
      </c>
      <c r="AE50" s="250">
        <f>IF(ISBLANK(VLOOKUP($AC50,'2007-2020 Metadata'!$A$6:$S$214,19,FALSE)),"",VLOOKUP($AC50,'2007-2020 Metadata'!$A$6:$S$214,19,FALSE))</f>
        <v>3</v>
      </c>
      <c r="AF50" s="335" t="str">
        <f>VLOOKUP($B50,'2007-2020 Metadata'!$A$4:$S$214,MATCH("Site type",'2007-2020 Metadata'!$A$4:$S$4,0),FALSE)</f>
        <v>SH</v>
      </c>
      <c r="AG50" s="336">
        <f t="shared" ref="AG50:AG52" si="42">MIN(AVERAGE($C$13:$C$15),AVERAGE($D$13:$D$15),AVERAGE($E$13:$E$15),AVERAGE($F$13:$F$15),AVERAGE($G$13:$G$15),AVERAGE($H$13:$H$15),AVERAGE($I$13:$I$15),AVERAGE($J$13:$J$15),AVERAGE($K$13:$K$15),AVERAGE($L$13:$L$15),AVERAGE($M$13:$M$15),AVERAGE($N$13:$N$15))</f>
        <v>14.366666666666667</v>
      </c>
      <c r="AH50" s="336">
        <f t="shared" ref="AH50:AH52" si="43">MAX(AVERAGE($C$13:$C$15),AVERAGE($D$13:$D$15),AVERAGE($E$13:$E$15),AVERAGE($F$13:$F$15),AVERAGE($G$13:$G$15),AVERAGE($H$13:$H$15),AVERAGE($I$13:$I$15),AVERAGE($J$13:$J$15),AVERAGE($K$13:$K$15),AVERAGE($L$13:$L$15),AVERAGE($M$13:$M$15),AVERAGE($N$13:$N$15))</f>
        <v>44.300000000000004</v>
      </c>
      <c r="AI50" s="267">
        <f t="shared" si="20"/>
        <v>22.236111111111114</v>
      </c>
    </row>
    <row r="51" spans="2:35" ht="12" customHeight="1" x14ac:dyDescent="0.15">
      <c r="B51" s="193" t="s">
        <v>88</v>
      </c>
      <c r="C51" s="190">
        <v>18.899999999999999</v>
      </c>
      <c r="D51" s="190">
        <v>21.9</v>
      </c>
      <c r="E51" s="190">
        <v>25.6</v>
      </c>
      <c r="F51" s="190">
        <v>27.2</v>
      </c>
      <c r="G51" s="190">
        <v>33.200000000000003</v>
      </c>
      <c r="H51" s="190">
        <v>37.5</v>
      </c>
      <c r="I51" s="190">
        <v>41.4</v>
      </c>
      <c r="J51" s="190">
        <v>32.799999999999997</v>
      </c>
      <c r="K51" s="190">
        <v>21.5</v>
      </c>
      <c r="L51" s="190">
        <v>22.3</v>
      </c>
      <c r="M51" s="190">
        <v>24.2</v>
      </c>
      <c r="N51" s="190">
        <v>12.8</v>
      </c>
      <c r="O51" s="191">
        <f t="shared" si="0"/>
        <v>26.608333333333334</v>
      </c>
      <c r="P51" s="191">
        <f t="shared" si="1"/>
        <v>29.578122687047514</v>
      </c>
      <c r="Q51" s="192">
        <f t="shared" si="2"/>
        <v>1</v>
      </c>
      <c r="R51" s="332">
        <f t="shared" si="12"/>
        <v>22.133333333333336</v>
      </c>
      <c r="S51" s="226">
        <f t="shared" si="15"/>
        <v>1</v>
      </c>
      <c r="T51" s="332">
        <f t="shared" si="13"/>
        <v>31.899999999999995</v>
      </c>
      <c r="U51" s="226">
        <f t="shared" si="16"/>
        <v>1</v>
      </c>
      <c r="V51" s="333">
        <f t="shared" si="14"/>
        <v>26.608333333333334</v>
      </c>
      <c r="W51" s="226">
        <f t="shared" si="17"/>
        <v>1</v>
      </c>
      <c r="X51" s="144">
        <f t="shared" si="9"/>
        <v>17.454166666666666</v>
      </c>
      <c r="Y51" s="144">
        <f t="shared" si="10"/>
        <v>27.231249999999992</v>
      </c>
      <c r="Z51" s="144">
        <f t="shared" si="11"/>
        <v>22.236111111111114</v>
      </c>
      <c r="AA51" s="249"/>
      <c r="AB51" s="357" t="str">
        <f>VLOOKUP($B51,'2007-2020 Metadata'!$A$4:$S$214,MATCH("Urban Area /Monitoring Zone",'2007-2020 Metadata'!$A$4:$S$4,0),FALSE)</f>
        <v xml:space="preserve">Auckland - Southern </v>
      </c>
      <c r="AC51" s="334" t="str">
        <f>VLOOKUP(B51,'2007-2020 Metadata'!$A$6:$A$214,1,FALSE)</f>
        <v>AUC069</v>
      </c>
      <c r="AD51" s="250" t="str">
        <f>VLOOKUP($AC51,'2007-2020 Metadata'!$A$6:$S$214,9,FALSE)</f>
        <v>Manukau</v>
      </c>
      <c r="AE51" s="250">
        <f>IF(ISBLANK(VLOOKUP($AC51,'2007-2020 Metadata'!$A$6:$S$214,19,FALSE)),"",VLOOKUP($AC51,'2007-2020 Metadata'!$A$6:$S$214,19,FALSE))</f>
        <v>3</v>
      </c>
      <c r="AF51" s="335" t="str">
        <f>VLOOKUP($B51,'2007-2020 Metadata'!$A$4:$S$214,MATCH("Site type",'2007-2020 Metadata'!$A$4:$S$4,0),FALSE)</f>
        <v>Local</v>
      </c>
      <c r="AG51" s="336">
        <f t="shared" si="42"/>
        <v>14.366666666666667</v>
      </c>
      <c r="AH51" s="336">
        <f t="shared" si="43"/>
        <v>44.300000000000004</v>
      </c>
      <c r="AI51" s="267">
        <f t="shared" si="20"/>
        <v>22.236111111111114</v>
      </c>
    </row>
    <row r="52" spans="2:35" ht="12" customHeight="1" x14ac:dyDescent="0.15">
      <c r="B52" s="193" t="s">
        <v>89</v>
      </c>
      <c r="C52" s="190"/>
      <c r="D52" s="190">
        <v>14.9</v>
      </c>
      <c r="E52" s="190">
        <v>16.899999999999999</v>
      </c>
      <c r="F52" s="190">
        <v>20.9</v>
      </c>
      <c r="G52" s="190">
        <v>25.4</v>
      </c>
      <c r="H52" s="190"/>
      <c r="I52" s="190"/>
      <c r="J52" s="190">
        <v>24.9</v>
      </c>
      <c r="K52" s="190">
        <v>18.600000000000001</v>
      </c>
      <c r="L52" s="190">
        <v>16.8</v>
      </c>
      <c r="M52" s="190">
        <v>17.5</v>
      </c>
      <c r="N52" s="190">
        <v>10.199999999999999</v>
      </c>
      <c r="O52" s="191">
        <f t="shared" si="0"/>
        <v>18.455555555555556</v>
      </c>
      <c r="P52" s="191">
        <f t="shared" si="1"/>
        <v>24.407788638840898</v>
      </c>
      <c r="Q52" s="192">
        <f t="shared" si="2"/>
        <v>0.75</v>
      </c>
      <c r="R52" s="332">
        <f t="shared" si="12"/>
        <v>15.899999999999999</v>
      </c>
      <c r="S52" s="226">
        <f t="shared" si="15"/>
        <v>0.66666666666666663</v>
      </c>
      <c r="T52" s="332">
        <f t="shared" si="13"/>
        <v>21.75</v>
      </c>
      <c r="U52" s="226">
        <f t="shared" si="16"/>
        <v>0.66666666666666663</v>
      </c>
      <c r="V52" s="333">
        <f t="shared" si="14"/>
        <v>18.455555555555556</v>
      </c>
      <c r="W52" s="226">
        <f t="shared" si="17"/>
        <v>0.75</v>
      </c>
      <c r="X52" s="144">
        <f t="shared" si="9"/>
        <v>17.454166666666666</v>
      </c>
      <c r="Y52" s="144">
        <f t="shared" si="10"/>
        <v>27.231249999999992</v>
      </c>
      <c r="Z52" s="144">
        <f t="shared" si="11"/>
        <v>22.236111111111114</v>
      </c>
      <c r="AA52" s="249"/>
      <c r="AB52" s="357" t="str">
        <f>VLOOKUP($B52,'2007-2020 Metadata'!$A$4:$S$214,MATCH("Urban Area /Monitoring Zone",'2007-2020 Metadata'!$A$4:$S$4,0),FALSE)</f>
        <v xml:space="preserve">Auckland - Southern </v>
      </c>
      <c r="AC52" s="334" t="str">
        <f>VLOOKUP(B52,'2007-2020 Metadata'!$A$6:$A$214,1,FALSE)</f>
        <v>AUC070</v>
      </c>
      <c r="AD52" s="250" t="str">
        <f>VLOOKUP($AC52,'2007-2020 Metadata'!$A$6:$S$214,9,FALSE)</f>
        <v>Manukau</v>
      </c>
      <c r="AE52" s="250">
        <f>IF(ISBLANK(VLOOKUP($AC52,'2007-2020 Metadata'!$A$6:$S$214,19,FALSE)),"",VLOOKUP($AC52,'2007-2020 Metadata'!$A$6:$S$214,19,FALSE))</f>
        <v>2.5</v>
      </c>
      <c r="AF52" s="335" t="str">
        <f>VLOOKUP($B52,'2007-2020 Metadata'!$A$4:$S$214,MATCH("Site type",'2007-2020 Metadata'!$A$4:$S$4,0),FALSE)</f>
        <v>Local</v>
      </c>
      <c r="AG52" s="336">
        <f t="shared" si="42"/>
        <v>14.366666666666667</v>
      </c>
      <c r="AH52" s="336">
        <f t="shared" si="43"/>
        <v>44.300000000000004</v>
      </c>
      <c r="AI52" s="267">
        <f t="shared" si="20"/>
        <v>22.236111111111114</v>
      </c>
    </row>
    <row r="53" spans="2:35" ht="12" customHeight="1" x14ac:dyDescent="0.15">
      <c r="B53" s="193" t="s">
        <v>1040</v>
      </c>
      <c r="C53" s="190">
        <v>15.8</v>
      </c>
      <c r="D53" s="190">
        <v>19.7</v>
      </c>
      <c r="E53" s="190">
        <v>25.8</v>
      </c>
      <c r="F53" s="190">
        <v>28.6</v>
      </c>
      <c r="G53" s="190">
        <v>35.200000000000003</v>
      </c>
      <c r="H53" s="190">
        <v>41</v>
      </c>
      <c r="I53" s="190">
        <v>40</v>
      </c>
      <c r="J53" s="190">
        <v>33.200000000000003</v>
      </c>
      <c r="K53" s="190">
        <v>29.2</v>
      </c>
      <c r="L53" s="190">
        <v>28.4</v>
      </c>
      <c r="M53" s="190">
        <v>23.7</v>
      </c>
      <c r="N53" s="190">
        <v>18.3</v>
      </c>
      <c r="O53" s="191">
        <f t="shared" si="0"/>
        <v>28.241666666666664</v>
      </c>
      <c r="P53" s="191">
        <f t="shared" si="1"/>
        <v>27.584872383533508</v>
      </c>
      <c r="Q53" s="192">
        <f t="shared" si="2"/>
        <v>1</v>
      </c>
      <c r="R53" s="332">
        <f t="shared" si="12"/>
        <v>20.433333333333334</v>
      </c>
      <c r="S53" s="226">
        <f t="shared" si="15"/>
        <v>1</v>
      </c>
      <c r="T53" s="332">
        <f t="shared" si="13"/>
        <v>34.133333333333333</v>
      </c>
      <c r="U53" s="226">
        <f t="shared" si="16"/>
        <v>1</v>
      </c>
      <c r="V53" s="333">
        <f t="shared" si="14"/>
        <v>28.241666666666664</v>
      </c>
      <c r="W53" s="226">
        <f t="shared" si="17"/>
        <v>1</v>
      </c>
      <c r="X53" s="144">
        <f t="shared" si="9"/>
        <v>20.433333333333334</v>
      </c>
      <c r="Y53" s="144">
        <f t="shared" si="10"/>
        <v>34.133333333333333</v>
      </c>
      <c r="Z53" s="144">
        <f t="shared" si="11"/>
        <v>28.241666666666664</v>
      </c>
      <c r="AA53" s="249"/>
      <c r="AB53" s="357">
        <f>VLOOKUP($B53,'2007-2020 Metadata'!$A$4:$S$214,MATCH("Urban Area /Monitoring Zone",'2007-2020 Metadata'!$A$4:$S$4,0),FALSE)</f>
        <v>0</v>
      </c>
      <c r="AC53" s="334" t="str">
        <f>VLOOKUP(B53,'2007-2020 Metadata'!$A$6:$A$214,1,FALSE)</f>
        <v>AUC071a</v>
      </c>
      <c r="AD53" s="250">
        <f>VLOOKUP($AC53,'2007-2020 Metadata'!$A$6:$S$214,9,FALSE)</f>
        <v>0</v>
      </c>
      <c r="AE53" s="250" t="str">
        <f>IF(ISBLANK(VLOOKUP($AC53,'2007-2020 Metadata'!$A$6:$S$214,19,FALSE)),"",VLOOKUP($AC53,'2007-2020 Metadata'!$A$6:$S$214,19,FALSE))</f>
        <v/>
      </c>
      <c r="AF53" s="335" t="str">
        <f>VLOOKUP($B53,'2007-2020 Metadata'!$A$4:$S$214,MATCH("Site type",'2007-2020 Metadata'!$A$4:$S$4,0),FALSE)</f>
        <v>Local</v>
      </c>
      <c r="AG53" s="336">
        <f t="shared" ref="AG53:AG61" si="44">MIN(C53:N53)</f>
        <v>15.8</v>
      </c>
      <c r="AH53" s="336">
        <f t="shared" ref="AH53:AH61" si="45">MAX(C53:N53)</f>
        <v>41</v>
      </c>
      <c r="AI53" s="267">
        <f t="shared" si="20"/>
        <v>28.241666666666664</v>
      </c>
    </row>
    <row r="54" spans="2:35" ht="12" customHeight="1" x14ac:dyDescent="0.15">
      <c r="B54" s="193" t="s">
        <v>91</v>
      </c>
      <c r="C54" s="190">
        <v>15.3</v>
      </c>
      <c r="D54" s="190">
        <v>17.3</v>
      </c>
      <c r="E54" s="190">
        <v>21.3</v>
      </c>
      <c r="F54" s="190">
        <v>26.9</v>
      </c>
      <c r="G54" s="190">
        <v>17</v>
      </c>
      <c r="H54" s="190">
        <v>29.6</v>
      </c>
      <c r="I54" s="190">
        <v>25.3</v>
      </c>
      <c r="J54" s="190">
        <v>26.2</v>
      </c>
      <c r="K54" s="190">
        <v>25.6</v>
      </c>
      <c r="L54" s="190">
        <v>22.5</v>
      </c>
      <c r="M54" s="190">
        <v>19.100000000000001</v>
      </c>
      <c r="N54" s="190">
        <v>14.6</v>
      </c>
      <c r="O54" s="191">
        <f t="shared" si="0"/>
        <v>21.724999999999998</v>
      </c>
      <c r="P54" s="191">
        <f t="shared" si="1"/>
        <v>22.164672837103737</v>
      </c>
      <c r="Q54" s="192">
        <f t="shared" si="2"/>
        <v>1</v>
      </c>
      <c r="R54" s="332">
        <f t="shared" si="12"/>
        <v>17.966666666666669</v>
      </c>
      <c r="S54" s="226">
        <f t="shared" si="15"/>
        <v>1</v>
      </c>
      <c r="T54" s="332">
        <f t="shared" si="13"/>
        <v>25.7</v>
      </c>
      <c r="U54" s="226">
        <f t="shared" si="16"/>
        <v>1</v>
      </c>
      <c r="V54" s="333">
        <f t="shared" si="14"/>
        <v>21.724999999999998</v>
      </c>
      <c r="W54" s="226">
        <f t="shared" si="17"/>
        <v>1</v>
      </c>
      <c r="X54" s="144">
        <f t="shared" si="9"/>
        <v>17.454166666666666</v>
      </c>
      <c r="Y54" s="144">
        <f t="shared" si="10"/>
        <v>27.231249999999992</v>
      </c>
      <c r="Z54" s="144">
        <f t="shared" si="11"/>
        <v>22.236111111111114</v>
      </c>
      <c r="AA54" s="249"/>
      <c r="AB54" s="357" t="str">
        <f>VLOOKUP($B54,'2007-2020 Metadata'!$A$4:$S$214,MATCH("Urban Area /Monitoring Zone",'2007-2020 Metadata'!$A$4:$S$4,0),FALSE)</f>
        <v xml:space="preserve">Auckland - Southern </v>
      </c>
      <c r="AC54" s="334" t="str">
        <f>VLOOKUP(B54,'2007-2020 Metadata'!$A$6:$A$214,1,FALSE)</f>
        <v>AUC072</v>
      </c>
      <c r="AD54" s="250" t="str">
        <f>VLOOKUP($AC54,'2007-2020 Metadata'!$A$6:$S$214,9,FALSE)</f>
        <v>Manukau</v>
      </c>
      <c r="AE54" s="250">
        <f>IF(ISBLANK(VLOOKUP($AC54,'2007-2020 Metadata'!$A$6:$S$214,19,FALSE)),"",VLOOKUP($AC54,'2007-2020 Metadata'!$A$6:$S$214,19,FALSE))</f>
        <v>3</v>
      </c>
      <c r="AF54" s="335" t="str">
        <f>VLOOKUP($B54,'2007-2020 Metadata'!$A$4:$S$214,MATCH("Site type",'2007-2020 Metadata'!$A$4:$S$4,0),FALSE)</f>
        <v>Local</v>
      </c>
      <c r="AG54" s="336">
        <f t="shared" si="44"/>
        <v>14.6</v>
      </c>
      <c r="AH54" s="336">
        <f t="shared" si="45"/>
        <v>29.6</v>
      </c>
      <c r="AI54" s="267">
        <f t="shared" si="20"/>
        <v>22.236111111111114</v>
      </c>
    </row>
    <row r="55" spans="2:35" ht="12" customHeight="1" x14ac:dyDescent="0.15">
      <c r="B55" s="193" t="s">
        <v>92</v>
      </c>
      <c r="C55" s="190">
        <v>6.3</v>
      </c>
      <c r="D55" s="190">
        <v>6.9</v>
      </c>
      <c r="E55" s="190">
        <v>10.6</v>
      </c>
      <c r="F55" s="190">
        <v>15.7</v>
      </c>
      <c r="G55" s="190">
        <v>17.100000000000001</v>
      </c>
      <c r="H55" s="190">
        <v>22.8</v>
      </c>
      <c r="I55" s="190">
        <v>20</v>
      </c>
      <c r="J55" s="190">
        <v>17.5</v>
      </c>
      <c r="K55" s="190">
        <v>14</v>
      </c>
      <c r="L55" s="190">
        <v>11.8</v>
      </c>
      <c r="M55" s="190">
        <v>8.4</v>
      </c>
      <c r="N55" s="190">
        <v>7.4</v>
      </c>
      <c r="O55" s="191">
        <f t="shared" si="0"/>
        <v>13.208333333333336</v>
      </c>
      <c r="P55" s="191">
        <f t="shared" si="1"/>
        <v>39.804025892692898</v>
      </c>
      <c r="Q55" s="192">
        <f t="shared" si="2"/>
        <v>1</v>
      </c>
      <c r="R55" s="332">
        <f t="shared" si="12"/>
        <v>7.9333333333333327</v>
      </c>
      <c r="S55" s="226">
        <f t="shared" si="15"/>
        <v>1</v>
      </c>
      <c r="T55" s="332">
        <f t="shared" si="13"/>
        <v>17.166666666666668</v>
      </c>
      <c r="U55" s="226">
        <f t="shared" si="16"/>
        <v>1</v>
      </c>
      <c r="V55" s="333">
        <f t="shared" si="14"/>
        <v>13.208333333333336</v>
      </c>
      <c r="W55" s="226">
        <f t="shared" si="17"/>
        <v>1</v>
      </c>
      <c r="X55" s="144">
        <f t="shared" si="9"/>
        <v>17.454166666666666</v>
      </c>
      <c r="Y55" s="144">
        <f t="shared" si="10"/>
        <v>27.231249999999992</v>
      </c>
      <c r="Z55" s="144">
        <f t="shared" si="11"/>
        <v>22.236111111111114</v>
      </c>
      <c r="AA55" s="249"/>
      <c r="AB55" s="357" t="str">
        <f>VLOOKUP($B55,'2007-2020 Metadata'!$A$4:$S$214,MATCH("Urban Area /Monitoring Zone",'2007-2020 Metadata'!$A$4:$S$4,0),FALSE)</f>
        <v xml:space="preserve">Auckland - Southern </v>
      </c>
      <c r="AC55" s="334" t="str">
        <f>VLOOKUP(B55,'2007-2020 Metadata'!$A$6:$A$214,1,FALSE)</f>
        <v>AUC073</v>
      </c>
      <c r="AD55" s="250" t="str">
        <f>VLOOKUP($AC55,'2007-2020 Metadata'!$A$6:$S$214,9,FALSE)</f>
        <v>Manukau</v>
      </c>
      <c r="AE55" s="250">
        <f>IF(ISBLANK(VLOOKUP($AC55,'2007-2020 Metadata'!$A$6:$S$214,19,FALSE)),"",VLOOKUP($AC55,'2007-2020 Metadata'!$A$6:$S$214,19,FALSE))</f>
        <v>3</v>
      </c>
      <c r="AF55" s="335" t="str">
        <f>VLOOKUP($B55,'2007-2020 Metadata'!$A$4:$S$214,MATCH("Site type",'2007-2020 Metadata'!$A$4:$S$4,0),FALSE)</f>
        <v>Background</v>
      </c>
      <c r="AG55" s="336">
        <f t="shared" si="44"/>
        <v>6.3</v>
      </c>
      <c r="AH55" s="336">
        <f t="shared" si="45"/>
        <v>22.8</v>
      </c>
      <c r="AI55" s="267">
        <f t="shared" si="20"/>
        <v>22.236111111111114</v>
      </c>
    </row>
    <row r="56" spans="2:35" ht="12" customHeight="1" x14ac:dyDescent="0.15">
      <c r="B56" s="193" t="s">
        <v>499</v>
      </c>
      <c r="C56" s="190">
        <v>10.1</v>
      </c>
      <c r="D56" s="190">
        <v>17.100000000000001</v>
      </c>
      <c r="E56" s="190">
        <v>17.600000000000001</v>
      </c>
      <c r="F56" s="190">
        <v>21.6</v>
      </c>
      <c r="G56" s="190">
        <v>22.7</v>
      </c>
      <c r="H56" s="190">
        <v>29</v>
      </c>
      <c r="I56" s="190">
        <v>24.8</v>
      </c>
      <c r="J56" s="190">
        <v>21.5</v>
      </c>
      <c r="K56" s="190">
        <v>15.4</v>
      </c>
      <c r="L56" s="190">
        <v>16.7</v>
      </c>
      <c r="M56" s="190">
        <v>14</v>
      </c>
      <c r="N56" s="190"/>
      <c r="O56" s="191">
        <f t="shared" si="0"/>
        <v>19.136363636363637</v>
      </c>
      <c r="P56" s="191">
        <f t="shared" si="1"/>
        <v>26.746391694759957</v>
      </c>
      <c r="Q56" s="192">
        <f t="shared" si="2"/>
        <v>0.91666666666666663</v>
      </c>
      <c r="R56" s="332">
        <f t="shared" si="12"/>
        <v>14.933333333333335</v>
      </c>
      <c r="S56" s="226">
        <f t="shared" si="15"/>
        <v>1</v>
      </c>
      <c r="T56" s="332">
        <f t="shared" si="13"/>
        <v>20.566666666666666</v>
      </c>
      <c r="U56" s="226">
        <f t="shared" si="16"/>
        <v>1</v>
      </c>
      <c r="V56" s="333">
        <f t="shared" si="14"/>
        <v>19.136363636363637</v>
      </c>
      <c r="W56" s="226">
        <f t="shared" si="17"/>
        <v>0.91666666666666663</v>
      </c>
      <c r="X56" s="144">
        <f t="shared" si="9"/>
        <v>13.597619047619048</v>
      </c>
      <c r="Y56" s="144">
        <f t="shared" si="10"/>
        <v>19.161904761904761</v>
      </c>
      <c r="Z56" s="144">
        <f t="shared" si="11"/>
        <v>16.561796536796539</v>
      </c>
      <c r="AA56" s="249"/>
      <c r="AB56" s="357" t="str">
        <f>VLOOKUP($B56,'2007-2020 Metadata'!$A$4:$S$214,MATCH("Urban Area /Monitoring Zone",'2007-2020 Metadata'!$A$4:$S$4,0),FALSE)</f>
        <v>Auckland - Western</v>
      </c>
      <c r="AC56" s="334" t="str">
        <f>VLOOKUP(B56,'2007-2020 Metadata'!$A$6:$A$214,1,FALSE)</f>
        <v>AUC115</v>
      </c>
      <c r="AD56" s="250" t="str">
        <f>VLOOKUP($AC56,'2007-2020 Metadata'!$A$6:$S$214,9,FALSE)</f>
        <v>Waitakere</v>
      </c>
      <c r="AE56" s="250">
        <f>IF(ISBLANK(VLOOKUP($AC56,'2007-2020 Metadata'!$A$6:$S$214,19,FALSE)),"",VLOOKUP($AC56,'2007-2020 Metadata'!$A$6:$S$214,19,FALSE))</f>
        <v>3</v>
      </c>
      <c r="AF56" s="335" t="str">
        <f>VLOOKUP($B56,'2007-2020 Metadata'!$A$4:$S$214,MATCH("Site type",'2007-2020 Metadata'!$A$4:$S$4,0),FALSE)</f>
        <v>SH</v>
      </c>
      <c r="AG56" s="336">
        <f t="shared" si="44"/>
        <v>10.1</v>
      </c>
      <c r="AH56" s="336">
        <f t="shared" si="45"/>
        <v>29</v>
      </c>
      <c r="AI56" s="267">
        <f t="shared" si="20"/>
        <v>16.561796536796539</v>
      </c>
    </row>
    <row r="57" spans="2:35" ht="12" customHeight="1" x14ac:dyDescent="0.15">
      <c r="B57" s="193" t="s">
        <v>93</v>
      </c>
      <c r="C57" s="190">
        <v>25.8</v>
      </c>
      <c r="D57" s="190">
        <v>28.9</v>
      </c>
      <c r="E57" s="190">
        <v>33.700000000000003</v>
      </c>
      <c r="F57" s="190">
        <v>33.700000000000003</v>
      </c>
      <c r="G57" s="190">
        <v>42.2</v>
      </c>
      <c r="H57" s="190">
        <v>27.2</v>
      </c>
      <c r="I57" s="190">
        <v>48.5</v>
      </c>
      <c r="J57" s="190">
        <v>44.3</v>
      </c>
      <c r="K57" s="190">
        <v>35.9</v>
      </c>
      <c r="L57" s="190">
        <v>31.9</v>
      </c>
      <c r="M57" s="190">
        <v>33.299999999999997</v>
      </c>
      <c r="N57" s="190">
        <v>13.5</v>
      </c>
      <c r="O57" s="191">
        <f t="shared" si="0"/>
        <v>33.241666666666667</v>
      </c>
      <c r="P57" s="191">
        <f t="shared" si="1"/>
        <v>26.6973143050941</v>
      </c>
      <c r="Q57" s="192">
        <f t="shared" si="2"/>
        <v>1</v>
      </c>
      <c r="R57" s="332">
        <f t="shared" si="12"/>
        <v>29.466666666666669</v>
      </c>
      <c r="S57" s="226">
        <f t="shared" si="15"/>
        <v>1</v>
      </c>
      <c r="T57" s="332">
        <f t="shared" si="13"/>
        <v>42.9</v>
      </c>
      <c r="U57" s="226">
        <f t="shared" si="16"/>
        <v>1</v>
      </c>
      <c r="V57" s="333">
        <f t="shared" si="14"/>
        <v>33.241666666666667</v>
      </c>
      <c r="W57" s="226">
        <f t="shared" si="17"/>
        <v>1</v>
      </c>
      <c r="X57" s="144">
        <f t="shared" si="9"/>
        <v>20.083333333333332</v>
      </c>
      <c r="Y57" s="144">
        <f t="shared" si="10"/>
        <v>30.733333333333327</v>
      </c>
      <c r="Z57" s="144">
        <f t="shared" si="11"/>
        <v>25.626969696969695</v>
      </c>
      <c r="AA57" s="249"/>
      <c r="AB57" s="357" t="str">
        <f>VLOOKUP($B57,'2007-2020 Metadata'!$A$4:$S$214,MATCH("Urban Area /Monitoring Zone",'2007-2020 Metadata'!$A$4:$S$4,0),FALSE)</f>
        <v>Auckland - Northern</v>
      </c>
      <c r="AC57" s="334" t="str">
        <f>VLOOKUP(B57,'2007-2020 Metadata'!$A$6:$A$214,1,FALSE)</f>
        <v>AUC170</v>
      </c>
      <c r="AD57" s="250" t="str">
        <f>VLOOKUP($AC57,'2007-2020 Metadata'!$A$6:$S$214,9,FALSE)</f>
        <v xml:space="preserve">North Shore </v>
      </c>
      <c r="AE57" s="250">
        <f>IF(ISBLANK(VLOOKUP($AC57,'2007-2020 Metadata'!$A$6:$S$214,19,FALSE)),"",VLOOKUP($AC57,'2007-2020 Metadata'!$A$6:$S$214,19,FALSE))</f>
        <v>3</v>
      </c>
      <c r="AF57" s="335" t="str">
        <f>VLOOKUP($B57,'2007-2020 Metadata'!$A$4:$S$214,MATCH("Site type",'2007-2020 Metadata'!$A$4:$S$4,0),FALSE)</f>
        <v>SH</v>
      </c>
      <c r="AG57" s="336">
        <f t="shared" si="44"/>
        <v>13.5</v>
      </c>
      <c r="AH57" s="336">
        <f t="shared" si="45"/>
        <v>48.5</v>
      </c>
      <c r="AI57" s="267">
        <f t="shared" si="20"/>
        <v>25.626969696969695</v>
      </c>
    </row>
    <row r="58" spans="2:35" ht="12" customHeight="1" x14ac:dyDescent="0.15">
      <c r="B58" s="193" t="s">
        <v>94</v>
      </c>
      <c r="C58" s="190">
        <v>4.9000000000000004</v>
      </c>
      <c r="D58" s="190">
        <v>5.5</v>
      </c>
      <c r="E58" s="190">
        <v>7.8</v>
      </c>
      <c r="F58" s="190"/>
      <c r="G58" s="190">
        <v>11.6</v>
      </c>
      <c r="H58" s="190">
        <v>12.4</v>
      </c>
      <c r="I58" s="190">
        <v>12</v>
      </c>
      <c r="J58" s="190">
        <v>11.1</v>
      </c>
      <c r="K58" s="190">
        <v>10.5</v>
      </c>
      <c r="L58" s="190">
        <v>7.5</v>
      </c>
      <c r="M58" s="190">
        <v>6.8</v>
      </c>
      <c r="N58" s="190">
        <v>5.9</v>
      </c>
      <c r="O58" s="191">
        <f t="shared" si="0"/>
        <v>8.7272727272727266</v>
      </c>
      <c r="P58" s="191">
        <f t="shared" si="1"/>
        <v>30.970626204518396</v>
      </c>
      <c r="Q58" s="192">
        <f t="shared" si="2"/>
        <v>0.91666666666666663</v>
      </c>
      <c r="R58" s="332">
        <f t="shared" si="12"/>
        <v>6.0666666666666664</v>
      </c>
      <c r="S58" s="226">
        <f t="shared" si="15"/>
        <v>1</v>
      </c>
      <c r="T58" s="332">
        <f t="shared" si="13"/>
        <v>11.200000000000001</v>
      </c>
      <c r="U58" s="226">
        <f t="shared" si="16"/>
        <v>1</v>
      </c>
      <c r="V58" s="333">
        <f t="shared" si="14"/>
        <v>8.7272727272727266</v>
      </c>
      <c r="W58" s="226">
        <f t="shared" si="17"/>
        <v>0.91666666666666663</v>
      </c>
      <c r="X58" s="144">
        <f t="shared" si="9"/>
        <v>14.633333333333335</v>
      </c>
      <c r="Y58" s="144">
        <f t="shared" si="10"/>
        <v>22.266666666666669</v>
      </c>
      <c r="Z58" s="144">
        <f t="shared" si="11"/>
        <v>18.517803030303032</v>
      </c>
      <c r="AA58" s="249"/>
      <c r="AB58" s="357" t="str">
        <f>VLOOKUP($B58,'2007-2020 Metadata'!$A$4:$S$214,MATCH("Urban Area /Monitoring Zone",'2007-2020 Metadata'!$A$4:$S$4,0),FALSE)</f>
        <v>Whangarei</v>
      </c>
      <c r="AC58" s="334" t="str">
        <f>VLOOKUP(B58,'2007-2020 Metadata'!$A$6:$A$214,1,FALSE)</f>
        <v>AUC171</v>
      </c>
      <c r="AD58" s="250" t="str">
        <f>VLOOKUP($AC58,'2007-2020 Metadata'!$A$6:$S$214,9,FALSE)</f>
        <v>Whangarei</v>
      </c>
      <c r="AE58" s="250">
        <f>IF(ISBLANK(VLOOKUP($AC58,'2007-2020 Metadata'!$A$6:$S$214,19,FALSE)),"",VLOOKUP($AC58,'2007-2020 Metadata'!$A$6:$S$214,19,FALSE))</f>
        <v>3</v>
      </c>
      <c r="AF58" s="335" t="str">
        <f>VLOOKUP($B58,'2007-2020 Metadata'!$A$4:$S$214,MATCH("Site type",'2007-2020 Metadata'!$A$4:$S$4,0),FALSE)</f>
        <v>Background</v>
      </c>
      <c r="AG58" s="336">
        <f t="shared" si="44"/>
        <v>4.9000000000000004</v>
      </c>
      <c r="AH58" s="336">
        <f t="shared" si="45"/>
        <v>12.4</v>
      </c>
      <c r="AI58" s="267">
        <f t="shared" si="20"/>
        <v>18.517803030303032</v>
      </c>
    </row>
    <row r="59" spans="2:35" ht="12" customHeight="1" x14ac:dyDescent="0.15">
      <c r="B59" s="193" t="s">
        <v>485</v>
      </c>
      <c r="C59" s="190">
        <v>20.6</v>
      </c>
      <c r="D59" s="190">
        <v>23.3</v>
      </c>
      <c r="E59" s="190">
        <v>25.7</v>
      </c>
      <c r="F59" s="190">
        <v>30.3</v>
      </c>
      <c r="G59" s="190">
        <v>34.4</v>
      </c>
      <c r="H59" s="190">
        <v>34.799999999999997</v>
      </c>
      <c r="I59" s="190">
        <v>36.700000000000003</v>
      </c>
      <c r="J59" s="190">
        <v>33.1</v>
      </c>
      <c r="K59" s="190">
        <v>30.2</v>
      </c>
      <c r="L59" s="190">
        <v>24</v>
      </c>
      <c r="M59" s="190">
        <v>26.1</v>
      </c>
      <c r="N59" s="190">
        <v>20.5</v>
      </c>
      <c r="O59" s="191">
        <f t="shared" si="0"/>
        <v>28.308333333333337</v>
      </c>
      <c r="P59" s="191">
        <f t="shared" si="1"/>
        <v>19.237669539795768</v>
      </c>
      <c r="Q59" s="192">
        <f t="shared" si="2"/>
        <v>1</v>
      </c>
      <c r="R59" s="332">
        <f t="shared" si="12"/>
        <v>23.200000000000003</v>
      </c>
      <c r="S59" s="226">
        <f t="shared" si="15"/>
        <v>1</v>
      </c>
      <c r="T59" s="332">
        <f t="shared" si="13"/>
        <v>33.333333333333336</v>
      </c>
      <c r="U59" s="226">
        <f t="shared" si="16"/>
        <v>1</v>
      </c>
      <c r="V59" s="333">
        <f t="shared" si="14"/>
        <v>28.308333333333337</v>
      </c>
      <c r="W59" s="226">
        <f t="shared" si="17"/>
        <v>1</v>
      </c>
      <c r="X59" s="144">
        <f t="shared" si="9"/>
        <v>14.633333333333335</v>
      </c>
      <c r="Y59" s="144">
        <f t="shared" si="10"/>
        <v>22.266666666666669</v>
      </c>
      <c r="Z59" s="144">
        <f t="shared" si="11"/>
        <v>18.517803030303032</v>
      </c>
      <c r="AA59" s="249"/>
      <c r="AB59" s="357" t="str">
        <f>VLOOKUP($B59,'2007-2020 Metadata'!$A$4:$S$214,MATCH("Urban Area /Monitoring Zone",'2007-2020 Metadata'!$A$4:$S$4,0),FALSE)</f>
        <v>Whangarei</v>
      </c>
      <c r="AC59" s="334" t="str">
        <f>VLOOKUP(B59,'2007-2020 Metadata'!$A$6:$A$214,1,FALSE)</f>
        <v>AUC187</v>
      </c>
      <c r="AD59" s="250" t="str">
        <f>VLOOKUP($AC59,'2007-2020 Metadata'!$A$6:$S$214,9,FALSE)</f>
        <v>Whangarei</v>
      </c>
      <c r="AE59" s="250">
        <f>IF(ISBLANK(VLOOKUP($AC59,'2007-2020 Metadata'!$A$6:$S$214,19,FALSE)),"",VLOOKUP($AC59,'2007-2020 Metadata'!$A$6:$S$214,19,FALSE))</f>
        <v>3</v>
      </c>
      <c r="AF59" s="335" t="str">
        <f>VLOOKUP($B59,'2007-2020 Metadata'!$A$4:$S$214,MATCH("Site type",'2007-2020 Metadata'!$A$4:$S$4,0),FALSE)</f>
        <v>SH</v>
      </c>
      <c r="AG59" s="336">
        <f t="shared" si="44"/>
        <v>20.5</v>
      </c>
      <c r="AH59" s="336">
        <f t="shared" si="45"/>
        <v>36.700000000000003</v>
      </c>
      <c r="AI59" s="267">
        <f t="shared" si="20"/>
        <v>18.517803030303032</v>
      </c>
    </row>
    <row r="60" spans="2:35" ht="12" customHeight="1" x14ac:dyDescent="0.15">
      <c r="B60" s="193" t="s">
        <v>501</v>
      </c>
      <c r="C60" s="190">
        <v>11.5</v>
      </c>
      <c r="D60" s="190">
        <v>16</v>
      </c>
      <c r="E60" s="190">
        <v>21</v>
      </c>
      <c r="F60" s="190">
        <v>26.4</v>
      </c>
      <c r="G60" s="190">
        <v>27.8</v>
      </c>
      <c r="H60" s="190">
        <v>32.299999999999997</v>
      </c>
      <c r="I60" s="190">
        <v>40</v>
      </c>
      <c r="J60" s="190">
        <v>31.9</v>
      </c>
      <c r="K60" s="190">
        <v>22.8</v>
      </c>
      <c r="L60" s="190">
        <v>17.399999999999999</v>
      </c>
      <c r="M60" s="190">
        <v>21</v>
      </c>
      <c r="N60" s="190">
        <v>16.3</v>
      </c>
      <c r="O60" s="191">
        <f t="shared" si="0"/>
        <v>23.700000000000003</v>
      </c>
      <c r="P60" s="191">
        <f t="shared" si="1"/>
        <v>33.334223492182318</v>
      </c>
      <c r="Q60" s="192">
        <f t="shared" si="2"/>
        <v>1</v>
      </c>
      <c r="R60" s="332">
        <f t="shared" si="12"/>
        <v>16.166666666666668</v>
      </c>
      <c r="S60" s="226">
        <f t="shared" si="15"/>
        <v>1</v>
      </c>
      <c r="T60" s="332">
        <f t="shared" si="13"/>
        <v>31.566666666666666</v>
      </c>
      <c r="U60" s="226">
        <f t="shared" si="16"/>
        <v>1</v>
      </c>
      <c r="V60" s="333">
        <f t="shared" si="14"/>
        <v>23.700000000000003</v>
      </c>
      <c r="W60" s="226">
        <f t="shared" si="17"/>
        <v>1</v>
      </c>
      <c r="X60" s="144">
        <f t="shared" si="9"/>
        <v>17.454166666666666</v>
      </c>
      <c r="Y60" s="144">
        <f t="shared" si="10"/>
        <v>27.231249999999992</v>
      </c>
      <c r="Z60" s="144">
        <f t="shared" si="11"/>
        <v>22.236111111111114</v>
      </c>
      <c r="AA60" s="249"/>
      <c r="AB60" s="357" t="str">
        <f>VLOOKUP($B60,'2007-2020 Metadata'!$A$4:$S$214,MATCH("Urban Area /Monitoring Zone",'2007-2020 Metadata'!$A$4:$S$4,0),FALSE)</f>
        <v xml:space="preserve">Auckland - Southern </v>
      </c>
      <c r="AC60" s="334" t="str">
        <f>VLOOKUP(B60,'2007-2020 Metadata'!$A$6:$A$214,1,FALSE)</f>
        <v>AUC190</v>
      </c>
      <c r="AD60" s="250" t="str">
        <f>VLOOKUP($AC60,'2007-2020 Metadata'!$A$6:$S$214,9,FALSE)</f>
        <v>Manukau</v>
      </c>
      <c r="AE60" s="250">
        <f>IF(ISBLANK(VLOOKUP($AC60,'2007-2020 Metadata'!$A$6:$S$214,19,FALSE)),"",VLOOKUP($AC60,'2007-2020 Metadata'!$A$6:$S$214,19,FALSE))</f>
        <v>3</v>
      </c>
      <c r="AF60" s="335" t="str">
        <f>VLOOKUP($B60,'2007-2020 Metadata'!$A$4:$S$214,MATCH("Site type",'2007-2020 Metadata'!$A$4:$S$4,0),FALSE)</f>
        <v>SH</v>
      </c>
      <c r="AG60" s="336">
        <f t="shared" si="44"/>
        <v>11.5</v>
      </c>
      <c r="AH60" s="336">
        <f t="shared" si="45"/>
        <v>40</v>
      </c>
      <c r="AI60" s="267">
        <f t="shared" si="20"/>
        <v>22.236111111111114</v>
      </c>
    </row>
    <row r="61" spans="2:35" ht="12" customHeight="1" x14ac:dyDescent="0.15">
      <c r="B61" s="193" t="s">
        <v>32</v>
      </c>
      <c r="C61" s="190">
        <v>27.6</v>
      </c>
      <c r="D61" s="190">
        <v>30.5</v>
      </c>
      <c r="E61" s="190"/>
      <c r="F61" s="190">
        <v>32.1</v>
      </c>
      <c r="G61" s="190">
        <v>31.3</v>
      </c>
      <c r="H61" s="190">
        <v>35.5</v>
      </c>
      <c r="I61" s="190">
        <v>38.799999999999997</v>
      </c>
      <c r="J61" s="190">
        <v>36</v>
      </c>
      <c r="K61" s="190">
        <v>29.3</v>
      </c>
      <c r="L61" s="190">
        <v>29.2</v>
      </c>
      <c r="M61" s="190">
        <v>34.1</v>
      </c>
      <c r="N61" s="190">
        <v>26.9</v>
      </c>
      <c r="O61" s="191">
        <f t="shared" si="0"/>
        <v>31.936363636363637</v>
      </c>
      <c r="P61" s="191">
        <f t="shared" si="1"/>
        <v>11.254431620757574</v>
      </c>
      <c r="Q61" s="192">
        <f t="shared" si="2"/>
        <v>0.91666666666666663</v>
      </c>
      <c r="R61" s="332">
        <f t="shared" si="12"/>
        <v>29.05</v>
      </c>
      <c r="S61" s="226">
        <f t="shared" si="15"/>
        <v>0.66666666666666663</v>
      </c>
      <c r="T61" s="332">
        <f t="shared" si="13"/>
        <v>34.699999999999996</v>
      </c>
      <c r="U61" s="226">
        <f t="shared" si="16"/>
        <v>1</v>
      </c>
      <c r="V61" s="333">
        <f t="shared" si="14"/>
        <v>31.936363636363637</v>
      </c>
      <c r="W61" s="226">
        <f t="shared" si="17"/>
        <v>0.91666666666666663</v>
      </c>
      <c r="X61" s="144">
        <f t="shared" si="9"/>
        <v>25.072222222222223</v>
      </c>
      <c r="Y61" s="144">
        <f t="shared" si="10"/>
        <v>34.762962962962959</v>
      </c>
      <c r="Z61" s="144">
        <f t="shared" si="11"/>
        <v>29.714225589225592</v>
      </c>
      <c r="AA61" s="249"/>
      <c r="AB61" s="357" t="str">
        <f>VLOOKUP($B61,'2007-2020 Metadata'!$A$4:$S$214,MATCH("Urban Area /Monitoring Zone",'2007-2020 Metadata'!$A$4:$S$4,0),FALSE)</f>
        <v>Hamilton</v>
      </c>
      <c r="AC61" s="334" t="str">
        <f>VLOOKUP(B61,'2007-2020 Metadata'!$A$6:$A$214,1,FALSE)</f>
        <v>HAM001</v>
      </c>
      <c r="AD61" s="250" t="str">
        <f>VLOOKUP($AC61,'2007-2020 Metadata'!$A$6:$S$214,9,FALSE)</f>
        <v>Hamilton</v>
      </c>
      <c r="AE61" s="250">
        <f>IF(ISBLANK(VLOOKUP($AC61,'2007-2020 Metadata'!$A$6:$S$214,19,FALSE)),"",VLOOKUP($AC61,'2007-2020 Metadata'!$A$6:$S$214,19,FALSE))</f>
        <v>3.8</v>
      </c>
      <c r="AF61" s="335" t="str">
        <f>VLOOKUP($B61,'2007-2020 Metadata'!$A$4:$S$214,MATCH("Site type",'2007-2020 Metadata'!$A$4:$S$4,0),FALSE)</f>
        <v>SH</v>
      </c>
      <c r="AG61" s="336">
        <f t="shared" si="44"/>
        <v>26.9</v>
      </c>
      <c r="AH61" s="336">
        <f t="shared" si="45"/>
        <v>38.799999999999997</v>
      </c>
      <c r="AI61" s="267">
        <f t="shared" si="20"/>
        <v>29.714225589225592</v>
      </c>
    </row>
    <row r="62" spans="2:35" ht="12" customHeight="1" x14ac:dyDescent="0.15">
      <c r="B62" s="193" t="s">
        <v>33</v>
      </c>
      <c r="C62" s="190">
        <v>19.3</v>
      </c>
      <c r="D62" s="190">
        <v>21.8</v>
      </c>
      <c r="E62" s="190">
        <v>25.4</v>
      </c>
      <c r="F62" s="190">
        <v>29</v>
      </c>
      <c r="G62" s="190">
        <v>34.1</v>
      </c>
      <c r="H62" s="190">
        <v>38.6</v>
      </c>
      <c r="I62" s="190">
        <v>37.799999999999997</v>
      </c>
      <c r="J62" s="190">
        <v>32.1</v>
      </c>
      <c r="K62" s="190">
        <v>27.4</v>
      </c>
      <c r="L62" s="190">
        <v>25.8</v>
      </c>
      <c r="M62" s="190">
        <v>25.2</v>
      </c>
      <c r="N62" s="190">
        <v>19.5</v>
      </c>
      <c r="O62" s="191">
        <f t="shared" si="0"/>
        <v>28</v>
      </c>
      <c r="P62" s="191">
        <f t="shared" si="1"/>
        <v>22.341657500372349</v>
      </c>
      <c r="Q62" s="192">
        <f t="shared" si="2"/>
        <v>1</v>
      </c>
      <c r="R62" s="332">
        <f t="shared" si="12"/>
        <v>22.166666666666668</v>
      </c>
      <c r="S62" s="226">
        <f t="shared" si="15"/>
        <v>1</v>
      </c>
      <c r="T62" s="332">
        <f t="shared" si="13"/>
        <v>32.433333333333337</v>
      </c>
      <c r="U62" s="226">
        <f t="shared" si="16"/>
        <v>1</v>
      </c>
      <c r="V62" s="333">
        <f t="shared" si="14"/>
        <v>28</v>
      </c>
      <c r="W62" s="226">
        <f t="shared" si="17"/>
        <v>1</v>
      </c>
      <c r="X62" s="144">
        <f t="shared" si="9"/>
        <v>25.072222222222223</v>
      </c>
      <c r="Y62" s="144">
        <f t="shared" si="10"/>
        <v>34.762962962962959</v>
      </c>
      <c r="Z62" s="144">
        <f t="shared" si="11"/>
        <v>29.714225589225592</v>
      </c>
      <c r="AA62" s="249"/>
      <c r="AB62" s="357" t="str">
        <f>VLOOKUP($B62,'2007-2020 Metadata'!$A$4:$S$214,MATCH("Urban Area /Monitoring Zone",'2007-2020 Metadata'!$A$4:$S$4,0),FALSE)</f>
        <v>Hamilton</v>
      </c>
      <c r="AC62" s="334" t="str">
        <f>VLOOKUP(B62,'2007-2020 Metadata'!$A$6:$A$214,1,FALSE)</f>
        <v>HAM002</v>
      </c>
      <c r="AD62" s="250" t="str">
        <f>VLOOKUP($AC62,'2007-2020 Metadata'!$A$6:$S$214,9,FALSE)</f>
        <v>Hamilton</v>
      </c>
      <c r="AE62" s="250">
        <f>IF(ISBLANK(VLOOKUP($AC62,'2007-2020 Metadata'!$A$6:$S$214,19,FALSE)),"",VLOOKUP($AC62,'2007-2020 Metadata'!$A$6:$S$214,19,FALSE))</f>
        <v>2.6</v>
      </c>
      <c r="AF62" s="335" t="str">
        <f>VLOOKUP($B62,'2007-2020 Metadata'!$A$4:$S$214,MATCH("Site type",'2007-2020 Metadata'!$A$4:$S$4,0),FALSE)</f>
        <v>Local (ex SH)</v>
      </c>
      <c r="AG62" s="336">
        <f t="shared" ref="AG62:AG64" si="46">MIN(AVERAGE($C$13:$C$15),AVERAGE($D$13:$D$15),AVERAGE($E$13:$E$15),AVERAGE($F$13:$F$15),AVERAGE($G$13:$G$15),AVERAGE($H$13:$H$15),AVERAGE($I$13:$I$15),AVERAGE($J$13:$J$15),AVERAGE($K$13:$K$15),AVERAGE($L$13:$L$15),AVERAGE($M$13:$M$15),AVERAGE($N$13:$N$15))</f>
        <v>14.366666666666667</v>
      </c>
      <c r="AH62" s="336">
        <f t="shared" ref="AH62:AH64" si="47">MAX(AVERAGE($C$13:$C$15),AVERAGE($D$13:$D$15),AVERAGE($E$13:$E$15),AVERAGE($F$13:$F$15),AVERAGE($G$13:$G$15),AVERAGE($H$13:$H$15),AVERAGE($I$13:$I$15),AVERAGE($J$13:$J$15),AVERAGE($K$13:$K$15),AVERAGE($L$13:$L$15),AVERAGE($M$13:$M$15),AVERAGE($N$13:$N$15))</f>
        <v>44.300000000000004</v>
      </c>
      <c r="AI62" s="267">
        <f t="shared" si="20"/>
        <v>29.714225589225592</v>
      </c>
    </row>
    <row r="63" spans="2:35" ht="12" customHeight="1" x14ac:dyDescent="0.15">
      <c r="B63" s="193" t="s">
        <v>34</v>
      </c>
      <c r="C63" s="190">
        <v>33.9</v>
      </c>
      <c r="D63" s="190">
        <v>35.200000000000003</v>
      </c>
      <c r="E63" s="190">
        <v>39.1</v>
      </c>
      <c r="F63" s="190">
        <v>48</v>
      </c>
      <c r="G63" s="190">
        <v>43.7</v>
      </c>
      <c r="H63" s="190">
        <v>49.7</v>
      </c>
      <c r="I63" s="190">
        <v>56.5</v>
      </c>
      <c r="J63" s="190">
        <v>43.3</v>
      </c>
      <c r="K63" s="190">
        <v>44</v>
      </c>
      <c r="L63" s="190">
        <v>45.8</v>
      </c>
      <c r="M63" s="190">
        <v>37.700000000000003</v>
      </c>
      <c r="N63" s="190">
        <v>32.799999999999997</v>
      </c>
      <c r="O63" s="191">
        <f t="shared" si="0"/>
        <v>42.475000000000001</v>
      </c>
      <c r="P63" s="191">
        <f t="shared" si="1"/>
        <v>15.927883007165743</v>
      </c>
      <c r="Q63" s="192">
        <f t="shared" si="2"/>
        <v>1</v>
      </c>
      <c r="R63" s="332">
        <f t="shared" si="12"/>
        <v>36.066666666666663</v>
      </c>
      <c r="S63" s="226">
        <f t="shared" si="15"/>
        <v>1</v>
      </c>
      <c r="T63" s="332">
        <f t="shared" si="13"/>
        <v>47.933333333333337</v>
      </c>
      <c r="U63" s="226">
        <f t="shared" si="16"/>
        <v>1</v>
      </c>
      <c r="V63" s="333">
        <f t="shared" si="14"/>
        <v>42.475000000000001</v>
      </c>
      <c r="W63" s="226">
        <f t="shared" si="17"/>
        <v>1</v>
      </c>
      <c r="X63" s="144">
        <f t="shared" si="9"/>
        <v>25.072222222222223</v>
      </c>
      <c r="Y63" s="144">
        <f t="shared" si="10"/>
        <v>34.762962962962959</v>
      </c>
      <c r="Z63" s="144">
        <f t="shared" si="11"/>
        <v>29.714225589225592</v>
      </c>
      <c r="AA63" s="249"/>
      <c r="AB63" s="357" t="str">
        <f>VLOOKUP($B63,'2007-2020 Metadata'!$A$4:$S$214,MATCH("Urban Area /Monitoring Zone",'2007-2020 Metadata'!$A$4:$S$4,0),FALSE)</f>
        <v>Hamilton</v>
      </c>
      <c r="AC63" s="334" t="str">
        <f>VLOOKUP(B63,'2007-2020 Metadata'!$A$6:$A$214,1,FALSE)</f>
        <v>HAM003</v>
      </c>
      <c r="AD63" s="250" t="str">
        <f>VLOOKUP($AC63,'2007-2020 Metadata'!$A$6:$S$214,9,FALSE)</f>
        <v>Hamilton</v>
      </c>
      <c r="AE63" s="250">
        <f>IF(ISBLANK(VLOOKUP($AC63,'2007-2020 Metadata'!$A$6:$S$214,19,FALSE)),"",VLOOKUP($AC63,'2007-2020 Metadata'!$A$6:$S$214,19,FALSE))</f>
        <v>2.9</v>
      </c>
      <c r="AF63" s="335" t="str">
        <f>VLOOKUP($B63,'2007-2020 Metadata'!$A$4:$S$214,MATCH("Site type",'2007-2020 Metadata'!$A$4:$S$4,0),FALSE)</f>
        <v>SH</v>
      </c>
      <c r="AG63" s="336">
        <f t="shared" si="46"/>
        <v>14.366666666666667</v>
      </c>
      <c r="AH63" s="336">
        <f t="shared" si="47"/>
        <v>44.300000000000004</v>
      </c>
      <c r="AI63" s="267">
        <f t="shared" si="20"/>
        <v>29.714225589225592</v>
      </c>
    </row>
    <row r="64" spans="2:35" ht="12" customHeight="1" x14ac:dyDescent="0.15">
      <c r="B64" s="193" t="s">
        <v>1045</v>
      </c>
      <c r="C64" s="190">
        <v>23.6</v>
      </c>
      <c r="D64" s="190">
        <v>27.6</v>
      </c>
      <c r="E64" s="190">
        <v>27.2</v>
      </c>
      <c r="F64" s="190">
        <v>30.5</v>
      </c>
      <c r="G64" s="190">
        <v>31.9</v>
      </c>
      <c r="H64" s="190">
        <v>31.4</v>
      </c>
      <c r="I64" s="190">
        <v>36.6</v>
      </c>
      <c r="J64" s="190">
        <v>30.1</v>
      </c>
      <c r="K64" s="190">
        <v>25.4</v>
      </c>
      <c r="L64" s="190">
        <v>21.9</v>
      </c>
      <c r="M64" s="190">
        <v>26.3</v>
      </c>
      <c r="N64" s="190">
        <v>20.5</v>
      </c>
      <c r="O64" s="191">
        <f t="shared" si="0"/>
        <v>27.75</v>
      </c>
      <c r="P64" s="191">
        <f t="shared" si="1"/>
        <v>15.910022139524413</v>
      </c>
      <c r="Q64" s="192">
        <f t="shared" si="2"/>
        <v>1</v>
      </c>
      <c r="R64" s="332">
        <f t="shared" si="12"/>
        <v>26.133333333333336</v>
      </c>
      <c r="S64" s="226">
        <f t="shared" si="15"/>
        <v>1</v>
      </c>
      <c r="T64" s="332">
        <f t="shared" si="13"/>
        <v>30.7</v>
      </c>
      <c r="U64" s="226">
        <f t="shared" si="16"/>
        <v>1</v>
      </c>
      <c r="V64" s="333">
        <f t="shared" si="14"/>
        <v>27.75</v>
      </c>
      <c r="W64" s="226">
        <f t="shared" si="17"/>
        <v>1</v>
      </c>
      <c r="X64" s="144">
        <f t="shared" si="9"/>
        <v>26.133333333333336</v>
      </c>
      <c r="Y64" s="144">
        <f t="shared" si="10"/>
        <v>30.7</v>
      </c>
      <c r="Z64" s="144">
        <f t="shared" si="11"/>
        <v>27.75</v>
      </c>
      <c r="AA64" s="249"/>
      <c r="AB64" s="357">
        <f>VLOOKUP($B64,'2007-2020 Metadata'!$A$4:$S$214,MATCH("Urban Area /Monitoring Zone",'2007-2020 Metadata'!$A$4:$S$4,0),FALSE)</f>
        <v>0</v>
      </c>
      <c r="AC64" s="334" t="str">
        <f>VLOOKUP(B64,'2007-2020 Metadata'!$A$6:$A$214,1,FALSE)</f>
        <v>HAM004a</v>
      </c>
      <c r="AD64" s="250">
        <f>VLOOKUP($AC64,'2007-2020 Metadata'!$A$6:$S$214,9,FALSE)</f>
        <v>0</v>
      </c>
      <c r="AE64" s="250" t="str">
        <f>IF(ISBLANK(VLOOKUP($AC64,'2007-2020 Metadata'!$A$6:$S$214,19,FALSE)),"",VLOOKUP($AC64,'2007-2020 Metadata'!$A$6:$S$214,19,FALSE))</f>
        <v/>
      </c>
      <c r="AF64" s="335" t="str">
        <f>VLOOKUP($B64,'2007-2020 Metadata'!$A$4:$S$214,MATCH("Site type",'2007-2020 Metadata'!$A$4:$S$4,0),FALSE)</f>
        <v>Local (ex SH)</v>
      </c>
      <c r="AG64" s="336">
        <f t="shared" si="46"/>
        <v>14.366666666666667</v>
      </c>
      <c r="AH64" s="336">
        <f t="shared" si="47"/>
        <v>44.300000000000004</v>
      </c>
      <c r="AI64" s="267">
        <f t="shared" si="20"/>
        <v>27.75</v>
      </c>
    </row>
    <row r="65" spans="2:35" ht="12" customHeight="1" x14ac:dyDescent="0.15">
      <c r="B65" s="193" t="s">
        <v>36</v>
      </c>
      <c r="C65" s="190">
        <v>16.2</v>
      </c>
      <c r="D65" s="190">
        <v>17</v>
      </c>
      <c r="E65" s="190">
        <v>15.5</v>
      </c>
      <c r="F65" s="190">
        <v>18.399999999999999</v>
      </c>
      <c r="G65" s="190">
        <v>22.8</v>
      </c>
      <c r="H65" s="190">
        <v>19.2</v>
      </c>
      <c r="I65" s="190">
        <v>23.3</v>
      </c>
      <c r="J65" s="190">
        <v>19.8</v>
      </c>
      <c r="K65" s="190">
        <v>14.2</v>
      </c>
      <c r="L65" s="190">
        <v>14.9</v>
      </c>
      <c r="M65" s="190">
        <v>14.8</v>
      </c>
      <c r="N65" s="190">
        <v>10.4</v>
      </c>
      <c r="O65" s="191">
        <f t="shared" si="0"/>
        <v>17.208333333333336</v>
      </c>
      <c r="P65" s="191">
        <f t="shared" si="1"/>
        <v>20.613107165613915</v>
      </c>
      <c r="Q65" s="192">
        <f t="shared" si="2"/>
        <v>1</v>
      </c>
      <c r="R65" s="332">
        <f t="shared" si="12"/>
        <v>16.233333333333334</v>
      </c>
      <c r="S65" s="226">
        <f t="shared" si="15"/>
        <v>1</v>
      </c>
      <c r="T65" s="332">
        <f t="shared" si="13"/>
        <v>19.099999999999998</v>
      </c>
      <c r="U65" s="226">
        <f t="shared" si="16"/>
        <v>1</v>
      </c>
      <c r="V65" s="333">
        <f t="shared" si="14"/>
        <v>17.208333333333336</v>
      </c>
      <c r="W65" s="226">
        <f t="shared" si="17"/>
        <v>1</v>
      </c>
      <c r="X65" s="144">
        <f t="shared" si="9"/>
        <v>16.233333333333334</v>
      </c>
      <c r="Y65" s="144">
        <f t="shared" si="10"/>
        <v>19.099999999999998</v>
      </c>
      <c r="Z65" s="144">
        <f t="shared" si="11"/>
        <v>17.208333333333336</v>
      </c>
      <c r="AA65" s="249"/>
      <c r="AB65" s="357" t="str">
        <f>VLOOKUP($B65,'2007-2020 Metadata'!$A$4:$S$214,MATCH("Urban Area /Monitoring Zone",'2007-2020 Metadata'!$A$4:$S$4,0),FALSE)</f>
        <v>Taupo</v>
      </c>
      <c r="AC65" s="334" t="str">
        <f>VLOOKUP(B65,'2007-2020 Metadata'!$A$6:$A$214,1,FALSE)</f>
        <v>HAM005</v>
      </c>
      <c r="AD65" s="250" t="str">
        <f>VLOOKUP($AC65,'2007-2020 Metadata'!$A$6:$S$214,9,FALSE)</f>
        <v>Taupo</v>
      </c>
      <c r="AE65" s="250">
        <f>IF(ISBLANK(VLOOKUP($AC65,'2007-2020 Metadata'!$A$6:$S$214,19,FALSE)),"",VLOOKUP($AC65,'2007-2020 Metadata'!$A$6:$S$214,19,FALSE))</f>
        <v>3.5</v>
      </c>
      <c r="AF65" s="335" t="str">
        <f>VLOOKUP($B65,'2007-2020 Metadata'!$A$4:$S$214,MATCH("Site type",'2007-2020 Metadata'!$A$4:$S$4,0),FALSE)</f>
        <v>Local (ex SH)</v>
      </c>
      <c r="AG65" s="336">
        <f t="shared" ref="AG65:AG73" si="48">MIN(C65:N65)</f>
        <v>10.4</v>
      </c>
      <c r="AH65" s="336">
        <f t="shared" ref="AH65:AH73" si="49">MAX(C65:N65)</f>
        <v>23.3</v>
      </c>
      <c r="AI65" s="267">
        <f t="shared" si="20"/>
        <v>17.208333333333336</v>
      </c>
    </row>
    <row r="66" spans="2:35" ht="12" customHeight="1" x14ac:dyDescent="0.15">
      <c r="B66" s="193" t="s">
        <v>37</v>
      </c>
      <c r="C66" s="190"/>
      <c r="D66" s="190">
        <v>14.2</v>
      </c>
      <c r="E66" s="190">
        <v>18.399999999999999</v>
      </c>
      <c r="F66" s="190">
        <v>26.6</v>
      </c>
      <c r="G66" s="190">
        <v>25.9</v>
      </c>
      <c r="H66" s="190">
        <v>27.8</v>
      </c>
      <c r="I66" s="190">
        <v>28.2</v>
      </c>
      <c r="J66" s="190">
        <v>25.5</v>
      </c>
      <c r="K66" s="190">
        <v>21.7</v>
      </c>
      <c r="L66" s="190">
        <v>18.3</v>
      </c>
      <c r="M66" s="190">
        <v>19.899999999999999</v>
      </c>
      <c r="N66" s="190">
        <v>13.3</v>
      </c>
      <c r="O66" s="191">
        <f t="shared" si="0"/>
        <v>21.8</v>
      </c>
      <c r="P66" s="191">
        <f t="shared" si="1"/>
        <v>23.469193408166802</v>
      </c>
      <c r="Q66" s="192">
        <f t="shared" si="2"/>
        <v>0.91666666666666663</v>
      </c>
      <c r="R66" s="332">
        <f t="shared" si="12"/>
        <v>16.299999999999997</v>
      </c>
      <c r="S66" s="226">
        <f t="shared" si="15"/>
        <v>0.66666666666666663</v>
      </c>
      <c r="T66" s="332">
        <f t="shared" si="13"/>
        <v>25.133333333333336</v>
      </c>
      <c r="U66" s="226">
        <f t="shared" si="16"/>
        <v>1</v>
      </c>
      <c r="V66" s="333">
        <f t="shared" si="14"/>
        <v>21.8</v>
      </c>
      <c r="W66" s="226">
        <f t="shared" si="17"/>
        <v>0.91666666666666663</v>
      </c>
      <c r="X66" s="144">
        <f t="shared" si="9"/>
        <v>11.999999999999998</v>
      </c>
      <c r="Y66" s="144">
        <f t="shared" si="10"/>
        <v>17.8</v>
      </c>
      <c r="Z66" s="144">
        <f t="shared" si="11"/>
        <v>15.454545454545457</v>
      </c>
      <c r="AA66" s="249"/>
      <c r="AB66" s="357" t="str">
        <f>VLOOKUP($B66,'2007-2020 Metadata'!$A$4:$S$214,MATCH("Urban Area /Monitoring Zone",'2007-2020 Metadata'!$A$4:$S$4,0),FALSE)</f>
        <v>Rotorua</v>
      </c>
      <c r="AC66" s="334" t="str">
        <f>VLOOKUP(B66,'2007-2020 Metadata'!$A$6:$A$214,1,FALSE)</f>
        <v>HAM006</v>
      </c>
      <c r="AD66" s="250" t="str">
        <f>VLOOKUP($AC66,'2007-2020 Metadata'!$A$6:$S$214,9,FALSE)</f>
        <v>Rotorua</v>
      </c>
      <c r="AE66" s="250">
        <f>IF(ISBLANK(VLOOKUP($AC66,'2007-2020 Metadata'!$A$6:$S$214,19,FALSE)),"",VLOOKUP($AC66,'2007-2020 Metadata'!$A$6:$S$214,19,FALSE))</f>
        <v>3</v>
      </c>
      <c r="AF66" s="335" t="str">
        <f>VLOOKUP($B66,'2007-2020 Metadata'!$A$4:$S$214,MATCH("Site type",'2007-2020 Metadata'!$A$4:$S$4,0),FALSE)</f>
        <v>SH</v>
      </c>
      <c r="AG66" s="336">
        <f t="shared" si="48"/>
        <v>13.3</v>
      </c>
      <c r="AH66" s="336">
        <f t="shared" si="49"/>
        <v>28.2</v>
      </c>
      <c r="AI66" s="267">
        <f t="shared" si="20"/>
        <v>15.454545454545457</v>
      </c>
    </row>
    <row r="67" spans="2:35" ht="12" customHeight="1" x14ac:dyDescent="0.15">
      <c r="B67" s="193" t="s">
        <v>39</v>
      </c>
      <c r="C67" s="190"/>
      <c r="D67" s="190">
        <v>23.2</v>
      </c>
      <c r="E67" s="190">
        <v>29.1</v>
      </c>
      <c r="F67" s="190">
        <v>31.7</v>
      </c>
      <c r="G67" s="190">
        <v>34.4</v>
      </c>
      <c r="H67" s="190">
        <v>40.1</v>
      </c>
      <c r="I67" s="190">
        <v>45.3</v>
      </c>
      <c r="J67" s="190">
        <v>14.3</v>
      </c>
      <c r="K67" s="190">
        <v>34.6</v>
      </c>
      <c r="L67" s="190">
        <v>30.8</v>
      </c>
      <c r="M67" s="190"/>
      <c r="N67" s="190">
        <v>18.399999999999999</v>
      </c>
      <c r="O67" s="191">
        <f t="shared" si="0"/>
        <v>30.189999999999998</v>
      </c>
      <c r="P67" s="191">
        <f t="shared" si="1"/>
        <v>29.772323852583344</v>
      </c>
      <c r="Q67" s="192">
        <f t="shared" si="2"/>
        <v>0.83333333333333337</v>
      </c>
      <c r="R67" s="332">
        <f t="shared" si="12"/>
        <v>26.15</v>
      </c>
      <c r="S67" s="226">
        <f t="shared" si="15"/>
        <v>0.66666666666666663</v>
      </c>
      <c r="T67" s="332">
        <f t="shared" si="13"/>
        <v>31.399999999999995</v>
      </c>
      <c r="U67" s="226">
        <f t="shared" si="16"/>
        <v>1</v>
      </c>
      <c r="V67" s="333">
        <f t="shared" si="14"/>
        <v>30.189999999999998</v>
      </c>
      <c r="W67" s="226">
        <f t="shared" si="17"/>
        <v>0.83333333333333337</v>
      </c>
      <c r="X67" s="144">
        <f t="shared" si="9"/>
        <v>20.37142857142857</v>
      </c>
      <c r="Y67" s="144">
        <f t="shared" si="10"/>
        <v>30.49523809523809</v>
      </c>
      <c r="Z67" s="144">
        <f t="shared" si="11"/>
        <v>25.611190476190476</v>
      </c>
      <c r="AA67" s="249"/>
      <c r="AB67" s="357" t="str">
        <f>VLOOKUP($B67,'2007-2020 Metadata'!$A$4:$S$214,MATCH("Urban Area /Monitoring Zone",'2007-2020 Metadata'!$A$4:$S$4,0),FALSE)</f>
        <v>Tauranga</v>
      </c>
      <c r="AC67" s="334" t="str">
        <f>VLOOKUP(B67,'2007-2020 Metadata'!$A$6:$A$214,1,FALSE)</f>
        <v>HAM007</v>
      </c>
      <c r="AD67" s="250" t="str">
        <f>VLOOKUP($AC67,'2007-2020 Metadata'!$A$6:$S$214,9,FALSE)</f>
        <v>Tauranga</v>
      </c>
      <c r="AE67" s="250">
        <f>IF(ISBLANK(VLOOKUP($AC67,'2007-2020 Metadata'!$A$6:$S$214,19,FALSE)),"",VLOOKUP($AC67,'2007-2020 Metadata'!$A$6:$S$214,19,FALSE))</f>
        <v>2.9</v>
      </c>
      <c r="AF67" s="335" t="str">
        <f>VLOOKUP($B67,'2007-2020 Metadata'!$A$4:$S$214,MATCH("Site type",'2007-2020 Metadata'!$A$4:$S$4,0),FALSE)</f>
        <v>SH</v>
      </c>
      <c r="AG67" s="336">
        <f t="shared" si="48"/>
        <v>14.3</v>
      </c>
      <c r="AH67" s="336">
        <f t="shared" si="49"/>
        <v>45.3</v>
      </c>
      <c r="AI67" s="267">
        <f t="shared" si="20"/>
        <v>25.611190476190476</v>
      </c>
    </row>
    <row r="68" spans="2:35" ht="12" customHeight="1" x14ac:dyDescent="0.15">
      <c r="B68" s="193" t="s">
        <v>40</v>
      </c>
      <c r="C68" s="190"/>
      <c r="D68" s="190">
        <v>22.9</v>
      </c>
      <c r="E68" s="190">
        <v>31.8</v>
      </c>
      <c r="F68" s="190">
        <v>35.200000000000003</v>
      </c>
      <c r="G68" s="190">
        <v>36.4</v>
      </c>
      <c r="H68" s="190">
        <v>44.2</v>
      </c>
      <c r="I68" s="190">
        <v>43</v>
      </c>
      <c r="J68" s="190">
        <v>35.6</v>
      </c>
      <c r="K68" s="190">
        <v>36.700000000000003</v>
      </c>
      <c r="L68" s="190">
        <v>31.5</v>
      </c>
      <c r="M68" s="190"/>
      <c r="N68" s="190">
        <v>23.8</v>
      </c>
      <c r="O68" s="191">
        <f t="shared" si="0"/>
        <v>34.11</v>
      </c>
      <c r="P68" s="191">
        <f t="shared" si="1"/>
        <v>19.453469208625457</v>
      </c>
      <c r="Q68" s="192">
        <f t="shared" si="2"/>
        <v>0.83333333333333337</v>
      </c>
      <c r="R68" s="332">
        <f t="shared" si="12"/>
        <v>27.35</v>
      </c>
      <c r="S68" s="226">
        <f t="shared" si="15"/>
        <v>0.66666666666666663</v>
      </c>
      <c r="T68" s="332">
        <f t="shared" si="13"/>
        <v>38.43333333333333</v>
      </c>
      <c r="U68" s="226">
        <f t="shared" si="16"/>
        <v>1</v>
      </c>
      <c r="V68" s="333">
        <f t="shared" si="14"/>
        <v>34.11</v>
      </c>
      <c r="W68" s="226">
        <f t="shared" si="17"/>
        <v>0.83333333333333337</v>
      </c>
      <c r="X68" s="144">
        <f t="shared" si="9"/>
        <v>20.37142857142857</v>
      </c>
      <c r="Y68" s="144">
        <f t="shared" si="10"/>
        <v>30.49523809523809</v>
      </c>
      <c r="Z68" s="144">
        <f t="shared" si="11"/>
        <v>25.611190476190476</v>
      </c>
      <c r="AA68" s="249"/>
      <c r="AB68" s="357" t="str">
        <f>VLOOKUP($B68,'2007-2020 Metadata'!$A$4:$S$214,MATCH("Urban Area /Monitoring Zone",'2007-2020 Metadata'!$A$4:$S$4,0),FALSE)</f>
        <v>Tauranga</v>
      </c>
      <c r="AC68" s="334" t="str">
        <f>VLOOKUP(B68,'2007-2020 Metadata'!$A$6:$A$214,1,FALSE)</f>
        <v>HAM008</v>
      </c>
      <c r="AD68" s="250" t="str">
        <f>VLOOKUP($AC68,'2007-2020 Metadata'!$A$6:$S$214,9,FALSE)</f>
        <v>Tauranga</v>
      </c>
      <c r="AE68" s="250">
        <f>IF(ISBLANK(VLOOKUP($AC68,'2007-2020 Metadata'!$A$6:$S$214,19,FALSE)),"",VLOOKUP($AC68,'2007-2020 Metadata'!$A$6:$S$214,19,FALSE))</f>
        <v>2.9</v>
      </c>
      <c r="AF68" s="335" t="str">
        <f>VLOOKUP($B68,'2007-2020 Metadata'!$A$4:$S$214,MATCH("Site type",'2007-2020 Metadata'!$A$4:$S$4,0),FALSE)</f>
        <v>SH</v>
      </c>
      <c r="AG68" s="336">
        <f t="shared" si="48"/>
        <v>22.9</v>
      </c>
      <c r="AH68" s="336">
        <f t="shared" si="49"/>
        <v>44.2</v>
      </c>
      <c r="AI68" s="267">
        <f t="shared" si="20"/>
        <v>25.611190476190476</v>
      </c>
    </row>
    <row r="69" spans="2:35" ht="12" customHeight="1" x14ac:dyDescent="0.15">
      <c r="B69" s="193" t="s">
        <v>41</v>
      </c>
      <c r="C69" s="190">
        <v>25.1</v>
      </c>
      <c r="D69" s="190">
        <v>25.2</v>
      </c>
      <c r="E69" s="190">
        <v>26.2</v>
      </c>
      <c r="F69" s="190">
        <v>28.9</v>
      </c>
      <c r="G69" s="190">
        <v>35</v>
      </c>
      <c r="H69" s="190">
        <v>39.200000000000003</v>
      </c>
      <c r="I69" s="190">
        <v>37.4</v>
      </c>
      <c r="J69" s="190">
        <v>23.7</v>
      </c>
      <c r="K69" s="190">
        <v>33.5</v>
      </c>
      <c r="L69" s="190">
        <v>27.3</v>
      </c>
      <c r="M69" s="190">
        <v>27.3</v>
      </c>
      <c r="N69" s="190">
        <v>25.6</v>
      </c>
      <c r="O69" s="191">
        <f t="shared" si="0"/>
        <v>29.533333333333342</v>
      </c>
      <c r="P69" s="191">
        <f t="shared" si="1"/>
        <v>17.220051492436244</v>
      </c>
      <c r="Q69" s="192">
        <f t="shared" si="2"/>
        <v>1</v>
      </c>
      <c r="R69" s="332">
        <f t="shared" si="12"/>
        <v>25.5</v>
      </c>
      <c r="S69" s="226">
        <f t="shared" si="15"/>
        <v>1</v>
      </c>
      <c r="T69" s="332">
        <f t="shared" si="13"/>
        <v>31.533333333333331</v>
      </c>
      <c r="U69" s="226">
        <f t="shared" si="16"/>
        <v>1</v>
      </c>
      <c r="V69" s="333">
        <f t="shared" si="14"/>
        <v>29.533333333333342</v>
      </c>
      <c r="W69" s="226">
        <f t="shared" si="17"/>
        <v>1</v>
      </c>
      <c r="X69" s="144">
        <f t="shared" si="9"/>
        <v>20.37142857142857</v>
      </c>
      <c r="Y69" s="144">
        <f t="shared" si="10"/>
        <v>30.49523809523809</v>
      </c>
      <c r="Z69" s="144">
        <f t="shared" si="11"/>
        <v>25.611190476190476</v>
      </c>
      <c r="AA69" s="249"/>
      <c r="AB69" s="357" t="str">
        <f>VLOOKUP($B69,'2007-2020 Metadata'!$A$4:$S$214,MATCH("Urban Area /Monitoring Zone",'2007-2020 Metadata'!$A$4:$S$4,0),FALSE)</f>
        <v>Tauranga</v>
      </c>
      <c r="AC69" s="334" t="str">
        <f>VLOOKUP(B69,'2007-2020 Metadata'!$A$6:$A$214,1,FALSE)</f>
        <v>HAM010</v>
      </c>
      <c r="AD69" s="250" t="str">
        <f>VLOOKUP($AC69,'2007-2020 Metadata'!$A$6:$S$214,9,FALSE)</f>
        <v>Tauranga</v>
      </c>
      <c r="AE69" s="250">
        <f>IF(ISBLANK(VLOOKUP($AC69,'2007-2020 Metadata'!$A$6:$S$214,19,FALSE)),"",VLOOKUP($AC69,'2007-2020 Metadata'!$A$6:$S$214,19,FALSE))</f>
        <v>2.7</v>
      </c>
      <c r="AF69" s="335" t="str">
        <f>VLOOKUP($B69,'2007-2020 Metadata'!$A$4:$S$214,MATCH("Site type",'2007-2020 Metadata'!$A$4:$S$4,0),FALSE)</f>
        <v>SH</v>
      </c>
      <c r="AG69" s="336">
        <f t="shared" si="48"/>
        <v>23.7</v>
      </c>
      <c r="AH69" s="336">
        <f t="shared" si="49"/>
        <v>39.200000000000003</v>
      </c>
      <c r="AI69" s="267">
        <f t="shared" si="20"/>
        <v>25.611190476190476</v>
      </c>
    </row>
    <row r="70" spans="2:35" ht="12" customHeight="1" x14ac:dyDescent="0.15">
      <c r="B70" s="193" t="s">
        <v>95</v>
      </c>
      <c r="C70" s="190">
        <v>17.8</v>
      </c>
      <c r="D70" s="190">
        <v>20.9</v>
      </c>
      <c r="E70" s="190">
        <v>23.5</v>
      </c>
      <c r="F70" s="190">
        <v>21.9</v>
      </c>
      <c r="G70" s="190">
        <v>26.9</v>
      </c>
      <c r="H70" s="190">
        <v>35.200000000000003</v>
      </c>
      <c r="I70" s="190">
        <v>32.4</v>
      </c>
      <c r="J70" s="190">
        <v>28.9</v>
      </c>
      <c r="K70" s="190">
        <v>23.5</v>
      </c>
      <c r="L70" s="190">
        <v>18.100000000000001</v>
      </c>
      <c r="M70" s="190">
        <v>25.2</v>
      </c>
      <c r="N70" s="190">
        <v>6.9</v>
      </c>
      <c r="O70" s="191">
        <f t="shared" si="0"/>
        <v>23.433333333333334</v>
      </c>
      <c r="P70" s="191">
        <f t="shared" si="1"/>
        <v>30.330425046549347</v>
      </c>
      <c r="Q70" s="192">
        <f t="shared" si="2"/>
        <v>1</v>
      </c>
      <c r="R70" s="332">
        <f t="shared" si="12"/>
        <v>20.733333333333334</v>
      </c>
      <c r="S70" s="226">
        <f t="shared" si="15"/>
        <v>1</v>
      </c>
      <c r="T70" s="332">
        <f t="shared" si="13"/>
        <v>28.266666666666666</v>
      </c>
      <c r="U70" s="226">
        <f t="shared" si="16"/>
        <v>1</v>
      </c>
      <c r="V70" s="333">
        <f t="shared" si="14"/>
        <v>23.433333333333334</v>
      </c>
      <c r="W70" s="226">
        <f t="shared" si="17"/>
        <v>1</v>
      </c>
      <c r="X70" s="144">
        <f t="shared" si="9"/>
        <v>25.072222222222223</v>
      </c>
      <c r="Y70" s="144">
        <f t="shared" si="10"/>
        <v>34.762962962962959</v>
      </c>
      <c r="Z70" s="144">
        <f t="shared" si="11"/>
        <v>29.714225589225592</v>
      </c>
      <c r="AA70" s="249"/>
      <c r="AB70" s="357" t="str">
        <f>VLOOKUP($B70,'2007-2020 Metadata'!$A$4:$S$214,MATCH("Urban Area /Monitoring Zone",'2007-2020 Metadata'!$A$4:$S$4,0),FALSE)</f>
        <v>Hamilton</v>
      </c>
      <c r="AC70" s="334" t="str">
        <f>VLOOKUP(B70,'2007-2020 Metadata'!$A$6:$A$214,1,FALSE)</f>
        <v>HAM012</v>
      </c>
      <c r="AD70" s="250" t="str">
        <f>VLOOKUP($AC70,'2007-2020 Metadata'!$A$6:$S$214,9,FALSE)</f>
        <v>Hamilton</v>
      </c>
      <c r="AE70" s="250">
        <f>IF(ISBLANK(VLOOKUP($AC70,'2007-2020 Metadata'!$A$6:$S$214,19,FALSE)),"",VLOOKUP($AC70,'2007-2020 Metadata'!$A$6:$S$214,19,FALSE))</f>
        <v>2.8</v>
      </c>
      <c r="AF70" s="335" t="str">
        <f>VLOOKUP($B70,'2007-2020 Metadata'!$A$4:$S$214,MATCH("Site type",'2007-2020 Metadata'!$A$4:$S$4,0),FALSE)</f>
        <v>Local (ex SH)</v>
      </c>
      <c r="AG70" s="336">
        <f t="shared" si="48"/>
        <v>6.9</v>
      </c>
      <c r="AH70" s="336">
        <f t="shared" si="49"/>
        <v>35.200000000000003</v>
      </c>
      <c r="AI70" s="267">
        <f t="shared" si="20"/>
        <v>29.714225589225592</v>
      </c>
    </row>
    <row r="71" spans="2:35" ht="12" customHeight="1" x14ac:dyDescent="0.15">
      <c r="B71" s="193" t="s">
        <v>96</v>
      </c>
      <c r="C71" s="190">
        <v>25.4</v>
      </c>
      <c r="D71" s="190">
        <v>36</v>
      </c>
      <c r="E71" s="190">
        <v>38.9</v>
      </c>
      <c r="F71" s="190">
        <v>47.8</v>
      </c>
      <c r="G71" s="190">
        <v>45.6</v>
      </c>
      <c r="H71" s="190">
        <v>54</v>
      </c>
      <c r="I71" s="190">
        <v>57</v>
      </c>
      <c r="J71" s="190">
        <v>52.4</v>
      </c>
      <c r="K71" s="190">
        <v>50.6</v>
      </c>
      <c r="L71" s="190">
        <v>46.7</v>
      </c>
      <c r="M71" s="190">
        <v>41.7</v>
      </c>
      <c r="N71" s="190">
        <v>35.4</v>
      </c>
      <c r="O71" s="191">
        <f t="shared" si="0"/>
        <v>44.291666666666664</v>
      </c>
      <c r="P71" s="191">
        <f t="shared" si="1"/>
        <v>19.786124936718902</v>
      </c>
      <c r="Q71" s="192">
        <f t="shared" si="2"/>
        <v>1</v>
      </c>
      <c r="R71" s="332">
        <f t="shared" si="12"/>
        <v>33.43333333333333</v>
      </c>
      <c r="S71" s="226">
        <f t="shared" si="15"/>
        <v>1</v>
      </c>
      <c r="T71" s="332">
        <f t="shared" si="13"/>
        <v>53.333333333333336</v>
      </c>
      <c r="U71" s="226">
        <f t="shared" si="16"/>
        <v>1</v>
      </c>
      <c r="V71" s="333">
        <f t="shared" si="14"/>
        <v>44.291666666666664</v>
      </c>
      <c r="W71" s="226">
        <f t="shared" si="17"/>
        <v>1</v>
      </c>
      <c r="X71" s="144">
        <f t="shared" si="9"/>
        <v>25.072222222222223</v>
      </c>
      <c r="Y71" s="144">
        <f t="shared" si="10"/>
        <v>34.762962962962959</v>
      </c>
      <c r="Z71" s="144">
        <f t="shared" si="11"/>
        <v>29.714225589225592</v>
      </c>
      <c r="AA71" s="249"/>
      <c r="AB71" s="357" t="str">
        <f>VLOOKUP($B71,'2007-2020 Metadata'!$A$4:$S$214,MATCH("Urban Area /Monitoring Zone",'2007-2020 Metadata'!$A$4:$S$4,0),FALSE)</f>
        <v>Hamilton</v>
      </c>
      <c r="AC71" s="334" t="str">
        <f>VLOOKUP(B71,'2007-2020 Metadata'!$A$6:$A$214,1,FALSE)</f>
        <v>HAM013</v>
      </c>
      <c r="AD71" s="250" t="str">
        <f>VLOOKUP($AC71,'2007-2020 Metadata'!$A$6:$S$214,9,FALSE)</f>
        <v>Hamilton</v>
      </c>
      <c r="AE71" s="250">
        <f>IF(ISBLANK(VLOOKUP($AC71,'2007-2020 Metadata'!$A$6:$S$214,19,FALSE)),"",VLOOKUP($AC71,'2007-2020 Metadata'!$A$6:$S$214,19,FALSE))</f>
        <v>2.8</v>
      </c>
      <c r="AF71" s="335" t="str">
        <f>VLOOKUP($B71,'2007-2020 Metadata'!$A$4:$S$214,MATCH("Site type",'2007-2020 Metadata'!$A$4:$S$4,0),FALSE)</f>
        <v>SH</v>
      </c>
      <c r="AG71" s="336">
        <f t="shared" si="48"/>
        <v>25.4</v>
      </c>
      <c r="AH71" s="336">
        <f t="shared" si="49"/>
        <v>57</v>
      </c>
      <c r="AI71" s="267">
        <f t="shared" si="20"/>
        <v>29.714225589225592</v>
      </c>
    </row>
    <row r="72" spans="2:35" ht="12" customHeight="1" x14ac:dyDescent="0.15">
      <c r="B72" s="193" t="s">
        <v>97</v>
      </c>
      <c r="C72" s="190">
        <v>29.6</v>
      </c>
      <c r="D72" s="190">
        <v>31.4</v>
      </c>
      <c r="E72" s="190">
        <v>32.6</v>
      </c>
      <c r="F72" s="190">
        <v>33.4</v>
      </c>
      <c r="G72" s="190">
        <v>41.2</v>
      </c>
      <c r="H72" s="190">
        <v>42.7</v>
      </c>
      <c r="I72" s="190">
        <v>50.7</v>
      </c>
      <c r="J72" s="190">
        <v>42.9</v>
      </c>
      <c r="K72" s="190">
        <v>33.4</v>
      </c>
      <c r="L72" s="190">
        <v>32</v>
      </c>
      <c r="M72" s="190">
        <v>34.4</v>
      </c>
      <c r="N72" s="190">
        <v>22.9</v>
      </c>
      <c r="O72" s="191">
        <f t="shared" ref="O72:O136" si="50">(AVERAGE(C72:N72))</f>
        <v>35.599999999999987</v>
      </c>
      <c r="P72" s="191">
        <f t="shared" ref="P72:P136" si="51">IFERROR((STDEVP(C72:N72)/O72)*100,"")</f>
        <v>20.045108621952469</v>
      </c>
      <c r="Q72" s="192">
        <f t="shared" ref="Q72:Q136" si="52">COUNT(C72:N72)/COUNT($C$6:$N$6)</f>
        <v>1</v>
      </c>
      <c r="R72" s="332">
        <f t="shared" si="12"/>
        <v>31.2</v>
      </c>
      <c r="S72" s="226">
        <f t="shared" si="15"/>
        <v>1</v>
      </c>
      <c r="T72" s="332">
        <f t="shared" si="13"/>
        <v>42.333333333333336</v>
      </c>
      <c r="U72" s="226">
        <f t="shared" si="16"/>
        <v>1</v>
      </c>
      <c r="V72" s="333">
        <f t="shared" si="14"/>
        <v>35.599999999999987</v>
      </c>
      <c r="W72" s="226">
        <f t="shared" si="17"/>
        <v>1</v>
      </c>
      <c r="X72" s="144">
        <f t="shared" si="9"/>
        <v>25.072222222222223</v>
      </c>
      <c r="Y72" s="144">
        <f t="shared" si="10"/>
        <v>34.762962962962959</v>
      </c>
      <c r="Z72" s="144">
        <f t="shared" si="11"/>
        <v>29.714225589225592</v>
      </c>
      <c r="AA72" s="249"/>
      <c r="AB72" s="357" t="str">
        <f>VLOOKUP($B72,'2007-2020 Metadata'!$A$4:$S$214,MATCH("Urban Area /Monitoring Zone",'2007-2020 Metadata'!$A$4:$S$4,0),FALSE)</f>
        <v>Hamilton</v>
      </c>
      <c r="AC72" s="334" t="str">
        <f>VLOOKUP(B72,'2007-2020 Metadata'!$A$6:$A$214,1,FALSE)</f>
        <v>HAM014</v>
      </c>
      <c r="AD72" s="250" t="str">
        <f>VLOOKUP($AC72,'2007-2020 Metadata'!$A$6:$S$214,9,FALSE)</f>
        <v>Hamilton</v>
      </c>
      <c r="AE72" s="250">
        <f>IF(ISBLANK(VLOOKUP($AC72,'2007-2020 Metadata'!$A$6:$S$214,19,FALSE)),"",VLOOKUP($AC72,'2007-2020 Metadata'!$A$6:$S$214,19,FALSE))</f>
        <v>2.2000000000000002</v>
      </c>
      <c r="AF72" s="335" t="str">
        <f>VLOOKUP($B72,'2007-2020 Metadata'!$A$4:$S$214,MATCH("Site type",'2007-2020 Metadata'!$A$4:$S$4,0),FALSE)</f>
        <v>Local</v>
      </c>
      <c r="AG72" s="336">
        <f t="shared" si="48"/>
        <v>22.9</v>
      </c>
      <c r="AH72" s="336">
        <f t="shared" si="49"/>
        <v>50.7</v>
      </c>
      <c r="AI72" s="267">
        <f t="shared" si="20"/>
        <v>29.714225589225592</v>
      </c>
    </row>
    <row r="73" spans="2:35" ht="12" customHeight="1" x14ac:dyDescent="0.15">
      <c r="B73" s="193" t="s">
        <v>98</v>
      </c>
      <c r="C73" s="190">
        <v>19.899999999999999</v>
      </c>
      <c r="D73" s="190">
        <v>17.899999999999999</v>
      </c>
      <c r="E73" s="190">
        <v>26.4</v>
      </c>
      <c r="F73" s="190">
        <v>29.2</v>
      </c>
      <c r="G73" s="190">
        <v>26.6</v>
      </c>
      <c r="H73" s="190">
        <v>34.6</v>
      </c>
      <c r="I73" s="190">
        <v>38.799999999999997</v>
      </c>
      <c r="J73" s="190">
        <v>31.5</v>
      </c>
      <c r="K73" s="190">
        <v>25.2</v>
      </c>
      <c r="L73" s="190">
        <v>23.3</v>
      </c>
      <c r="M73" s="190">
        <v>26</v>
      </c>
      <c r="N73" s="190">
        <v>12</v>
      </c>
      <c r="O73" s="191">
        <f t="shared" si="50"/>
        <v>25.95</v>
      </c>
      <c r="P73" s="191">
        <f t="shared" si="51"/>
        <v>26.918235632110122</v>
      </c>
      <c r="Q73" s="192">
        <f t="shared" si="52"/>
        <v>1</v>
      </c>
      <c r="R73" s="332">
        <f t="shared" si="12"/>
        <v>21.399999999999995</v>
      </c>
      <c r="S73" s="226">
        <f t="shared" si="15"/>
        <v>1</v>
      </c>
      <c r="T73" s="332">
        <f t="shared" si="13"/>
        <v>31.833333333333332</v>
      </c>
      <c r="U73" s="226">
        <f t="shared" si="16"/>
        <v>1</v>
      </c>
      <c r="V73" s="333">
        <f t="shared" si="14"/>
        <v>25.95</v>
      </c>
      <c r="W73" s="226">
        <f t="shared" si="17"/>
        <v>1</v>
      </c>
      <c r="X73" s="144">
        <f t="shared" ref="X73:X136" si="53">IF(VLOOKUP($B73,$AC$6:$AI$180,3,FALSE)="",$R73,IF(ISERROR(AVERAGEIF($AD$6:$AD$180,VLOOKUP($B73,$AC$6:$AI$180,2,FALSE),$R$6:$R$180)),"",AVERAGEIF($AD$6:$AD$180,VLOOKUP($B73,$AC$6:$AI$180,2,FALSE),$R$6:$R$180)))</f>
        <v>25.072222222222223</v>
      </c>
      <c r="Y73" s="144">
        <f t="shared" ref="Y73:Y136" si="54">IF(VLOOKUP($B73,$AC$6:$AI$180,3,FALSE)="",$T73,IF(ISERROR(AVERAGEIF($AD$6:$AD$180,VLOOKUP($B73,$AC$6:$AI$180,2,FALSE),$T$6:$T$180)),"",AVERAGEIF($AD$6:$AD$180,VLOOKUP($B73,$AC$6:$AI$180,2,FALSE),$T$6:$T$180)))</f>
        <v>34.762962962962959</v>
      </c>
      <c r="Z73" s="144">
        <f t="shared" ref="Z73:Z136" si="55">IF(VLOOKUP($B73,$AC$6:$AI$180,3,FALSE)="",$V73,IF(ISERROR(AVERAGEIF($AD$6:$AD$180,VLOOKUP($B73,$AC$6:$AI$180,2,FALSE),$V$6:$V$180)),"",AVERAGEIF($AD$6:$AD$180,VLOOKUP($B73,$AC$6:$AI$180,2,FALSE),$V$6:$V$180)))</f>
        <v>29.714225589225592</v>
      </c>
      <c r="AA73" s="249"/>
      <c r="AB73" s="357" t="str">
        <f>VLOOKUP($B73,'2007-2020 Metadata'!$A$4:$S$214,MATCH("Urban Area /Monitoring Zone",'2007-2020 Metadata'!$A$4:$S$4,0),FALSE)</f>
        <v>Hamilton</v>
      </c>
      <c r="AC73" s="334" t="str">
        <f>VLOOKUP(B73,'2007-2020 Metadata'!$A$6:$A$214,1,FALSE)</f>
        <v>HAM015</v>
      </c>
      <c r="AD73" s="250" t="str">
        <f>VLOOKUP($AC73,'2007-2020 Metadata'!$A$6:$S$214,9,FALSE)</f>
        <v>Hamilton</v>
      </c>
      <c r="AE73" s="250">
        <f>IF(ISBLANK(VLOOKUP($AC73,'2007-2020 Metadata'!$A$6:$S$214,19,FALSE)),"",VLOOKUP($AC73,'2007-2020 Metadata'!$A$6:$S$214,19,FALSE))</f>
        <v>2.7</v>
      </c>
      <c r="AF73" s="335" t="str">
        <f>VLOOKUP($B73,'2007-2020 Metadata'!$A$4:$S$214,MATCH("Site type",'2007-2020 Metadata'!$A$4:$S$4,0),FALSE)</f>
        <v>Local</v>
      </c>
      <c r="AG73" s="336">
        <f t="shared" si="48"/>
        <v>12</v>
      </c>
      <c r="AH73" s="336">
        <f t="shared" si="49"/>
        <v>38.799999999999997</v>
      </c>
      <c r="AI73" s="267">
        <f t="shared" si="20"/>
        <v>29.714225589225592</v>
      </c>
    </row>
    <row r="74" spans="2:35" ht="12" customHeight="1" x14ac:dyDescent="0.15">
      <c r="B74" s="193" t="s">
        <v>99</v>
      </c>
      <c r="C74" s="190">
        <v>20.8</v>
      </c>
      <c r="D74" s="190">
        <v>20.100000000000001</v>
      </c>
      <c r="E74" s="190">
        <v>24.5</v>
      </c>
      <c r="F74" s="190">
        <v>25.6</v>
      </c>
      <c r="G74" s="190">
        <v>27.4</v>
      </c>
      <c r="H74" s="190">
        <v>29.9</v>
      </c>
      <c r="I74" s="190">
        <v>33</v>
      </c>
      <c r="J74" s="190">
        <v>28.1</v>
      </c>
      <c r="K74" s="190">
        <v>21.3</v>
      </c>
      <c r="L74" s="190">
        <v>18.7</v>
      </c>
      <c r="M74" s="190">
        <v>21.7</v>
      </c>
      <c r="N74" s="190">
        <v>12.6</v>
      </c>
      <c r="O74" s="191">
        <f t="shared" si="50"/>
        <v>23.641666666666669</v>
      </c>
      <c r="P74" s="191">
        <f t="shared" si="51"/>
        <v>22.565511717455674</v>
      </c>
      <c r="Q74" s="192">
        <f t="shared" si="52"/>
        <v>1</v>
      </c>
      <c r="R74" s="332">
        <f t="shared" si="12"/>
        <v>21.8</v>
      </c>
      <c r="S74" s="226">
        <f t="shared" si="15"/>
        <v>1</v>
      </c>
      <c r="T74" s="332">
        <f t="shared" si="13"/>
        <v>27.466666666666669</v>
      </c>
      <c r="U74" s="226">
        <f t="shared" si="16"/>
        <v>1</v>
      </c>
      <c r="V74" s="333">
        <f t="shared" si="14"/>
        <v>23.641666666666669</v>
      </c>
      <c r="W74" s="226">
        <f t="shared" si="17"/>
        <v>1</v>
      </c>
      <c r="X74" s="144">
        <f t="shared" si="53"/>
        <v>25.072222222222223</v>
      </c>
      <c r="Y74" s="144">
        <f t="shared" si="54"/>
        <v>34.762962962962959</v>
      </c>
      <c r="Z74" s="144">
        <f t="shared" si="55"/>
        <v>29.714225589225592</v>
      </c>
      <c r="AA74" s="249"/>
      <c r="AB74" s="357" t="str">
        <f>VLOOKUP($B74,'2007-2020 Metadata'!$A$4:$S$214,MATCH("Urban Area /Monitoring Zone",'2007-2020 Metadata'!$A$4:$S$4,0),FALSE)</f>
        <v>Hamilton</v>
      </c>
      <c r="AC74" s="334" t="str">
        <f>VLOOKUP(B74,'2007-2020 Metadata'!$A$6:$A$214,1,FALSE)</f>
        <v>HAM016</v>
      </c>
      <c r="AD74" s="250" t="str">
        <f>VLOOKUP($AC74,'2007-2020 Metadata'!$A$6:$S$214,9,FALSE)</f>
        <v>Hamilton</v>
      </c>
      <c r="AE74" s="250">
        <f>IF(ISBLANK(VLOOKUP($AC74,'2007-2020 Metadata'!$A$6:$S$214,19,FALSE)),"",VLOOKUP($AC74,'2007-2020 Metadata'!$A$6:$S$214,19,FALSE))</f>
        <v>2.6</v>
      </c>
      <c r="AF74" s="335" t="str">
        <f>VLOOKUP($B74,'2007-2020 Metadata'!$A$4:$S$214,MATCH("Site type",'2007-2020 Metadata'!$A$4:$S$4,0),FALSE)</f>
        <v>Local</v>
      </c>
      <c r="AG74" s="336">
        <f t="shared" ref="AG74:AG76" si="56">MIN(AVERAGE($C$13:$C$15),AVERAGE($D$13:$D$15),AVERAGE($E$13:$E$15),AVERAGE($F$13:$F$15),AVERAGE($G$13:$G$15),AVERAGE($H$13:$H$15),AVERAGE($I$13:$I$15),AVERAGE($J$13:$J$15),AVERAGE($K$13:$K$15),AVERAGE($L$13:$L$15),AVERAGE($M$13:$M$15),AVERAGE($N$13:$N$15))</f>
        <v>14.366666666666667</v>
      </c>
      <c r="AH74" s="336">
        <f t="shared" ref="AH74:AH76" si="57">MAX(AVERAGE($C$13:$C$15),AVERAGE($D$13:$D$15),AVERAGE($E$13:$E$15),AVERAGE($F$13:$F$15),AVERAGE($G$13:$G$15),AVERAGE($H$13:$H$15),AVERAGE($I$13:$I$15),AVERAGE($J$13:$J$15),AVERAGE($K$13:$K$15),AVERAGE($L$13:$L$15),AVERAGE($M$13:$M$15),AVERAGE($N$13:$N$15))</f>
        <v>44.300000000000004</v>
      </c>
      <c r="AI74" s="267">
        <f t="shared" si="20"/>
        <v>29.714225589225592</v>
      </c>
    </row>
    <row r="75" spans="2:35" ht="12" customHeight="1" x14ac:dyDescent="0.15">
      <c r="B75" s="193" t="s">
        <v>100</v>
      </c>
      <c r="C75" s="190">
        <v>8.4</v>
      </c>
      <c r="D75" s="190">
        <v>9.6999999999999993</v>
      </c>
      <c r="E75" s="190">
        <v>11.3</v>
      </c>
      <c r="F75" s="190">
        <v>12</v>
      </c>
      <c r="G75" s="190">
        <v>15.4</v>
      </c>
      <c r="H75" s="190">
        <v>19.899999999999999</v>
      </c>
      <c r="I75" s="190">
        <v>18.8</v>
      </c>
      <c r="J75" s="190">
        <v>14.9</v>
      </c>
      <c r="K75" s="190">
        <v>10</v>
      </c>
      <c r="L75" s="190">
        <v>9.9</v>
      </c>
      <c r="M75" s="190">
        <v>8.6</v>
      </c>
      <c r="N75" s="190">
        <v>6.3</v>
      </c>
      <c r="O75" s="191">
        <f t="shared" si="50"/>
        <v>12.100000000000001</v>
      </c>
      <c r="P75" s="191">
        <f t="shared" si="51"/>
        <v>33.714213995040289</v>
      </c>
      <c r="Q75" s="192">
        <f t="shared" si="52"/>
        <v>1</v>
      </c>
      <c r="R75" s="332">
        <f t="shared" ref="R75:R139" si="58">IF($S75=0%,"",IF($S75&gt;66%,AVERAGE($C75:$E75),"-"))</f>
        <v>9.8000000000000007</v>
      </c>
      <c r="S75" s="226">
        <f t="shared" si="15"/>
        <v>1</v>
      </c>
      <c r="T75" s="332">
        <f t="shared" ref="T75:T139" si="59">IF($U75=0%,"",IF($U75&gt;66%,AVERAGE($I75:$K75),"-"))</f>
        <v>14.566666666666668</v>
      </c>
      <c r="U75" s="226">
        <f t="shared" si="16"/>
        <v>1</v>
      </c>
      <c r="V75" s="333">
        <f t="shared" ref="V75:V139" si="60">IF(AND(($S75&gt;33%),($U75&gt;33%),($W75&gt;=75%)),AVERAGE($C75:$N75),"-")</f>
        <v>12.100000000000001</v>
      </c>
      <c r="W75" s="226">
        <f t="shared" si="17"/>
        <v>1</v>
      </c>
      <c r="X75" s="144">
        <f t="shared" si="53"/>
        <v>25.072222222222223</v>
      </c>
      <c r="Y75" s="144">
        <f t="shared" si="54"/>
        <v>34.762962962962959</v>
      </c>
      <c r="Z75" s="144">
        <f t="shared" si="55"/>
        <v>29.714225589225592</v>
      </c>
      <c r="AA75" s="249"/>
      <c r="AB75" s="357" t="str">
        <f>VLOOKUP($B75,'2007-2020 Metadata'!$A$4:$S$214,MATCH("Urban Area /Monitoring Zone",'2007-2020 Metadata'!$A$4:$S$4,0),FALSE)</f>
        <v>Hamilton</v>
      </c>
      <c r="AC75" s="334" t="str">
        <f>VLOOKUP(B75,'2007-2020 Metadata'!$A$6:$A$214,1,FALSE)</f>
        <v>HAM017</v>
      </c>
      <c r="AD75" s="250" t="str">
        <f>VLOOKUP($AC75,'2007-2020 Metadata'!$A$6:$S$214,9,FALSE)</f>
        <v>Hamilton</v>
      </c>
      <c r="AE75" s="250">
        <f>IF(ISBLANK(VLOOKUP($AC75,'2007-2020 Metadata'!$A$6:$S$214,19,FALSE)),"",VLOOKUP($AC75,'2007-2020 Metadata'!$A$6:$S$214,19,FALSE))</f>
        <v>5</v>
      </c>
      <c r="AF75" s="335" t="str">
        <f>VLOOKUP($B75,'2007-2020 Metadata'!$A$4:$S$214,MATCH("Site type",'2007-2020 Metadata'!$A$4:$S$4,0),FALSE)</f>
        <v>Background</v>
      </c>
      <c r="AG75" s="336">
        <f t="shared" si="56"/>
        <v>14.366666666666667</v>
      </c>
      <c r="AH75" s="336">
        <f t="shared" si="57"/>
        <v>44.300000000000004</v>
      </c>
      <c r="AI75" s="267">
        <f t="shared" si="20"/>
        <v>29.714225589225592</v>
      </c>
    </row>
    <row r="76" spans="2:35" ht="12" customHeight="1" x14ac:dyDescent="0.15">
      <c r="B76" s="193" t="s">
        <v>101</v>
      </c>
      <c r="C76" s="190">
        <v>22.2</v>
      </c>
      <c r="D76" s="190">
        <v>23.4</v>
      </c>
      <c r="E76" s="190">
        <v>26.8</v>
      </c>
      <c r="F76" s="190">
        <v>32.5</v>
      </c>
      <c r="G76" s="190">
        <v>35.5</v>
      </c>
      <c r="H76" s="190">
        <v>38</v>
      </c>
      <c r="I76" s="190">
        <v>42.5</v>
      </c>
      <c r="J76" s="190">
        <v>40.200000000000003</v>
      </c>
      <c r="K76" s="190">
        <v>31.4</v>
      </c>
      <c r="L76" s="190"/>
      <c r="M76" s="190">
        <v>27.2</v>
      </c>
      <c r="N76" s="190"/>
      <c r="O76" s="191">
        <f t="shared" si="50"/>
        <v>31.969999999999992</v>
      </c>
      <c r="P76" s="191">
        <f t="shared" si="51"/>
        <v>20.899200463519282</v>
      </c>
      <c r="Q76" s="192">
        <f t="shared" si="52"/>
        <v>0.83333333333333337</v>
      </c>
      <c r="R76" s="332">
        <f t="shared" si="58"/>
        <v>24.133333333333329</v>
      </c>
      <c r="S76" s="226">
        <f t="shared" si="15"/>
        <v>1</v>
      </c>
      <c r="T76" s="332">
        <f t="shared" si="59"/>
        <v>38.033333333333331</v>
      </c>
      <c r="U76" s="226">
        <f t="shared" si="16"/>
        <v>1</v>
      </c>
      <c r="V76" s="333">
        <f t="shared" si="60"/>
        <v>31.969999999999992</v>
      </c>
      <c r="W76" s="226">
        <f t="shared" si="17"/>
        <v>0.83333333333333337</v>
      </c>
      <c r="X76" s="144">
        <f t="shared" si="53"/>
        <v>20.37142857142857</v>
      </c>
      <c r="Y76" s="144">
        <f t="shared" si="54"/>
        <v>30.49523809523809</v>
      </c>
      <c r="Z76" s="144">
        <f t="shared" si="55"/>
        <v>25.611190476190476</v>
      </c>
      <c r="AA76" s="249"/>
      <c r="AB76" s="357" t="str">
        <f>VLOOKUP($B76,'2007-2020 Metadata'!$A$4:$S$214,MATCH("Urban Area /Monitoring Zone",'2007-2020 Metadata'!$A$4:$S$4,0),FALSE)</f>
        <v>Tauranga</v>
      </c>
      <c r="AC76" s="334" t="str">
        <f>VLOOKUP(B76,'2007-2020 Metadata'!$A$6:$A$214,1,FALSE)</f>
        <v>HAM018</v>
      </c>
      <c r="AD76" s="250" t="str">
        <f>VLOOKUP($AC76,'2007-2020 Metadata'!$A$6:$S$214,9,FALSE)</f>
        <v>Tauranga</v>
      </c>
      <c r="AE76" s="250">
        <f>IF(ISBLANK(VLOOKUP($AC76,'2007-2020 Metadata'!$A$6:$S$214,19,FALSE)),"",VLOOKUP($AC76,'2007-2020 Metadata'!$A$6:$S$214,19,FALSE))</f>
        <v>2.5</v>
      </c>
      <c r="AF76" s="335" t="str">
        <f>VLOOKUP($B76,'2007-2020 Metadata'!$A$4:$S$214,MATCH("Site type",'2007-2020 Metadata'!$A$4:$S$4,0),FALSE)</f>
        <v>SH</v>
      </c>
      <c r="AG76" s="336">
        <f t="shared" si="56"/>
        <v>14.366666666666667</v>
      </c>
      <c r="AH76" s="336">
        <f t="shared" si="57"/>
        <v>44.300000000000004</v>
      </c>
      <c r="AI76" s="267">
        <f t="shared" si="20"/>
        <v>25.611190476190476</v>
      </c>
    </row>
    <row r="77" spans="2:35" ht="12" customHeight="1" x14ac:dyDescent="0.15">
      <c r="B77" s="193" t="s">
        <v>102</v>
      </c>
      <c r="C77" s="190">
        <v>13.1</v>
      </c>
      <c r="D77" s="190">
        <v>13.3</v>
      </c>
      <c r="E77" s="190">
        <v>16.899999999999999</v>
      </c>
      <c r="F77" s="190">
        <v>19.899999999999999</v>
      </c>
      <c r="G77" s="190">
        <v>25.8</v>
      </c>
      <c r="H77" s="190">
        <v>27.9</v>
      </c>
      <c r="I77" s="190">
        <v>26.3</v>
      </c>
      <c r="J77" s="190">
        <v>24.4</v>
      </c>
      <c r="K77" s="190">
        <v>21</v>
      </c>
      <c r="L77" s="190">
        <v>16.8</v>
      </c>
      <c r="M77" s="190">
        <v>15.9</v>
      </c>
      <c r="N77" s="190">
        <v>13.3</v>
      </c>
      <c r="O77" s="191">
        <f t="shared" si="50"/>
        <v>19.550000000000004</v>
      </c>
      <c r="P77" s="191">
        <f t="shared" si="51"/>
        <v>26.731339041950434</v>
      </c>
      <c r="Q77" s="192">
        <f t="shared" si="52"/>
        <v>1</v>
      </c>
      <c r="R77" s="332">
        <f t="shared" si="58"/>
        <v>14.433333333333332</v>
      </c>
      <c r="S77" s="226">
        <f t="shared" si="15"/>
        <v>1</v>
      </c>
      <c r="T77" s="332">
        <f t="shared" si="59"/>
        <v>23.900000000000002</v>
      </c>
      <c r="U77" s="226">
        <f t="shared" si="16"/>
        <v>1</v>
      </c>
      <c r="V77" s="333">
        <f t="shared" si="60"/>
        <v>19.550000000000004</v>
      </c>
      <c r="W77" s="226">
        <f t="shared" si="17"/>
        <v>1</v>
      </c>
      <c r="X77" s="144">
        <f t="shared" si="53"/>
        <v>20.37142857142857</v>
      </c>
      <c r="Y77" s="144">
        <f t="shared" si="54"/>
        <v>30.49523809523809</v>
      </c>
      <c r="Z77" s="144">
        <f t="shared" si="55"/>
        <v>25.611190476190476</v>
      </c>
      <c r="AA77" s="249"/>
      <c r="AB77" s="357" t="str">
        <f>VLOOKUP($B77,'2007-2020 Metadata'!$A$4:$S$214,MATCH("Urban Area /Monitoring Zone",'2007-2020 Metadata'!$A$4:$S$4,0),FALSE)</f>
        <v>Tauranga</v>
      </c>
      <c r="AC77" s="334" t="str">
        <f>VLOOKUP(B77,'2007-2020 Metadata'!$A$6:$A$214,1,FALSE)</f>
        <v>HAM019</v>
      </c>
      <c r="AD77" s="250" t="str">
        <f>VLOOKUP($AC77,'2007-2020 Metadata'!$A$6:$S$214,9,FALSE)</f>
        <v>Tauranga</v>
      </c>
      <c r="AE77" s="250">
        <f>IF(ISBLANK(VLOOKUP($AC77,'2007-2020 Metadata'!$A$6:$S$214,19,FALSE)),"",VLOOKUP($AC77,'2007-2020 Metadata'!$A$6:$S$214,19,FALSE))</f>
        <v>2.7</v>
      </c>
      <c r="AF77" s="335" t="str">
        <f>VLOOKUP($B77,'2007-2020 Metadata'!$A$4:$S$214,MATCH("Site type",'2007-2020 Metadata'!$A$4:$S$4,0),FALSE)</f>
        <v>Local</v>
      </c>
      <c r="AG77" s="336">
        <f t="shared" ref="AG77:AG86" si="61">MIN(C77:N77)</f>
        <v>13.1</v>
      </c>
      <c r="AH77" s="336">
        <f t="shared" ref="AH77:AH86" si="62">MAX(C77:N77)</f>
        <v>27.9</v>
      </c>
      <c r="AI77" s="267">
        <f t="shared" si="20"/>
        <v>25.611190476190476</v>
      </c>
    </row>
    <row r="78" spans="2:35" ht="12" customHeight="1" x14ac:dyDescent="0.15">
      <c r="B78" s="193" t="s">
        <v>103</v>
      </c>
      <c r="C78" s="190">
        <v>15.2</v>
      </c>
      <c r="D78" s="190">
        <v>14.4</v>
      </c>
      <c r="E78" s="190">
        <v>18.2</v>
      </c>
      <c r="F78" s="190">
        <v>21.2</v>
      </c>
      <c r="G78" s="190">
        <v>24.2</v>
      </c>
      <c r="H78" s="190">
        <v>28.3</v>
      </c>
      <c r="I78" s="190">
        <v>24.9</v>
      </c>
      <c r="J78" s="190">
        <v>39.1</v>
      </c>
      <c r="K78" s="190">
        <v>20</v>
      </c>
      <c r="L78" s="190">
        <v>13.4</v>
      </c>
      <c r="M78" s="190">
        <v>15.9</v>
      </c>
      <c r="N78" s="190">
        <v>12.4</v>
      </c>
      <c r="O78" s="191">
        <f t="shared" si="50"/>
        <v>20.6</v>
      </c>
      <c r="P78" s="191">
        <f t="shared" si="51"/>
        <v>35.678786067986309</v>
      </c>
      <c r="Q78" s="192">
        <f t="shared" si="52"/>
        <v>1</v>
      </c>
      <c r="R78" s="332">
        <f t="shared" si="58"/>
        <v>15.933333333333332</v>
      </c>
      <c r="S78" s="226">
        <f t="shared" si="15"/>
        <v>1</v>
      </c>
      <c r="T78" s="332">
        <f t="shared" si="59"/>
        <v>28</v>
      </c>
      <c r="U78" s="226">
        <f t="shared" si="16"/>
        <v>1</v>
      </c>
      <c r="V78" s="333">
        <f t="shared" si="60"/>
        <v>20.6</v>
      </c>
      <c r="W78" s="226">
        <f t="shared" si="17"/>
        <v>1</v>
      </c>
      <c r="X78" s="144">
        <f t="shared" si="53"/>
        <v>20.37142857142857</v>
      </c>
      <c r="Y78" s="144">
        <f t="shared" si="54"/>
        <v>30.49523809523809</v>
      </c>
      <c r="Z78" s="144">
        <f t="shared" si="55"/>
        <v>25.611190476190476</v>
      </c>
      <c r="AA78" s="249"/>
      <c r="AB78" s="357" t="str">
        <f>VLOOKUP($B78,'2007-2020 Metadata'!$A$4:$S$214,MATCH("Urban Area /Monitoring Zone",'2007-2020 Metadata'!$A$4:$S$4,0),FALSE)</f>
        <v>Tauranga</v>
      </c>
      <c r="AC78" s="334" t="str">
        <f>VLOOKUP(B78,'2007-2020 Metadata'!$A$6:$A$214,1,FALSE)</f>
        <v>HAM020</v>
      </c>
      <c r="AD78" s="250" t="str">
        <f>VLOOKUP($AC78,'2007-2020 Metadata'!$A$6:$S$214,9,FALSE)</f>
        <v>Tauranga</v>
      </c>
      <c r="AE78" s="250">
        <f>IF(ISBLANK(VLOOKUP($AC78,'2007-2020 Metadata'!$A$6:$S$214,19,FALSE)),"",VLOOKUP($AC78,'2007-2020 Metadata'!$A$6:$S$214,19,FALSE))</f>
        <v>2.8</v>
      </c>
      <c r="AF78" s="335" t="str">
        <f>VLOOKUP($B78,'2007-2020 Metadata'!$A$4:$S$214,MATCH("Site type",'2007-2020 Metadata'!$A$4:$S$4,0),FALSE)</f>
        <v>Local</v>
      </c>
      <c r="AG78" s="336">
        <f t="shared" si="61"/>
        <v>12.4</v>
      </c>
      <c r="AH78" s="336">
        <f t="shared" si="62"/>
        <v>39.1</v>
      </c>
      <c r="AI78" s="267">
        <f t="shared" si="20"/>
        <v>25.611190476190476</v>
      </c>
    </row>
    <row r="79" spans="2:35" ht="12" customHeight="1" x14ac:dyDescent="0.15">
      <c r="B79" s="193" t="s">
        <v>104</v>
      </c>
      <c r="C79" s="190">
        <v>8.3000000000000007</v>
      </c>
      <c r="D79" s="190">
        <v>8.6999999999999993</v>
      </c>
      <c r="E79" s="190">
        <v>10.3</v>
      </c>
      <c r="F79" s="190">
        <v>11.2</v>
      </c>
      <c r="G79" s="190">
        <v>14.9</v>
      </c>
      <c r="H79" s="190">
        <v>15.9</v>
      </c>
      <c r="I79" s="190">
        <v>15.4</v>
      </c>
      <c r="J79" s="190">
        <v>40.700000000000003</v>
      </c>
      <c r="K79" s="190">
        <v>10.4</v>
      </c>
      <c r="L79" s="190">
        <v>9.1</v>
      </c>
      <c r="M79" s="190">
        <v>9</v>
      </c>
      <c r="N79" s="190">
        <v>6</v>
      </c>
      <c r="O79" s="191">
        <f t="shared" si="50"/>
        <v>13.325000000000001</v>
      </c>
      <c r="P79" s="191">
        <f>IFERROR((STDEVP(C79:N79)/O79)*100,"")</f>
        <v>65.777890983966643</v>
      </c>
      <c r="Q79" s="192">
        <f t="shared" si="52"/>
        <v>1</v>
      </c>
      <c r="R79" s="332">
        <f t="shared" si="58"/>
        <v>9.1</v>
      </c>
      <c r="S79" s="226">
        <f t="shared" si="15"/>
        <v>1</v>
      </c>
      <c r="T79" s="332">
        <f t="shared" si="59"/>
        <v>22.166666666666668</v>
      </c>
      <c r="U79" s="226">
        <f t="shared" si="16"/>
        <v>1</v>
      </c>
      <c r="V79" s="333">
        <f t="shared" si="60"/>
        <v>13.325000000000001</v>
      </c>
      <c r="W79" s="226">
        <f t="shared" si="17"/>
        <v>1</v>
      </c>
      <c r="X79" s="144">
        <f t="shared" si="53"/>
        <v>20.37142857142857</v>
      </c>
      <c r="Y79" s="144">
        <f t="shared" si="54"/>
        <v>30.49523809523809</v>
      </c>
      <c r="Z79" s="144">
        <f t="shared" si="55"/>
        <v>25.611190476190476</v>
      </c>
      <c r="AA79" s="249"/>
      <c r="AB79" s="357" t="str">
        <f>VLOOKUP($B79,'2007-2020 Metadata'!$A$4:$S$214,MATCH("Urban Area /Monitoring Zone",'2007-2020 Metadata'!$A$4:$S$4,0),FALSE)</f>
        <v>Tauranga</v>
      </c>
      <c r="AC79" s="334" t="str">
        <f>VLOOKUP(B79,'2007-2020 Metadata'!$A$6:$A$214,1,FALSE)</f>
        <v>HAM021</v>
      </c>
      <c r="AD79" s="250" t="str">
        <f>VLOOKUP($AC79,'2007-2020 Metadata'!$A$6:$S$214,9,FALSE)</f>
        <v>Tauranga</v>
      </c>
      <c r="AE79" s="250">
        <f>IF(ISBLANK(VLOOKUP($AC79,'2007-2020 Metadata'!$A$6:$S$214,19,FALSE)),"",VLOOKUP($AC79,'2007-2020 Metadata'!$A$6:$S$214,19,FALSE))</f>
        <v>3</v>
      </c>
      <c r="AF79" s="335" t="str">
        <f>VLOOKUP($B79,'2007-2020 Metadata'!$A$4:$S$214,MATCH("Site type",'2007-2020 Metadata'!$A$4:$S$4,0),FALSE)</f>
        <v>Background</v>
      </c>
      <c r="AG79" s="336">
        <f t="shared" si="61"/>
        <v>6</v>
      </c>
      <c r="AH79" s="336">
        <f t="shared" si="62"/>
        <v>40.700000000000003</v>
      </c>
      <c r="AI79" s="267">
        <f t="shared" si="20"/>
        <v>25.611190476190476</v>
      </c>
    </row>
    <row r="80" spans="2:35" ht="12" customHeight="1" x14ac:dyDescent="0.15">
      <c r="B80" s="193" t="s">
        <v>105</v>
      </c>
      <c r="C80" s="190"/>
      <c r="D80" s="190">
        <v>16.5</v>
      </c>
      <c r="E80" s="190">
        <v>17.7</v>
      </c>
      <c r="F80" s="190">
        <v>24.8</v>
      </c>
      <c r="G80" s="190">
        <v>23</v>
      </c>
      <c r="H80" s="190">
        <v>24.7</v>
      </c>
      <c r="I80" s="190">
        <v>26.3</v>
      </c>
      <c r="J80" s="190">
        <v>22.7</v>
      </c>
      <c r="K80" s="190">
        <v>18.7</v>
      </c>
      <c r="L80" s="190">
        <v>18.2</v>
      </c>
      <c r="M80" s="190">
        <v>16.600000000000001</v>
      </c>
      <c r="N80" s="190">
        <v>12.4</v>
      </c>
      <c r="O80" s="191">
        <f t="shared" si="50"/>
        <v>20.145454545454541</v>
      </c>
      <c r="P80" s="191">
        <f t="shared" si="51"/>
        <v>20.774499112352522</v>
      </c>
      <c r="Q80" s="192">
        <f t="shared" si="52"/>
        <v>0.91666666666666663</v>
      </c>
      <c r="R80" s="332">
        <f t="shared" si="58"/>
        <v>17.100000000000001</v>
      </c>
      <c r="S80" s="226">
        <f t="shared" si="15"/>
        <v>0.66666666666666663</v>
      </c>
      <c r="T80" s="332">
        <f t="shared" si="59"/>
        <v>22.566666666666666</v>
      </c>
      <c r="U80" s="226">
        <f t="shared" si="16"/>
        <v>1</v>
      </c>
      <c r="V80" s="333">
        <f t="shared" si="60"/>
        <v>20.145454545454541</v>
      </c>
      <c r="W80" s="226">
        <f t="shared" si="17"/>
        <v>0.91666666666666663</v>
      </c>
      <c r="X80" s="144">
        <f t="shared" si="53"/>
        <v>17.100000000000001</v>
      </c>
      <c r="Y80" s="144">
        <f t="shared" si="54"/>
        <v>22.566666666666666</v>
      </c>
      <c r="Z80" s="144">
        <f t="shared" si="55"/>
        <v>20.145454545454541</v>
      </c>
      <c r="AA80" s="249"/>
      <c r="AB80" s="357" t="str">
        <f>VLOOKUP($B80,'2007-2020 Metadata'!$A$4:$S$214,MATCH("Urban Area /Monitoring Zone",'2007-2020 Metadata'!$A$4:$S$4,0),FALSE)</f>
        <v>Te Awamutu</v>
      </c>
      <c r="AC80" s="334" t="str">
        <f>VLOOKUP(B80,'2007-2020 Metadata'!$A$6:$A$214,1,FALSE)</f>
        <v>HAM022</v>
      </c>
      <c r="AD80" s="250" t="str">
        <f>VLOOKUP($AC80,'2007-2020 Metadata'!$A$6:$S$214,9,FALSE)</f>
        <v>Te Awamutu</v>
      </c>
      <c r="AE80" s="250">
        <f>IF(ISBLANK(VLOOKUP($AC80,'2007-2020 Metadata'!$A$6:$S$214,19,FALSE)),"",VLOOKUP($AC80,'2007-2020 Metadata'!$A$6:$S$214,19,FALSE))</f>
        <v>3</v>
      </c>
      <c r="AF80" s="335" t="str">
        <f>VLOOKUP($B80,'2007-2020 Metadata'!$A$4:$S$214,MATCH("Site type",'2007-2020 Metadata'!$A$4:$S$4,0),FALSE)</f>
        <v>SH</v>
      </c>
      <c r="AG80" s="336">
        <f t="shared" si="61"/>
        <v>12.4</v>
      </c>
      <c r="AH80" s="336">
        <f t="shared" si="62"/>
        <v>26.3</v>
      </c>
      <c r="AI80" s="267">
        <f t="shared" si="20"/>
        <v>20.145454545454541</v>
      </c>
    </row>
    <row r="81" spans="2:35" ht="12" customHeight="1" x14ac:dyDescent="0.15">
      <c r="B81" s="193" t="s">
        <v>106</v>
      </c>
      <c r="C81" s="190">
        <v>7.4</v>
      </c>
      <c r="D81" s="190">
        <v>8</v>
      </c>
      <c r="E81" s="190"/>
      <c r="F81" s="190">
        <v>10.3</v>
      </c>
      <c r="G81" s="190">
        <v>13.2</v>
      </c>
      <c r="H81" s="190">
        <v>12.5</v>
      </c>
      <c r="I81" s="190">
        <v>13.7</v>
      </c>
      <c r="J81" s="190">
        <v>9.9</v>
      </c>
      <c r="K81" s="190">
        <v>7.8</v>
      </c>
      <c r="L81" s="190">
        <v>6.5</v>
      </c>
      <c r="M81" s="190">
        <v>6.4</v>
      </c>
      <c r="N81" s="190">
        <v>4.5</v>
      </c>
      <c r="O81" s="191">
        <f t="shared" si="50"/>
        <v>9.1090909090909111</v>
      </c>
      <c r="P81" s="191">
        <f t="shared" si="51"/>
        <v>31.85337332030781</v>
      </c>
      <c r="Q81" s="192">
        <f t="shared" si="52"/>
        <v>0.91666666666666663</v>
      </c>
      <c r="R81" s="332">
        <f t="shared" si="58"/>
        <v>7.7</v>
      </c>
      <c r="S81" s="226">
        <f t="shared" si="15"/>
        <v>0.66666666666666663</v>
      </c>
      <c r="T81" s="332">
        <f t="shared" si="59"/>
        <v>10.466666666666667</v>
      </c>
      <c r="U81" s="226">
        <f t="shared" si="16"/>
        <v>1</v>
      </c>
      <c r="V81" s="333">
        <f t="shared" si="60"/>
        <v>9.1090909090909111</v>
      </c>
      <c r="W81" s="226">
        <f t="shared" si="17"/>
        <v>0.91666666666666663</v>
      </c>
      <c r="X81" s="144">
        <f t="shared" si="53"/>
        <v>11.999999999999998</v>
      </c>
      <c r="Y81" s="144">
        <f t="shared" si="54"/>
        <v>17.8</v>
      </c>
      <c r="Z81" s="144">
        <f t="shared" si="55"/>
        <v>15.454545454545457</v>
      </c>
      <c r="AA81" s="249"/>
      <c r="AB81" s="357" t="str">
        <f>VLOOKUP($B81,'2007-2020 Metadata'!$A$4:$S$214,MATCH("Urban Area /Monitoring Zone",'2007-2020 Metadata'!$A$4:$S$4,0),FALSE)</f>
        <v>Rotorua</v>
      </c>
      <c r="AC81" s="334" t="str">
        <f>VLOOKUP(B81,'2007-2020 Metadata'!$A$6:$A$214,1,FALSE)</f>
        <v>HAM023</v>
      </c>
      <c r="AD81" s="250" t="str">
        <f>VLOOKUP($AC81,'2007-2020 Metadata'!$A$6:$S$214,9,FALSE)</f>
        <v>Rotorua</v>
      </c>
      <c r="AE81" s="250">
        <f>IF(ISBLANK(VLOOKUP($AC81,'2007-2020 Metadata'!$A$6:$S$214,19,FALSE)),"",VLOOKUP($AC81,'2007-2020 Metadata'!$A$6:$S$214,19,FALSE))</f>
        <v>2.5</v>
      </c>
      <c r="AF81" s="335" t="str">
        <f>VLOOKUP($B81,'2007-2020 Metadata'!$A$4:$S$214,MATCH("Site type",'2007-2020 Metadata'!$A$4:$S$4,0),FALSE)</f>
        <v>Background</v>
      </c>
      <c r="AG81" s="336">
        <f t="shared" si="61"/>
        <v>4.5</v>
      </c>
      <c r="AH81" s="336">
        <f t="shared" si="62"/>
        <v>13.7</v>
      </c>
      <c r="AI81" s="267">
        <f t="shared" si="20"/>
        <v>15.454545454545457</v>
      </c>
    </row>
    <row r="82" spans="2:35" ht="12" customHeight="1" x14ac:dyDescent="0.15">
      <c r="B82" s="193" t="s">
        <v>42</v>
      </c>
      <c r="C82" s="190">
        <v>13.2</v>
      </c>
      <c r="D82" s="190">
        <v>14.2</v>
      </c>
      <c r="E82" s="190">
        <v>16.3</v>
      </c>
      <c r="F82" s="190">
        <v>16.3</v>
      </c>
      <c r="G82" s="190">
        <v>20.100000000000001</v>
      </c>
      <c r="H82" s="190">
        <v>20</v>
      </c>
      <c r="I82" s="190"/>
      <c r="J82" s="190"/>
      <c r="K82" s="194"/>
      <c r="L82" s="194"/>
      <c r="M82" s="194"/>
      <c r="N82" s="194"/>
      <c r="O82" s="191">
        <f t="shared" si="50"/>
        <v>16.683333333333334</v>
      </c>
      <c r="P82" s="191">
        <f t="shared" si="51"/>
        <v>15.71990845522954</v>
      </c>
      <c r="Q82" s="192">
        <f t="shared" si="52"/>
        <v>0.5</v>
      </c>
      <c r="R82" s="332">
        <f t="shared" si="58"/>
        <v>14.566666666666668</v>
      </c>
      <c r="S82" s="226">
        <f t="shared" si="15"/>
        <v>1</v>
      </c>
      <c r="T82" s="332" t="str">
        <f t="shared" si="59"/>
        <v/>
      </c>
      <c r="U82" s="226">
        <f t="shared" si="16"/>
        <v>0</v>
      </c>
      <c r="V82" s="333" t="str">
        <f t="shared" si="60"/>
        <v>-</v>
      </c>
      <c r="W82" s="226">
        <f t="shared" si="17"/>
        <v>0.5</v>
      </c>
      <c r="X82" s="144">
        <f t="shared" si="53"/>
        <v>14.566666666666668</v>
      </c>
      <c r="Y82" s="144" t="str">
        <f t="shared" si="54"/>
        <v/>
      </c>
      <c r="Z82" s="144" t="str">
        <f t="shared" si="55"/>
        <v/>
      </c>
      <c r="AA82" s="249"/>
      <c r="AB82" s="357" t="str">
        <f>VLOOKUP($B82,'2007-2020 Metadata'!$A$4:$S$214,MATCH("Urban Area /Monitoring Zone",'2007-2020 Metadata'!$A$4:$S$4,0),FALSE)</f>
        <v>Gisborne</v>
      </c>
      <c r="AC82" s="334" t="str">
        <f>VLOOKUP(B82,'2007-2020 Metadata'!$A$6:$A$214,1,FALSE)</f>
        <v>NAP001</v>
      </c>
      <c r="AD82" s="250" t="str">
        <f>VLOOKUP($AC82,'2007-2020 Metadata'!$A$6:$S$214,9,FALSE)</f>
        <v>Gisborne</v>
      </c>
      <c r="AE82" s="250">
        <f>IF(ISBLANK(VLOOKUP($AC82,'2007-2020 Metadata'!$A$6:$S$214,19,FALSE)),"",VLOOKUP($AC82,'2007-2020 Metadata'!$A$6:$S$214,19,FALSE))</f>
        <v>3</v>
      </c>
      <c r="AF82" s="335" t="str">
        <f>VLOOKUP($B82,'2007-2020 Metadata'!$A$4:$S$214,MATCH("Site type",'2007-2020 Metadata'!$A$4:$S$4,0),FALSE)</f>
        <v>SH</v>
      </c>
      <c r="AG82" s="336">
        <f t="shared" si="61"/>
        <v>13.2</v>
      </c>
      <c r="AH82" s="336">
        <f t="shared" si="62"/>
        <v>20.100000000000001</v>
      </c>
      <c r="AI82" s="267" t="str">
        <f t="shared" si="20"/>
        <v xml:space="preserve"> </v>
      </c>
    </row>
    <row r="83" spans="2:35" ht="12" customHeight="1" x14ac:dyDescent="0.15">
      <c r="B83" s="193" t="s">
        <v>1048</v>
      </c>
      <c r="C83" s="194"/>
      <c r="D83" s="194"/>
      <c r="E83" s="194"/>
      <c r="F83" s="194"/>
      <c r="G83" s="194"/>
      <c r="H83" s="194"/>
      <c r="I83" s="194"/>
      <c r="J83" s="194"/>
      <c r="K83" s="190">
        <v>7.6</v>
      </c>
      <c r="L83" s="190">
        <v>7.6</v>
      </c>
      <c r="M83" s="190">
        <v>12.8</v>
      </c>
      <c r="N83" s="190">
        <v>10.3</v>
      </c>
      <c r="O83" s="191">
        <f t="shared" ref="O83" si="63">(AVERAGE(C83:N83))</f>
        <v>9.5749999999999993</v>
      </c>
      <c r="P83" s="191">
        <f t="shared" ref="P83" si="64">IFERROR((STDEVP(C83:N83)/O83)*100,"")</f>
        <v>22.598058291488151</v>
      </c>
      <c r="Q83" s="192">
        <f t="shared" ref="Q83" si="65">COUNT(C83:N83)/COUNT($C$6:$N$6)</f>
        <v>0.33333333333333331</v>
      </c>
      <c r="R83" s="332" t="str">
        <f t="shared" si="58"/>
        <v/>
      </c>
      <c r="S83" s="226">
        <f t="shared" ref="S83" si="66">COUNT(C83:E83)/3</f>
        <v>0</v>
      </c>
      <c r="T83" s="332" t="str">
        <f t="shared" si="59"/>
        <v>-</v>
      </c>
      <c r="U83" s="226">
        <f t="shared" ref="U83" si="67">COUNT(I83:K83)/3</f>
        <v>0.33333333333333331</v>
      </c>
      <c r="V83" s="333" t="str">
        <f t="shared" si="60"/>
        <v>-</v>
      </c>
      <c r="W83" s="226">
        <f t="shared" ref="W83" si="68">Q83</f>
        <v>0.33333333333333331</v>
      </c>
      <c r="X83" s="144" t="str">
        <f t="shared" si="53"/>
        <v/>
      </c>
      <c r="Y83" s="144" t="str">
        <f t="shared" si="54"/>
        <v>-</v>
      </c>
      <c r="Z83" s="144" t="str">
        <f t="shared" si="55"/>
        <v>-</v>
      </c>
      <c r="AA83" s="249"/>
      <c r="AB83" s="357">
        <f>VLOOKUP($B83,'2007-2020 Metadata'!$A$4:$S$214,MATCH("Urban Area /Monitoring Zone",'2007-2020 Metadata'!$A$4:$S$4,0),FALSE)</f>
        <v>0</v>
      </c>
      <c r="AC83" s="334" t="str">
        <f>VLOOKUP(B83,'2007-2020 Metadata'!$A$6:$A$214,1,FALSE)</f>
        <v>NAP001a</v>
      </c>
      <c r="AD83" s="250">
        <f>VLOOKUP($AC83,'2007-2020 Metadata'!$A$6:$S$214,9,FALSE)</f>
        <v>0</v>
      </c>
      <c r="AE83" s="250" t="str">
        <f>IF(ISBLANK(VLOOKUP($AC83,'2007-2020 Metadata'!$A$6:$S$214,19,FALSE)),"",VLOOKUP($AC83,'2007-2020 Metadata'!$A$6:$S$214,19,FALSE))</f>
        <v/>
      </c>
      <c r="AF83" s="335" t="str">
        <f>VLOOKUP($B83,'2007-2020 Metadata'!$A$4:$S$214,MATCH("Site type",'2007-2020 Metadata'!$A$4:$S$4,0),FALSE)</f>
        <v>SH</v>
      </c>
      <c r="AG83" s="336">
        <f t="shared" ref="AG83" si="69">MIN(C83:N83)</f>
        <v>7.6</v>
      </c>
      <c r="AH83" s="336">
        <f t="shared" ref="AH83" si="70">MAX(C83:N83)</f>
        <v>12.8</v>
      </c>
      <c r="AI83" s="267" t="str">
        <f t="shared" ref="AI83" si="71">IF(W83&gt;=75%,Z83," ")</f>
        <v xml:space="preserve"> </v>
      </c>
    </row>
    <row r="84" spans="2:35" ht="12" customHeight="1" x14ac:dyDescent="0.15">
      <c r="B84" s="193" t="s">
        <v>43</v>
      </c>
      <c r="C84" s="190">
        <v>12.9</v>
      </c>
      <c r="D84" s="190">
        <v>14.1</v>
      </c>
      <c r="E84" s="190">
        <v>14.9</v>
      </c>
      <c r="F84" s="190">
        <v>24.2</v>
      </c>
      <c r="G84" s="190">
        <v>25.4</v>
      </c>
      <c r="H84" s="190">
        <v>29</v>
      </c>
      <c r="I84" s="190">
        <v>25.9</v>
      </c>
      <c r="J84" s="190">
        <v>21.5</v>
      </c>
      <c r="K84" s="190">
        <v>17.3</v>
      </c>
      <c r="L84" s="190">
        <v>17</v>
      </c>
      <c r="M84" s="190">
        <v>12.5</v>
      </c>
      <c r="N84" s="190">
        <v>14.3</v>
      </c>
      <c r="O84" s="191">
        <f t="shared" si="50"/>
        <v>19.083333333333336</v>
      </c>
      <c r="P84" s="191">
        <f t="shared" si="51"/>
        <v>29.138256064435403</v>
      </c>
      <c r="Q84" s="192">
        <f t="shared" si="52"/>
        <v>1</v>
      </c>
      <c r="R84" s="332">
        <f t="shared" si="58"/>
        <v>13.966666666666667</v>
      </c>
      <c r="S84" s="226">
        <f t="shared" si="15"/>
        <v>1</v>
      </c>
      <c r="T84" s="332">
        <f t="shared" si="59"/>
        <v>21.566666666666666</v>
      </c>
      <c r="U84" s="226">
        <f t="shared" si="16"/>
        <v>1</v>
      </c>
      <c r="V84" s="333">
        <f t="shared" si="60"/>
        <v>19.083333333333336</v>
      </c>
      <c r="W84" s="226">
        <f t="shared" si="17"/>
        <v>1</v>
      </c>
      <c r="X84" s="144">
        <f t="shared" si="53"/>
        <v>16</v>
      </c>
      <c r="Y84" s="144">
        <f t="shared" si="54"/>
        <v>21.211111111111109</v>
      </c>
      <c r="Z84" s="144">
        <f t="shared" si="55"/>
        <v>18.572222222222223</v>
      </c>
      <c r="AA84" s="249"/>
      <c r="AB84" s="357" t="str">
        <f>VLOOKUP($B84,'2007-2020 Metadata'!$A$4:$S$214,MATCH("Urban Area /Monitoring Zone",'2007-2020 Metadata'!$A$4:$S$4,0),FALSE)</f>
        <v>Napier</v>
      </c>
      <c r="AC84" s="334" t="str">
        <f>VLOOKUP(B84,'2007-2020 Metadata'!$A$6:$A$214,1,FALSE)</f>
        <v>NAP002</v>
      </c>
      <c r="AD84" s="250" t="str">
        <f>VLOOKUP($AC84,'2007-2020 Metadata'!$A$6:$S$214,9,FALSE)</f>
        <v>Napier</v>
      </c>
      <c r="AE84" s="250">
        <f>IF(ISBLANK(VLOOKUP($AC84,'2007-2020 Metadata'!$A$6:$S$214,19,FALSE)),"",VLOOKUP($AC84,'2007-2020 Metadata'!$A$6:$S$214,19,FALSE))</f>
        <v>3</v>
      </c>
      <c r="AF84" s="335" t="str">
        <f>VLOOKUP($B84,'2007-2020 Metadata'!$A$4:$S$214,MATCH("Site type",'2007-2020 Metadata'!$A$4:$S$4,0),FALSE)</f>
        <v>SH</v>
      </c>
      <c r="AG84" s="336">
        <f t="shared" si="61"/>
        <v>12.5</v>
      </c>
      <c r="AH84" s="336">
        <f t="shared" si="62"/>
        <v>29</v>
      </c>
      <c r="AI84" s="267">
        <f t="shared" si="20"/>
        <v>18.572222222222223</v>
      </c>
    </row>
    <row r="85" spans="2:35" ht="12" customHeight="1" x14ac:dyDescent="0.15">
      <c r="B85" s="193" t="s">
        <v>44</v>
      </c>
      <c r="C85" s="190">
        <v>21</v>
      </c>
      <c r="D85" s="190">
        <v>26</v>
      </c>
      <c r="E85" s="190">
        <v>27.5</v>
      </c>
      <c r="F85" s="190">
        <v>29.6</v>
      </c>
      <c r="G85" s="190">
        <v>25.1</v>
      </c>
      <c r="H85" s="190">
        <v>28.1</v>
      </c>
      <c r="I85" s="190">
        <v>30.8</v>
      </c>
      <c r="J85" s="190">
        <v>33.5</v>
      </c>
      <c r="K85" s="190">
        <v>27.4</v>
      </c>
      <c r="L85" s="190">
        <v>24.8</v>
      </c>
      <c r="M85" s="190">
        <v>25.1</v>
      </c>
      <c r="N85" s="190">
        <v>21.3</v>
      </c>
      <c r="O85" s="191">
        <f t="shared" si="50"/>
        <v>26.683333333333337</v>
      </c>
      <c r="P85" s="191">
        <f t="shared" si="51"/>
        <v>13.045970377392516</v>
      </c>
      <c r="Q85" s="192">
        <f t="shared" si="52"/>
        <v>1</v>
      </c>
      <c r="R85" s="332">
        <f t="shared" si="58"/>
        <v>24.833333333333332</v>
      </c>
      <c r="S85" s="226">
        <f t="shared" si="15"/>
        <v>1</v>
      </c>
      <c r="T85" s="332">
        <f t="shared" si="59"/>
        <v>30.566666666666663</v>
      </c>
      <c r="U85" s="226">
        <f t="shared" si="16"/>
        <v>1</v>
      </c>
      <c r="V85" s="333">
        <f t="shared" si="60"/>
        <v>26.683333333333337</v>
      </c>
      <c r="W85" s="226">
        <f t="shared" si="17"/>
        <v>1</v>
      </c>
      <c r="X85" s="144">
        <f t="shared" si="53"/>
        <v>16</v>
      </c>
      <c r="Y85" s="144">
        <f t="shared" si="54"/>
        <v>21.211111111111109</v>
      </c>
      <c r="Z85" s="144">
        <f t="shared" si="55"/>
        <v>18.572222222222223</v>
      </c>
      <c r="AA85" s="249"/>
      <c r="AB85" s="357" t="str">
        <f>VLOOKUP($B85,'2007-2020 Metadata'!$A$4:$S$214,MATCH("Urban Area /Monitoring Zone",'2007-2020 Metadata'!$A$4:$S$4,0),FALSE)</f>
        <v>Napier</v>
      </c>
      <c r="AC85" s="334" t="str">
        <f>VLOOKUP(B85,'2007-2020 Metadata'!$A$6:$A$214,1,FALSE)</f>
        <v>NAP003</v>
      </c>
      <c r="AD85" s="250" t="str">
        <f>VLOOKUP($AC85,'2007-2020 Metadata'!$A$6:$S$214,9,FALSE)</f>
        <v>Napier</v>
      </c>
      <c r="AE85" s="250">
        <f>IF(ISBLANK(VLOOKUP($AC85,'2007-2020 Metadata'!$A$6:$S$214,19,FALSE)),"",VLOOKUP($AC85,'2007-2020 Metadata'!$A$6:$S$214,19,FALSE))</f>
        <v>3</v>
      </c>
      <c r="AF85" s="335" t="str">
        <f>VLOOKUP($B85,'2007-2020 Metadata'!$A$4:$S$214,MATCH("Site type",'2007-2020 Metadata'!$A$4:$S$4,0),FALSE)</f>
        <v>SH</v>
      </c>
      <c r="AG85" s="336">
        <f t="shared" si="61"/>
        <v>21</v>
      </c>
      <c r="AH85" s="336">
        <f t="shared" si="62"/>
        <v>33.5</v>
      </c>
      <c r="AI85" s="267">
        <f t="shared" si="20"/>
        <v>18.572222222222223</v>
      </c>
    </row>
    <row r="86" spans="2:35" ht="12" customHeight="1" x14ac:dyDescent="0.15">
      <c r="B86" s="193" t="s">
        <v>45</v>
      </c>
      <c r="C86" s="190">
        <v>18.600000000000001</v>
      </c>
      <c r="D86" s="190">
        <v>25.2</v>
      </c>
      <c r="E86" s="190">
        <v>25</v>
      </c>
      <c r="F86" s="190">
        <v>27.5</v>
      </c>
      <c r="G86" s="190">
        <v>26.6</v>
      </c>
      <c r="H86" s="190">
        <v>29.8</v>
      </c>
      <c r="I86" s="190">
        <v>27.4</v>
      </c>
      <c r="J86" s="190">
        <v>28.6</v>
      </c>
      <c r="K86" s="190">
        <v>24.2</v>
      </c>
      <c r="L86" s="190">
        <v>23</v>
      </c>
      <c r="M86" s="190">
        <v>24.4</v>
      </c>
      <c r="N86" s="190">
        <v>12.4</v>
      </c>
      <c r="O86" s="191">
        <f t="shared" si="50"/>
        <v>24.391666666666666</v>
      </c>
      <c r="P86" s="191">
        <f t="shared" si="51"/>
        <v>18.746010462775196</v>
      </c>
      <c r="Q86" s="192">
        <f t="shared" si="52"/>
        <v>1</v>
      </c>
      <c r="R86" s="332">
        <f t="shared" si="58"/>
        <v>22.933333333333334</v>
      </c>
      <c r="S86" s="226">
        <f t="shared" ref="S86:S149" si="72">COUNT(C86:E86)/3</f>
        <v>1</v>
      </c>
      <c r="T86" s="332">
        <f t="shared" si="59"/>
        <v>26.733333333333334</v>
      </c>
      <c r="U86" s="226">
        <f t="shared" ref="U86:U149" si="73">COUNT(I86:K86)/3</f>
        <v>1</v>
      </c>
      <c r="V86" s="333">
        <f t="shared" si="60"/>
        <v>24.391666666666666</v>
      </c>
      <c r="W86" s="226">
        <f t="shared" ref="W86:W149" si="74">Q86</f>
        <v>1</v>
      </c>
      <c r="X86" s="144">
        <f t="shared" si="53"/>
        <v>15.816666666666666</v>
      </c>
      <c r="Y86" s="144">
        <f t="shared" si="54"/>
        <v>20.433333333333334</v>
      </c>
      <c r="Z86" s="144">
        <f t="shared" si="55"/>
        <v>18.120833333333334</v>
      </c>
      <c r="AA86" s="249"/>
      <c r="AB86" s="357" t="str">
        <f>VLOOKUP($B86,'2007-2020 Metadata'!$A$4:$S$214,MATCH("Urban Area /Monitoring Zone",'2007-2020 Metadata'!$A$4:$S$4,0),FALSE)</f>
        <v>Hastings</v>
      </c>
      <c r="AC86" s="334" t="str">
        <f>VLOOKUP(B86,'2007-2020 Metadata'!$A$6:$A$214,1,FALSE)</f>
        <v>NAP004</v>
      </c>
      <c r="AD86" s="250" t="str">
        <f>VLOOKUP($AC86,'2007-2020 Metadata'!$A$6:$S$214,9,FALSE)</f>
        <v>Hastings</v>
      </c>
      <c r="AE86" s="250">
        <f>IF(ISBLANK(VLOOKUP($AC86,'2007-2020 Metadata'!$A$6:$S$214,19,FALSE)),"",VLOOKUP($AC86,'2007-2020 Metadata'!$A$6:$S$214,19,FALSE))</f>
        <v>3</v>
      </c>
      <c r="AF86" s="335" t="str">
        <f>VLOOKUP($B86,'2007-2020 Metadata'!$A$4:$S$214,MATCH("Site type",'2007-2020 Metadata'!$A$4:$S$4,0),FALSE)</f>
        <v>SH</v>
      </c>
      <c r="AG86" s="336">
        <f t="shared" si="61"/>
        <v>12.4</v>
      </c>
      <c r="AH86" s="336">
        <f t="shared" si="62"/>
        <v>29.8</v>
      </c>
      <c r="AI86" s="267">
        <f t="shared" ref="AI86:AI149" si="75">IF(W86&gt;=75%,Z86," ")</f>
        <v>18.120833333333334</v>
      </c>
    </row>
    <row r="87" spans="2:35" ht="12" customHeight="1" x14ac:dyDescent="0.15">
      <c r="B87" s="193" t="s">
        <v>107</v>
      </c>
      <c r="C87" s="190">
        <v>5.9</v>
      </c>
      <c r="D87" s="190">
        <v>8.1999999999999993</v>
      </c>
      <c r="E87" s="190">
        <v>12</v>
      </c>
      <c r="F87" s="190">
        <v>15.6</v>
      </c>
      <c r="G87" s="190">
        <v>14.7</v>
      </c>
      <c r="H87" s="190">
        <v>18.2</v>
      </c>
      <c r="I87" s="190">
        <v>18.3</v>
      </c>
      <c r="J87" s="190">
        <v>14.4</v>
      </c>
      <c r="K87" s="190">
        <v>9.6999999999999993</v>
      </c>
      <c r="L87" s="190">
        <v>8.8000000000000007</v>
      </c>
      <c r="M87" s="190">
        <v>9</v>
      </c>
      <c r="N87" s="190">
        <v>7.4</v>
      </c>
      <c r="O87" s="191">
        <f t="shared" si="50"/>
        <v>11.850000000000001</v>
      </c>
      <c r="P87" s="191">
        <f t="shared" si="51"/>
        <v>34.55539065890477</v>
      </c>
      <c r="Q87" s="192">
        <f t="shared" si="52"/>
        <v>1</v>
      </c>
      <c r="R87" s="332">
        <f t="shared" si="58"/>
        <v>8.7000000000000011</v>
      </c>
      <c r="S87" s="226">
        <f t="shared" si="72"/>
        <v>1</v>
      </c>
      <c r="T87" s="332">
        <f t="shared" si="59"/>
        <v>14.133333333333335</v>
      </c>
      <c r="U87" s="226">
        <f t="shared" si="73"/>
        <v>1</v>
      </c>
      <c r="V87" s="333">
        <f t="shared" si="60"/>
        <v>11.850000000000001</v>
      </c>
      <c r="W87" s="226">
        <f t="shared" si="74"/>
        <v>1</v>
      </c>
      <c r="X87" s="144">
        <f t="shared" si="53"/>
        <v>15.816666666666666</v>
      </c>
      <c r="Y87" s="144">
        <f t="shared" si="54"/>
        <v>20.433333333333334</v>
      </c>
      <c r="Z87" s="144">
        <f t="shared" si="55"/>
        <v>18.120833333333334</v>
      </c>
      <c r="AA87" s="249"/>
      <c r="AB87" s="357" t="str">
        <f>VLOOKUP($B87,'2007-2020 Metadata'!$A$4:$S$214,MATCH("Urban Area /Monitoring Zone",'2007-2020 Metadata'!$A$4:$S$4,0),FALSE)</f>
        <v>Hastings</v>
      </c>
      <c r="AC87" s="334" t="str">
        <f>VLOOKUP(B87,'2007-2020 Metadata'!$A$6:$A$214,1,FALSE)</f>
        <v>NAP005</v>
      </c>
      <c r="AD87" s="250" t="str">
        <f>VLOOKUP($AC87,'2007-2020 Metadata'!$A$6:$S$214,9,FALSE)</f>
        <v>Hastings</v>
      </c>
      <c r="AE87" s="250">
        <f>IF(ISBLANK(VLOOKUP($AC87,'2007-2020 Metadata'!$A$6:$S$214,19,FALSE)),"",VLOOKUP($AC87,'2007-2020 Metadata'!$A$6:$S$214,19,FALSE))</f>
        <v>2.7</v>
      </c>
      <c r="AF87" s="335" t="str">
        <f>VLOOKUP($B87,'2007-2020 Metadata'!$A$4:$S$214,MATCH("Site type",'2007-2020 Metadata'!$A$4:$S$4,0),FALSE)</f>
        <v>Background</v>
      </c>
      <c r="AG87" s="336">
        <f t="shared" ref="AG87:AG89" si="76">MIN(AVERAGE($C$13:$C$15),AVERAGE($D$13:$D$15),AVERAGE($E$13:$E$15),AVERAGE($F$13:$F$15),AVERAGE($G$13:$G$15),AVERAGE($H$13:$H$15),AVERAGE($I$13:$I$15),AVERAGE($J$13:$J$15),AVERAGE($K$13:$K$15),AVERAGE($L$13:$L$15),AVERAGE($M$13:$M$15),AVERAGE($N$13:$N$15))</f>
        <v>14.366666666666667</v>
      </c>
      <c r="AH87" s="336">
        <f t="shared" ref="AH87:AH89" si="77">MAX(AVERAGE($C$13:$C$15),AVERAGE($D$13:$D$15),AVERAGE($E$13:$E$15),AVERAGE($F$13:$F$15),AVERAGE($G$13:$G$15),AVERAGE($H$13:$H$15),AVERAGE($I$13:$I$15),AVERAGE($J$13:$J$15),AVERAGE($K$13:$K$15),AVERAGE($L$13:$L$15),AVERAGE($M$13:$M$15),AVERAGE($N$13:$N$15))</f>
        <v>44.300000000000004</v>
      </c>
      <c r="AI87" s="267">
        <f t="shared" si="75"/>
        <v>18.120833333333334</v>
      </c>
    </row>
    <row r="88" spans="2:35" ht="12" customHeight="1" x14ac:dyDescent="0.15">
      <c r="B88" s="193" t="s">
        <v>108</v>
      </c>
      <c r="C88" s="190">
        <v>8.6999999999999993</v>
      </c>
      <c r="D88" s="190">
        <v>8.1</v>
      </c>
      <c r="E88" s="190">
        <v>10.8</v>
      </c>
      <c r="F88" s="190">
        <v>9.9</v>
      </c>
      <c r="G88" s="190">
        <v>11.4</v>
      </c>
      <c r="H88" s="190">
        <v>14.7</v>
      </c>
      <c r="I88" s="190">
        <v>12.2</v>
      </c>
      <c r="J88" s="190">
        <v>15.3</v>
      </c>
      <c r="K88" s="190">
        <v>7</v>
      </c>
      <c r="L88" s="190">
        <v>7.3</v>
      </c>
      <c r="M88" s="190">
        <v>8</v>
      </c>
      <c r="N88" s="190">
        <v>6</v>
      </c>
      <c r="O88" s="191">
        <f t="shared" si="50"/>
        <v>9.9499999999999993</v>
      </c>
      <c r="P88" s="191">
        <f t="shared" si="51"/>
        <v>28.894836499052818</v>
      </c>
      <c r="Q88" s="192">
        <f t="shared" si="52"/>
        <v>1</v>
      </c>
      <c r="R88" s="332">
        <f t="shared" si="58"/>
        <v>9.1999999999999993</v>
      </c>
      <c r="S88" s="226">
        <f t="shared" si="72"/>
        <v>1</v>
      </c>
      <c r="T88" s="332">
        <f t="shared" si="59"/>
        <v>11.5</v>
      </c>
      <c r="U88" s="226">
        <f t="shared" si="73"/>
        <v>1</v>
      </c>
      <c r="V88" s="333">
        <f t="shared" si="60"/>
        <v>9.9499999999999993</v>
      </c>
      <c r="W88" s="226">
        <f t="shared" si="74"/>
        <v>1</v>
      </c>
      <c r="X88" s="144">
        <f t="shared" si="53"/>
        <v>16</v>
      </c>
      <c r="Y88" s="144">
        <f t="shared" si="54"/>
        <v>21.211111111111109</v>
      </c>
      <c r="Z88" s="144">
        <f t="shared" si="55"/>
        <v>18.572222222222223</v>
      </c>
      <c r="AA88" s="249"/>
      <c r="AB88" s="357" t="str">
        <f>VLOOKUP($B88,'2007-2020 Metadata'!$A$4:$S$214,MATCH("Urban Area /Monitoring Zone",'2007-2020 Metadata'!$A$4:$S$4,0),FALSE)</f>
        <v>Napier</v>
      </c>
      <c r="AC88" s="334" t="str">
        <f>VLOOKUP(B88,'2007-2020 Metadata'!$A$6:$A$214,1,FALSE)</f>
        <v>NAP006</v>
      </c>
      <c r="AD88" s="250" t="str">
        <f>VLOOKUP($AC88,'2007-2020 Metadata'!$A$6:$S$214,9,FALSE)</f>
        <v>Napier</v>
      </c>
      <c r="AE88" s="250">
        <f>IF(ISBLANK(VLOOKUP($AC88,'2007-2020 Metadata'!$A$6:$S$214,19,FALSE)),"",VLOOKUP($AC88,'2007-2020 Metadata'!$A$6:$S$214,19,FALSE))</f>
        <v>3</v>
      </c>
      <c r="AF88" s="335" t="str">
        <f>VLOOKUP($B88,'2007-2020 Metadata'!$A$4:$S$214,MATCH("Site type",'2007-2020 Metadata'!$A$4:$S$4,0),FALSE)</f>
        <v>Background</v>
      </c>
      <c r="AG88" s="336">
        <f t="shared" si="76"/>
        <v>14.366666666666667</v>
      </c>
      <c r="AH88" s="336">
        <f t="shared" si="77"/>
        <v>44.300000000000004</v>
      </c>
      <c r="AI88" s="267">
        <f t="shared" si="75"/>
        <v>18.572222222222223</v>
      </c>
    </row>
    <row r="89" spans="2:35" ht="12" customHeight="1" x14ac:dyDescent="0.15">
      <c r="B89" s="193" t="s">
        <v>48</v>
      </c>
      <c r="C89" s="190">
        <v>17.3</v>
      </c>
      <c r="D89" s="190">
        <v>18.5</v>
      </c>
      <c r="E89" s="190">
        <v>22.3</v>
      </c>
      <c r="F89" s="190">
        <v>23.6</v>
      </c>
      <c r="G89" s="190">
        <v>23.6</v>
      </c>
      <c r="H89" s="190">
        <v>30.4</v>
      </c>
      <c r="I89" s="190">
        <v>29.7</v>
      </c>
      <c r="J89" s="190">
        <v>25.6</v>
      </c>
      <c r="K89" s="190">
        <v>23.5</v>
      </c>
      <c r="L89" s="190">
        <v>16.3</v>
      </c>
      <c r="M89" s="190">
        <v>19.3</v>
      </c>
      <c r="N89" s="190">
        <v>15.6</v>
      </c>
      <c r="O89" s="191">
        <f t="shared" si="50"/>
        <v>22.141666666666666</v>
      </c>
      <c r="P89" s="191">
        <f t="shared" si="51"/>
        <v>21.228115450332357</v>
      </c>
      <c r="Q89" s="192">
        <f t="shared" si="52"/>
        <v>1</v>
      </c>
      <c r="R89" s="332">
        <f t="shared" si="58"/>
        <v>19.366666666666664</v>
      </c>
      <c r="S89" s="226">
        <f t="shared" si="72"/>
        <v>1</v>
      </c>
      <c r="T89" s="332">
        <f t="shared" si="59"/>
        <v>26.266666666666666</v>
      </c>
      <c r="U89" s="226">
        <f t="shared" si="73"/>
        <v>1</v>
      </c>
      <c r="V89" s="333">
        <f t="shared" si="60"/>
        <v>22.141666666666666</v>
      </c>
      <c r="W89" s="226">
        <f t="shared" si="74"/>
        <v>1</v>
      </c>
      <c r="X89" s="144">
        <f t="shared" si="53"/>
        <v>15.693333333333332</v>
      </c>
      <c r="Y89" s="144">
        <f t="shared" si="54"/>
        <v>19.919999999999998</v>
      </c>
      <c r="Z89" s="144">
        <f t="shared" si="55"/>
        <v>17.451818181818183</v>
      </c>
      <c r="AA89" s="249"/>
      <c r="AB89" s="357" t="str">
        <f>VLOOKUP($B89,'2007-2020 Metadata'!$A$4:$S$214,MATCH("Urban Area /Monitoring Zone",'2007-2020 Metadata'!$A$4:$S$4,0),FALSE)</f>
        <v>Palmerston North</v>
      </c>
      <c r="AC89" s="334" t="str">
        <f>VLOOKUP(B89,'2007-2020 Metadata'!$A$6:$A$214,1,FALSE)</f>
        <v>WAN004</v>
      </c>
      <c r="AD89" s="250" t="str">
        <f>VLOOKUP($AC89,'2007-2020 Metadata'!$A$6:$S$214,9,FALSE)</f>
        <v>Palmerston North</v>
      </c>
      <c r="AE89" s="250">
        <f>IF(ISBLANK(VLOOKUP($AC89,'2007-2020 Metadata'!$A$6:$S$214,19,FALSE)),"",VLOOKUP($AC89,'2007-2020 Metadata'!$A$6:$S$214,19,FALSE))</f>
        <v>3</v>
      </c>
      <c r="AF89" s="335" t="str">
        <f>VLOOKUP($B89,'2007-2020 Metadata'!$A$4:$S$214,MATCH("Site type",'2007-2020 Metadata'!$A$4:$S$4,0),FALSE)</f>
        <v>SH</v>
      </c>
      <c r="AG89" s="336">
        <f t="shared" si="76"/>
        <v>14.366666666666667</v>
      </c>
      <c r="AH89" s="336">
        <f t="shared" si="77"/>
        <v>44.300000000000004</v>
      </c>
      <c r="AI89" s="267">
        <f t="shared" si="75"/>
        <v>17.451818181818183</v>
      </c>
    </row>
    <row r="90" spans="2:35" ht="12" customHeight="1" x14ac:dyDescent="0.15">
      <c r="B90" s="193" t="s">
        <v>109</v>
      </c>
      <c r="C90" s="190">
        <v>10.4</v>
      </c>
      <c r="D90" s="190">
        <v>12</v>
      </c>
      <c r="E90" s="190">
        <v>11.7</v>
      </c>
      <c r="F90" s="190">
        <v>13.1</v>
      </c>
      <c r="G90" s="190">
        <v>13.1</v>
      </c>
      <c r="H90" s="190">
        <v>19.600000000000001</v>
      </c>
      <c r="I90" s="190">
        <v>13</v>
      </c>
      <c r="J90" s="190">
        <v>16.5</v>
      </c>
      <c r="K90" s="190">
        <v>8.9</v>
      </c>
      <c r="L90" s="190">
        <v>9.5</v>
      </c>
      <c r="M90" s="190">
        <v>11</v>
      </c>
      <c r="N90" s="190">
        <v>7.4</v>
      </c>
      <c r="O90" s="191">
        <f t="shared" si="50"/>
        <v>12.183333333333335</v>
      </c>
      <c r="P90" s="191">
        <f t="shared" si="51"/>
        <v>26.138616192908305</v>
      </c>
      <c r="Q90" s="192">
        <f t="shared" si="52"/>
        <v>1</v>
      </c>
      <c r="R90" s="332">
        <f t="shared" si="58"/>
        <v>11.366666666666665</v>
      </c>
      <c r="S90" s="226">
        <f t="shared" si="72"/>
        <v>1</v>
      </c>
      <c r="T90" s="332">
        <f t="shared" si="59"/>
        <v>12.799999999999999</v>
      </c>
      <c r="U90" s="226">
        <f t="shared" si="73"/>
        <v>1</v>
      </c>
      <c r="V90" s="333">
        <f t="shared" si="60"/>
        <v>12.183333333333335</v>
      </c>
      <c r="W90" s="226">
        <f t="shared" si="74"/>
        <v>1</v>
      </c>
      <c r="X90" s="144">
        <f t="shared" si="53"/>
        <v>15.693333333333332</v>
      </c>
      <c r="Y90" s="144">
        <f t="shared" si="54"/>
        <v>19.919999999999998</v>
      </c>
      <c r="Z90" s="144">
        <f t="shared" si="55"/>
        <v>17.451818181818183</v>
      </c>
      <c r="AA90" s="249"/>
      <c r="AB90" s="357" t="str">
        <f>VLOOKUP($B90,'2007-2020 Metadata'!$A$4:$S$214,MATCH("Urban Area /Monitoring Zone",'2007-2020 Metadata'!$A$4:$S$4,0),FALSE)</f>
        <v>Palmerston North</v>
      </c>
      <c r="AC90" s="334" t="str">
        <f>VLOOKUP(B90,'2007-2020 Metadata'!$A$6:$A$214,1,FALSE)</f>
        <v>WAN005</v>
      </c>
      <c r="AD90" s="250" t="str">
        <f>VLOOKUP($AC90,'2007-2020 Metadata'!$A$6:$S$214,9,FALSE)</f>
        <v>Palmerston North</v>
      </c>
      <c r="AE90" s="250">
        <f>IF(ISBLANK(VLOOKUP($AC90,'2007-2020 Metadata'!$A$6:$S$214,19,FALSE)),"",VLOOKUP($AC90,'2007-2020 Metadata'!$A$6:$S$214,19,FALSE))</f>
        <v>2.5</v>
      </c>
      <c r="AF90" s="335" t="str">
        <f>VLOOKUP($B90,'2007-2020 Metadata'!$A$4:$S$214,MATCH("Site type",'2007-2020 Metadata'!$A$4:$S$4,0),FALSE)</f>
        <v>SH</v>
      </c>
      <c r="AG90" s="336">
        <f t="shared" ref="AG90:AG98" si="78">MIN(C90:N90)</f>
        <v>7.4</v>
      </c>
      <c r="AH90" s="336">
        <f t="shared" ref="AH90:AH98" si="79">MAX(C90:N90)</f>
        <v>19.600000000000001</v>
      </c>
      <c r="AI90" s="267">
        <f t="shared" si="75"/>
        <v>17.451818181818183</v>
      </c>
    </row>
    <row r="91" spans="2:35" ht="12" customHeight="1" x14ac:dyDescent="0.15">
      <c r="B91" s="193" t="s">
        <v>110</v>
      </c>
      <c r="C91" s="190">
        <v>21.3</v>
      </c>
      <c r="D91" s="190">
        <v>21.8</v>
      </c>
      <c r="E91" s="190">
        <v>23.6</v>
      </c>
      <c r="F91" s="190">
        <v>23</v>
      </c>
      <c r="G91" s="190">
        <v>23</v>
      </c>
      <c r="H91" s="190">
        <v>31.3</v>
      </c>
      <c r="I91" s="190">
        <v>28.6</v>
      </c>
      <c r="J91" s="190">
        <v>30.5</v>
      </c>
      <c r="K91" s="190">
        <v>19.2</v>
      </c>
      <c r="L91" s="190">
        <v>17.899999999999999</v>
      </c>
      <c r="M91" s="190">
        <v>21.7</v>
      </c>
      <c r="N91" s="190">
        <v>15.7</v>
      </c>
      <c r="O91" s="191">
        <f t="shared" si="50"/>
        <v>23.133333333333329</v>
      </c>
      <c r="P91" s="191">
        <f t="shared" si="51"/>
        <v>19.981855666796413</v>
      </c>
      <c r="Q91" s="192">
        <f t="shared" si="52"/>
        <v>1</v>
      </c>
      <c r="R91" s="332">
        <f t="shared" si="58"/>
        <v>22.233333333333334</v>
      </c>
      <c r="S91" s="226">
        <f t="shared" si="72"/>
        <v>1</v>
      </c>
      <c r="T91" s="332">
        <f t="shared" si="59"/>
        <v>26.099999999999998</v>
      </c>
      <c r="U91" s="226">
        <f t="shared" si="73"/>
        <v>1</v>
      </c>
      <c r="V91" s="333">
        <f t="shared" si="60"/>
        <v>23.133333333333329</v>
      </c>
      <c r="W91" s="226">
        <f t="shared" si="74"/>
        <v>1</v>
      </c>
      <c r="X91" s="144">
        <f t="shared" si="53"/>
        <v>15.693333333333332</v>
      </c>
      <c r="Y91" s="144">
        <f t="shared" si="54"/>
        <v>19.919999999999998</v>
      </c>
      <c r="Z91" s="144">
        <f t="shared" si="55"/>
        <v>17.451818181818183</v>
      </c>
      <c r="AA91" s="249"/>
      <c r="AB91" s="357" t="str">
        <f>VLOOKUP($B91,'2007-2020 Metadata'!$A$4:$S$214,MATCH("Urban Area /Monitoring Zone",'2007-2020 Metadata'!$A$4:$S$4,0),FALSE)</f>
        <v>Palmerston North</v>
      </c>
      <c r="AC91" s="334" t="str">
        <f>VLOOKUP(B91,'2007-2020 Metadata'!$A$6:$A$214,1,FALSE)</f>
        <v>WAN006</v>
      </c>
      <c r="AD91" s="250" t="str">
        <f>VLOOKUP($AC91,'2007-2020 Metadata'!$A$6:$S$214,9,FALSE)</f>
        <v>Palmerston North</v>
      </c>
      <c r="AE91" s="250">
        <f>IF(ISBLANK(VLOOKUP($AC91,'2007-2020 Metadata'!$A$6:$S$214,19,FALSE)),"",VLOOKUP($AC91,'2007-2020 Metadata'!$A$6:$S$214,19,FALSE))</f>
        <v>2.5</v>
      </c>
      <c r="AF91" s="335" t="str">
        <f>VLOOKUP($B91,'2007-2020 Metadata'!$A$4:$S$214,MATCH("Site type",'2007-2020 Metadata'!$A$4:$S$4,0),FALSE)</f>
        <v>SH</v>
      </c>
      <c r="AG91" s="336">
        <f t="shared" si="78"/>
        <v>15.7</v>
      </c>
      <c r="AH91" s="336">
        <f t="shared" si="79"/>
        <v>31.3</v>
      </c>
      <c r="AI91" s="267">
        <f t="shared" si="75"/>
        <v>17.451818181818183</v>
      </c>
    </row>
    <row r="92" spans="2:35" ht="12" customHeight="1" x14ac:dyDescent="0.15">
      <c r="B92" s="193" t="s">
        <v>111</v>
      </c>
      <c r="C92" s="190">
        <v>11.7</v>
      </c>
      <c r="D92" s="190">
        <v>12.9</v>
      </c>
      <c r="E92" s="190">
        <v>17.100000000000001</v>
      </c>
      <c r="F92" s="190">
        <v>16.3</v>
      </c>
      <c r="G92" s="190">
        <v>16.3</v>
      </c>
      <c r="H92" s="190">
        <v>22.7</v>
      </c>
      <c r="I92" s="190">
        <v>20.7</v>
      </c>
      <c r="J92" s="190">
        <v>20</v>
      </c>
      <c r="K92" s="190">
        <v>15.4</v>
      </c>
      <c r="L92" s="190">
        <v>12</v>
      </c>
      <c r="M92" s="190"/>
      <c r="N92" s="190">
        <v>11</v>
      </c>
      <c r="O92" s="191">
        <f t="shared" si="50"/>
        <v>16.009090909090908</v>
      </c>
      <c r="P92" s="191">
        <f t="shared" si="51"/>
        <v>23.3591063182621</v>
      </c>
      <c r="Q92" s="192">
        <f t="shared" si="52"/>
        <v>0.91666666666666663</v>
      </c>
      <c r="R92" s="332">
        <f t="shared" si="58"/>
        <v>13.9</v>
      </c>
      <c r="S92" s="226">
        <f t="shared" si="72"/>
        <v>1</v>
      </c>
      <c r="T92" s="332">
        <f t="shared" si="59"/>
        <v>18.7</v>
      </c>
      <c r="U92" s="226">
        <f t="shared" si="73"/>
        <v>1</v>
      </c>
      <c r="V92" s="333">
        <f t="shared" si="60"/>
        <v>16.009090909090908</v>
      </c>
      <c r="W92" s="226">
        <f t="shared" si="74"/>
        <v>0.91666666666666663</v>
      </c>
      <c r="X92" s="144">
        <f t="shared" si="53"/>
        <v>15.693333333333332</v>
      </c>
      <c r="Y92" s="144">
        <f t="shared" si="54"/>
        <v>19.919999999999998</v>
      </c>
      <c r="Z92" s="144">
        <f t="shared" si="55"/>
        <v>17.451818181818183</v>
      </c>
      <c r="AA92" s="249"/>
      <c r="AB92" s="357" t="str">
        <f>VLOOKUP($B92,'2007-2020 Metadata'!$A$4:$S$214,MATCH("Urban Area /Monitoring Zone",'2007-2020 Metadata'!$A$4:$S$4,0),FALSE)</f>
        <v>Palmerston North</v>
      </c>
      <c r="AC92" s="334" t="str">
        <f>VLOOKUP(B92,'2007-2020 Metadata'!$A$6:$A$214,1,FALSE)</f>
        <v>WAN007</v>
      </c>
      <c r="AD92" s="250" t="str">
        <f>VLOOKUP($AC92,'2007-2020 Metadata'!$A$6:$S$214,9,FALSE)</f>
        <v>Palmerston North</v>
      </c>
      <c r="AE92" s="250">
        <f>IF(ISBLANK(VLOOKUP($AC92,'2007-2020 Metadata'!$A$6:$S$214,19,FALSE)),"",VLOOKUP($AC92,'2007-2020 Metadata'!$A$6:$S$214,19,FALSE))</f>
        <v>2.5</v>
      </c>
      <c r="AF92" s="335" t="str">
        <f>VLOOKUP($B92,'2007-2020 Metadata'!$A$4:$S$214,MATCH("Site type",'2007-2020 Metadata'!$A$4:$S$4,0),FALSE)</f>
        <v>Local</v>
      </c>
      <c r="AG92" s="336">
        <f t="shared" si="78"/>
        <v>11</v>
      </c>
      <c r="AH92" s="336">
        <f t="shared" si="79"/>
        <v>22.7</v>
      </c>
      <c r="AI92" s="267">
        <f t="shared" si="75"/>
        <v>17.451818181818183</v>
      </c>
    </row>
    <row r="93" spans="2:35" ht="12" customHeight="1" x14ac:dyDescent="0.15">
      <c r="B93" s="193" t="s">
        <v>112</v>
      </c>
      <c r="C93" s="190">
        <v>12.5</v>
      </c>
      <c r="D93" s="190">
        <v>8.4</v>
      </c>
      <c r="E93" s="190">
        <v>13.9</v>
      </c>
      <c r="F93" s="190">
        <v>16.8</v>
      </c>
      <c r="G93" s="190">
        <v>16.8</v>
      </c>
      <c r="H93" s="190">
        <v>20.2</v>
      </c>
      <c r="I93" s="190">
        <v>18.7</v>
      </c>
      <c r="J93" s="190">
        <v>15.4</v>
      </c>
      <c r="K93" s="190">
        <v>13.1</v>
      </c>
      <c r="L93" s="190">
        <v>11.9</v>
      </c>
      <c r="M93" s="190">
        <v>9.5</v>
      </c>
      <c r="N93" s="190">
        <v>8.3000000000000007</v>
      </c>
      <c r="O93" s="191">
        <f t="shared" si="50"/>
        <v>13.79166666666667</v>
      </c>
      <c r="P93" s="191">
        <f t="shared" si="51"/>
        <v>27.228908519602115</v>
      </c>
      <c r="Q93" s="192">
        <f t="shared" si="52"/>
        <v>1</v>
      </c>
      <c r="R93" s="332">
        <f t="shared" si="58"/>
        <v>11.6</v>
      </c>
      <c r="S93" s="226">
        <f t="shared" si="72"/>
        <v>1</v>
      </c>
      <c r="T93" s="332">
        <f t="shared" si="59"/>
        <v>15.733333333333334</v>
      </c>
      <c r="U93" s="226">
        <f t="shared" si="73"/>
        <v>1</v>
      </c>
      <c r="V93" s="333">
        <f t="shared" si="60"/>
        <v>13.79166666666667</v>
      </c>
      <c r="W93" s="226">
        <f t="shared" si="74"/>
        <v>1</v>
      </c>
      <c r="X93" s="144">
        <f t="shared" si="53"/>
        <v>15.693333333333332</v>
      </c>
      <c r="Y93" s="144">
        <f t="shared" si="54"/>
        <v>19.919999999999998</v>
      </c>
      <c r="Z93" s="144">
        <f t="shared" si="55"/>
        <v>17.451818181818183</v>
      </c>
      <c r="AA93" s="249"/>
      <c r="AB93" s="357" t="str">
        <f>VLOOKUP($B93,'2007-2020 Metadata'!$A$4:$S$214,MATCH("Urban Area /Monitoring Zone",'2007-2020 Metadata'!$A$4:$S$4,0),FALSE)</f>
        <v>Palmerston North</v>
      </c>
      <c r="AC93" s="334" t="str">
        <f>VLOOKUP(B93,'2007-2020 Metadata'!$A$6:$A$214,1,FALSE)</f>
        <v>WAN008</v>
      </c>
      <c r="AD93" s="250" t="str">
        <f>VLOOKUP($AC93,'2007-2020 Metadata'!$A$6:$S$214,9,FALSE)</f>
        <v>Palmerston North</v>
      </c>
      <c r="AE93" s="250">
        <f>IF(ISBLANK(VLOOKUP($AC93,'2007-2020 Metadata'!$A$6:$S$214,19,FALSE)),"",VLOOKUP($AC93,'2007-2020 Metadata'!$A$6:$S$214,19,FALSE))</f>
        <v>2.5</v>
      </c>
      <c r="AF93" s="335" t="str">
        <f>VLOOKUP($B93,'2007-2020 Metadata'!$A$4:$S$214,MATCH("Site type",'2007-2020 Metadata'!$A$4:$S$4,0),FALSE)</f>
        <v>Background</v>
      </c>
      <c r="AG93" s="336">
        <f t="shared" si="78"/>
        <v>8.3000000000000007</v>
      </c>
      <c r="AH93" s="336">
        <f t="shared" si="79"/>
        <v>20.2</v>
      </c>
      <c r="AI93" s="267">
        <f t="shared" si="75"/>
        <v>17.451818181818183</v>
      </c>
    </row>
    <row r="94" spans="2:35" ht="12" customHeight="1" x14ac:dyDescent="0.15">
      <c r="B94" s="193" t="s">
        <v>113</v>
      </c>
      <c r="C94" s="190"/>
      <c r="D94" s="190">
        <v>6.4</v>
      </c>
      <c r="E94" s="190">
        <v>7.2</v>
      </c>
      <c r="F94" s="190">
        <v>7.1</v>
      </c>
      <c r="G94" s="190">
        <v>8</v>
      </c>
      <c r="H94" s="190">
        <v>10.4</v>
      </c>
      <c r="I94" s="190"/>
      <c r="J94" s="190"/>
      <c r="K94" s="190"/>
      <c r="L94" s="190">
        <v>6.5</v>
      </c>
      <c r="M94" s="190">
        <v>6</v>
      </c>
      <c r="N94" s="190">
        <v>4.8</v>
      </c>
      <c r="O94" s="191">
        <f t="shared" si="50"/>
        <v>7.05</v>
      </c>
      <c r="P94" s="191">
        <f t="shared" si="51"/>
        <v>21.882622156796483</v>
      </c>
      <c r="Q94" s="192">
        <f t="shared" si="52"/>
        <v>0.66666666666666663</v>
      </c>
      <c r="R94" s="332">
        <f t="shared" si="58"/>
        <v>6.8000000000000007</v>
      </c>
      <c r="S94" s="226">
        <f t="shared" si="72"/>
        <v>0.66666666666666663</v>
      </c>
      <c r="T94" s="332" t="str">
        <f t="shared" si="59"/>
        <v/>
      </c>
      <c r="U94" s="226">
        <f t="shared" si="73"/>
        <v>0</v>
      </c>
      <c r="V94" s="333" t="str">
        <f t="shared" si="60"/>
        <v>-</v>
      </c>
      <c r="W94" s="226">
        <f t="shared" si="74"/>
        <v>0.66666666666666663</v>
      </c>
      <c r="X94" s="144">
        <f t="shared" si="53"/>
        <v>6.8000000000000007</v>
      </c>
      <c r="Y94" s="144" t="str">
        <f t="shared" si="54"/>
        <v/>
      </c>
      <c r="Z94" s="144" t="str">
        <f t="shared" si="55"/>
        <v/>
      </c>
      <c r="AA94" s="249"/>
      <c r="AB94" s="357" t="str">
        <f>VLOOKUP($B94,'2007-2020 Metadata'!$A$4:$S$214,MATCH("Urban Area /Monitoring Zone",'2007-2020 Metadata'!$A$4:$S$4,0),FALSE)</f>
        <v>New Plymouth</v>
      </c>
      <c r="AC94" s="334" t="str">
        <f>VLOOKUP(B94,'2007-2020 Metadata'!$A$6:$A$214,1,FALSE)</f>
        <v>WAN009</v>
      </c>
      <c r="AD94" s="250" t="str">
        <f>VLOOKUP($AC94,'2007-2020 Metadata'!$A$6:$S$214,9,FALSE)</f>
        <v>New Plymouth</v>
      </c>
      <c r="AE94" s="250">
        <f>IF(ISBLANK(VLOOKUP($AC94,'2007-2020 Metadata'!$A$6:$S$214,19,FALSE)),"",VLOOKUP($AC94,'2007-2020 Metadata'!$A$6:$S$214,19,FALSE))</f>
        <v>2.5</v>
      </c>
      <c r="AF94" s="335" t="str">
        <f>VLOOKUP($B94,'2007-2020 Metadata'!$A$4:$S$214,MATCH("Site type",'2007-2020 Metadata'!$A$4:$S$4,0),FALSE)</f>
        <v>Background</v>
      </c>
      <c r="AG94" s="336">
        <f t="shared" si="78"/>
        <v>4.8</v>
      </c>
      <c r="AH94" s="336">
        <f t="shared" si="79"/>
        <v>10.4</v>
      </c>
      <c r="AI94" s="267" t="str">
        <f t="shared" si="75"/>
        <v xml:space="preserve"> </v>
      </c>
    </row>
    <row r="95" spans="2:35" ht="12" customHeight="1" x14ac:dyDescent="0.15">
      <c r="B95" s="193" t="s">
        <v>114</v>
      </c>
      <c r="C95" s="190">
        <v>22.4</v>
      </c>
      <c r="D95" s="190">
        <v>21.4</v>
      </c>
      <c r="E95" s="190">
        <v>22.5</v>
      </c>
      <c r="F95" s="190">
        <v>21.7</v>
      </c>
      <c r="G95" s="190">
        <v>21.7</v>
      </c>
      <c r="H95" s="190">
        <v>27</v>
      </c>
      <c r="I95" s="190">
        <v>25.9</v>
      </c>
      <c r="J95" s="190">
        <v>24.4</v>
      </c>
      <c r="K95" s="190">
        <v>22.5</v>
      </c>
      <c r="L95" s="190">
        <v>17.899999999999999</v>
      </c>
      <c r="M95" s="190">
        <v>22</v>
      </c>
      <c r="N95" s="190">
        <v>9.8000000000000007</v>
      </c>
      <c r="O95" s="191">
        <f t="shared" si="50"/>
        <v>21.599999999999998</v>
      </c>
      <c r="P95" s="191">
        <f t="shared" si="51"/>
        <v>19.40858686690235</v>
      </c>
      <c r="Q95" s="192">
        <f t="shared" si="52"/>
        <v>1</v>
      </c>
      <c r="R95" s="332">
        <f t="shared" si="58"/>
        <v>22.099999999999998</v>
      </c>
      <c r="S95" s="226">
        <f t="shared" si="72"/>
        <v>1</v>
      </c>
      <c r="T95" s="332">
        <f t="shared" si="59"/>
        <v>24.266666666666666</v>
      </c>
      <c r="U95" s="226">
        <f t="shared" si="73"/>
        <v>1</v>
      </c>
      <c r="V95" s="333">
        <f t="shared" si="60"/>
        <v>21.599999999999998</v>
      </c>
      <c r="W95" s="226">
        <f t="shared" si="74"/>
        <v>1</v>
      </c>
      <c r="X95" s="144">
        <f t="shared" si="53"/>
        <v>22.099999999999998</v>
      </c>
      <c r="Y95" s="144">
        <f t="shared" si="54"/>
        <v>24.266666666666666</v>
      </c>
      <c r="Z95" s="144">
        <f t="shared" si="55"/>
        <v>21.599999999999998</v>
      </c>
      <c r="AA95" s="249"/>
      <c r="AB95" s="357" t="str">
        <f>VLOOKUP($B95,'2007-2020 Metadata'!$A$4:$S$214,MATCH("Urban Area /Monitoring Zone",'2007-2020 Metadata'!$A$4:$S$4,0),FALSE)</f>
        <v>Whanganui</v>
      </c>
      <c r="AC95" s="334" t="str">
        <f>VLOOKUP(B95,'2007-2020 Metadata'!$A$6:$A$214,1,FALSE)</f>
        <v>WAN010</v>
      </c>
      <c r="AD95" s="250" t="str">
        <f>VLOOKUP($AC95,'2007-2020 Metadata'!$A$6:$S$214,9,FALSE)</f>
        <v>Whanganui</v>
      </c>
      <c r="AE95" s="250">
        <f>IF(ISBLANK(VLOOKUP($AC95,'2007-2020 Metadata'!$A$6:$S$214,19,FALSE)),"",VLOOKUP($AC95,'2007-2020 Metadata'!$A$6:$S$214,19,FALSE))</f>
        <v>3</v>
      </c>
      <c r="AF95" s="335" t="str">
        <f>VLOOKUP($B95,'2007-2020 Metadata'!$A$4:$S$214,MATCH("Site type",'2007-2020 Metadata'!$A$4:$S$4,0),FALSE)</f>
        <v>SH</v>
      </c>
      <c r="AG95" s="336">
        <f t="shared" si="78"/>
        <v>9.8000000000000007</v>
      </c>
      <c r="AH95" s="336">
        <f t="shared" si="79"/>
        <v>27</v>
      </c>
      <c r="AI95" s="267">
        <f t="shared" si="75"/>
        <v>21.599999999999998</v>
      </c>
    </row>
    <row r="96" spans="2:35" ht="12" customHeight="1" x14ac:dyDescent="0.15">
      <c r="B96" s="193" t="s">
        <v>486</v>
      </c>
      <c r="C96" s="190"/>
      <c r="D96" s="190"/>
      <c r="E96" s="190">
        <v>8.3000000000000007</v>
      </c>
      <c r="F96" s="190">
        <v>10.4</v>
      </c>
      <c r="G96" s="190">
        <v>9.4</v>
      </c>
      <c r="H96" s="190">
        <v>12.3</v>
      </c>
      <c r="I96" s="190"/>
      <c r="J96" s="190"/>
      <c r="K96" s="190"/>
      <c r="L96" s="190">
        <v>9.4</v>
      </c>
      <c r="M96" s="190">
        <v>7.7</v>
      </c>
      <c r="N96" s="190">
        <v>6.7</v>
      </c>
      <c r="O96" s="191">
        <f t="shared" si="50"/>
        <v>9.1714285714285726</v>
      </c>
      <c r="P96" s="191">
        <f t="shared" si="51"/>
        <v>18.629179299347104</v>
      </c>
      <c r="Q96" s="192">
        <f t="shared" si="52"/>
        <v>0.58333333333333337</v>
      </c>
      <c r="R96" s="332" t="str">
        <f t="shared" si="58"/>
        <v>-</v>
      </c>
      <c r="S96" s="226">
        <f t="shared" si="72"/>
        <v>0.33333333333333331</v>
      </c>
      <c r="T96" s="332" t="str">
        <f t="shared" si="59"/>
        <v/>
      </c>
      <c r="U96" s="226">
        <f t="shared" si="73"/>
        <v>0</v>
      </c>
      <c r="V96" s="333" t="str">
        <f t="shared" si="60"/>
        <v>-</v>
      </c>
      <c r="W96" s="226">
        <f t="shared" si="74"/>
        <v>0.58333333333333337</v>
      </c>
      <c r="X96" s="144">
        <f t="shared" si="53"/>
        <v>6.8000000000000007</v>
      </c>
      <c r="Y96" s="144" t="str">
        <f t="shared" si="54"/>
        <v/>
      </c>
      <c r="Z96" s="144" t="str">
        <f t="shared" si="55"/>
        <v/>
      </c>
      <c r="AA96" s="249"/>
      <c r="AB96" s="357" t="str">
        <f>VLOOKUP($B96,'2007-2020 Metadata'!$A$4:$S$214,MATCH("Urban Area /Monitoring Zone",'2007-2020 Metadata'!$A$4:$S$4,0),FALSE)</f>
        <v>New Plymouth</v>
      </c>
      <c r="AC96" s="334" t="str">
        <f>VLOOKUP(B96,'2007-2020 Metadata'!$A$6:$A$214,1,FALSE)</f>
        <v>WAN011</v>
      </c>
      <c r="AD96" s="250" t="str">
        <f>VLOOKUP($AC96,'2007-2020 Metadata'!$A$6:$S$214,9,FALSE)</f>
        <v>New Plymouth</v>
      </c>
      <c r="AE96" s="250">
        <f>IF(ISBLANK(VLOOKUP($AC96,'2007-2020 Metadata'!$A$6:$S$214,19,FALSE)),"",VLOOKUP($AC96,'2007-2020 Metadata'!$A$6:$S$214,19,FALSE))</f>
        <v>2</v>
      </c>
      <c r="AF96" s="335" t="str">
        <f>VLOOKUP($B96,'2007-2020 Metadata'!$A$4:$S$214,MATCH("Site type",'2007-2020 Metadata'!$A$4:$S$4,0),FALSE)</f>
        <v>SH</v>
      </c>
      <c r="AG96" s="336">
        <f t="shared" si="78"/>
        <v>6.7</v>
      </c>
      <c r="AH96" s="336">
        <f t="shared" si="79"/>
        <v>12.3</v>
      </c>
      <c r="AI96" s="267" t="str">
        <f t="shared" si="75"/>
        <v xml:space="preserve"> </v>
      </c>
    </row>
    <row r="97" spans="2:35" ht="12" customHeight="1" x14ac:dyDescent="0.15">
      <c r="B97" s="193" t="s">
        <v>50</v>
      </c>
      <c r="C97" s="190">
        <v>9.6</v>
      </c>
      <c r="D97" s="190">
        <v>12.6</v>
      </c>
      <c r="E97" s="190">
        <v>13.6</v>
      </c>
      <c r="F97" s="190">
        <v>19.7</v>
      </c>
      <c r="G97" s="190">
        <v>19.100000000000001</v>
      </c>
      <c r="H97" s="190">
        <v>24.3</v>
      </c>
      <c r="I97" s="190">
        <v>19.8</v>
      </c>
      <c r="J97" s="190">
        <v>17.8</v>
      </c>
      <c r="K97" s="190">
        <v>13.3</v>
      </c>
      <c r="L97" s="190"/>
      <c r="M97" s="190">
        <v>12</v>
      </c>
      <c r="N97" s="190">
        <v>7.4</v>
      </c>
      <c r="O97" s="191">
        <f t="shared" si="50"/>
        <v>15.381818181818183</v>
      </c>
      <c r="P97" s="191">
        <f t="shared" si="51"/>
        <v>31.679589621260885</v>
      </c>
      <c r="Q97" s="192">
        <f t="shared" si="52"/>
        <v>0.91666666666666663</v>
      </c>
      <c r="R97" s="332">
        <f t="shared" si="58"/>
        <v>11.933333333333332</v>
      </c>
      <c r="S97" s="226">
        <f t="shared" si="72"/>
        <v>1</v>
      </c>
      <c r="T97" s="332">
        <f t="shared" si="59"/>
        <v>16.966666666666669</v>
      </c>
      <c r="U97" s="226">
        <f t="shared" si="73"/>
        <v>1</v>
      </c>
      <c r="V97" s="333">
        <f t="shared" si="60"/>
        <v>15.381818181818183</v>
      </c>
      <c r="W97" s="226">
        <f t="shared" si="74"/>
        <v>0.91666666666666663</v>
      </c>
      <c r="X97" s="144">
        <f t="shared" si="53"/>
        <v>12.955555555555554</v>
      </c>
      <c r="Y97" s="144">
        <f t="shared" si="54"/>
        <v>17.205555555555556</v>
      </c>
      <c r="Z97" s="144">
        <f t="shared" si="55"/>
        <v>15.683080808080808</v>
      </c>
      <c r="AA97" s="249"/>
      <c r="AB97" s="357" t="str">
        <f>VLOOKUP($B97,'2007-2020 Metadata'!$A$4:$S$214,MATCH("Urban Area /Monitoring Zone",'2007-2020 Metadata'!$A$4:$S$4,0),FALSE)</f>
        <v>Lower Hutt</v>
      </c>
      <c r="AC97" s="334" t="str">
        <f>VLOOKUP(B97,'2007-2020 Metadata'!$A$6:$A$214,1,FALSE)</f>
        <v>WEL003</v>
      </c>
      <c r="AD97" s="250" t="str">
        <f>VLOOKUP($AC97,'2007-2020 Metadata'!$A$6:$S$214,9,FALSE)</f>
        <v>Lower Hutt</v>
      </c>
      <c r="AE97" s="250">
        <f>IF(ISBLANK(VLOOKUP($AC97,'2007-2020 Metadata'!$A$6:$S$214,19,FALSE)),"",VLOOKUP($AC97,'2007-2020 Metadata'!$A$6:$S$214,19,FALSE))</f>
        <v>3.3</v>
      </c>
      <c r="AF97" s="335" t="str">
        <f>VLOOKUP($B97,'2007-2020 Metadata'!$A$4:$S$214,MATCH("Site type",'2007-2020 Metadata'!$A$4:$S$4,0),FALSE)</f>
        <v>SH</v>
      </c>
      <c r="AG97" s="336">
        <f t="shared" si="78"/>
        <v>7.4</v>
      </c>
      <c r="AH97" s="336">
        <f t="shared" si="79"/>
        <v>24.3</v>
      </c>
      <c r="AI97" s="267">
        <f t="shared" si="75"/>
        <v>15.683080808080808</v>
      </c>
    </row>
    <row r="98" spans="2:35" ht="12" customHeight="1" x14ac:dyDescent="0.15">
      <c r="B98" s="193" t="s">
        <v>52</v>
      </c>
      <c r="C98" s="190">
        <v>13.3</v>
      </c>
      <c r="D98" s="190">
        <v>18.600000000000001</v>
      </c>
      <c r="E98" s="190">
        <v>18.5</v>
      </c>
      <c r="F98" s="190">
        <v>23.6</v>
      </c>
      <c r="G98" s="190">
        <v>25.5</v>
      </c>
      <c r="H98" s="190">
        <v>22</v>
      </c>
      <c r="I98" s="190">
        <v>24.9</v>
      </c>
      <c r="J98" s="190">
        <v>21.9</v>
      </c>
      <c r="K98" s="190">
        <v>20</v>
      </c>
      <c r="L98" s="190">
        <v>15.7</v>
      </c>
      <c r="M98" s="190">
        <v>20</v>
      </c>
      <c r="N98" s="190">
        <v>9.5</v>
      </c>
      <c r="O98" s="191">
        <f t="shared" si="50"/>
        <v>19.458333333333332</v>
      </c>
      <c r="P98" s="191">
        <f t="shared" si="51"/>
        <v>23.417118711881049</v>
      </c>
      <c r="Q98" s="192">
        <f t="shared" si="52"/>
        <v>1</v>
      </c>
      <c r="R98" s="332">
        <f t="shared" si="58"/>
        <v>16.8</v>
      </c>
      <c r="S98" s="226">
        <f t="shared" si="72"/>
        <v>1</v>
      </c>
      <c r="T98" s="332">
        <f t="shared" si="59"/>
        <v>22.266666666666666</v>
      </c>
      <c r="U98" s="226">
        <f t="shared" si="73"/>
        <v>1</v>
      </c>
      <c r="V98" s="333">
        <f t="shared" si="60"/>
        <v>19.458333333333332</v>
      </c>
      <c r="W98" s="226">
        <f t="shared" si="74"/>
        <v>1</v>
      </c>
      <c r="X98" s="144">
        <f t="shared" si="53"/>
        <v>16.725000000000001</v>
      </c>
      <c r="Y98" s="144">
        <f t="shared" si="54"/>
        <v>20.783333333333335</v>
      </c>
      <c r="Z98" s="144">
        <f t="shared" si="55"/>
        <v>19.329166666666666</v>
      </c>
      <c r="AA98" s="249"/>
      <c r="AB98" s="357" t="str">
        <f>VLOOKUP($B98,'2007-2020 Metadata'!$A$4:$S$214,MATCH("Urban Area /Monitoring Zone",'2007-2020 Metadata'!$A$4:$S$4,0),FALSE)</f>
        <v>Porirua</v>
      </c>
      <c r="AC98" s="334" t="str">
        <f>VLOOKUP(B98,'2007-2020 Metadata'!$A$6:$A$214,1,FALSE)</f>
        <v>WEL005</v>
      </c>
      <c r="AD98" s="250" t="str">
        <f>VLOOKUP($AC98,'2007-2020 Metadata'!$A$6:$S$214,9,FALSE)</f>
        <v>Porirua</v>
      </c>
      <c r="AE98" s="250">
        <f>IF(ISBLANK(VLOOKUP($AC98,'2007-2020 Metadata'!$A$6:$S$214,19,FALSE)),"",VLOOKUP($AC98,'2007-2020 Metadata'!$A$6:$S$214,19,FALSE))</f>
        <v>3.2</v>
      </c>
      <c r="AF98" s="335" t="str">
        <f>VLOOKUP($B98,'2007-2020 Metadata'!$A$4:$S$214,MATCH("Site type",'2007-2020 Metadata'!$A$4:$S$4,0),FALSE)</f>
        <v>SH</v>
      </c>
      <c r="AG98" s="336">
        <f t="shared" si="78"/>
        <v>9.5</v>
      </c>
      <c r="AH98" s="336">
        <f t="shared" si="79"/>
        <v>25.5</v>
      </c>
      <c r="AI98" s="267">
        <f t="shared" si="75"/>
        <v>19.329166666666666</v>
      </c>
    </row>
    <row r="99" spans="2:35" ht="12" customHeight="1" x14ac:dyDescent="0.15">
      <c r="B99" s="193" t="s">
        <v>53</v>
      </c>
      <c r="C99" s="190">
        <v>10.9</v>
      </c>
      <c r="D99" s="190">
        <v>16.600000000000001</v>
      </c>
      <c r="E99" s="190">
        <v>15.1</v>
      </c>
      <c r="F99" s="190">
        <v>21.4</v>
      </c>
      <c r="G99" s="190">
        <v>18.899999999999999</v>
      </c>
      <c r="H99" s="190">
        <v>23.9</v>
      </c>
      <c r="I99" s="190">
        <v>16.399999999999999</v>
      </c>
      <c r="J99" s="190">
        <v>18.399999999999999</v>
      </c>
      <c r="K99" s="190">
        <v>15.3</v>
      </c>
      <c r="L99" s="190">
        <v>12.1</v>
      </c>
      <c r="M99" s="190">
        <v>15.8</v>
      </c>
      <c r="N99" s="190">
        <v>12.5</v>
      </c>
      <c r="O99" s="191">
        <f t="shared" si="50"/>
        <v>16.44166666666667</v>
      </c>
      <c r="P99" s="191">
        <f t="shared" si="51"/>
        <v>22.120345494578711</v>
      </c>
      <c r="Q99" s="192">
        <f t="shared" si="52"/>
        <v>1</v>
      </c>
      <c r="R99" s="332">
        <f t="shared" si="58"/>
        <v>14.200000000000001</v>
      </c>
      <c r="S99" s="226">
        <f t="shared" si="72"/>
        <v>1</v>
      </c>
      <c r="T99" s="332">
        <f t="shared" si="59"/>
        <v>16.7</v>
      </c>
      <c r="U99" s="226">
        <f t="shared" si="73"/>
        <v>1</v>
      </c>
      <c r="V99" s="333">
        <f t="shared" si="60"/>
        <v>16.44166666666667</v>
      </c>
      <c r="W99" s="226">
        <f t="shared" si="74"/>
        <v>1</v>
      </c>
      <c r="X99" s="144">
        <f t="shared" si="53"/>
        <v>17.488888888888891</v>
      </c>
      <c r="Y99" s="144">
        <f t="shared" si="54"/>
        <v>20.127777777777776</v>
      </c>
      <c r="Z99" s="144">
        <f t="shared" si="55"/>
        <v>19.373308080808084</v>
      </c>
      <c r="AA99" s="249"/>
      <c r="AB99" s="357" t="str">
        <f>VLOOKUP($B99,'2007-2020 Metadata'!$A$4:$S$214,MATCH("Urban Area /Monitoring Zone",'2007-2020 Metadata'!$A$4:$S$4,0),FALSE)</f>
        <v>Wellington</v>
      </c>
      <c r="AC99" s="334" t="str">
        <f>VLOOKUP(B99,'2007-2020 Metadata'!$A$6:$A$214,1,FALSE)</f>
        <v>WEL007</v>
      </c>
      <c r="AD99" s="250" t="str">
        <f>VLOOKUP($AC99,'2007-2020 Metadata'!$A$6:$S$214,9,FALSE)</f>
        <v>Wellington</v>
      </c>
      <c r="AE99" s="250">
        <f>IF(ISBLANK(VLOOKUP($AC99,'2007-2020 Metadata'!$A$6:$S$214,19,FALSE)),"",VLOOKUP($AC99,'2007-2020 Metadata'!$A$6:$S$214,19,FALSE))</f>
        <v>1</v>
      </c>
      <c r="AF99" s="335" t="str">
        <f>VLOOKUP($B99,'2007-2020 Metadata'!$A$4:$S$214,MATCH("Site type",'2007-2020 Metadata'!$A$4:$S$4,0),FALSE)</f>
        <v>SH</v>
      </c>
      <c r="AG99" s="336">
        <f t="shared" ref="AG99:AG101" si="80">MIN(AVERAGE($C$13:$C$15),AVERAGE($D$13:$D$15),AVERAGE($E$13:$E$15),AVERAGE($F$13:$F$15),AVERAGE($G$13:$G$15),AVERAGE($H$13:$H$15),AVERAGE($I$13:$I$15),AVERAGE($J$13:$J$15),AVERAGE($K$13:$K$15),AVERAGE($L$13:$L$15),AVERAGE($M$13:$M$15),AVERAGE($N$13:$N$15))</f>
        <v>14.366666666666667</v>
      </c>
      <c r="AH99" s="336">
        <f t="shared" ref="AH99:AH101" si="81">MAX(AVERAGE($C$13:$C$15),AVERAGE($D$13:$D$15),AVERAGE($E$13:$E$15),AVERAGE($F$13:$F$15),AVERAGE($G$13:$G$15),AVERAGE($H$13:$H$15),AVERAGE($I$13:$I$15),AVERAGE($J$13:$J$15),AVERAGE($K$13:$K$15),AVERAGE($L$13:$L$15),AVERAGE($M$13:$M$15),AVERAGE($N$13:$N$15))</f>
        <v>44.300000000000004</v>
      </c>
      <c r="AI99" s="267">
        <f t="shared" si="75"/>
        <v>19.373308080808084</v>
      </c>
    </row>
    <row r="100" spans="2:35" ht="12" customHeight="1" x14ac:dyDescent="0.15">
      <c r="B100" s="193" t="s">
        <v>54</v>
      </c>
      <c r="C100" s="190">
        <v>35.5</v>
      </c>
      <c r="D100" s="190">
        <v>37.299999999999997</v>
      </c>
      <c r="E100" s="190">
        <v>30.5</v>
      </c>
      <c r="F100" s="190">
        <v>52.1</v>
      </c>
      <c r="G100" s="190">
        <v>44.4</v>
      </c>
      <c r="H100" s="190">
        <v>43.6</v>
      </c>
      <c r="I100" s="190">
        <v>46.7</v>
      </c>
      <c r="J100" s="190">
        <v>34.6</v>
      </c>
      <c r="K100" s="190">
        <v>38.9</v>
      </c>
      <c r="L100" s="190">
        <v>35.700000000000003</v>
      </c>
      <c r="M100" s="190">
        <v>27.6</v>
      </c>
      <c r="N100" s="190">
        <v>26.1</v>
      </c>
      <c r="O100" s="191">
        <f t="shared" si="50"/>
        <v>37.750000000000007</v>
      </c>
      <c r="P100" s="191">
        <f t="shared" si="51"/>
        <v>19.889465469418898</v>
      </c>
      <c r="Q100" s="192">
        <f t="shared" si="52"/>
        <v>1</v>
      </c>
      <c r="R100" s="332">
        <f t="shared" si="58"/>
        <v>34.43333333333333</v>
      </c>
      <c r="S100" s="226">
        <f t="shared" si="72"/>
        <v>1</v>
      </c>
      <c r="T100" s="332">
        <f t="shared" si="59"/>
        <v>40.06666666666667</v>
      </c>
      <c r="U100" s="226">
        <f t="shared" si="73"/>
        <v>1</v>
      </c>
      <c r="V100" s="333">
        <f t="shared" si="60"/>
        <v>37.750000000000007</v>
      </c>
      <c r="W100" s="226">
        <f t="shared" si="74"/>
        <v>1</v>
      </c>
      <c r="X100" s="144">
        <f t="shared" si="53"/>
        <v>17.488888888888891</v>
      </c>
      <c r="Y100" s="144">
        <f t="shared" si="54"/>
        <v>20.127777777777776</v>
      </c>
      <c r="Z100" s="144">
        <f t="shared" si="55"/>
        <v>19.373308080808084</v>
      </c>
      <c r="AA100" s="249"/>
      <c r="AB100" s="357" t="str">
        <f>VLOOKUP($B100,'2007-2020 Metadata'!$A$4:$S$214,MATCH("Urban Area /Monitoring Zone",'2007-2020 Metadata'!$A$4:$S$4,0),FALSE)</f>
        <v>Wellington</v>
      </c>
      <c r="AC100" s="334" t="str">
        <f>VLOOKUP(B100,'2007-2020 Metadata'!$A$6:$A$214,1,FALSE)</f>
        <v>WEL008</v>
      </c>
      <c r="AD100" s="250" t="str">
        <f>VLOOKUP($AC100,'2007-2020 Metadata'!$A$6:$S$214,9,FALSE)</f>
        <v>Wellington</v>
      </c>
      <c r="AE100" s="250">
        <f>IF(ISBLANK(VLOOKUP($AC100,'2007-2020 Metadata'!$A$6:$S$214,19,FALSE)),"",VLOOKUP($AC100,'2007-2020 Metadata'!$A$6:$S$214,19,FALSE))</f>
        <v>3.1</v>
      </c>
      <c r="AF100" s="335" t="str">
        <f>VLOOKUP($B100,'2007-2020 Metadata'!$A$4:$S$214,MATCH("Site type",'2007-2020 Metadata'!$A$4:$S$4,0),FALSE)</f>
        <v>SH</v>
      </c>
      <c r="AG100" s="336">
        <f t="shared" si="80"/>
        <v>14.366666666666667</v>
      </c>
      <c r="AH100" s="336">
        <f t="shared" si="81"/>
        <v>44.300000000000004</v>
      </c>
      <c r="AI100" s="267">
        <f t="shared" si="75"/>
        <v>19.373308080808084</v>
      </c>
    </row>
    <row r="101" spans="2:35" ht="12" customHeight="1" x14ac:dyDescent="0.15">
      <c r="B101" s="193" t="s">
        <v>55</v>
      </c>
      <c r="C101" s="190">
        <v>20.5</v>
      </c>
      <c r="D101" s="190">
        <v>23.2</v>
      </c>
      <c r="E101" s="190">
        <v>23.1</v>
      </c>
      <c r="F101" s="190">
        <v>24.8</v>
      </c>
      <c r="G101" s="190">
        <v>25.5</v>
      </c>
      <c r="H101" s="190">
        <v>27.3</v>
      </c>
      <c r="I101" s="190">
        <v>32.4</v>
      </c>
      <c r="J101" s="190">
        <v>28.3</v>
      </c>
      <c r="K101" s="190">
        <v>23.5</v>
      </c>
      <c r="L101" s="190">
        <v>20.336665746618827</v>
      </c>
      <c r="M101" s="190">
        <v>20.336665746618827</v>
      </c>
      <c r="N101" s="190">
        <v>16.5</v>
      </c>
      <c r="O101" s="191">
        <f t="shared" si="50"/>
        <v>23.81444429110314</v>
      </c>
      <c r="P101" s="191">
        <f t="shared" si="51"/>
        <v>17.119592354330958</v>
      </c>
      <c r="Q101" s="192">
        <f t="shared" si="52"/>
        <v>1</v>
      </c>
      <c r="R101" s="332">
        <f t="shared" si="58"/>
        <v>22.266666666666669</v>
      </c>
      <c r="S101" s="226">
        <f t="shared" si="72"/>
        <v>1</v>
      </c>
      <c r="T101" s="332">
        <f t="shared" si="59"/>
        <v>28.066666666666666</v>
      </c>
      <c r="U101" s="226">
        <f t="shared" si="73"/>
        <v>1</v>
      </c>
      <c r="V101" s="333">
        <f t="shared" si="60"/>
        <v>23.81444429110314</v>
      </c>
      <c r="W101" s="226">
        <f t="shared" si="74"/>
        <v>1</v>
      </c>
      <c r="X101" s="144">
        <f t="shared" si="53"/>
        <v>15.466666666666667</v>
      </c>
      <c r="Y101" s="144">
        <f t="shared" si="54"/>
        <v>22.311111111111114</v>
      </c>
      <c r="Z101" s="144">
        <f t="shared" si="55"/>
        <v>18.270420593774649</v>
      </c>
      <c r="AA101" s="249"/>
      <c r="AB101" s="357" t="str">
        <f>VLOOKUP($B101,'2007-2020 Metadata'!$A$4:$S$214,MATCH("Urban Area /Monitoring Zone",'2007-2020 Metadata'!$A$4:$S$4,0),FALSE)</f>
        <v>Nelson</v>
      </c>
      <c r="AC101" s="334" t="str">
        <f>VLOOKUP(B101,'2007-2020 Metadata'!$A$6:$A$214,1,FALSE)</f>
        <v>WEL009</v>
      </c>
      <c r="AD101" s="250" t="str">
        <f>VLOOKUP($AC101,'2007-2020 Metadata'!$A$6:$S$214,9,FALSE)</f>
        <v>Nelson</v>
      </c>
      <c r="AE101" s="250">
        <f>IF(ISBLANK(VLOOKUP($AC101,'2007-2020 Metadata'!$A$6:$S$214,19,FALSE)),"",VLOOKUP($AC101,'2007-2020 Metadata'!$A$6:$S$214,19,FALSE))</f>
        <v>3</v>
      </c>
      <c r="AF101" s="335" t="str">
        <f>VLOOKUP($B101,'2007-2020 Metadata'!$A$4:$S$214,MATCH("Site type",'2007-2020 Metadata'!$A$4:$S$4,0),FALSE)</f>
        <v>SH</v>
      </c>
      <c r="AG101" s="336">
        <f t="shared" si="80"/>
        <v>14.366666666666667</v>
      </c>
      <c r="AH101" s="336">
        <f t="shared" si="81"/>
        <v>44.300000000000004</v>
      </c>
      <c r="AI101" s="267">
        <f t="shared" si="75"/>
        <v>18.270420593774649</v>
      </c>
    </row>
    <row r="102" spans="2:35" ht="12" customHeight="1" x14ac:dyDescent="0.15">
      <c r="B102" s="193" t="s">
        <v>56</v>
      </c>
      <c r="C102" s="190">
        <v>12</v>
      </c>
      <c r="D102" s="190">
        <v>17.399999999999999</v>
      </c>
      <c r="E102" s="190"/>
      <c r="F102" s="190">
        <v>19.600000000000001</v>
      </c>
      <c r="G102" s="190">
        <v>25.8</v>
      </c>
      <c r="H102" s="190">
        <v>28.7</v>
      </c>
      <c r="I102" s="190">
        <v>27.4</v>
      </c>
      <c r="J102" s="190">
        <v>24.6</v>
      </c>
      <c r="K102" s="190">
        <v>20.6</v>
      </c>
      <c r="L102" s="190">
        <v>12.270366075865496</v>
      </c>
      <c r="M102" s="190">
        <v>12.270366075865496</v>
      </c>
      <c r="N102" s="190">
        <v>11.6</v>
      </c>
      <c r="O102" s="191">
        <f t="shared" si="50"/>
        <v>19.294612013793724</v>
      </c>
      <c r="P102" s="191">
        <f t="shared" si="51"/>
        <v>32.820231753280375</v>
      </c>
      <c r="Q102" s="192">
        <f t="shared" si="52"/>
        <v>0.91666666666666663</v>
      </c>
      <c r="R102" s="332">
        <f t="shared" si="58"/>
        <v>14.7</v>
      </c>
      <c r="S102" s="226">
        <f t="shared" si="72"/>
        <v>0.66666666666666663</v>
      </c>
      <c r="T102" s="332">
        <f t="shared" si="59"/>
        <v>24.2</v>
      </c>
      <c r="U102" s="226">
        <f t="shared" si="73"/>
        <v>1</v>
      </c>
      <c r="V102" s="333">
        <f t="shared" si="60"/>
        <v>19.294612013793724</v>
      </c>
      <c r="W102" s="226">
        <f t="shared" si="74"/>
        <v>0.91666666666666663</v>
      </c>
      <c r="X102" s="144">
        <f t="shared" si="53"/>
        <v>15.466666666666667</v>
      </c>
      <c r="Y102" s="144">
        <f t="shared" si="54"/>
        <v>22.311111111111114</v>
      </c>
      <c r="Z102" s="144">
        <f t="shared" si="55"/>
        <v>18.270420593774649</v>
      </c>
      <c r="AA102" s="249"/>
      <c r="AB102" s="357" t="str">
        <f>VLOOKUP($B102,'2007-2020 Metadata'!$A$4:$S$214,MATCH("Urban Area /Monitoring Zone",'2007-2020 Metadata'!$A$4:$S$4,0),FALSE)</f>
        <v>Nelson</v>
      </c>
      <c r="AC102" s="334" t="str">
        <f>VLOOKUP(B102,'2007-2020 Metadata'!$A$6:$A$214,1,FALSE)</f>
        <v>WEL010</v>
      </c>
      <c r="AD102" s="250" t="str">
        <f>VLOOKUP($AC102,'2007-2020 Metadata'!$A$6:$S$214,9,FALSE)</f>
        <v>Nelson</v>
      </c>
      <c r="AE102" s="250">
        <f>IF(ISBLANK(VLOOKUP($AC102,'2007-2020 Metadata'!$A$6:$S$214,19,FALSE)),"",VLOOKUP($AC102,'2007-2020 Metadata'!$A$6:$S$214,19,FALSE))</f>
        <v>2.4</v>
      </c>
      <c r="AF102" s="335" t="str">
        <f>VLOOKUP($B102,'2007-2020 Metadata'!$A$4:$S$214,MATCH("Site type",'2007-2020 Metadata'!$A$4:$S$4,0),FALSE)</f>
        <v>SH</v>
      </c>
      <c r="AG102" s="336">
        <f t="shared" ref="AG102:AG110" si="82">MIN(C102:N102)</f>
        <v>11.6</v>
      </c>
      <c r="AH102" s="336">
        <f t="shared" ref="AH102:AH110" si="83">MAX(C102:N102)</f>
        <v>28.7</v>
      </c>
      <c r="AI102" s="267">
        <f t="shared" si="75"/>
        <v>18.270420593774649</v>
      </c>
    </row>
    <row r="103" spans="2:35" ht="12" customHeight="1" x14ac:dyDescent="0.15">
      <c r="B103" s="193" t="s">
        <v>57</v>
      </c>
      <c r="C103" s="190">
        <v>8.9</v>
      </c>
      <c r="D103" s="190">
        <v>13.4</v>
      </c>
      <c r="E103" s="190">
        <v>14</v>
      </c>
      <c r="F103" s="190">
        <v>14.6</v>
      </c>
      <c r="G103" s="190">
        <v>17.899999999999999</v>
      </c>
      <c r="H103" s="190">
        <v>24.8</v>
      </c>
      <c r="I103" s="190">
        <v>23</v>
      </c>
      <c r="J103" s="190">
        <v>20.3</v>
      </c>
      <c r="K103" s="190"/>
      <c r="L103" s="190">
        <v>11.357694218982937</v>
      </c>
      <c r="M103" s="190">
        <v>11.357694218982937</v>
      </c>
      <c r="N103" s="190">
        <v>9.1999999999999993</v>
      </c>
      <c r="O103" s="191">
        <f>(AVERAGE(C103:N103))</f>
        <v>15.346853494360534</v>
      </c>
      <c r="P103" s="191">
        <f t="shared" si="51"/>
        <v>33.819279771862547</v>
      </c>
      <c r="Q103" s="192">
        <f t="shared" si="52"/>
        <v>0.91666666666666663</v>
      </c>
      <c r="R103" s="332">
        <f t="shared" si="58"/>
        <v>12.1</v>
      </c>
      <c r="S103" s="226">
        <f t="shared" si="72"/>
        <v>1</v>
      </c>
      <c r="T103" s="332">
        <f t="shared" si="59"/>
        <v>21.65</v>
      </c>
      <c r="U103" s="226">
        <f t="shared" si="73"/>
        <v>0.66666666666666663</v>
      </c>
      <c r="V103" s="333">
        <f t="shared" si="60"/>
        <v>15.346853494360534</v>
      </c>
      <c r="W103" s="226">
        <f t="shared" si="74"/>
        <v>0.91666666666666663</v>
      </c>
      <c r="X103" s="144">
        <f t="shared" si="53"/>
        <v>12.1</v>
      </c>
      <c r="Y103" s="144">
        <f t="shared" si="54"/>
        <v>21.65</v>
      </c>
      <c r="Z103" s="144">
        <f t="shared" si="55"/>
        <v>15.346853494360534</v>
      </c>
      <c r="AA103" s="249"/>
      <c r="AB103" s="357" t="str">
        <f>VLOOKUP($B103,'2007-2020 Metadata'!$A$4:$S$214,MATCH("Urban Area /Monitoring Zone",'2007-2020 Metadata'!$A$4:$S$4,0),FALSE)</f>
        <v>Nelson</v>
      </c>
      <c r="AC103" s="334" t="str">
        <f>VLOOKUP(B103,'2007-2020 Metadata'!$A$6:$A$214,1,FALSE)</f>
        <v>WEL011</v>
      </c>
      <c r="AD103" s="250" t="str">
        <f>VLOOKUP($AC103,'2007-2020 Metadata'!$A$6:$S$214,9,FALSE)</f>
        <v>Tasman</v>
      </c>
      <c r="AE103" s="250">
        <f>IF(ISBLANK(VLOOKUP($AC103,'2007-2020 Metadata'!$A$6:$S$214,19,FALSE)),"",VLOOKUP($AC103,'2007-2020 Metadata'!$A$6:$S$214,19,FALSE))</f>
        <v>2.4</v>
      </c>
      <c r="AF103" s="335" t="str">
        <f>VLOOKUP($B103,'2007-2020 Metadata'!$A$4:$S$214,MATCH("Site type",'2007-2020 Metadata'!$A$4:$S$4,0),FALSE)</f>
        <v>SH</v>
      </c>
      <c r="AG103" s="336">
        <f t="shared" si="82"/>
        <v>8.9</v>
      </c>
      <c r="AH103" s="336">
        <f t="shared" si="83"/>
        <v>24.8</v>
      </c>
      <c r="AI103" s="267">
        <f t="shared" si="75"/>
        <v>15.346853494360534</v>
      </c>
    </row>
    <row r="104" spans="2:35" ht="12" customHeight="1" x14ac:dyDescent="0.15">
      <c r="B104" s="193" t="s">
        <v>58</v>
      </c>
      <c r="C104" s="190"/>
      <c r="D104" s="190"/>
      <c r="E104" s="190"/>
      <c r="F104" s="190">
        <v>15.8</v>
      </c>
      <c r="G104" s="190"/>
      <c r="H104" s="190"/>
      <c r="I104" s="190"/>
      <c r="J104" s="190">
        <v>17.899999999999999</v>
      </c>
      <c r="K104" s="190">
        <v>13.6</v>
      </c>
      <c r="L104" s="190">
        <v>10.7</v>
      </c>
      <c r="M104" s="190">
        <v>10.8</v>
      </c>
      <c r="N104" s="190">
        <v>5.6</v>
      </c>
      <c r="O104" s="191">
        <f t="shared" si="50"/>
        <v>12.399999999999999</v>
      </c>
      <c r="P104" s="191">
        <f t="shared" si="51"/>
        <v>32.079478778863511</v>
      </c>
      <c r="Q104" s="192">
        <f t="shared" si="52"/>
        <v>0.5</v>
      </c>
      <c r="R104" s="332" t="str">
        <f t="shared" si="58"/>
        <v/>
      </c>
      <c r="S104" s="226">
        <f t="shared" si="72"/>
        <v>0</v>
      </c>
      <c r="T104" s="332">
        <f t="shared" si="59"/>
        <v>15.75</v>
      </c>
      <c r="U104" s="226">
        <f t="shared" si="73"/>
        <v>0.66666666666666663</v>
      </c>
      <c r="V104" s="333" t="str">
        <f t="shared" si="60"/>
        <v>-</v>
      </c>
      <c r="W104" s="226">
        <f t="shared" si="74"/>
        <v>0.5</v>
      </c>
      <c r="X104" s="144" t="str">
        <f t="shared" si="53"/>
        <v/>
      </c>
      <c r="Y104" s="144">
        <f t="shared" si="54"/>
        <v>15.75</v>
      </c>
      <c r="Z104" s="144" t="str">
        <f t="shared" si="55"/>
        <v/>
      </c>
      <c r="AA104" s="249"/>
      <c r="AB104" s="357" t="str">
        <f>VLOOKUP($B104,'2007-2020 Metadata'!$A$4:$S$214,MATCH("Urban Area /Monitoring Zone",'2007-2020 Metadata'!$A$4:$S$4,0),FALSE)</f>
        <v>Blenheim</v>
      </c>
      <c r="AC104" s="334" t="str">
        <f>VLOOKUP(B104,'2007-2020 Metadata'!$A$6:$A$214,1,FALSE)</f>
        <v>WEL012</v>
      </c>
      <c r="AD104" s="250" t="str">
        <f>VLOOKUP($AC104,'2007-2020 Metadata'!$A$6:$S$214,9,FALSE)</f>
        <v>Blenheim</v>
      </c>
      <c r="AE104" s="250">
        <f>IF(ISBLANK(VLOOKUP($AC104,'2007-2020 Metadata'!$A$6:$S$214,19,FALSE)),"",VLOOKUP($AC104,'2007-2020 Metadata'!$A$6:$S$214,19,FALSE))</f>
        <v>4.2</v>
      </c>
      <c r="AF104" s="335" t="str">
        <f>VLOOKUP($B104,'2007-2020 Metadata'!$A$4:$S$214,MATCH("Site type",'2007-2020 Metadata'!$A$4:$S$4,0),FALSE)</f>
        <v>SH</v>
      </c>
      <c r="AG104" s="336">
        <f t="shared" si="82"/>
        <v>5.6</v>
      </c>
      <c r="AH104" s="336">
        <f t="shared" si="83"/>
        <v>17.899999999999999</v>
      </c>
      <c r="AI104" s="267" t="str">
        <f t="shared" si="75"/>
        <v xml:space="preserve"> </v>
      </c>
    </row>
    <row r="105" spans="2:35" ht="12" customHeight="1" x14ac:dyDescent="0.15">
      <c r="B105" s="193" t="s">
        <v>125</v>
      </c>
      <c r="C105" s="190">
        <v>6.4</v>
      </c>
      <c r="D105" s="190">
        <v>9</v>
      </c>
      <c r="E105" s="190">
        <v>9.3000000000000007</v>
      </c>
      <c r="F105" s="190">
        <v>12.4</v>
      </c>
      <c r="G105" s="190">
        <v>14.2</v>
      </c>
      <c r="H105" s="190">
        <v>14.2</v>
      </c>
      <c r="I105" s="190">
        <v>11.4</v>
      </c>
      <c r="J105" s="190">
        <v>12.8</v>
      </c>
      <c r="K105" s="190">
        <v>9.1999999999999993</v>
      </c>
      <c r="L105" s="190">
        <v>9.1</v>
      </c>
      <c r="M105" s="190">
        <v>8.1999999999999993</v>
      </c>
      <c r="N105" s="190">
        <v>6.5</v>
      </c>
      <c r="O105" s="191">
        <f t="shared" si="50"/>
        <v>10.225</v>
      </c>
      <c r="P105" s="191">
        <f t="shared" si="51"/>
        <v>25.506508089391318</v>
      </c>
      <c r="Q105" s="192">
        <f t="shared" si="52"/>
        <v>1</v>
      </c>
      <c r="R105" s="332">
        <f t="shared" si="58"/>
        <v>8.2333333333333343</v>
      </c>
      <c r="S105" s="226">
        <f t="shared" si="72"/>
        <v>1</v>
      </c>
      <c r="T105" s="332">
        <f t="shared" si="59"/>
        <v>11.133333333333335</v>
      </c>
      <c r="U105" s="226">
        <f t="shared" si="73"/>
        <v>1</v>
      </c>
      <c r="V105" s="333">
        <f t="shared" si="60"/>
        <v>10.225</v>
      </c>
      <c r="W105" s="226">
        <f t="shared" si="74"/>
        <v>1</v>
      </c>
      <c r="X105" s="144">
        <f t="shared" si="53"/>
        <v>17.488888888888891</v>
      </c>
      <c r="Y105" s="144">
        <f t="shared" si="54"/>
        <v>20.127777777777776</v>
      </c>
      <c r="Z105" s="144">
        <f t="shared" si="55"/>
        <v>19.373308080808084</v>
      </c>
      <c r="AA105" s="249"/>
      <c r="AB105" s="357" t="str">
        <f>VLOOKUP($B105,'2007-2020 Metadata'!$A$4:$S$214,MATCH("Urban Area /Monitoring Zone",'2007-2020 Metadata'!$A$4:$S$4,0),FALSE)</f>
        <v>Wellington</v>
      </c>
      <c r="AC105" s="334" t="str">
        <f>VLOOKUP(B105,'2007-2020 Metadata'!$A$6:$A$214,1,FALSE)</f>
        <v>WEL047</v>
      </c>
      <c r="AD105" s="250" t="str">
        <f>VLOOKUP($AC105,'2007-2020 Metadata'!$A$6:$S$214,9,FALSE)</f>
        <v>Wellington</v>
      </c>
      <c r="AE105" s="250">
        <f>IF(ISBLANK(VLOOKUP($AC105,'2007-2020 Metadata'!$A$6:$S$214,19,FALSE)),"",VLOOKUP($AC105,'2007-2020 Metadata'!$A$6:$S$214,19,FALSE))</f>
        <v>3.5</v>
      </c>
      <c r="AF105" s="335" t="str">
        <f>VLOOKUP($B105,'2007-2020 Metadata'!$A$4:$S$214,MATCH("Site type",'2007-2020 Metadata'!$A$4:$S$4,0),FALSE)</f>
        <v>Local</v>
      </c>
      <c r="AG105" s="336">
        <f t="shared" si="82"/>
        <v>6.4</v>
      </c>
      <c r="AH105" s="336">
        <f t="shared" si="83"/>
        <v>14.2</v>
      </c>
      <c r="AI105" s="267">
        <f t="shared" si="75"/>
        <v>19.373308080808084</v>
      </c>
    </row>
    <row r="106" spans="2:35" ht="12" customHeight="1" x14ac:dyDescent="0.15">
      <c r="B106" s="193" t="s">
        <v>126</v>
      </c>
      <c r="C106" s="190">
        <v>6.9</v>
      </c>
      <c r="D106" s="190">
        <v>8.8000000000000007</v>
      </c>
      <c r="E106" s="190">
        <v>8.3000000000000007</v>
      </c>
      <c r="F106" s="190">
        <v>9.4</v>
      </c>
      <c r="G106" s="190">
        <v>9.1999999999999993</v>
      </c>
      <c r="H106" s="190">
        <v>13.7</v>
      </c>
      <c r="I106" s="190">
        <v>8.6</v>
      </c>
      <c r="J106" s="190">
        <v>8.5</v>
      </c>
      <c r="K106" s="190">
        <v>7</v>
      </c>
      <c r="L106" s="190">
        <v>8.6</v>
      </c>
      <c r="M106" s="190">
        <v>7.5</v>
      </c>
      <c r="N106" s="190">
        <v>4.3</v>
      </c>
      <c r="O106" s="191">
        <f t="shared" si="50"/>
        <v>8.3999999999999986</v>
      </c>
      <c r="P106" s="191">
        <f t="shared" si="51"/>
        <v>24.738809437114007</v>
      </c>
      <c r="Q106" s="192">
        <f t="shared" si="52"/>
        <v>1</v>
      </c>
      <c r="R106" s="332">
        <f t="shared" si="58"/>
        <v>8</v>
      </c>
      <c r="S106" s="226">
        <f t="shared" si="72"/>
        <v>1</v>
      </c>
      <c r="T106" s="332">
        <f t="shared" si="59"/>
        <v>8.0333333333333332</v>
      </c>
      <c r="U106" s="226">
        <f t="shared" si="73"/>
        <v>1</v>
      </c>
      <c r="V106" s="333">
        <f t="shared" si="60"/>
        <v>8.3999999999999986</v>
      </c>
      <c r="W106" s="226">
        <f t="shared" si="74"/>
        <v>1</v>
      </c>
      <c r="X106" s="144">
        <f t="shared" si="53"/>
        <v>17.488888888888891</v>
      </c>
      <c r="Y106" s="144">
        <f t="shared" si="54"/>
        <v>20.127777777777776</v>
      </c>
      <c r="Z106" s="144">
        <f t="shared" si="55"/>
        <v>19.373308080808084</v>
      </c>
      <c r="AA106" s="249"/>
      <c r="AB106" s="357" t="str">
        <f>VLOOKUP($B106,'2007-2020 Metadata'!$A$4:$S$214,MATCH("Urban Area /Monitoring Zone",'2007-2020 Metadata'!$A$4:$S$4,0),FALSE)</f>
        <v>Wellington</v>
      </c>
      <c r="AC106" s="334" t="str">
        <f>VLOOKUP(B106,'2007-2020 Metadata'!$A$6:$A$214,1,FALSE)</f>
        <v>WEL048</v>
      </c>
      <c r="AD106" s="250" t="str">
        <f>VLOOKUP($AC106,'2007-2020 Metadata'!$A$6:$S$214,9,FALSE)</f>
        <v>Wellington</v>
      </c>
      <c r="AE106" s="250">
        <f>IF(ISBLANK(VLOOKUP($AC106,'2007-2020 Metadata'!$A$6:$S$214,19,FALSE)),"",VLOOKUP($AC106,'2007-2020 Metadata'!$A$6:$S$214,19,FALSE))</f>
        <v>4</v>
      </c>
      <c r="AF106" s="335" t="str">
        <f>VLOOKUP($B106,'2007-2020 Metadata'!$A$4:$S$214,MATCH("Site type",'2007-2020 Metadata'!$A$4:$S$4,0),FALSE)</f>
        <v>Background</v>
      </c>
      <c r="AG106" s="336">
        <f t="shared" si="82"/>
        <v>4.3</v>
      </c>
      <c r="AH106" s="336">
        <f t="shared" si="83"/>
        <v>13.7</v>
      </c>
      <c r="AI106" s="267">
        <f t="shared" si="75"/>
        <v>19.373308080808084</v>
      </c>
    </row>
    <row r="107" spans="2:35" ht="12" customHeight="1" x14ac:dyDescent="0.15">
      <c r="B107" s="193" t="s">
        <v>127</v>
      </c>
      <c r="C107" s="190"/>
      <c r="D107" s="190">
        <v>35.799999999999997</v>
      </c>
      <c r="E107" s="190">
        <v>35.4</v>
      </c>
      <c r="F107" s="190">
        <v>41.6</v>
      </c>
      <c r="G107" s="190">
        <v>50.3</v>
      </c>
      <c r="H107" s="190">
        <v>47.5</v>
      </c>
      <c r="I107" s="190">
        <v>38.5</v>
      </c>
      <c r="J107" s="190">
        <v>37.1</v>
      </c>
      <c r="K107" s="190">
        <v>32.799999999999997</v>
      </c>
      <c r="L107" s="190">
        <v>31.4</v>
      </c>
      <c r="M107" s="190">
        <v>36.700000000000003</v>
      </c>
      <c r="N107" s="190"/>
      <c r="O107" s="191">
        <f t="shared" si="50"/>
        <v>38.709999999999994</v>
      </c>
      <c r="P107" s="191">
        <f t="shared" si="51"/>
        <v>14.93880324276409</v>
      </c>
      <c r="Q107" s="192">
        <f t="shared" si="52"/>
        <v>0.83333333333333337</v>
      </c>
      <c r="R107" s="332">
        <f t="shared" si="58"/>
        <v>35.599999999999994</v>
      </c>
      <c r="S107" s="226">
        <f t="shared" si="72"/>
        <v>0.66666666666666663</v>
      </c>
      <c r="T107" s="332">
        <f t="shared" si="59"/>
        <v>36.133333333333333</v>
      </c>
      <c r="U107" s="226">
        <f t="shared" si="73"/>
        <v>1</v>
      </c>
      <c r="V107" s="333">
        <f t="shared" si="60"/>
        <v>38.709999999999994</v>
      </c>
      <c r="W107" s="226">
        <f t="shared" si="74"/>
        <v>0.83333333333333337</v>
      </c>
      <c r="X107" s="144">
        <f t="shared" si="53"/>
        <v>17.488888888888891</v>
      </c>
      <c r="Y107" s="144">
        <f t="shared" si="54"/>
        <v>20.127777777777776</v>
      </c>
      <c r="Z107" s="144">
        <f t="shared" si="55"/>
        <v>19.373308080808084</v>
      </c>
      <c r="AA107" s="249"/>
      <c r="AB107" s="357" t="str">
        <f>VLOOKUP($B107,'2007-2020 Metadata'!$A$4:$S$214,MATCH("Urban Area /Monitoring Zone",'2007-2020 Metadata'!$A$4:$S$4,0),FALSE)</f>
        <v>Wellington</v>
      </c>
      <c r="AC107" s="334" t="str">
        <f>VLOOKUP(B107,'2007-2020 Metadata'!$A$6:$A$214,1,FALSE)</f>
        <v>WEL049</v>
      </c>
      <c r="AD107" s="250" t="str">
        <f>VLOOKUP($AC107,'2007-2020 Metadata'!$A$6:$S$214,9,FALSE)</f>
        <v>Wellington</v>
      </c>
      <c r="AE107" s="250">
        <f>IF(ISBLANK(VLOOKUP($AC107,'2007-2020 Metadata'!$A$6:$S$214,19,FALSE)),"",VLOOKUP($AC107,'2007-2020 Metadata'!$A$6:$S$214,19,FALSE))</f>
        <v>4</v>
      </c>
      <c r="AF107" s="335" t="str">
        <f>VLOOKUP($B107,'2007-2020 Metadata'!$A$4:$S$214,MATCH("Site type",'2007-2020 Metadata'!$A$4:$S$4,0),FALSE)</f>
        <v>Local</v>
      </c>
      <c r="AG107" s="336">
        <f t="shared" si="82"/>
        <v>31.4</v>
      </c>
      <c r="AH107" s="336">
        <f t="shared" si="83"/>
        <v>50.3</v>
      </c>
      <c r="AI107" s="267">
        <f t="shared" si="75"/>
        <v>19.373308080808084</v>
      </c>
    </row>
    <row r="108" spans="2:35" ht="12" customHeight="1" x14ac:dyDescent="0.15">
      <c r="B108" s="193" t="s">
        <v>128</v>
      </c>
      <c r="C108" s="190">
        <v>14.8</v>
      </c>
      <c r="D108" s="190">
        <v>20.2</v>
      </c>
      <c r="E108" s="190">
        <v>17.399999999999999</v>
      </c>
      <c r="F108" s="190">
        <v>22.7</v>
      </c>
      <c r="G108" s="190">
        <v>19.8</v>
      </c>
      <c r="H108" s="190">
        <v>27.7</v>
      </c>
      <c r="I108" s="190">
        <v>20.7</v>
      </c>
      <c r="J108" s="190">
        <v>19.899999999999999</v>
      </c>
      <c r="K108" s="190">
        <v>15.6</v>
      </c>
      <c r="L108" s="190">
        <v>15.4</v>
      </c>
      <c r="M108" s="190">
        <v>15.8</v>
      </c>
      <c r="N108" s="190">
        <v>12.5</v>
      </c>
      <c r="O108" s="191">
        <f t="shared" si="50"/>
        <v>18.541666666666668</v>
      </c>
      <c r="P108" s="191">
        <f t="shared" si="51"/>
        <v>21.451860064214006</v>
      </c>
      <c r="Q108" s="192">
        <f t="shared" si="52"/>
        <v>1</v>
      </c>
      <c r="R108" s="332">
        <f t="shared" si="58"/>
        <v>17.466666666666665</v>
      </c>
      <c r="S108" s="226">
        <f t="shared" si="72"/>
        <v>1</v>
      </c>
      <c r="T108" s="332">
        <f t="shared" si="59"/>
        <v>18.733333333333331</v>
      </c>
      <c r="U108" s="226">
        <f t="shared" si="73"/>
        <v>1</v>
      </c>
      <c r="V108" s="333">
        <f t="shared" si="60"/>
        <v>18.541666666666668</v>
      </c>
      <c r="W108" s="226">
        <f t="shared" si="74"/>
        <v>1</v>
      </c>
      <c r="X108" s="144">
        <f t="shared" si="53"/>
        <v>17.488888888888891</v>
      </c>
      <c r="Y108" s="144">
        <f t="shared" si="54"/>
        <v>20.127777777777776</v>
      </c>
      <c r="Z108" s="144">
        <f t="shared" si="55"/>
        <v>19.373308080808084</v>
      </c>
      <c r="AA108" s="249"/>
      <c r="AB108" s="357" t="str">
        <f>VLOOKUP($B108,'2007-2020 Metadata'!$A$4:$S$214,MATCH("Urban Area /Monitoring Zone",'2007-2020 Metadata'!$A$4:$S$4,0),FALSE)</f>
        <v>Wellington</v>
      </c>
      <c r="AC108" s="334" t="str">
        <f>VLOOKUP(B108,'2007-2020 Metadata'!$A$6:$A$214,1,FALSE)</f>
        <v>WEL050</v>
      </c>
      <c r="AD108" s="250" t="str">
        <f>VLOOKUP($AC108,'2007-2020 Metadata'!$A$6:$S$214,9,FALSE)</f>
        <v>Wellington</v>
      </c>
      <c r="AE108" s="250">
        <f>IF(ISBLANK(VLOOKUP($AC108,'2007-2020 Metadata'!$A$6:$S$214,19,FALSE)),"",VLOOKUP($AC108,'2007-2020 Metadata'!$A$6:$S$214,19,FALSE))</f>
        <v>4</v>
      </c>
      <c r="AF108" s="335" t="str">
        <f>VLOOKUP($B108,'2007-2020 Metadata'!$A$4:$S$214,MATCH("Site type",'2007-2020 Metadata'!$A$4:$S$4,0),FALSE)</f>
        <v>SH</v>
      </c>
      <c r="AG108" s="336">
        <f t="shared" si="82"/>
        <v>12.5</v>
      </c>
      <c r="AH108" s="336">
        <f t="shared" si="83"/>
        <v>27.7</v>
      </c>
      <c r="AI108" s="267">
        <f t="shared" si="75"/>
        <v>19.373308080808084</v>
      </c>
    </row>
    <row r="109" spans="2:35" ht="12" customHeight="1" x14ac:dyDescent="0.15">
      <c r="B109" s="193" t="s">
        <v>129</v>
      </c>
      <c r="C109" s="190">
        <v>11.2</v>
      </c>
      <c r="D109" s="190">
        <v>12.6</v>
      </c>
      <c r="E109" s="190">
        <v>11.6</v>
      </c>
      <c r="F109" s="190">
        <v>13.5</v>
      </c>
      <c r="G109" s="190">
        <v>17.7</v>
      </c>
      <c r="H109" s="190">
        <v>15.3</v>
      </c>
      <c r="I109" s="190">
        <v>14.2</v>
      </c>
      <c r="J109" s="190">
        <v>13.5</v>
      </c>
      <c r="K109" s="190">
        <v>11</v>
      </c>
      <c r="L109" s="190">
        <v>8.9</v>
      </c>
      <c r="M109" s="190">
        <v>10.5</v>
      </c>
      <c r="N109" s="190">
        <v>11.5</v>
      </c>
      <c r="O109" s="191">
        <f t="shared" si="50"/>
        <v>12.625</v>
      </c>
      <c r="P109" s="191">
        <f t="shared" si="51"/>
        <v>18.048068353619744</v>
      </c>
      <c r="Q109" s="192">
        <f t="shared" si="52"/>
        <v>1</v>
      </c>
      <c r="R109" s="332">
        <f t="shared" si="58"/>
        <v>11.799999999999999</v>
      </c>
      <c r="S109" s="226">
        <f t="shared" si="72"/>
        <v>1</v>
      </c>
      <c r="T109" s="332">
        <f t="shared" si="59"/>
        <v>12.9</v>
      </c>
      <c r="U109" s="226">
        <f t="shared" si="73"/>
        <v>1</v>
      </c>
      <c r="V109" s="333">
        <f t="shared" si="60"/>
        <v>12.625</v>
      </c>
      <c r="W109" s="226">
        <f t="shared" si="74"/>
        <v>1</v>
      </c>
      <c r="X109" s="144">
        <f t="shared" si="53"/>
        <v>17.488888888888891</v>
      </c>
      <c r="Y109" s="144">
        <f t="shared" si="54"/>
        <v>20.127777777777776</v>
      </c>
      <c r="Z109" s="144">
        <f t="shared" si="55"/>
        <v>19.373308080808084</v>
      </c>
      <c r="AA109" s="249"/>
      <c r="AB109" s="357" t="str">
        <f>VLOOKUP($B109,'2007-2020 Metadata'!$A$4:$S$214,MATCH("Urban Area /Monitoring Zone",'2007-2020 Metadata'!$A$4:$S$4,0),FALSE)</f>
        <v>Wellington</v>
      </c>
      <c r="AC109" s="334" t="str">
        <f>VLOOKUP(B109,'2007-2020 Metadata'!$A$6:$A$214,1,FALSE)</f>
        <v>WEL051</v>
      </c>
      <c r="AD109" s="250" t="str">
        <f>VLOOKUP($AC109,'2007-2020 Metadata'!$A$6:$S$214,9,FALSE)</f>
        <v>Wellington</v>
      </c>
      <c r="AE109" s="250">
        <f>IF(ISBLANK(VLOOKUP($AC109,'2007-2020 Metadata'!$A$6:$S$214,19,FALSE)),"",VLOOKUP($AC109,'2007-2020 Metadata'!$A$6:$S$214,19,FALSE))</f>
        <v>4</v>
      </c>
      <c r="AF109" s="335" t="str">
        <f>VLOOKUP($B109,'2007-2020 Metadata'!$A$4:$S$214,MATCH("Site type",'2007-2020 Metadata'!$A$4:$S$4,0),FALSE)</f>
        <v>Local</v>
      </c>
      <c r="AG109" s="336">
        <f t="shared" si="82"/>
        <v>8.9</v>
      </c>
      <c r="AH109" s="336">
        <f t="shared" si="83"/>
        <v>17.7</v>
      </c>
      <c r="AI109" s="267">
        <f t="shared" si="75"/>
        <v>19.373308080808084</v>
      </c>
    </row>
    <row r="110" spans="2:35" ht="12" customHeight="1" x14ac:dyDescent="0.15">
      <c r="B110" s="193" t="s">
        <v>130</v>
      </c>
      <c r="C110" s="190">
        <v>17.3</v>
      </c>
      <c r="D110" s="190">
        <v>18</v>
      </c>
      <c r="E110" s="190">
        <v>18.7</v>
      </c>
      <c r="F110" s="190">
        <v>28.1</v>
      </c>
      <c r="G110" s="190">
        <v>30.5</v>
      </c>
      <c r="H110" s="190">
        <v>33.299999999999997</v>
      </c>
      <c r="I110" s="190">
        <v>28.9</v>
      </c>
      <c r="J110" s="190">
        <v>27.1</v>
      </c>
      <c r="K110" s="190">
        <v>20.7</v>
      </c>
      <c r="L110" s="190">
        <v>15.9</v>
      </c>
      <c r="M110" s="190">
        <v>18.899999999999999</v>
      </c>
      <c r="N110" s="190">
        <v>13.6</v>
      </c>
      <c r="O110" s="191">
        <f t="shared" si="50"/>
        <v>22.583333333333332</v>
      </c>
      <c r="P110" s="191">
        <f t="shared" si="51"/>
        <v>27.851444221464238</v>
      </c>
      <c r="Q110" s="192">
        <f t="shared" si="52"/>
        <v>1</v>
      </c>
      <c r="R110" s="332">
        <f t="shared" si="58"/>
        <v>18</v>
      </c>
      <c r="S110" s="226">
        <f t="shared" si="72"/>
        <v>1</v>
      </c>
      <c r="T110" s="332">
        <f t="shared" si="59"/>
        <v>25.566666666666666</v>
      </c>
      <c r="U110" s="226">
        <f t="shared" si="73"/>
        <v>1</v>
      </c>
      <c r="V110" s="333">
        <f t="shared" si="60"/>
        <v>22.583333333333332</v>
      </c>
      <c r="W110" s="226">
        <f t="shared" si="74"/>
        <v>1</v>
      </c>
      <c r="X110" s="144">
        <f t="shared" si="53"/>
        <v>12.955555555555554</v>
      </c>
      <c r="Y110" s="144">
        <f t="shared" si="54"/>
        <v>17.205555555555556</v>
      </c>
      <c r="Z110" s="144">
        <f t="shared" si="55"/>
        <v>15.683080808080808</v>
      </c>
      <c r="AA110" s="249"/>
      <c r="AB110" s="357" t="str">
        <f>VLOOKUP($B110,'2007-2020 Metadata'!$A$4:$S$214,MATCH("Urban Area /Monitoring Zone",'2007-2020 Metadata'!$A$4:$S$4,0),FALSE)</f>
        <v>Lower Hutt</v>
      </c>
      <c r="AC110" s="334" t="str">
        <f>VLOOKUP(B110,'2007-2020 Metadata'!$A$6:$A$214,1,FALSE)</f>
        <v>WEL052</v>
      </c>
      <c r="AD110" s="250" t="str">
        <f>VLOOKUP($AC110,'2007-2020 Metadata'!$A$6:$S$214,9,FALSE)</f>
        <v>Lower Hutt</v>
      </c>
      <c r="AE110" s="250">
        <f>IF(ISBLANK(VLOOKUP($AC110,'2007-2020 Metadata'!$A$6:$S$214,19,FALSE)),"",VLOOKUP($AC110,'2007-2020 Metadata'!$A$6:$S$214,19,FALSE))</f>
        <v>4</v>
      </c>
      <c r="AF110" s="335" t="str">
        <f>VLOOKUP($B110,'2007-2020 Metadata'!$A$4:$S$214,MATCH("Site type",'2007-2020 Metadata'!$A$4:$S$4,0),FALSE)</f>
        <v>SH</v>
      </c>
      <c r="AG110" s="336">
        <f t="shared" si="82"/>
        <v>13.6</v>
      </c>
      <c r="AH110" s="336">
        <f t="shared" si="83"/>
        <v>33.299999999999997</v>
      </c>
      <c r="AI110" s="267">
        <f t="shared" si="75"/>
        <v>15.683080808080808</v>
      </c>
    </row>
    <row r="111" spans="2:35" ht="12" customHeight="1" x14ac:dyDescent="0.15">
      <c r="B111" s="193" t="s">
        <v>131</v>
      </c>
      <c r="C111" s="190">
        <v>17</v>
      </c>
      <c r="D111" s="190">
        <v>20.9</v>
      </c>
      <c r="E111" s="190">
        <v>20.3</v>
      </c>
      <c r="F111" s="190">
        <v>25.3</v>
      </c>
      <c r="G111" s="190">
        <v>25.7</v>
      </c>
      <c r="H111" s="190">
        <v>28</v>
      </c>
      <c r="I111" s="190">
        <v>26.4</v>
      </c>
      <c r="J111" s="190">
        <v>23.4</v>
      </c>
      <c r="K111" s="190">
        <v>16.8</v>
      </c>
      <c r="L111" s="190">
        <v>17.7</v>
      </c>
      <c r="M111" s="190">
        <v>19.399999999999999</v>
      </c>
      <c r="N111" s="190">
        <v>13.9</v>
      </c>
      <c r="O111" s="191">
        <f t="shared" si="50"/>
        <v>21.233333333333334</v>
      </c>
      <c r="P111" s="191">
        <f t="shared" si="51"/>
        <v>20.249656155974758</v>
      </c>
      <c r="Q111" s="192">
        <f t="shared" si="52"/>
        <v>1</v>
      </c>
      <c r="R111" s="332">
        <f t="shared" si="58"/>
        <v>19.400000000000002</v>
      </c>
      <c r="S111" s="226">
        <f t="shared" si="72"/>
        <v>1</v>
      </c>
      <c r="T111" s="332">
        <f t="shared" si="59"/>
        <v>22.2</v>
      </c>
      <c r="U111" s="226">
        <f t="shared" si="73"/>
        <v>1</v>
      </c>
      <c r="V111" s="333">
        <f t="shared" si="60"/>
        <v>21.233333333333334</v>
      </c>
      <c r="W111" s="226">
        <f t="shared" si="74"/>
        <v>1</v>
      </c>
      <c r="X111" s="144">
        <f t="shared" si="53"/>
        <v>12.955555555555554</v>
      </c>
      <c r="Y111" s="144">
        <f t="shared" si="54"/>
        <v>17.205555555555556</v>
      </c>
      <c r="Z111" s="144">
        <f t="shared" si="55"/>
        <v>15.683080808080808</v>
      </c>
      <c r="AA111" s="249"/>
      <c r="AB111" s="357" t="str">
        <f>VLOOKUP($B111,'2007-2020 Metadata'!$A$4:$S$214,MATCH("Urban Area /Monitoring Zone",'2007-2020 Metadata'!$A$4:$S$4,0),FALSE)</f>
        <v>Lower Hutt</v>
      </c>
      <c r="AC111" s="334" t="str">
        <f>VLOOKUP(B111,'2007-2020 Metadata'!$A$6:$A$214,1,FALSE)</f>
        <v>WEL053</v>
      </c>
      <c r="AD111" s="250" t="str">
        <f>VLOOKUP($AC111,'2007-2020 Metadata'!$A$6:$S$214,9,FALSE)</f>
        <v>Lower Hutt</v>
      </c>
      <c r="AE111" s="250">
        <f>IF(ISBLANK(VLOOKUP($AC111,'2007-2020 Metadata'!$A$6:$S$214,19,FALSE)),"",VLOOKUP($AC111,'2007-2020 Metadata'!$A$6:$S$214,19,FALSE))</f>
        <v>4</v>
      </c>
      <c r="AF111" s="335" t="str">
        <f>VLOOKUP($B111,'2007-2020 Metadata'!$A$4:$S$214,MATCH("Site type",'2007-2020 Metadata'!$A$4:$S$4,0),FALSE)</f>
        <v>Local</v>
      </c>
      <c r="AG111" s="336">
        <f t="shared" ref="AG111:AG113" si="84">MIN(AVERAGE($C$13:$C$15),AVERAGE($D$13:$D$15),AVERAGE($E$13:$E$15),AVERAGE($F$13:$F$15),AVERAGE($G$13:$G$15),AVERAGE($H$13:$H$15),AVERAGE($I$13:$I$15),AVERAGE($J$13:$J$15),AVERAGE($K$13:$K$15),AVERAGE($L$13:$L$15),AVERAGE($M$13:$M$15),AVERAGE($N$13:$N$15))</f>
        <v>14.366666666666667</v>
      </c>
      <c r="AH111" s="336">
        <f t="shared" ref="AH111:AH113" si="85">MAX(AVERAGE($C$13:$C$15),AVERAGE($D$13:$D$15),AVERAGE($E$13:$E$15),AVERAGE($F$13:$F$15),AVERAGE($G$13:$G$15),AVERAGE($H$13:$H$15),AVERAGE($I$13:$I$15),AVERAGE($J$13:$J$15),AVERAGE($K$13:$K$15),AVERAGE($L$13:$L$15),AVERAGE($M$13:$M$15),AVERAGE($N$13:$N$15))</f>
        <v>44.300000000000004</v>
      </c>
      <c r="AI111" s="267">
        <f t="shared" si="75"/>
        <v>15.683080808080808</v>
      </c>
    </row>
    <row r="112" spans="2:35" ht="12" customHeight="1" x14ac:dyDescent="0.15">
      <c r="B112" s="193" t="s">
        <v>132</v>
      </c>
      <c r="C112" s="190">
        <v>7.6</v>
      </c>
      <c r="D112" s="190">
        <v>10.5</v>
      </c>
      <c r="E112" s="190">
        <v>10.1</v>
      </c>
      <c r="F112" s="190">
        <v>14.3</v>
      </c>
      <c r="G112" s="190">
        <v>14.8</v>
      </c>
      <c r="H112" s="190">
        <v>17.8</v>
      </c>
      <c r="I112" s="190">
        <v>11.6</v>
      </c>
      <c r="J112" s="190">
        <v>14.1</v>
      </c>
      <c r="K112" s="190">
        <v>7.5</v>
      </c>
      <c r="L112" s="190">
        <v>7.1</v>
      </c>
      <c r="M112" s="190">
        <v>7.9</v>
      </c>
      <c r="N112" s="190">
        <v>7.8</v>
      </c>
      <c r="O112" s="191">
        <f t="shared" si="50"/>
        <v>10.924999999999999</v>
      </c>
      <c r="P112" s="191">
        <f t="shared" si="51"/>
        <v>31.420744791893807</v>
      </c>
      <c r="Q112" s="192">
        <f t="shared" si="52"/>
        <v>1</v>
      </c>
      <c r="R112" s="332">
        <f t="shared" si="58"/>
        <v>9.4</v>
      </c>
      <c r="S112" s="226">
        <f t="shared" si="72"/>
        <v>1</v>
      </c>
      <c r="T112" s="332">
        <f t="shared" si="59"/>
        <v>11.066666666666668</v>
      </c>
      <c r="U112" s="226">
        <f t="shared" si="73"/>
        <v>1</v>
      </c>
      <c r="V112" s="333">
        <f t="shared" si="60"/>
        <v>10.924999999999999</v>
      </c>
      <c r="W112" s="226">
        <f t="shared" si="74"/>
        <v>1</v>
      </c>
      <c r="X112" s="144">
        <f t="shared" si="53"/>
        <v>12.955555555555554</v>
      </c>
      <c r="Y112" s="144">
        <f t="shared" si="54"/>
        <v>17.205555555555556</v>
      </c>
      <c r="Z112" s="144">
        <f t="shared" si="55"/>
        <v>15.683080808080808</v>
      </c>
      <c r="AA112" s="249"/>
      <c r="AB112" s="357" t="str">
        <f>VLOOKUP($B112,'2007-2020 Metadata'!$A$4:$S$214,MATCH("Urban Area /Monitoring Zone",'2007-2020 Metadata'!$A$4:$S$4,0),FALSE)</f>
        <v>Lower Hutt</v>
      </c>
      <c r="AC112" s="334" t="str">
        <f>VLOOKUP(B112,'2007-2020 Metadata'!$A$6:$A$214,1,FALSE)</f>
        <v>WEL054</v>
      </c>
      <c r="AD112" s="250" t="str">
        <f>VLOOKUP($AC112,'2007-2020 Metadata'!$A$6:$S$214,9,FALSE)</f>
        <v>Lower Hutt</v>
      </c>
      <c r="AE112" s="250">
        <f>IF(ISBLANK(VLOOKUP($AC112,'2007-2020 Metadata'!$A$6:$S$214,19,FALSE)),"",VLOOKUP($AC112,'2007-2020 Metadata'!$A$6:$S$214,19,FALSE))</f>
        <v>3.5</v>
      </c>
      <c r="AF112" s="335" t="str">
        <f>VLOOKUP($B112,'2007-2020 Metadata'!$A$4:$S$214,MATCH("Site type",'2007-2020 Metadata'!$A$4:$S$4,0),FALSE)</f>
        <v>Background</v>
      </c>
      <c r="AG112" s="336">
        <f t="shared" si="84"/>
        <v>14.366666666666667</v>
      </c>
      <c r="AH112" s="336">
        <f t="shared" si="85"/>
        <v>44.300000000000004</v>
      </c>
      <c r="AI112" s="267">
        <f t="shared" si="75"/>
        <v>15.683080808080808</v>
      </c>
    </row>
    <row r="113" spans="2:35" ht="12" customHeight="1" x14ac:dyDescent="0.15">
      <c r="B113" s="193" t="s">
        <v>135</v>
      </c>
      <c r="C113" s="190">
        <v>18.899999999999999</v>
      </c>
      <c r="D113" s="190">
        <v>15.6</v>
      </c>
      <c r="E113" s="190">
        <v>15.2</v>
      </c>
      <c r="F113" s="190">
        <v>23.4</v>
      </c>
      <c r="G113" s="190">
        <v>27.3</v>
      </c>
      <c r="H113" s="190">
        <v>30.4</v>
      </c>
      <c r="I113" s="190">
        <v>24.6</v>
      </c>
      <c r="J113" s="190">
        <v>25.2</v>
      </c>
      <c r="K113" s="190">
        <v>19</v>
      </c>
      <c r="L113" s="190">
        <v>17.399999999999999</v>
      </c>
      <c r="M113" s="190">
        <v>18.7</v>
      </c>
      <c r="N113" s="190">
        <v>31.5</v>
      </c>
      <c r="O113" s="191">
        <f t="shared" si="50"/>
        <v>22.266666666666662</v>
      </c>
      <c r="P113" s="191">
        <f t="shared" si="51"/>
        <v>24.07574744371707</v>
      </c>
      <c r="Q113" s="192">
        <f t="shared" si="52"/>
        <v>1</v>
      </c>
      <c r="R113" s="332">
        <f t="shared" si="58"/>
        <v>16.566666666666666</v>
      </c>
      <c r="S113" s="226">
        <f t="shared" si="72"/>
        <v>1</v>
      </c>
      <c r="T113" s="332">
        <f t="shared" si="59"/>
        <v>22.933333333333334</v>
      </c>
      <c r="U113" s="226">
        <f t="shared" si="73"/>
        <v>1</v>
      </c>
      <c r="V113" s="333">
        <f t="shared" si="60"/>
        <v>22.266666666666662</v>
      </c>
      <c r="W113" s="226">
        <f t="shared" si="74"/>
        <v>1</v>
      </c>
      <c r="X113" s="144">
        <f t="shared" si="53"/>
        <v>16.566666666666666</v>
      </c>
      <c r="Y113" s="144">
        <f t="shared" si="54"/>
        <v>22.933333333333334</v>
      </c>
      <c r="Z113" s="144">
        <f t="shared" si="55"/>
        <v>22.266666666666662</v>
      </c>
      <c r="AA113" s="249"/>
      <c r="AB113" s="357" t="str">
        <f>VLOOKUP($B113,'2007-2020 Metadata'!$A$4:$S$214,MATCH("Urban Area /Monitoring Zone",'2007-2020 Metadata'!$A$4:$S$4,0),FALSE)</f>
        <v>Upper Hutt</v>
      </c>
      <c r="AC113" s="334" t="str">
        <f>VLOOKUP(B113,'2007-2020 Metadata'!$A$6:$A$214,1,FALSE)</f>
        <v>WEL057</v>
      </c>
      <c r="AD113" s="250" t="str">
        <f>VLOOKUP($AC113,'2007-2020 Metadata'!$A$6:$S$214,9,FALSE)</f>
        <v>Upper Hutt</v>
      </c>
      <c r="AE113" s="250">
        <f>IF(ISBLANK(VLOOKUP($AC113,'2007-2020 Metadata'!$A$6:$S$214,19,FALSE)),"",VLOOKUP($AC113,'2007-2020 Metadata'!$A$6:$S$214,19,FALSE))</f>
        <v>4</v>
      </c>
      <c r="AF113" s="335" t="str">
        <f>VLOOKUP($B113,'2007-2020 Metadata'!$A$4:$S$214,MATCH("Site type",'2007-2020 Metadata'!$A$4:$S$4,0),FALSE)</f>
        <v>SH</v>
      </c>
      <c r="AG113" s="336">
        <f t="shared" si="84"/>
        <v>14.366666666666667</v>
      </c>
      <c r="AH113" s="336">
        <f t="shared" si="85"/>
        <v>44.300000000000004</v>
      </c>
      <c r="AI113" s="267">
        <f t="shared" si="75"/>
        <v>22.266666666666662</v>
      </c>
    </row>
    <row r="114" spans="2:35" ht="12" customHeight="1" x14ac:dyDescent="0.15">
      <c r="B114" s="193" t="s">
        <v>139</v>
      </c>
      <c r="C114" s="190">
        <v>13</v>
      </c>
      <c r="D114" s="190">
        <v>14.9</v>
      </c>
      <c r="E114" s="190">
        <v>14.2</v>
      </c>
      <c r="F114" s="190">
        <v>18.399999999999999</v>
      </c>
      <c r="G114" s="190">
        <v>19.3</v>
      </c>
      <c r="H114" s="190">
        <v>20.2</v>
      </c>
      <c r="I114" s="190">
        <v>17</v>
      </c>
      <c r="J114" s="190">
        <v>18.100000000000001</v>
      </c>
      <c r="K114" s="190">
        <v>15.6</v>
      </c>
      <c r="L114" s="190">
        <v>11.7</v>
      </c>
      <c r="M114" s="190">
        <v>15</v>
      </c>
      <c r="N114" s="190">
        <v>9.6999999999999993</v>
      </c>
      <c r="O114" s="191">
        <f t="shared" si="50"/>
        <v>15.591666666666663</v>
      </c>
      <c r="P114" s="191">
        <f t="shared" si="51"/>
        <v>19.461516758121682</v>
      </c>
      <c r="Q114" s="192">
        <f t="shared" si="52"/>
        <v>1</v>
      </c>
      <c r="R114" s="332">
        <f t="shared" si="58"/>
        <v>14.033333333333331</v>
      </c>
      <c r="S114" s="226">
        <f t="shared" si="72"/>
        <v>1</v>
      </c>
      <c r="T114" s="332">
        <f t="shared" si="59"/>
        <v>16.900000000000002</v>
      </c>
      <c r="U114" s="226">
        <f t="shared" si="73"/>
        <v>1</v>
      </c>
      <c r="V114" s="333">
        <f t="shared" si="60"/>
        <v>15.591666666666663</v>
      </c>
      <c r="W114" s="226">
        <f t="shared" si="74"/>
        <v>1</v>
      </c>
      <c r="X114" s="144">
        <f t="shared" si="53"/>
        <v>14.83333333333333</v>
      </c>
      <c r="Y114" s="144">
        <f t="shared" si="54"/>
        <v>16.144444444444446</v>
      </c>
      <c r="Z114" s="144">
        <f t="shared" si="55"/>
        <v>15.83333333333333</v>
      </c>
      <c r="AA114" s="249"/>
      <c r="AB114" s="357" t="str">
        <f>VLOOKUP($B114,'2007-2020 Metadata'!$A$4:$S$214,MATCH("Urban Area /Monitoring Zone",'2007-2020 Metadata'!$A$4:$S$4,0),FALSE)</f>
        <v>Otaki</v>
      </c>
      <c r="AC114" s="334" t="str">
        <f>VLOOKUP(B114,'2007-2020 Metadata'!$A$6:$A$214,1,FALSE)</f>
        <v>WEL061</v>
      </c>
      <c r="AD114" s="250" t="str">
        <f>VLOOKUP($AC114,'2007-2020 Metadata'!$A$6:$S$214,9,FALSE)</f>
        <v>Kapiti Coast</v>
      </c>
      <c r="AE114" s="250">
        <f>IF(ISBLANK(VLOOKUP($AC114,'2007-2020 Metadata'!$A$6:$S$214,19,FALSE)),"",VLOOKUP($AC114,'2007-2020 Metadata'!$A$6:$S$214,19,FALSE))</f>
        <v>4</v>
      </c>
      <c r="AF114" s="335" t="str">
        <f>VLOOKUP($B114,'2007-2020 Metadata'!$A$4:$S$214,MATCH("Site type",'2007-2020 Metadata'!$A$4:$S$4,0),FALSE)</f>
        <v>SH</v>
      </c>
      <c r="AG114" s="336">
        <f t="shared" ref="AG114:AG122" si="86">MIN(C114:N114)</f>
        <v>9.6999999999999993</v>
      </c>
      <c r="AH114" s="336">
        <f t="shared" ref="AH114:AH122" si="87">MAX(C114:N114)</f>
        <v>20.2</v>
      </c>
      <c r="AI114" s="267">
        <f t="shared" si="75"/>
        <v>15.83333333333333</v>
      </c>
    </row>
    <row r="115" spans="2:35" ht="12" customHeight="1" x14ac:dyDescent="0.15">
      <c r="B115" s="193" t="s">
        <v>140</v>
      </c>
      <c r="C115" s="190">
        <v>9.6</v>
      </c>
      <c r="D115" s="190">
        <v>9.3000000000000007</v>
      </c>
      <c r="E115" s="190">
        <v>9.4</v>
      </c>
      <c r="F115" s="190">
        <v>11.3</v>
      </c>
      <c r="G115" s="190">
        <v>15.2</v>
      </c>
      <c r="H115" s="190">
        <v>19.399999999999999</v>
      </c>
      <c r="I115" s="190">
        <v>17</v>
      </c>
      <c r="J115" s="190">
        <v>14.6</v>
      </c>
      <c r="K115" s="190">
        <v>12.4</v>
      </c>
      <c r="L115" s="190">
        <v>8.0632328585624382</v>
      </c>
      <c r="M115" s="190">
        <v>8.0632328585624382</v>
      </c>
      <c r="N115" s="190">
        <v>6.1</v>
      </c>
      <c r="O115" s="191">
        <f t="shared" si="50"/>
        <v>11.702205476427073</v>
      </c>
      <c r="P115" s="191">
        <f t="shared" si="51"/>
        <v>33.276076818322196</v>
      </c>
      <c r="Q115" s="192">
        <f t="shared" si="52"/>
        <v>1</v>
      </c>
      <c r="R115" s="332">
        <f t="shared" si="58"/>
        <v>9.4333333333333318</v>
      </c>
      <c r="S115" s="226">
        <f t="shared" si="72"/>
        <v>1</v>
      </c>
      <c r="T115" s="332">
        <f t="shared" si="59"/>
        <v>14.666666666666666</v>
      </c>
      <c r="U115" s="226">
        <f t="shared" si="73"/>
        <v>1</v>
      </c>
      <c r="V115" s="333">
        <f t="shared" si="60"/>
        <v>11.702205476427073</v>
      </c>
      <c r="W115" s="226">
        <f t="shared" si="74"/>
        <v>1</v>
      </c>
      <c r="X115" s="144">
        <f t="shared" si="53"/>
        <v>15.466666666666667</v>
      </c>
      <c r="Y115" s="144">
        <f t="shared" si="54"/>
        <v>22.311111111111114</v>
      </c>
      <c r="Z115" s="144">
        <f t="shared" si="55"/>
        <v>18.270420593774649</v>
      </c>
      <c r="AA115" s="249"/>
      <c r="AB115" s="357" t="str">
        <f>VLOOKUP($B115,'2007-2020 Metadata'!$A$4:$S$214,MATCH("Urban Area /Monitoring Zone",'2007-2020 Metadata'!$A$4:$S$4,0),FALSE)</f>
        <v>Nelson</v>
      </c>
      <c r="AC115" s="334" t="str">
        <f>VLOOKUP(B115,'2007-2020 Metadata'!$A$6:$A$214,1,FALSE)</f>
        <v>WEL062</v>
      </c>
      <c r="AD115" s="250" t="str">
        <f>VLOOKUP($AC115,'2007-2020 Metadata'!$A$6:$S$214,9,FALSE)</f>
        <v>Nelson</v>
      </c>
      <c r="AE115" s="250">
        <f>IF(ISBLANK(VLOOKUP($AC115,'2007-2020 Metadata'!$A$6:$S$214,19,FALSE)),"",VLOOKUP($AC115,'2007-2020 Metadata'!$A$6:$S$214,19,FALSE))</f>
        <v>2.2000000000000002</v>
      </c>
      <c r="AF115" s="335" t="str">
        <f>VLOOKUP($B115,'2007-2020 Metadata'!$A$4:$S$214,MATCH("Site type",'2007-2020 Metadata'!$A$4:$S$4,0),FALSE)</f>
        <v>Background</v>
      </c>
      <c r="AG115" s="336">
        <f t="shared" si="86"/>
        <v>6.1</v>
      </c>
      <c r="AH115" s="336">
        <f t="shared" si="87"/>
        <v>19.399999999999999</v>
      </c>
      <c r="AI115" s="267">
        <f t="shared" si="75"/>
        <v>18.270420593774649</v>
      </c>
    </row>
    <row r="116" spans="2:35" ht="12" customHeight="1" x14ac:dyDescent="0.15">
      <c r="B116" s="193" t="s">
        <v>141</v>
      </c>
      <c r="C116" s="190">
        <v>5.8</v>
      </c>
      <c r="D116" s="190">
        <v>6.9</v>
      </c>
      <c r="E116" s="190">
        <v>7</v>
      </c>
      <c r="F116" s="190">
        <v>7.6</v>
      </c>
      <c r="G116" s="190">
        <v>10</v>
      </c>
      <c r="H116" s="190">
        <v>10.4</v>
      </c>
      <c r="I116" s="190">
        <v>8.4</v>
      </c>
      <c r="J116" s="190">
        <v>8.6999999999999993</v>
      </c>
      <c r="K116" s="190">
        <v>6.7</v>
      </c>
      <c r="L116" s="190">
        <v>6.5</v>
      </c>
      <c r="M116" s="190">
        <v>7.6</v>
      </c>
      <c r="N116" s="190">
        <v>4.5999999999999996</v>
      </c>
      <c r="O116" s="191">
        <f t="shared" si="50"/>
        <v>7.5166666666666657</v>
      </c>
      <c r="P116" s="191">
        <f t="shared" si="51"/>
        <v>21.20156003585684</v>
      </c>
      <c r="Q116" s="192">
        <f t="shared" si="52"/>
        <v>1</v>
      </c>
      <c r="R116" s="332">
        <f t="shared" si="58"/>
        <v>6.5666666666666664</v>
      </c>
      <c r="S116" s="226">
        <f t="shared" si="72"/>
        <v>1</v>
      </c>
      <c r="T116" s="332">
        <f t="shared" si="59"/>
        <v>7.9333333333333336</v>
      </c>
      <c r="U116" s="226">
        <f t="shared" si="73"/>
        <v>1</v>
      </c>
      <c r="V116" s="333">
        <f t="shared" si="60"/>
        <v>7.5166666666666657</v>
      </c>
      <c r="W116" s="226">
        <f t="shared" si="74"/>
        <v>1</v>
      </c>
      <c r="X116" s="144">
        <f t="shared" si="53"/>
        <v>14.83333333333333</v>
      </c>
      <c r="Y116" s="144">
        <f t="shared" si="54"/>
        <v>16.144444444444446</v>
      </c>
      <c r="Z116" s="144">
        <f t="shared" si="55"/>
        <v>15.83333333333333</v>
      </c>
      <c r="AA116" s="249"/>
      <c r="AB116" s="357" t="str">
        <f>VLOOKUP($B116,'2007-2020 Metadata'!$A$4:$S$214,MATCH("Urban Area /Monitoring Zone",'2007-2020 Metadata'!$A$4:$S$4,0),FALSE)</f>
        <v xml:space="preserve">Kapiti </v>
      </c>
      <c r="AC116" s="334" t="str">
        <f>VLOOKUP(B116,'2007-2020 Metadata'!$A$6:$A$214,1,FALSE)</f>
        <v>WEL063</v>
      </c>
      <c r="AD116" s="250" t="str">
        <f>VLOOKUP($AC116,'2007-2020 Metadata'!$A$6:$S$214,9,FALSE)</f>
        <v>Kapiti Coast</v>
      </c>
      <c r="AE116" s="250">
        <f>IF(ISBLANK(VLOOKUP($AC116,'2007-2020 Metadata'!$A$6:$S$214,19,FALSE)),"",VLOOKUP($AC116,'2007-2020 Metadata'!$A$6:$S$214,19,FALSE))</f>
        <v>3.5</v>
      </c>
      <c r="AF116" s="335" t="str">
        <f>VLOOKUP($B116,'2007-2020 Metadata'!$A$4:$S$214,MATCH("Site type",'2007-2020 Metadata'!$A$4:$S$4,0),FALSE)</f>
        <v>Local (ex SH)</v>
      </c>
      <c r="AG116" s="336">
        <f t="shared" si="86"/>
        <v>4.5999999999999996</v>
      </c>
      <c r="AH116" s="336">
        <f t="shared" si="87"/>
        <v>10.4</v>
      </c>
      <c r="AI116" s="267">
        <f t="shared" si="75"/>
        <v>15.83333333333333</v>
      </c>
    </row>
    <row r="117" spans="2:35" ht="12" customHeight="1" x14ac:dyDescent="0.15">
      <c r="B117" s="193" t="s">
        <v>142</v>
      </c>
      <c r="C117" s="190">
        <v>18.3</v>
      </c>
      <c r="D117" s="190">
        <v>20.6</v>
      </c>
      <c r="E117" s="190">
        <v>20.6</v>
      </c>
      <c r="F117" s="190">
        <v>28.5</v>
      </c>
      <c r="G117" s="190">
        <v>29.2</v>
      </c>
      <c r="H117" s="190">
        <v>31.6</v>
      </c>
      <c r="I117" s="190">
        <v>23.3</v>
      </c>
      <c r="J117" s="190">
        <v>26.3</v>
      </c>
      <c r="K117" s="190">
        <v>21.9</v>
      </c>
      <c r="L117" s="190">
        <v>19.600000000000001</v>
      </c>
      <c r="M117" s="190">
        <v>25.8</v>
      </c>
      <c r="N117" s="190">
        <v>16.5</v>
      </c>
      <c r="O117" s="191">
        <f t="shared" si="50"/>
        <v>23.516666666666669</v>
      </c>
      <c r="P117" s="191">
        <f t="shared" si="51"/>
        <v>19.288178961514465</v>
      </c>
      <c r="Q117" s="192">
        <f t="shared" si="52"/>
        <v>1</v>
      </c>
      <c r="R117" s="332">
        <f t="shared" si="58"/>
        <v>19.833333333333336</v>
      </c>
      <c r="S117" s="226">
        <f t="shared" si="72"/>
        <v>1</v>
      </c>
      <c r="T117" s="332">
        <f t="shared" si="59"/>
        <v>23.833333333333332</v>
      </c>
      <c r="U117" s="226">
        <f t="shared" si="73"/>
        <v>1</v>
      </c>
      <c r="V117" s="333">
        <f t="shared" si="60"/>
        <v>23.516666666666669</v>
      </c>
      <c r="W117" s="226">
        <f t="shared" si="74"/>
        <v>1</v>
      </c>
      <c r="X117" s="144">
        <f t="shared" si="53"/>
        <v>17.488888888888891</v>
      </c>
      <c r="Y117" s="144">
        <f t="shared" si="54"/>
        <v>20.127777777777776</v>
      </c>
      <c r="Z117" s="144">
        <f t="shared" si="55"/>
        <v>19.373308080808084</v>
      </c>
      <c r="AA117" s="249"/>
      <c r="AB117" s="357" t="str">
        <f>VLOOKUP($B117,'2007-2020 Metadata'!$A$4:$S$214,MATCH("Urban Area /Monitoring Zone",'2007-2020 Metadata'!$A$4:$S$4,0),FALSE)</f>
        <v>Wellington</v>
      </c>
      <c r="AC117" s="334" t="str">
        <f>VLOOKUP(B117,'2007-2020 Metadata'!$A$6:$A$214,1,FALSE)</f>
        <v>WEL064</v>
      </c>
      <c r="AD117" s="250" t="str">
        <f>VLOOKUP($AC117,'2007-2020 Metadata'!$A$6:$S$214,9,FALSE)</f>
        <v>Wellington</v>
      </c>
      <c r="AE117" s="250">
        <f>IF(ISBLANK(VLOOKUP($AC117,'2007-2020 Metadata'!$A$6:$S$214,19,FALSE)),"",VLOOKUP($AC117,'2007-2020 Metadata'!$A$6:$S$214,19,FALSE))</f>
        <v>4</v>
      </c>
      <c r="AF117" s="335" t="str">
        <f>VLOOKUP($B117,'2007-2020 Metadata'!$A$4:$S$214,MATCH("Site type",'2007-2020 Metadata'!$A$4:$S$4,0),FALSE)</f>
        <v>SH</v>
      </c>
      <c r="AG117" s="336">
        <f t="shared" si="86"/>
        <v>16.5</v>
      </c>
      <c r="AH117" s="336">
        <f t="shared" si="87"/>
        <v>31.6</v>
      </c>
      <c r="AI117" s="267">
        <f t="shared" si="75"/>
        <v>19.373308080808084</v>
      </c>
    </row>
    <row r="118" spans="2:35" ht="12" customHeight="1" x14ac:dyDescent="0.15">
      <c r="B118" s="193" t="s">
        <v>479</v>
      </c>
      <c r="C118" s="190">
        <v>5.3</v>
      </c>
      <c r="D118" s="190">
        <v>6.2</v>
      </c>
      <c r="E118" s="190">
        <v>6.8</v>
      </c>
      <c r="F118" s="190">
        <v>8.6999999999999993</v>
      </c>
      <c r="G118" s="190">
        <v>8.1999999999999993</v>
      </c>
      <c r="H118" s="190">
        <v>10.8</v>
      </c>
      <c r="I118" s="190">
        <v>6.8</v>
      </c>
      <c r="J118" s="190">
        <v>8.1</v>
      </c>
      <c r="K118" s="190">
        <v>6.5</v>
      </c>
      <c r="L118" s="190">
        <v>5.3</v>
      </c>
      <c r="M118" s="190">
        <v>6.9</v>
      </c>
      <c r="N118" s="190">
        <v>4.4000000000000004</v>
      </c>
      <c r="O118" s="191">
        <f t="shared" si="50"/>
        <v>7.0000000000000009</v>
      </c>
      <c r="P118" s="191">
        <f t="shared" si="51"/>
        <v>23.868973399718328</v>
      </c>
      <c r="Q118" s="192">
        <f t="shared" si="52"/>
        <v>1</v>
      </c>
      <c r="R118" s="332">
        <f t="shared" si="58"/>
        <v>6.1000000000000005</v>
      </c>
      <c r="S118" s="226">
        <f t="shared" si="72"/>
        <v>1</v>
      </c>
      <c r="T118" s="332">
        <f t="shared" si="59"/>
        <v>7.1333333333333329</v>
      </c>
      <c r="U118" s="226">
        <f t="shared" si="73"/>
        <v>1</v>
      </c>
      <c r="V118" s="333">
        <f t="shared" si="60"/>
        <v>7.0000000000000009</v>
      </c>
      <c r="W118" s="226">
        <f t="shared" si="74"/>
        <v>1</v>
      </c>
      <c r="X118" s="144">
        <f t="shared" si="53"/>
        <v>16.725000000000001</v>
      </c>
      <c r="Y118" s="144">
        <f t="shared" si="54"/>
        <v>20.783333333333335</v>
      </c>
      <c r="Z118" s="144">
        <f t="shared" si="55"/>
        <v>19.329166666666666</v>
      </c>
      <c r="AA118" s="249"/>
      <c r="AB118" s="357" t="str">
        <f>VLOOKUP($B118,'2007-2020 Metadata'!$A$4:$S$214,MATCH("Urban Area /Monitoring Zone",'2007-2020 Metadata'!$A$4:$S$4,0),FALSE)</f>
        <v>Porirua</v>
      </c>
      <c r="AC118" s="334" t="str">
        <f>VLOOKUP(B118,'2007-2020 Metadata'!$A$6:$A$214,1,FALSE)</f>
        <v>WEL072</v>
      </c>
      <c r="AD118" s="250" t="str">
        <f>VLOOKUP($AC118,'2007-2020 Metadata'!$A$6:$S$214,9,FALSE)</f>
        <v>Porirua</v>
      </c>
      <c r="AE118" s="250">
        <f>IF(ISBLANK(VLOOKUP($AC118,'2007-2020 Metadata'!$A$6:$S$214,19,FALSE)),"",VLOOKUP($AC118,'2007-2020 Metadata'!$A$6:$S$214,19,FALSE))</f>
        <v>3</v>
      </c>
      <c r="AF118" s="335" t="str">
        <f>VLOOKUP($B118,'2007-2020 Metadata'!$A$4:$S$214,MATCH("Site type",'2007-2020 Metadata'!$A$4:$S$4,0),FALSE)</f>
        <v>Background</v>
      </c>
      <c r="AG118" s="336">
        <f t="shared" si="86"/>
        <v>4.4000000000000004</v>
      </c>
      <c r="AH118" s="336">
        <f t="shared" si="87"/>
        <v>10.8</v>
      </c>
      <c r="AI118" s="267">
        <f t="shared" si="75"/>
        <v>19.329166666666666</v>
      </c>
    </row>
    <row r="119" spans="2:35" ht="12" customHeight="1" x14ac:dyDescent="0.15">
      <c r="B119" s="193" t="s">
        <v>503</v>
      </c>
      <c r="C119" s="190">
        <v>15.2</v>
      </c>
      <c r="D119" s="190">
        <v>19.600000000000001</v>
      </c>
      <c r="E119" s="190">
        <v>20.3</v>
      </c>
      <c r="F119" s="190">
        <v>21.5</v>
      </c>
      <c r="G119" s="190">
        <v>22.8</v>
      </c>
      <c r="H119" s="190">
        <v>24.1</v>
      </c>
      <c r="I119" s="190">
        <v>23.7</v>
      </c>
      <c r="J119" s="190">
        <v>25.5</v>
      </c>
      <c r="K119" s="190">
        <v>15.8</v>
      </c>
      <c r="L119" s="190">
        <v>16.899999999999999</v>
      </c>
      <c r="M119" s="190">
        <v>18.899999999999999</v>
      </c>
      <c r="N119" s="190">
        <v>9.8000000000000007</v>
      </c>
      <c r="O119" s="191">
        <f t="shared" si="50"/>
        <v>19.508333333333336</v>
      </c>
      <c r="P119" s="191">
        <f t="shared" si="51"/>
        <v>22.133521247151553</v>
      </c>
      <c r="Q119" s="192">
        <f t="shared" si="52"/>
        <v>1</v>
      </c>
      <c r="R119" s="251">
        <f t="shared" si="58"/>
        <v>18.366666666666664</v>
      </c>
      <c r="S119" s="252">
        <f t="shared" si="72"/>
        <v>1</v>
      </c>
      <c r="T119" s="251">
        <f t="shared" si="59"/>
        <v>21.666666666666668</v>
      </c>
      <c r="U119" s="252">
        <f t="shared" si="73"/>
        <v>1</v>
      </c>
      <c r="V119" s="253">
        <f t="shared" si="60"/>
        <v>19.508333333333336</v>
      </c>
      <c r="W119" s="252">
        <f t="shared" si="74"/>
        <v>1</v>
      </c>
      <c r="X119" s="359">
        <f t="shared" si="53"/>
        <v>17.488888888888891</v>
      </c>
      <c r="Y119" s="359">
        <f t="shared" si="54"/>
        <v>20.127777777777776</v>
      </c>
      <c r="Z119" s="359">
        <f t="shared" si="55"/>
        <v>19.373308080808084</v>
      </c>
      <c r="AA119" s="366"/>
      <c r="AB119" s="357" t="str">
        <f>VLOOKUP($B119,'2007-2020 Metadata'!$A$4:$S$214,MATCH("Urban Area /Monitoring Zone",'2007-2020 Metadata'!$A$4:$S$4,0),FALSE)</f>
        <v>Wellington</v>
      </c>
      <c r="AC119" s="255" t="str">
        <f>VLOOKUP(B119,'2007-2020 Metadata'!$A$6:$A$214,1,FALSE)</f>
        <v>WEL073</v>
      </c>
      <c r="AD119" s="361" t="str">
        <f>VLOOKUP($AC119,'2007-2020 Metadata'!$A$6:$S$214,9,FALSE)</f>
        <v>Wellington</v>
      </c>
      <c r="AE119" s="361">
        <f>IF(ISBLANK(VLOOKUP($AC119,'2007-2020 Metadata'!$A$6:$S$214,19,FALSE)),"",VLOOKUP($AC119,'2007-2020 Metadata'!$A$6:$S$214,19,FALSE))</f>
        <v>4</v>
      </c>
      <c r="AF119" s="360" t="str">
        <f>VLOOKUP($B119,'2007-2020 Metadata'!$A$4:$S$214,MATCH("Site type",'2007-2020 Metadata'!$A$4:$S$4,0),FALSE)</f>
        <v>SH</v>
      </c>
      <c r="AG119" s="365">
        <f>MIN(AVERAGE($C$119:$C$121),AVERAGE($D$119:$D$121),AVERAGE($E$119:$E$121),AVERAGE($F$119:$F$121),AVERAGE($G$119:$G$121),AVERAGE($H$119:$H$121),AVERAGE($I$119:$I$121),AVERAGE($J$119:$J$121),AVERAGE($K$119:$K$121),AVERAGE($L$119:$L$121),AVERAGE($M$119:$M$121),AVERAGE($N$119:$N$121))</f>
        <v>11.233333333333334</v>
      </c>
      <c r="AH119" s="365">
        <f>MAX(AVERAGE($C$119:$C$121),AVERAGE($D$119:$D$121),AVERAGE($E$119:$E$121),AVERAGE($F$119:$F$121),AVERAGE($G$119:$G$121),AVERAGE($H$119:$H$121),AVERAGE($I$119:$I$121),AVERAGE($J$119:$J$121),AVERAGE($K$119:$K$121),AVERAGE($L$119:$L$121),AVERAGE($M$119:$M$121),AVERAGE($N$119:$N$121))</f>
        <v>24.900000000000002</v>
      </c>
      <c r="AI119" s="359">
        <f t="shared" si="75"/>
        <v>19.373308080808084</v>
      </c>
    </row>
    <row r="120" spans="2:35" ht="12" customHeight="1" x14ac:dyDescent="0.15">
      <c r="B120" s="193" t="s">
        <v>505</v>
      </c>
      <c r="C120" s="190">
        <v>15.8</v>
      </c>
      <c r="D120" s="190">
        <v>19.7</v>
      </c>
      <c r="E120" s="190">
        <v>19.7</v>
      </c>
      <c r="F120" s="190">
        <v>22.4</v>
      </c>
      <c r="G120" s="190">
        <v>25.2</v>
      </c>
      <c r="H120" s="190">
        <v>25.6</v>
      </c>
      <c r="I120" s="190">
        <v>24.8</v>
      </c>
      <c r="J120" s="190">
        <v>23.2</v>
      </c>
      <c r="K120" s="190">
        <v>18.399999999999999</v>
      </c>
      <c r="L120" s="190">
        <v>16.600000000000001</v>
      </c>
      <c r="M120" s="190">
        <v>16.399999999999999</v>
      </c>
      <c r="N120" s="190">
        <v>11.9</v>
      </c>
      <c r="O120" s="191">
        <f t="shared" si="50"/>
        <v>19.975000000000001</v>
      </c>
      <c r="P120" s="191">
        <f t="shared" si="51"/>
        <v>20.839832283372242</v>
      </c>
      <c r="Q120" s="192">
        <f t="shared" si="52"/>
        <v>1</v>
      </c>
      <c r="R120" s="251">
        <f t="shared" si="58"/>
        <v>18.400000000000002</v>
      </c>
      <c r="S120" s="252">
        <f t="shared" si="72"/>
        <v>1</v>
      </c>
      <c r="T120" s="251">
        <f t="shared" si="59"/>
        <v>22.133333333333336</v>
      </c>
      <c r="U120" s="252">
        <f t="shared" si="73"/>
        <v>1</v>
      </c>
      <c r="V120" s="253">
        <f t="shared" si="60"/>
        <v>19.975000000000001</v>
      </c>
      <c r="W120" s="252">
        <f t="shared" si="74"/>
        <v>1</v>
      </c>
      <c r="X120" s="359">
        <f t="shared" si="53"/>
        <v>17.488888888888891</v>
      </c>
      <c r="Y120" s="359">
        <f t="shared" si="54"/>
        <v>20.127777777777776</v>
      </c>
      <c r="Z120" s="359">
        <f t="shared" si="55"/>
        <v>19.373308080808084</v>
      </c>
      <c r="AA120" s="366"/>
      <c r="AB120" s="357" t="str">
        <f>VLOOKUP($B120,'2007-2020 Metadata'!$A$4:$S$214,MATCH("Urban Area /Monitoring Zone",'2007-2020 Metadata'!$A$4:$S$4,0),FALSE)</f>
        <v>Wellington</v>
      </c>
      <c r="AC120" s="255" t="str">
        <f>VLOOKUP(B120,'2007-2020 Metadata'!$A$6:$A$214,1,FALSE)</f>
        <v>WEL074</v>
      </c>
      <c r="AD120" s="361" t="str">
        <f>VLOOKUP($AC120,'2007-2020 Metadata'!$A$6:$S$214,9,FALSE)</f>
        <v>Wellington</v>
      </c>
      <c r="AE120" s="361">
        <f>IF(ISBLANK(VLOOKUP($AC120,'2007-2020 Metadata'!$A$6:$S$214,19,FALSE)),"",VLOOKUP($AC120,'2007-2020 Metadata'!$A$6:$S$214,19,FALSE))</f>
        <v>4</v>
      </c>
      <c r="AF120" s="360" t="str">
        <f>VLOOKUP($B120,'2007-2020 Metadata'!$A$4:$S$214,MATCH("Site type",'2007-2020 Metadata'!$A$4:$S$4,0),FALSE)</f>
        <v>SH</v>
      </c>
      <c r="AG120" s="365">
        <f t="shared" ref="AG120:AG121" si="88">MIN(AVERAGE($C$119:$C$121),AVERAGE($D$119:$D$121),AVERAGE($E$119:$E$121),AVERAGE($F$119:$F$121),AVERAGE($G$119:$G$121),AVERAGE($H$119:$H$121),AVERAGE($I$119:$I$121),AVERAGE($J$119:$J$121),AVERAGE($K$119:$K$121),AVERAGE($L$119:$L$121),AVERAGE($M$119:$M$121),AVERAGE($N$119:$N$121))</f>
        <v>11.233333333333334</v>
      </c>
      <c r="AH120" s="365">
        <f t="shared" ref="AH120:AH121" si="89">MAX(AVERAGE($C$119:$C$121),AVERAGE($D$119:$D$121),AVERAGE($E$119:$E$121),AVERAGE($F$119:$F$121),AVERAGE($G$119:$G$121),AVERAGE($H$119:$H$121),AVERAGE($I$119:$I$121),AVERAGE($J$119:$J$121),AVERAGE($K$119:$K$121),AVERAGE($L$119:$L$121),AVERAGE($M$119:$M$121),AVERAGE($N$119:$N$121))</f>
        <v>24.900000000000002</v>
      </c>
      <c r="AI120" s="359">
        <f t="shared" si="75"/>
        <v>19.373308080808084</v>
      </c>
    </row>
    <row r="121" spans="2:35" ht="12" customHeight="1" x14ac:dyDescent="0.15">
      <c r="B121" s="193" t="s">
        <v>506</v>
      </c>
      <c r="C121" s="190">
        <v>15.4</v>
      </c>
      <c r="D121" s="190">
        <v>19.600000000000001</v>
      </c>
      <c r="E121" s="190">
        <v>19</v>
      </c>
      <c r="F121" s="190">
        <v>22.3</v>
      </c>
      <c r="G121" s="190">
        <v>25.3</v>
      </c>
      <c r="H121" s="190">
        <v>25</v>
      </c>
      <c r="I121" s="190">
        <v>24.3</v>
      </c>
      <c r="J121" s="190">
        <v>24.2</v>
      </c>
      <c r="K121" s="190">
        <v>19</v>
      </c>
      <c r="L121" s="190">
        <v>17.3</v>
      </c>
      <c r="M121" s="190">
        <v>17.2</v>
      </c>
      <c r="N121" s="190">
        <v>12</v>
      </c>
      <c r="O121" s="191">
        <f t="shared" si="50"/>
        <v>20.05</v>
      </c>
      <c r="P121" s="191">
        <f t="shared" si="51"/>
        <v>20.204631800227304</v>
      </c>
      <c r="Q121" s="192">
        <f t="shared" si="52"/>
        <v>1</v>
      </c>
      <c r="R121" s="251">
        <f t="shared" si="58"/>
        <v>18</v>
      </c>
      <c r="S121" s="252">
        <f t="shared" si="72"/>
        <v>1</v>
      </c>
      <c r="T121" s="251">
        <f t="shared" si="59"/>
        <v>22.5</v>
      </c>
      <c r="U121" s="252">
        <f t="shared" si="73"/>
        <v>1</v>
      </c>
      <c r="V121" s="253">
        <f t="shared" si="60"/>
        <v>20.05</v>
      </c>
      <c r="W121" s="252">
        <f t="shared" si="74"/>
        <v>1</v>
      </c>
      <c r="X121" s="359">
        <f t="shared" si="53"/>
        <v>17.488888888888891</v>
      </c>
      <c r="Y121" s="359">
        <f t="shared" si="54"/>
        <v>20.127777777777776</v>
      </c>
      <c r="Z121" s="359">
        <f t="shared" si="55"/>
        <v>19.373308080808084</v>
      </c>
      <c r="AA121" s="366"/>
      <c r="AB121" s="357" t="str">
        <f>VLOOKUP($B121,'2007-2020 Metadata'!$A$4:$S$214,MATCH("Urban Area /Monitoring Zone",'2007-2020 Metadata'!$A$4:$S$4,0),FALSE)</f>
        <v>Wellington</v>
      </c>
      <c r="AC121" s="255" t="str">
        <f>VLOOKUP(B121,'2007-2020 Metadata'!$A$6:$A$214,1,FALSE)</f>
        <v>WEL075</v>
      </c>
      <c r="AD121" s="361" t="str">
        <f>VLOOKUP($AC121,'2007-2020 Metadata'!$A$6:$S$214,9,FALSE)</f>
        <v>Wellington</v>
      </c>
      <c r="AE121" s="361">
        <f>IF(ISBLANK(VLOOKUP($AC121,'2007-2020 Metadata'!$A$6:$S$214,19,FALSE)),"",VLOOKUP($AC121,'2007-2020 Metadata'!$A$6:$S$214,19,FALSE))</f>
        <v>4</v>
      </c>
      <c r="AF121" s="360" t="str">
        <f>VLOOKUP($B121,'2007-2020 Metadata'!$A$4:$S$214,MATCH("Site type",'2007-2020 Metadata'!$A$4:$S$4,0),FALSE)</f>
        <v>SH</v>
      </c>
      <c r="AG121" s="365">
        <f t="shared" si="88"/>
        <v>11.233333333333334</v>
      </c>
      <c r="AH121" s="365">
        <f t="shared" si="89"/>
        <v>24.900000000000002</v>
      </c>
      <c r="AI121" s="359">
        <f t="shared" si="75"/>
        <v>19.373308080808084</v>
      </c>
    </row>
    <row r="122" spans="2:35" ht="12" customHeight="1" x14ac:dyDescent="0.15">
      <c r="B122" s="193" t="s">
        <v>513</v>
      </c>
      <c r="C122" s="190">
        <v>9.6999999999999993</v>
      </c>
      <c r="D122" s="190">
        <v>11.8</v>
      </c>
      <c r="E122" s="190">
        <v>12.8</v>
      </c>
      <c r="F122" s="190">
        <v>16.7</v>
      </c>
      <c r="G122" s="190">
        <v>15.2</v>
      </c>
      <c r="H122" s="190">
        <v>25.4</v>
      </c>
      <c r="I122" s="190">
        <v>17.399999999999999</v>
      </c>
      <c r="J122" s="190">
        <v>18.3</v>
      </c>
      <c r="K122" s="190">
        <v>12.6</v>
      </c>
      <c r="L122" s="190">
        <v>10.8</v>
      </c>
      <c r="M122" s="190">
        <v>10.7</v>
      </c>
      <c r="N122" s="190">
        <v>5.5</v>
      </c>
      <c r="O122" s="191">
        <f t="shared" si="50"/>
        <v>13.908333333333333</v>
      </c>
      <c r="P122" s="191">
        <f t="shared" si="51"/>
        <v>35.269122630189258</v>
      </c>
      <c r="Q122" s="192">
        <f t="shared" si="52"/>
        <v>1</v>
      </c>
      <c r="R122" s="332">
        <f t="shared" si="58"/>
        <v>11.433333333333332</v>
      </c>
      <c r="S122" s="226">
        <f t="shared" si="72"/>
        <v>1</v>
      </c>
      <c r="T122" s="332">
        <f t="shared" si="59"/>
        <v>16.100000000000001</v>
      </c>
      <c r="U122" s="226">
        <f t="shared" si="73"/>
        <v>1</v>
      </c>
      <c r="V122" s="333">
        <f t="shared" si="60"/>
        <v>13.908333333333333</v>
      </c>
      <c r="W122" s="226">
        <f t="shared" si="74"/>
        <v>1</v>
      </c>
      <c r="X122" s="144">
        <f t="shared" si="53"/>
        <v>12.955555555555554</v>
      </c>
      <c r="Y122" s="144">
        <f t="shared" si="54"/>
        <v>17.205555555555556</v>
      </c>
      <c r="Z122" s="144">
        <f t="shared" si="55"/>
        <v>15.683080808080808</v>
      </c>
      <c r="AA122" s="249"/>
      <c r="AB122" s="357" t="str">
        <f>VLOOKUP($B122,'2007-2020 Metadata'!$A$4:$S$214,MATCH("Urban Area /Monitoring Zone",'2007-2020 Metadata'!$A$4:$S$4,0),FALSE)</f>
        <v>Lower Hutt</v>
      </c>
      <c r="AC122" s="334" t="str">
        <f>VLOOKUP(B122,'2007-2020 Metadata'!$A$6:$A$214,1,FALSE)</f>
        <v>WEL078</v>
      </c>
      <c r="AD122" s="250" t="str">
        <f>VLOOKUP($AC122,'2007-2020 Metadata'!$A$6:$S$214,9,FALSE)</f>
        <v>Lower Hutt</v>
      </c>
      <c r="AE122" s="250">
        <f>IF(ISBLANK(VLOOKUP($AC122,'2007-2020 Metadata'!$A$6:$S$214,19,FALSE)),"",VLOOKUP($AC122,'2007-2020 Metadata'!$A$6:$S$214,19,FALSE))</f>
        <v>3</v>
      </c>
      <c r="AF122" s="335" t="str">
        <f>VLOOKUP($B122,'2007-2020 Metadata'!$A$4:$S$214,MATCH("Site type",'2007-2020 Metadata'!$A$4:$S$4,0),FALSE)</f>
        <v>SH</v>
      </c>
      <c r="AG122" s="336">
        <f t="shared" si="86"/>
        <v>5.5</v>
      </c>
      <c r="AH122" s="336">
        <f t="shared" si="87"/>
        <v>25.4</v>
      </c>
      <c r="AI122" s="267">
        <f t="shared" si="75"/>
        <v>15.683080808080808</v>
      </c>
    </row>
    <row r="123" spans="2:35" ht="12" customHeight="1" x14ac:dyDescent="0.15">
      <c r="B123" s="193" t="s">
        <v>973</v>
      </c>
      <c r="C123" s="190">
        <v>13.9</v>
      </c>
      <c r="D123" s="190">
        <v>15.2</v>
      </c>
      <c r="E123" s="190">
        <v>15.3</v>
      </c>
      <c r="F123" s="190"/>
      <c r="G123" s="190">
        <v>19.8</v>
      </c>
      <c r="H123" s="190">
        <v>22.5</v>
      </c>
      <c r="I123" s="190">
        <v>19.399999999999999</v>
      </c>
      <c r="J123" s="190">
        <v>24.5</v>
      </c>
      <c r="K123" s="190">
        <v>14.7</v>
      </c>
      <c r="L123" s="190">
        <v>14</v>
      </c>
      <c r="M123" s="190">
        <v>16.8</v>
      </c>
      <c r="N123" s="190">
        <v>11.2</v>
      </c>
      <c r="O123" s="191">
        <f t="shared" si="50"/>
        <v>17.027272727272727</v>
      </c>
      <c r="P123" s="191">
        <f t="shared" si="51"/>
        <v>22.663027420086227</v>
      </c>
      <c r="Q123" s="192">
        <f t="shared" si="52"/>
        <v>0.91666666666666663</v>
      </c>
      <c r="R123" s="332">
        <f t="shared" si="58"/>
        <v>14.800000000000002</v>
      </c>
      <c r="S123" s="226">
        <f t="shared" si="72"/>
        <v>1</v>
      </c>
      <c r="T123" s="332">
        <f t="shared" si="59"/>
        <v>19.533333333333331</v>
      </c>
      <c r="U123" s="226">
        <f t="shared" si="73"/>
        <v>1</v>
      </c>
      <c r="V123" s="333">
        <f t="shared" si="60"/>
        <v>17.027272727272727</v>
      </c>
      <c r="W123" s="226">
        <f t="shared" si="74"/>
        <v>0.91666666666666663</v>
      </c>
      <c r="X123" s="144" t="e">
        <f t="shared" si="53"/>
        <v>#N/A</v>
      </c>
      <c r="Y123" s="144" t="e">
        <f t="shared" si="54"/>
        <v>#N/A</v>
      </c>
      <c r="Z123" s="144" t="e">
        <f t="shared" si="55"/>
        <v>#N/A</v>
      </c>
      <c r="AA123" s="249"/>
      <c r="AB123" s="357" t="e">
        <f>VLOOKUP($B123,'2007-2020 Metadata'!$A$4:$S$214,MATCH("Urban Area /Monitoring Zone",'2007-2020 Metadata'!$A$4:$S$4,0),FALSE)</f>
        <v>#N/A</v>
      </c>
      <c r="AC123" s="334" t="e">
        <f>VLOOKUP(B123,'2007-2020 Metadata'!$A$6:$A$214,1,FALSE)</f>
        <v>#N/A</v>
      </c>
      <c r="AD123" s="250" t="e">
        <f>VLOOKUP($AC123,'2007-2020 Metadata'!$A$6:$S$214,9,FALSE)</f>
        <v>#N/A</v>
      </c>
      <c r="AE123" s="250" t="e">
        <f>IF(ISBLANK(VLOOKUP($AC123,'2007-2020 Metadata'!$A$6:$S$214,19,FALSE)),"",VLOOKUP($AC123,'2007-2020 Metadata'!$A$6:$S$214,19,FALSE))</f>
        <v>#N/A</v>
      </c>
      <c r="AF123" s="335" t="e">
        <f>VLOOKUP($B123,'2007-2020 Metadata'!$A$4:$S$214,MATCH("Site type",'2007-2020 Metadata'!$A$4:$S$4,0),FALSE)</f>
        <v>#N/A</v>
      </c>
      <c r="AG123" s="336">
        <f t="shared" ref="AG123:AG125" si="90">MIN(AVERAGE($C$13:$C$15),AVERAGE($D$13:$D$15),AVERAGE($E$13:$E$15),AVERAGE($F$13:$F$15),AVERAGE($G$13:$G$15),AVERAGE($H$13:$H$15),AVERAGE($I$13:$I$15),AVERAGE($J$13:$J$15),AVERAGE($K$13:$K$15),AVERAGE($L$13:$L$15),AVERAGE($M$13:$M$15),AVERAGE($N$13:$N$15))</f>
        <v>14.366666666666667</v>
      </c>
      <c r="AH123" s="336">
        <f t="shared" ref="AH123:AH125" si="91">MAX(AVERAGE($C$13:$C$15),AVERAGE($D$13:$D$15),AVERAGE($E$13:$E$15),AVERAGE($F$13:$F$15),AVERAGE($G$13:$G$15),AVERAGE($H$13:$H$15),AVERAGE($I$13:$I$15),AVERAGE($J$13:$J$15),AVERAGE($K$13:$K$15),AVERAGE($L$13:$L$15),AVERAGE($M$13:$M$15),AVERAGE($N$13:$N$15))</f>
        <v>44.300000000000004</v>
      </c>
      <c r="AI123" s="267" t="e">
        <f t="shared" si="75"/>
        <v>#N/A</v>
      </c>
    </row>
    <row r="124" spans="2:35" ht="12" customHeight="1" x14ac:dyDescent="0.15">
      <c r="B124" s="193" t="s">
        <v>519</v>
      </c>
      <c r="C124" s="190">
        <v>15.6</v>
      </c>
      <c r="D124" s="190">
        <v>16.5</v>
      </c>
      <c r="E124" s="190">
        <v>17.899999999999999</v>
      </c>
      <c r="F124" s="190">
        <v>26.3</v>
      </c>
      <c r="G124" s="190">
        <v>22</v>
      </c>
      <c r="H124" s="190">
        <v>28</v>
      </c>
      <c r="I124" s="190">
        <v>24</v>
      </c>
      <c r="J124" s="190">
        <v>23.8</v>
      </c>
      <c r="K124" s="190">
        <v>19.3</v>
      </c>
      <c r="L124" s="190">
        <v>19.7</v>
      </c>
      <c r="M124" s="190">
        <v>18.399999999999999</v>
      </c>
      <c r="N124" s="190">
        <v>12.8</v>
      </c>
      <c r="O124" s="191">
        <f t="shared" si="50"/>
        <v>20.358333333333338</v>
      </c>
      <c r="P124" s="191">
        <f t="shared" si="51"/>
        <v>21.391584223904637</v>
      </c>
      <c r="Q124" s="192">
        <f t="shared" si="52"/>
        <v>1</v>
      </c>
      <c r="R124" s="332">
        <f t="shared" si="58"/>
        <v>16.666666666666668</v>
      </c>
      <c r="S124" s="226">
        <f t="shared" si="72"/>
        <v>1</v>
      </c>
      <c r="T124" s="332">
        <f t="shared" si="59"/>
        <v>22.366666666666664</v>
      </c>
      <c r="U124" s="226">
        <f t="shared" si="73"/>
        <v>1</v>
      </c>
      <c r="V124" s="333">
        <f t="shared" si="60"/>
        <v>20.358333333333338</v>
      </c>
      <c r="W124" s="226">
        <f t="shared" si="74"/>
        <v>1</v>
      </c>
      <c r="X124" s="144">
        <f t="shared" si="53"/>
        <v>16.725000000000001</v>
      </c>
      <c r="Y124" s="144">
        <f t="shared" si="54"/>
        <v>20.783333333333335</v>
      </c>
      <c r="Z124" s="144">
        <f t="shared" si="55"/>
        <v>19.329166666666666</v>
      </c>
      <c r="AA124" s="249"/>
      <c r="AB124" s="357" t="str">
        <f>VLOOKUP($B124,'2007-2020 Metadata'!$A$4:$S$214,MATCH("Urban Area /Monitoring Zone",'2007-2020 Metadata'!$A$4:$S$4,0),FALSE)</f>
        <v>Porirua</v>
      </c>
      <c r="AC124" s="334" t="str">
        <f>VLOOKUP(B124,'2007-2020 Metadata'!$A$6:$A$214,1,FALSE)</f>
        <v>WEL080</v>
      </c>
      <c r="AD124" s="250" t="str">
        <f>VLOOKUP($AC124,'2007-2020 Metadata'!$A$6:$S$214,9,FALSE)</f>
        <v>Porirua</v>
      </c>
      <c r="AE124" s="250">
        <f>IF(ISBLANK(VLOOKUP($AC124,'2007-2020 Metadata'!$A$6:$S$214,19,FALSE)),"",VLOOKUP($AC124,'2007-2020 Metadata'!$A$6:$S$214,19,FALSE))</f>
        <v>3.1</v>
      </c>
      <c r="AF124" s="335" t="str">
        <f>VLOOKUP($B124,'2007-2020 Metadata'!$A$4:$S$214,MATCH("Site type",'2007-2020 Metadata'!$A$4:$S$4,0),FALSE)</f>
        <v>Local</v>
      </c>
      <c r="AG124" s="336">
        <f t="shared" si="90"/>
        <v>14.366666666666667</v>
      </c>
      <c r="AH124" s="336">
        <f t="shared" si="91"/>
        <v>44.300000000000004</v>
      </c>
      <c r="AI124" s="267">
        <f t="shared" si="75"/>
        <v>19.329166666666666</v>
      </c>
    </row>
    <row r="125" spans="2:35" ht="12" customHeight="1" x14ac:dyDescent="0.15">
      <c r="B125" s="193" t="s">
        <v>974</v>
      </c>
      <c r="C125" s="190">
        <v>34.9</v>
      </c>
      <c r="D125" s="190">
        <v>38.200000000000003</v>
      </c>
      <c r="E125" s="190">
        <v>39.4</v>
      </c>
      <c r="F125" s="190">
        <v>45.8</v>
      </c>
      <c r="G125" s="190">
        <v>44.1</v>
      </c>
      <c r="H125" s="190">
        <v>42.3</v>
      </c>
      <c r="I125" s="190">
        <v>41.8</v>
      </c>
      <c r="J125" s="190">
        <v>42.4</v>
      </c>
      <c r="K125" s="190">
        <v>30</v>
      </c>
      <c r="L125" s="190">
        <v>29.2</v>
      </c>
      <c r="M125" s="190">
        <v>31.7</v>
      </c>
      <c r="N125" s="190">
        <v>24.7</v>
      </c>
      <c r="O125" s="191">
        <f t="shared" si="50"/>
        <v>37.041666666666664</v>
      </c>
      <c r="P125" s="191">
        <f t="shared" si="51"/>
        <v>17.58150552671815</v>
      </c>
      <c r="Q125" s="192">
        <f t="shared" si="52"/>
        <v>1</v>
      </c>
      <c r="R125" s="332">
        <f t="shared" si="58"/>
        <v>37.5</v>
      </c>
      <c r="S125" s="226">
        <f t="shared" si="72"/>
        <v>1</v>
      </c>
      <c r="T125" s="332">
        <f t="shared" si="59"/>
        <v>38.066666666666663</v>
      </c>
      <c r="U125" s="226">
        <f t="shared" si="73"/>
        <v>1</v>
      </c>
      <c r="V125" s="333">
        <f t="shared" si="60"/>
        <v>37.041666666666664</v>
      </c>
      <c r="W125" s="226">
        <f t="shared" si="74"/>
        <v>1</v>
      </c>
      <c r="X125" s="144" t="e">
        <f t="shared" si="53"/>
        <v>#N/A</v>
      </c>
      <c r="Y125" s="144" t="e">
        <f t="shared" si="54"/>
        <v>#N/A</v>
      </c>
      <c r="Z125" s="144" t="e">
        <f t="shared" si="55"/>
        <v>#N/A</v>
      </c>
      <c r="AA125" s="249"/>
      <c r="AB125" s="357" t="e">
        <f>VLOOKUP($B125,'2007-2020 Metadata'!$A$4:$S$214,MATCH("Urban Area /Monitoring Zone",'2007-2020 Metadata'!$A$4:$S$4,0),FALSE)</f>
        <v>#N/A</v>
      </c>
      <c r="AC125" s="334" t="e">
        <f>VLOOKUP(B125,'2007-2020 Metadata'!$A$6:$A$214,1,FALSE)</f>
        <v>#N/A</v>
      </c>
      <c r="AD125" s="250" t="e">
        <f>VLOOKUP($AC125,'2007-2020 Metadata'!$A$6:$S$214,9,FALSE)</f>
        <v>#N/A</v>
      </c>
      <c r="AE125" s="250" t="e">
        <f>IF(ISBLANK(VLOOKUP($AC125,'2007-2020 Metadata'!$A$6:$S$214,19,FALSE)),"",VLOOKUP($AC125,'2007-2020 Metadata'!$A$6:$S$214,19,FALSE))</f>
        <v>#N/A</v>
      </c>
      <c r="AF125" s="335" t="e">
        <f>VLOOKUP($B125,'2007-2020 Metadata'!$A$4:$S$214,MATCH("Site type",'2007-2020 Metadata'!$A$4:$S$4,0),FALSE)</f>
        <v>#N/A</v>
      </c>
      <c r="AG125" s="336">
        <f t="shared" si="90"/>
        <v>14.366666666666667</v>
      </c>
      <c r="AH125" s="336">
        <f t="shared" si="91"/>
        <v>44.300000000000004</v>
      </c>
      <c r="AI125" s="267" t="e">
        <f t="shared" si="75"/>
        <v>#N/A</v>
      </c>
    </row>
    <row r="126" spans="2:35" ht="12" customHeight="1" x14ac:dyDescent="0.15">
      <c r="B126" s="193" t="s">
        <v>975</v>
      </c>
      <c r="C126" s="190">
        <v>34.799999999999997</v>
      </c>
      <c r="D126" s="190">
        <v>41.4</v>
      </c>
      <c r="E126" s="190">
        <v>40.9</v>
      </c>
      <c r="F126" s="190">
        <v>48.3</v>
      </c>
      <c r="G126" s="190">
        <v>48.1</v>
      </c>
      <c r="H126" s="190">
        <v>47.7</v>
      </c>
      <c r="I126" s="190">
        <v>49.7</v>
      </c>
      <c r="J126" s="190">
        <v>43.2</v>
      </c>
      <c r="K126" s="190">
        <v>36.700000000000003</v>
      </c>
      <c r="L126" s="190">
        <v>34.9</v>
      </c>
      <c r="M126" s="190">
        <v>36</v>
      </c>
      <c r="N126" s="190">
        <v>28.6</v>
      </c>
      <c r="O126" s="191">
        <f t="shared" si="50"/>
        <v>40.858333333333327</v>
      </c>
      <c r="P126" s="191">
        <f t="shared" si="51"/>
        <v>15.82918659324768</v>
      </c>
      <c r="Q126" s="192">
        <f t="shared" si="52"/>
        <v>1</v>
      </c>
      <c r="R126" s="332">
        <f t="shared" si="58"/>
        <v>39.033333333333331</v>
      </c>
      <c r="S126" s="226">
        <f t="shared" si="72"/>
        <v>1</v>
      </c>
      <c r="T126" s="332">
        <f t="shared" si="59"/>
        <v>43.20000000000001</v>
      </c>
      <c r="U126" s="226">
        <f t="shared" si="73"/>
        <v>1</v>
      </c>
      <c r="V126" s="333">
        <f t="shared" si="60"/>
        <v>40.858333333333327</v>
      </c>
      <c r="W126" s="226">
        <f t="shared" si="74"/>
        <v>1</v>
      </c>
      <c r="X126" s="144" t="e">
        <f t="shared" si="53"/>
        <v>#N/A</v>
      </c>
      <c r="Y126" s="144" t="e">
        <f t="shared" si="54"/>
        <v>#N/A</v>
      </c>
      <c r="Z126" s="144" t="e">
        <f t="shared" si="55"/>
        <v>#N/A</v>
      </c>
      <c r="AA126" s="249"/>
      <c r="AB126" s="357" t="e">
        <f>VLOOKUP($B126,'2007-2020 Metadata'!$A$4:$S$214,MATCH("Urban Area /Monitoring Zone",'2007-2020 Metadata'!$A$4:$S$4,0),FALSE)</f>
        <v>#N/A</v>
      </c>
      <c r="AC126" s="334" t="e">
        <f>VLOOKUP(B126,'2007-2020 Metadata'!$A$6:$A$214,1,FALSE)</f>
        <v>#N/A</v>
      </c>
      <c r="AD126" s="250" t="e">
        <f>VLOOKUP($AC126,'2007-2020 Metadata'!$A$6:$S$214,9,FALSE)</f>
        <v>#N/A</v>
      </c>
      <c r="AE126" s="250" t="e">
        <f>IF(ISBLANK(VLOOKUP($AC126,'2007-2020 Metadata'!$A$6:$S$214,19,FALSE)),"",VLOOKUP($AC126,'2007-2020 Metadata'!$A$6:$S$214,19,FALSE))</f>
        <v>#N/A</v>
      </c>
      <c r="AF126" s="335" t="e">
        <f>VLOOKUP($B126,'2007-2020 Metadata'!$A$4:$S$214,MATCH("Site type",'2007-2020 Metadata'!$A$4:$S$4,0),FALSE)</f>
        <v>#N/A</v>
      </c>
      <c r="AG126" s="336">
        <f t="shared" ref="AG126:AG134" si="92">MIN(C126:N126)</f>
        <v>28.6</v>
      </c>
      <c r="AH126" s="336">
        <f t="shared" ref="AH126:AH134" si="93">MAX(C126:N126)</f>
        <v>49.7</v>
      </c>
      <c r="AI126" s="267" t="e">
        <f t="shared" si="75"/>
        <v>#N/A</v>
      </c>
    </row>
    <row r="127" spans="2:35" ht="12" customHeight="1" x14ac:dyDescent="0.15">
      <c r="B127" s="193" t="s">
        <v>976</v>
      </c>
      <c r="C127" s="190">
        <v>31</v>
      </c>
      <c r="D127" s="190">
        <v>32.799999999999997</v>
      </c>
      <c r="E127" s="190">
        <v>36.200000000000003</v>
      </c>
      <c r="F127" s="190">
        <v>41.8</v>
      </c>
      <c r="G127" s="190">
        <v>40.799999999999997</v>
      </c>
      <c r="H127" s="190">
        <v>42.9</v>
      </c>
      <c r="I127" s="190">
        <v>39.700000000000003</v>
      </c>
      <c r="J127" s="190">
        <v>45.2</v>
      </c>
      <c r="K127" s="190">
        <v>35</v>
      </c>
      <c r="L127" s="190">
        <v>33.6</v>
      </c>
      <c r="M127" s="190">
        <v>31.6</v>
      </c>
      <c r="N127" s="190">
        <v>25.4</v>
      </c>
      <c r="O127" s="191">
        <f t="shared" si="50"/>
        <v>36.333333333333336</v>
      </c>
      <c r="P127" s="191">
        <f t="shared" si="51"/>
        <v>15.386746144197646</v>
      </c>
      <c r="Q127" s="192">
        <f t="shared" si="52"/>
        <v>1</v>
      </c>
      <c r="R127" s="332">
        <f t="shared" si="58"/>
        <v>33.333333333333336</v>
      </c>
      <c r="S127" s="226">
        <f t="shared" si="72"/>
        <v>1</v>
      </c>
      <c r="T127" s="332">
        <f t="shared" si="59"/>
        <v>39.966666666666669</v>
      </c>
      <c r="U127" s="226">
        <f t="shared" si="73"/>
        <v>1</v>
      </c>
      <c r="V127" s="333">
        <f t="shared" si="60"/>
        <v>36.333333333333336</v>
      </c>
      <c r="W127" s="226">
        <f t="shared" si="74"/>
        <v>1</v>
      </c>
      <c r="X127" s="144" t="e">
        <f t="shared" si="53"/>
        <v>#N/A</v>
      </c>
      <c r="Y127" s="144" t="e">
        <f t="shared" si="54"/>
        <v>#N/A</v>
      </c>
      <c r="Z127" s="144" t="e">
        <f t="shared" si="55"/>
        <v>#N/A</v>
      </c>
      <c r="AA127" s="249"/>
      <c r="AB127" s="357" t="e">
        <f>VLOOKUP($B127,'2007-2020 Metadata'!$A$4:$S$214,MATCH("Urban Area /Monitoring Zone",'2007-2020 Metadata'!$A$4:$S$4,0),FALSE)</f>
        <v>#N/A</v>
      </c>
      <c r="AC127" s="334" t="e">
        <f>VLOOKUP(B127,'2007-2020 Metadata'!$A$6:$A$214,1,FALSE)</f>
        <v>#N/A</v>
      </c>
      <c r="AD127" s="250" t="e">
        <f>VLOOKUP($AC127,'2007-2020 Metadata'!$A$6:$S$214,9,FALSE)</f>
        <v>#N/A</v>
      </c>
      <c r="AE127" s="250" t="e">
        <f>IF(ISBLANK(VLOOKUP($AC127,'2007-2020 Metadata'!$A$6:$S$214,19,FALSE)),"",VLOOKUP($AC127,'2007-2020 Metadata'!$A$6:$S$214,19,FALSE))</f>
        <v>#N/A</v>
      </c>
      <c r="AF127" s="335" t="e">
        <f>VLOOKUP($B127,'2007-2020 Metadata'!$A$4:$S$214,MATCH("Site type",'2007-2020 Metadata'!$A$4:$S$4,0),FALSE)</f>
        <v>#N/A</v>
      </c>
      <c r="AG127" s="336">
        <f t="shared" si="92"/>
        <v>25.4</v>
      </c>
      <c r="AH127" s="336">
        <f t="shared" si="93"/>
        <v>45.2</v>
      </c>
      <c r="AI127" s="267" t="e">
        <f t="shared" si="75"/>
        <v>#N/A</v>
      </c>
    </row>
    <row r="128" spans="2:35" ht="12" customHeight="1" x14ac:dyDescent="0.15">
      <c r="B128" s="193" t="s">
        <v>977</v>
      </c>
      <c r="C128" s="190">
        <v>17.600000000000001</v>
      </c>
      <c r="D128" s="190">
        <v>21.7</v>
      </c>
      <c r="E128" s="190">
        <v>21.4</v>
      </c>
      <c r="F128" s="190">
        <v>24.9</v>
      </c>
      <c r="G128" s="190">
        <v>20</v>
      </c>
      <c r="H128" s="190">
        <v>29.1</v>
      </c>
      <c r="I128" s="190">
        <v>27.4</v>
      </c>
      <c r="J128" s="190">
        <v>29.4</v>
      </c>
      <c r="K128" s="190">
        <v>20.9</v>
      </c>
      <c r="L128" s="190">
        <v>18.100000000000001</v>
      </c>
      <c r="M128" s="190">
        <v>21.4</v>
      </c>
      <c r="N128" s="190">
        <v>14.1</v>
      </c>
      <c r="O128" s="191">
        <f t="shared" si="50"/>
        <v>22.166666666666668</v>
      </c>
      <c r="P128" s="191">
        <f t="shared" si="51"/>
        <v>20.401033295746867</v>
      </c>
      <c r="Q128" s="192">
        <f t="shared" si="52"/>
        <v>1</v>
      </c>
      <c r="R128" s="332">
        <f t="shared" si="58"/>
        <v>20.233333333333331</v>
      </c>
      <c r="S128" s="226">
        <f t="shared" si="72"/>
        <v>1</v>
      </c>
      <c r="T128" s="332">
        <f t="shared" si="59"/>
        <v>25.899999999999995</v>
      </c>
      <c r="U128" s="226">
        <f t="shared" si="73"/>
        <v>1</v>
      </c>
      <c r="V128" s="333">
        <f t="shared" si="60"/>
        <v>22.166666666666668</v>
      </c>
      <c r="W128" s="226">
        <f t="shared" si="74"/>
        <v>1</v>
      </c>
      <c r="X128" s="144" t="e">
        <f t="shared" si="53"/>
        <v>#N/A</v>
      </c>
      <c r="Y128" s="144" t="e">
        <f t="shared" si="54"/>
        <v>#N/A</v>
      </c>
      <c r="Z128" s="144" t="e">
        <f t="shared" si="55"/>
        <v>#N/A</v>
      </c>
      <c r="AA128" s="249"/>
      <c r="AB128" s="357" t="e">
        <f>VLOOKUP($B128,'2007-2020 Metadata'!$A$4:$S$214,MATCH("Urban Area /Monitoring Zone",'2007-2020 Metadata'!$A$4:$S$4,0),FALSE)</f>
        <v>#N/A</v>
      </c>
      <c r="AC128" s="334" t="e">
        <f>VLOOKUP(B128,'2007-2020 Metadata'!$A$6:$A$214,1,FALSE)</f>
        <v>#N/A</v>
      </c>
      <c r="AD128" s="250" t="e">
        <f>VLOOKUP($AC128,'2007-2020 Metadata'!$A$6:$S$214,9,FALSE)</f>
        <v>#N/A</v>
      </c>
      <c r="AE128" s="250" t="e">
        <f>IF(ISBLANK(VLOOKUP($AC128,'2007-2020 Metadata'!$A$6:$S$214,19,FALSE)),"",VLOOKUP($AC128,'2007-2020 Metadata'!$A$6:$S$214,19,FALSE))</f>
        <v>#N/A</v>
      </c>
      <c r="AF128" s="335" t="e">
        <f>VLOOKUP($B128,'2007-2020 Metadata'!$A$4:$S$214,MATCH("Site type",'2007-2020 Metadata'!$A$4:$S$4,0),FALSE)</f>
        <v>#N/A</v>
      </c>
      <c r="AG128" s="336">
        <f t="shared" si="92"/>
        <v>14.1</v>
      </c>
      <c r="AH128" s="336">
        <f t="shared" si="93"/>
        <v>29.4</v>
      </c>
      <c r="AI128" s="267" t="e">
        <f t="shared" si="75"/>
        <v>#N/A</v>
      </c>
    </row>
    <row r="129" spans="2:35" ht="12" customHeight="1" x14ac:dyDescent="0.15">
      <c r="B129" s="193" t="s">
        <v>978</v>
      </c>
      <c r="C129" s="190">
        <v>9.1</v>
      </c>
      <c r="D129" s="190">
        <v>12.1</v>
      </c>
      <c r="E129" s="190">
        <v>9.3000000000000007</v>
      </c>
      <c r="F129" s="190">
        <v>13.6</v>
      </c>
      <c r="G129" s="190">
        <v>13</v>
      </c>
      <c r="H129" s="190">
        <v>15.2</v>
      </c>
      <c r="I129" s="190">
        <v>13.4</v>
      </c>
      <c r="J129" s="190">
        <v>13.2</v>
      </c>
      <c r="K129" s="190">
        <v>8.9</v>
      </c>
      <c r="L129" s="190">
        <v>7.2</v>
      </c>
      <c r="M129" s="190">
        <v>8.8000000000000007</v>
      </c>
      <c r="N129" s="190">
        <v>7.5</v>
      </c>
      <c r="O129" s="191">
        <f t="shared" si="50"/>
        <v>10.941666666666668</v>
      </c>
      <c r="P129" s="191">
        <f t="shared" si="51"/>
        <v>23.979494158163632</v>
      </c>
      <c r="Q129" s="192">
        <f t="shared" si="52"/>
        <v>1</v>
      </c>
      <c r="R129" s="332">
        <f t="shared" si="58"/>
        <v>10.166666666666666</v>
      </c>
      <c r="S129" s="226">
        <f t="shared" si="72"/>
        <v>1</v>
      </c>
      <c r="T129" s="332">
        <f t="shared" si="59"/>
        <v>11.833333333333334</v>
      </c>
      <c r="U129" s="226">
        <f t="shared" si="73"/>
        <v>1</v>
      </c>
      <c r="V129" s="333">
        <f t="shared" si="60"/>
        <v>10.941666666666668</v>
      </c>
      <c r="W129" s="226">
        <f t="shared" si="74"/>
        <v>1</v>
      </c>
      <c r="X129" s="144" t="e">
        <f t="shared" si="53"/>
        <v>#N/A</v>
      </c>
      <c r="Y129" s="144" t="e">
        <f t="shared" si="54"/>
        <v>#N/A</v>
      </c>
      <c r="Z129" s="144" t="e">
        <f t="shared" si="55"/>
        <v>#N/A</v>
      </c>
      <c r="AA129" s="249"/>
      <c r="AB129" s="357" t="e">
        <f>VLOOKUP($B129,'2007-2020 Metadata'!$A$4:$S$214,MATCH("Urban Area /Monitoring Zone",'2007-2020 Metadata'!$A$4:$S$4,0),FALSE)</f>
        <v>#N/A</v>
      </c>
      <c r="AC129" s="334" t="e">
        <f>VLOOKUP(B129,'2007-2020 Metadata'!$A$6:$A$214,1,FALSE)</f>
        <v>#N/A</v>
      </c>
      <c r="AD129" s="250" t="e">
        <f>VLOOKUP($AC129,'2007-2020 Metadata'!$A$6:$S$214,9,FALSE)</f>
        <v>#N/A</v>
      </c>
      <c r="AE129" s="250" t="e">
        <f>IF(ISBLANK(VLOOKUP($AC129,'2007-2020 Metadata'!$A$6:$S$214,19,FALSE)),"",VLOOKUP($AC129,'2007-2020 Metadata'!$A$6:$S$214,19,FALSE))</f>
        <v>#N/A</v>
      </c>
      <c r="AF129" s="335" t="e">
        <f>VLOOKUP($B129,'2007-2020 Metadata'!$A$4:$S$214,MATCH("Site type",'2007-2020 Metadata'!$A$4:$S$4,0),FALSE)</f>
        <v>#N/A</v>
      </c>
      <c r="AG129" s="336">
        <f t="shared" si="92"/>
        <v>7.2</v>
      </c>
      <c r="AH129" s="336">
        <f t="shared" si="93"/>
        <v>15.2</v>
      </c>
      <c r="AI129" s="267" t="e">
        <f t="shared" si="75"/>
        <v>#N/A</v>
      </c>
    </row>
    <row r="130" spans="2:35" ht="12" customHeight="1" x14ac:dyDescent="0.15">
      <c r="B130" s="193" t="s">
        <v>979</v>
      </c>
      <c r="C130" s="190">
        <v>16</v>
      </c>
      <c r="D130" s="190">
        <v>20.399999999999999</v>
      </c>
      <c r="E130" s="190">
        <v>17.100000000000001</v>
      </c>
      <c r="F130" s="190">
        <v>25.6</v>
      </c>
      <c r="G130" s="190">
        <v>23.4</v>
      </c>
      <c r="H130" s="190">
        <v>28.2</v>
      </c>
      <c r="I130" s="190">
        <v>25.1</v>
      </c>
      <c r="J130" s="190">
        <v>26.2</v>
      </c>
      <c r="K130" s="190">
        <v>18.600000000000001</v>
      </c>
      <c r="L130" s="190">
        <v>15.2</v>
      </c>
      <c r="M130" s="190">
        <v>18.3</v>
      </c>
      <c r="N130" s="190">
        <v>14.6</v>
      </c>
      <c r="O130" s="191">
        <f t="shared" si="50"/>
        <v>20.724999999999998</v>
      </c>
      <c r="P130" s="191">
        <f t="shared" si="51"/>
        <v>22.020010210221834</v>
      </c>
      <c r="Q130" s="192">
        <f t="shared" si="52"/>
        <v>1</v>
      </c>
      <c r="R130" s="332">
        <f t="shared" si="58"/>
        <v>17.833333333333332</v>
      </c>
      <c r="S130" s="226">
        <f t="shared" si="72"/>
        <v>1</v>
      </c>
      <c r="T130" s="332">
        <f t="shared" si="59"/>
        <v>23.3</v>
      </c>
      <c r="U130" s="226">
        <f t="shared" si="73"/>
        <v>1</v>
      </c>
      <c r="V130" s="333">
        <f t="shared" si="60"/>
        <v>20.724999999999998</v>
      </c>
      <c r="W130" s="226">
        <f t="shared" si="74"/>
        <v>1</v>
      </c>
      <c r="X130" s="144" t="e">
        <f t="shared" si="53"/>
        <v>#N/A</v>
      </c>
      <c r="Y130" s="144" t="e">
        <f t="shared" si="54"/>
        <v>#N/A</v>
      </c>
      <c r="Z130" s="144" t="e">
        <f t="shared" si="55"/>
        <v>#N/A</v>
      </c>
      <c r="AA130" s="249"/>
      <c r="AB130" s="357" t="e">
        <f>VLOOKUP($B130,'2007-2020 Metadata'!$A$4:$S$214,MATCH("Urban Area /Monitoring Zone",'2007-2020 Metadata'!$A$4:$S$4,0),FALSE)</f>
        <v>#N/A</v>
      </c>
      <c r="AC130" s="334" t="e">
        <f>VLOOKUP(B130,'2007-2020 Metadata'!$A$6:$A$214,1,FALSE)</f>
        <v>#N/A</v>
      </c>
      <c r="AD130" s="250" t="e">
        <f>VLOOKUP($AC130,'2007-2020 Metadata'!$A$6:$S$214,9,FALSE)</f>
        <v>#N/A</v>
      </c>
      <c r="AE130" s="250" t="e">
        <f>IF(ISBLANK(VLOOKUP($AC130,'2007-2020 Metadata'!$A$6:$S$214,19,FALSE)),"",VLOOKUP($AC130,'2007-2020 Metadata'!$A$6:$S$214,19,FALSE))</f>
        <v>#N/A</v>
      </c>
      <c r="AF130" s="335" t="e">
        <f>VLOOKUP($B130,'2007-2020 Metadata'!$A$4:$S$214,MATCH("Site type",'2007-2020 Metadata'!$A$4:$S$4,0),FALSE)</f>
        <v>#N/A</v>
      </c>
      <c r="AG130" s="336">
        <f t="shared" si="92"/>
        <v>14.6</v>
      </c>
      <c r="AH130" s="336">
        <f t="shared" si="93"/>
        <v>28.2</v>
      </c>
      <c r="AI130" s="267" t="e">
        <f t="shared" si="75"/>
        <v>#N/A</v>
      </c>
    </row>
    <row r="131" spans="2:35" ht="12" customHeight="1" x14ac:dyDescent="0.15">
      <c r="B131" s="193" t="s">
        <v>521</v>
      </c>
      <c r="C131" s="190">
        <v>23.6</v>
      </c>
      <c r="D131" s="190">
        <v>22.7</v>
      </c>
      <c r="E131" s="190">
        <v>25.4</v>
      </c>
      <c r="F131" s="190">
        <v>25.2</v>
      </c>
      <c r="G131" s="190">
        <v>27</v>
      </c>
      <c r="H131" s="190">
        <v>26.2</v>
      </c>
      <c r="I131" s="190">
        <v>29.2</v>
      </c>
      <c r="J131" s="190">
        <v>25.7</v>
      </c>
      <c r="K131" s="190">
        <v>15.9</v>
      </c>
      <c r="L131" s="190">
        <v>25.6</v>
      </c>
      <c r="M131" s="190">
        <v>24.6</v>
      </c>
      <c r="N131" s="190">
        <v>21.6</v>
      </c>
      <c r="O131" s="191">
        <f t="shared" si="50"/>
        <v>24.391666666666666</v>
      </c>
      <c r="P131" s="191">
        <f t="shared" si="51"/>
        <v>13.043703753244129</v>
      </c>
      <c r="Q131" s="192">
        <f t="shared" si="52"/>
        <v>1</v>
      </c>
      <c r="R131" s="332">
        <f t="shared" si="58"/>
        <v>23.899999999999995</v>
      </c>
      <c r="S131" s="226">
        <f t="shared" si="72"/>
        <v>1</v>
      </c>
      <c r="T131" s="332">
        <f t="shared" si="59"/>
        <v>23.599999999999998</v>
      </c>
      <c r="U131" s="226">
        <f t="shared" si="73"/>
        <v>1</v>
      </c>
      <c r="V131" s="333">
        <f t="shared" si="60"/>
        <v>24.391666666666666</v>
      </c>
      <c r="W131" s="226">
        <f t="shared" si="74"/>
        <v>1</v>
      </c>
      <c r="X131" s="144">
        <f t="shared" si="53"/>
        <v>14.83333333333333</v>
      </c>
      <c r="Y131" s="144">
        <f t="shared" si="54"/>
        <v>16.144444444444446</v>
      </c>
      <c r="Z131" s="144">
        <f t="shared" si="55"/>
        <v>15.83333333333333</v>
      </c>
      <c r="AA131" s="249"/>
      <c r="AB131" s="357" t="str">
        <f>VLOOKUP($B131,'2007-2020 Metadata'!$A$4:$S$214,MATCH("Urban Area /Monitoring Zone",'2007-2020 Metadata'!$A$4:$S$4,0),FALSE)</f>
        <v>Otaki</v>
      </c>
      <c r="AC131" s="334" t="str">
        <f>VLOOKUP(B131,'2007-2020 Metadata'!$A$6:$A$214,1,FALSE)</f>
        <v>WEL087</v>
      </c>
      <c r="AD131" s="250" t="str">
        <f>VLOOKUP($AC131,'2007-2020 Metadata'!$A$6:$S$214,9,FALSE)</f>
        <v>Kapiti Coast</v>
      </c>
      <c r="AE131" s="250">
        <f>IF(ISBLANK(VLOOKUP($AC131,'2007-2020 Metadata'!$A$6:$S$214,19,FALSE)),"",VLOOKUP($AC131,'2007-2020 Metadata'!$A$6:$S$214,19,FALSE))</f>
        <v>3</v>
      </c>
      <c r="AF131" s="335" t="str">
        <f>VLOOKUP($B131,'2007-2020 Metadata'!$A$4:$S$214,MATCH("Site type",'2007-2020 Metadata'!$A$4:$S$4,0),FALSE)</f>
        <v>SH</v>
      </c>
      <c r="AG131" s="336">
        <f t="shared" si="92"/>
        <v>15.9</v>
      </c>
      <c r="AH131" s="336">
        <f t="shared" si="93"/>
        <v>29.2</v>
      </c>
      <c r="AI131" s="267">
        <f t="shared" si="75"/>
        <v>15.83333333333333</v>
      </c>
    </row>
    <row r="132" spans="2:35" ht="12" customHeight="1" x14ac:dyDescent="0.15">
      <c r="B132" s="193" t="s">
        <v>523</v>
      </c>
      <c r="C132" s="190">
        <v>27.1</v>
      </c>
      <c r="D132" s="190">
        <v>25.1</v>
      </c>
      <c r="E132" s="190">
        <v>29.8</v>
      </c>
      <c r="F132" s="190">
        <v>33.1</v>
      </c>
      <c r="G132" s="190">
        <v>32.799999999999997</v>
      </c>
      <c r="H132" s="190">
        <v>41.6</v>
      </c>
      <c r="I132" s="190">
        <v>32.6</v>
      </c>
      <c r="J132" s="190">
        <v>36.200000000000003</v>
      </c>
      <c r="K132" s="190">
        <v>25.3</v>
      </c>
      <c r="L132" s="190">
        <v>30.1</v>
      </c>
      <c r="M132" s="190">
        <v>26.8</v>
      </c>
      <c r="N132" s="190">
        <v>25.5</v>
      </c>
      <c r="O132" s="191">
        <f t="shared" si="50"/>
        <v>30.5</v>
      </c>
      <c r="P132" s="191">
        <f t="shared" si="51"/>
        <v>15.81662815075649</v>
      </c>
      <c r="Q132" s="192">
        <f t="shared" si="52"/>
        <v>1</v>
      </c>
      <c r="R132" s="332">
        <f t="shared" si="58"/>
        <v>27.333333333333332</v>
      </c>
      <c r="S132" s="226">
        <f t="shared" si="72"/>
        <v>1</v>
      </c>
      <c r="T132" s="332">
        <f t="shared" si="59"/>
        <v>31.366666666666671</v>
      </c>
      <c r="U132" s="226">
        <f t="shared" si="73"/>
        <v>1</v>
      </c>
      <c r="V132" s="333">
        <f t="shared" si="60"/>
        <v>30.5</v>
      </c>
      <c r="W132" s="226">
        <f t="shared" si="74"/>
        <v>1</v>
      </c>
      <c r="X132" s="144">
        <f t="shared" si="53"/>
        <v>16.725000000000001</v>
      </c>
      <c r="Y132" s="144">
        <f t="shared" si="54"/>
        <v>20.783333333333335</v>
      </c>
      <c r="Z132" s="144">
        <f t="shared" si="55"/>
        <v>19.329166666666666</v>
      </c>
      <c r="AA132" s="249"/>
      <c r="AB132" s="357" t="str">
        <f>VLOOKUP($B132,'2007-2020 Metadata'!$A$4:$S$214,MATCH("Urban Area /Monitoring Zone",'2007-2020 Metadata'!$A$4:$S$4,0),FALSE)</f>
        <v>Porirua</v>
      </c>
      <c r="AC132" s="334" t="str">
        <f>VLOOKUP(B132,'2007-2020 Metadata'!$A$6:$A$214,1,FALSE)</f>
        <v>WEL088</v>
      </c>
      <c r="AD132" s="250" t="str">
        <f>VLOOKUP($AC132,'2007-2020 Metadata'!$A$6:$S$214,9,FALSE)</f>
        <v>Porirua</v>
      </c>
      <c r="AE132" s="250">
        <f>IF(ISBLANK(VLOOKUP($AC132,'2007-2020 Metadata'!$A$6:$S$214,19,FALSE)),"",VLOOKUP($AC132,'2007-2020 Metadata'!$A$6:$S$214,19,FALSE))</f>
        <v>3</v>
      </c>
      <c r="AF132" s="335" t="str">
        <f>VLOOKUP($B132,'2007-2020 Metadata'!$A$4:$S$214,MATCH("Site type",'2007-2020 Metadata'!$A$4:$S$4,0),FALSE)</f>
        <v>SH</v>
      </c>
      <c r="AG132" s="336">
        <f t="shared" si="92"/>
        <v>25.1</v>
      </c>
      <c r="AH132" s="336">
        <f t="shared" si="93"/>
        <v>41.6</v>
      </c>
      <c r="AI132" s="267">
        <f t="shared" si="75"/>
        <v>19.329166666666666</v>
      </c>
    </row>
    <row r="133" spans="2:35" ht="12" customHeight="1" x14ac:dyDescent="0.15">
      <c r="B133" s="193" t="s">
        <v>526</v>
      </c>
      <c r="C133" s="190">
        <v>10.4</v>
      </c>
      <c r="D133" s="190">
        <v>11.8</v>
      </c>
      <c r="E133" s="190">
        <v>13.5</v>
      </c>
      <c r="F133" s="190">
        <v>15.2</v>
      </c>
      <c r="G133" s="190">
        <v>19.8</v>
      </c>
      <c r="H133" s="190">
        <v>24.78</v>
      </c>
      <c r="I133" s="190">
        <v>22.3</v>
      </c>
      <c r="J133" s="190">
        <v>19.5</v>
      </c>
      <c r="K133" s="190">
        <v>15.5</v>
      </c>
      <c r="L133" s="190">
        <v>15.4</v>
      </c>
      <c r="M133" s="190">
        <v>15.1</v>
      </c>
      <c r="N133" s="190">
        <v>10.4</v>
      </c>
      <c r="O133" s="191">
        <f t="shared" si="50"/>
        <v>16.14</v>
      </c>
      <c r="P133" s="191">
        <f t="shared" si="51"/>
        <v>27.236996644493221</v>
      </c>
      <c r="Q133" s="192">
        <f t="shared" si="52"/>
        <v>1</v>
      </c>
      <c r="R133" s="332">
        <f t="shared" si="58"/>
        <v>11.9</v>
      </c>
      <c r="S133" s="226">
        <f t="shared" si="72"/>
        <v>1</v>
      </c>
      <c r="T133" s="332">
        <f t="shared" si="59"/>
        <v>19.099999999999998</v>
      </c>
      <c r="U133" s="226">
        <f t="shared" si="73"/>
        <v>1</v>
      </c>
      <c r="V133" s="333">
        <f t="shared" si="60"/>
        <v>16.14</v>
      </c>
      <c r="W133" s="226">
        <f t="shared" si="74"/>
        <v>1</v>
      </c>
      <c r="X133" s="144">
        <f t="shared" si="53"/>
        <v>9</v>
      </c>
      <c r="Y133" s="144">
        <f t="shared" si="54"/>
        <v>14.133333333333333</v>
      </c>
      <c r="Z133" s="144">
        <f t="shared" si="55"/>
        <v>12.138181818181819</v>
      </c>
      <c r="AA133" s="249"/>
      <c r="AB133" s="357" t="str">
        <f>VLOOKUP($B133,'2007-2020 Metadata'!$A$4:$S$214,MATCH("Urban Area /Monitoring Zone",'2007-2020 Metadata'!$A$4:$S$4,0),FALSE)</f>
        <v xml:space="preserve">Masterton </v>
      </c>
      <c r="AC133" s="334" t="str">
        <f>VLOOKUP(B133,'2007-2020 Metadata'!$A$6:$A$214,1,FALSE)</f>
        <v>WEL089</v>
      </c>
      <c r="AD133" s="250" t="str">
        <f>VLOOKUP($AC133,'2007-2020 Metadata'!$A$6:$S$214,9,FALSE)</f>
        <v xml:space="preserve">Masterton </v>
      </c>
      <c r="AE133" s="250">
        <f>IF(ISBLANK(VLOOKUP($AC133,'2007-2020 Metadata'!$A$6:$S$214,19,FALSE)),"",VLOOKUP($AC133,'2007-2020 Metadata'!$A$6:$S$214,19,FALSE))</f>
        <v>3</v>
      </c>
      <c r="AF133" s="335" t="str">
        <f>VLOOKUP($B133,'2007-2020 Metadata'!$A$4:$S$214,MATCH("Site type",'2007-2020 Metadata'!$A$4:$S$4,0),FALSE)</f>
        <v>SH</v>
      </c>
      <c r="AG133" s="336">
        <f t="shared" si="92"/>
        <v>10.4</v>
      </c>
      <c r="AH133" s="336">
        <f t="shared" si="93"/>
        <v>24.78</v>
      </c>
      <c r="AI133" s="267">
        <f t="shared" si="75"/>
        <v>12.138181818181819</v>
      </c>
    </row>
    <row r="134" spans="2:35" ht="12" customHeight="1" x14ac:dyDescent="0.15">
      <c r="B134" s="193" t="s">
        <v>980</v>
      </c>
      <c r="C134" s="190">
        <v>21.4</v>
      </c>
      <c r="D134" s="190">
        <v>23.4</v>
      </c>
      <c r="E134" s="190">
        <v>23</v>
      </c>
      <c r="F134" s="190">
        <v>27.1</v>
      </c>
      <c r="G134" s="190">
        <v>31</v>
      </c>
      <c r="H134" s="190">
        <v>28</v>
      </c>
      <c r="I134" s="190">
        <v>30.9</v>
      </c>
      <c r="J134" s="190">
        <v>28.5</v>
      </c>
      <c r="K134" s="190">
        <v>22.6</v>
      </c>
      <c r="L134" s="190">
        <v>23.2</v>
      </c>
      <c r="M134" s="190">
        <v>22.1</v>
      </c>
      <c r="N134" s="190">
        <v>18</v>
      </c>
      <c r="O134" s="191">
        <f t="shared" si="50"/>
        <v>24.933333333333337</v>
      </c>
      <c r="P134" s="191">
        <f t="shared" si="51"/>
        <v>15.63428225245303</v>
      </c>
      <c r="Q134" s="192">
        <f t="shared" si="52"/>
        <v>1</v>
      </c>
      <c r="R134" s="332">
        <f t="shared" si="58"/>
        <v>22.599999999999998</v>
      </c>
      <c r="S134" s="226">
        <f t="shared" si="72"/>
        <v>1</v>
      </c>
      <c r="T134" s="332">
        <f t="shared" si="59"/>
        <v>27.333333333333332</v>
      </c>
      <c r="U134" s="226">
        <f t="shared" si="73"/>
        <v>1</v>
      </c>
      <c r="V134" s="333">
        <f t="shared" si="60"/>
        <v>24.933333333333337</v>
      </c>
      <c r="W134" s="226">
        <f t="shared" si="74"/>
        <v>1</v>
      </c>
      <c r="X134" s="144" t="e">
        <f t="shared" si="53"/>
        <v>#N/A</v>
      </c>
      <c r="Y134" s="144" t="e">
        <f t="shared" si="54"/>
        <v>#N/A</v>
      </c>
      <c r="Z134" s="144" t="e">
        <f t="shared" si="55"/>
        <v>#N/A</v>
      </c>
      <c r="AA134" s="249"/>
      <c r="AB134" s="357" t="e">
        <f>VLOOKUP($B134,'2007-2020 Metadata'!$A$4:$S$214,MATCH("Urban Area /Monitoring Zone",'2007-2020 Metadata'!$A$4:$S$4,0),FALSE)</f>
        <v>#N/A</v>
      </c>
      <c r="AC134" s="334" t="e">
        <f>VLOOKUP(B134,'2007-2020 Metadata'!$A$6:$A$214,1,FALSE)</f>
        <v>#N/A</v>
      </c>
      <c r="AD134" s="250" t="e">
        <f>VLOOKUP($AC134,'2007-2020 Metadata'!$A$6:$S$214,9,FALSE)</f>
        <v>#N/A</v>
      </c>
      <c r="AE134" s="250" t="e">
        <f>IF(ISBLANK(VLOOKUP($AC134,'2007-2020 Metadata'!$A$6:$S$214,19,FALSE)),"",VLOOKUP($AC134,'2007-2020 Metadata'!$A$6:$S$214,19,FALSE))</f>
        <v>#N/A</v>
      </c>
      <c r="AF134" s="335" t="e">
        <f>VLOOKUP($B134,'2007-2020 Metadata'!$A$4:$S$214,MATCH("Site type",'2007-2020 Metadata'!$A$4:$S$4,0),FALSE)</f>
        <v>#N/A</v>
      </c>
      <c r="AG134" s="336">
        <f t="shared" si="92"/>
        <v>18</v>
      </c>
      <c r="AH134" s="336">
        <f t="shared" si="93"/>
        <v>31</v>
      </c>
      <c r="AI134" s="267" t="e">
        <f t="shared" si="75"/>
        <v>#N/A</v>
      </c>
    </row>
    <row r="135" spans="2:35" ht="12" customHeight="1" x14ac:dyDescent="0.15">
      <c r="B135" s="193" t="s">
        <v>529</v>
      </c>
      <c r="C135" s="190">
        <v>6.6</v>
      </c>
      <c r="D135" s="190">
        <v>8.5</v>
      </c>
      <c r="E135" s="190">
        <v>7.6</v>
      </c>
      <c r="F135" s="190">
        <v>11.2</v>
      </c>
      <c r="G135" s="190">
        <v>13.4</v>
      </c>
      <c r="H135" s="190">
        <v>17.100000000000001</v>
      </c>
      <c r="I135" s="190">
        <v>13.3</v>
      </c>
      <c r="J135" s="190">
        <v>13</v>
      </c>
      <c r="K135" s="190">
        <v>7.7</v>
      </c>
      <c r="L135" s="190">
        <v>6.3</v>
      </c>
      <c r="M135" s="190">
        <v>9</v>
      </c>
      <c r="N135" s="190">
        <v>7.1</v>
      </c>
      <c r="O135" s="191">
        <f t="shared" si="50"/>
        <v>10.066666666666666</v>
      </c>
      <c r="P135" s="191">
        <f t="shared" si="51"/>
        <v>32.847448461036066</v>
      </c>
      <c r="Q135" s="192">
        <f t="shared" si="52"/>
        <v>1</v>
      </c>
      <c r="R135" s="332">
        <f t="shared" si="58"/>
        <v>7.5666666666666664</v>
      </c>
      <c r="S135" s="226">
        <f t="shared" si="72"/>
        <v>1</v>
      </c>
      <c r="T135" s="332">
        <f t="shared" si="59"/>
        <v>11.333333333333334</v>
      </c>
      <c r="U135" s="226">
        <f t="shared" si="73"/>
        <v>1</v>
      </c>
      <c r="V135" s="333">
        <f t="shared" si="60"/>
        <v>10.066666666666666</v>
      </c>
      <c r="W135" s="226">
        <f t="shared" si="74"/>
        <v>1</v>
      </c>
      <c r="X135" s="144">
        <f t="shared" si="53"/>
        <v>12.955555555555554</v>
      </c>
      <c r="Y135" s="144">
        <f t="shared" si="54"/>
        <v>17.205555555555556</v>
      </c>
      <c r="Z135" s="144">
        <f t="shared" si="55"/>
        <v>15.683080808080808</v>
      </c>
      <c r="AA135" s="249"/>
      <c r="AB135" s="357" t="str">
        <f>VLOOKUP($B135,'2007-2020 Metadata'!$A$4:$S$214,MATCH("Urban Area /Monitoring Zone",'2007-2020 Metadata'!$A$4:$S$4,0),FALSE)</f>
        <v>Lower Hutt</v>
      </c>
      <c r="AC135" s="334" t="str">
        <f>VLOOKUP(B135,'2007-2020 Metadata'!$A$6:$A$214,1,FALSE)</f>
        <v>WEL091</v>
      </c>
      <c r="AD135" s="250" t="str">
        <f>VLOOKUP($AC135,'2007-2020 Metadata'!$A$6:$S$214,9,FALSE)</f>
        <v>Lower Hutt</v>
      </c>
      <c r="AE135" s="250">
        <f>IF(ISBLANK(VLOOKUP($AC135,'2007-2020 Metadata'!$A$6:$S$214,19,FALSE)),"",VLOOKUP($AC135,'2007-2020 Metadata'!$A$6:$S$214,19,FALSE))</f>
        <v>3</v>
      </c>
      <c r="AF135" s="335" t="str">
        <f>VLOOKUP($B135,'2007-2020 Metadata'!$A$4:$S$214,MATCH("Site type",'2007-2020 Metadata'!$A$4:$S$4,0),FALSE)</f>
        <v>Background</v>
      </c>
      <c r="AG135" s="336">
        <f t="shared" ref="AG135:AG137" si="94">MIN(AVERAGE($C$13:$C$15),AVERAGE($D$13:$D$15),AVERAGE($E$13:$E$15),AVERAGE($F$13:$F$15),AVERAGE($G$13:$G$15),AVERAGE($H$13:$H$15),AVERAGE($I$13:$I$15),AVERAGE($J$13:$J$15),AVERAGE($K$13:$K$15),AVERAGE($L$13:$L$15),AVERAGE($M$13:$M$15),AVERAGE($N$13:$N$15))</f>
        <v>14.366666666666667</v>
      </c>
      <c r="AH135" s="336">
        <f t="shared" ref="AH135:AH137" si="95">MAX(AVERAGE($C$13:$C$15),AVERAGE($D$13:$D$15),AVERAGE($E$13:$E$15),AVERAGE($F$13:$F$15),AVERAGE($G$13:$G$15),AVERAGE($H$13:$H$15),AVERAGE($I$13:$I$15),AVERAGE($J$13:$J$15),AVERAGE($K$13:$K$15),AVERAGE($L$13:$L$15),AVERAGE($M$13:$M$15),AVERAGE($N$13:$N$15))</f>
        <v>44.300000000000004</v>
      </c>
      <c r="AI135" s="267">
        <f t="shared" si="75"/>
        <v>15.683080808080808</v>
      </c>
    </row>
    <row r="136" spans="2:35" ht="12" customHeight="1" x14ac:dyDescent="0.15">
      <c r="B136" s="193" t="s">
        <v>531</v>
      </c>
      <c r="C136" s="190">
        <v>5</v>
      </c>
      <c r="D136" s="190">
        <v>5.3</v>
      </c>
      <c r="E136" s="190">
        <v>6.9</v>
      </c>
      <c r="F136" s="190">
        <v>7.8</v>
      </c>
      <c r="G136" s="190">
        <v>11.5</v>
      </c>
      <c r="H136" s="190">
        <v>11.4</v>
      </c>
      <c r="I136" s="190">
        <v>10.3</v>
      </c>
      <c r="J136" s="190">
        <v>9.3000000000000007</v>
      </c>
      <c r="K136" s="190">
        <v>4.9000000000000004</v>
      </c>
      <c r="L136" s="190">
        <v>5.3</v>
      </c>
      <c r="M136" s="190">
        <v>5.4</v>
      </c>
      <c r="N136" s="190">
        <v>3.8</v>
      </c>
      <c r="O136" s="191">
        <f t="shared" si="50"/>
        <v>7.2416666666666671</v>
      </c>
      <c r="P136" s="191">
        <f t="shared" si="51"/>
        <v>36.257693335300686</v>
      </c>
      <c r="Q136" s="192">
        <f t="shared" si="52"/>
        <v>1</v>
      </c>
      <c r="R136" s="332">
        <f t="shared" si="58"/>
        <v>5.7333333333333343</v>
      </c>
      <c r="S136" s="226">
        <f t="shared" si="72"/>
        <v>1</v>
      </c>
      <c r="T136" s="332">
        <f t="shared" si="59"/>
        <v>8.1666666666666661</v>
      </c>
      <c r="U136" s="226">
        <f t="shared" si="73"/>
        <v>1</v>
      </c>
      <c r="V136" s="333">
        <f t="shared" si="60"/>
        <v>7.2416666666666671</v>
      </c>
      <c r="W136" s="226">
        <f t="shared" si="74"/>
        <v>1</v>
      </c>
      <c r="X136" s="144">
        <f t="shared" si="53"/>
        <v>5.7333333333333343</v>
      </c>
      <c r="Y136" s="144">
        <f t="shared" si="54"/>
        <v>8.1666666666666661</v>
      </c>
      <c r="Z136" s="144">
        <f t="shared" si="55"/>
        <v>7.2416666666666671</v>
      </c>
      <c r="AA136" s="249"/>
      <c r="AB136" s="357" t="str">
        <f>VLOOKUP($B136,'2007-2020 Metadata'!$A$4:$S$214,MATCH("Urban Area /Monitoring Zone",'2007-2020 Metadata'!$A$4:$S$4,0),FALSE)</f>
        <v xml:space="preserve">Upper Hutt </v>
      </c>
      <c r="AC136" s="334" t="str">
        <f>VLOOKUP(B136,'2007-2020 Metadata'!$A$6:$A$214,1,FALSE)</f>
        <v>WEL092</v>
      </c>
      <c r="AD136" s="250" t="str">
        <f>VLOOKUP($AC136,'2007-2020 Metadata'!$A$6:$S$214,9,FALSE)</f>
        <v xml:space="preserve">Upper Hutt </v>
      </c>
      <c r="AE136" s="250">
        <f>IF(ISBLANK(VLOOKUP($AC136,'2007-2020 Metadata'!$A$6:$S$214,19,FALSE)),"",VLOOKUP($AC136,'2007-2020 Metadata'!$A$6:$S$214,19,FALSE))</f>
        <v>3</v>
      </c>
      <c r="AF136" s="335" t="str">
        <f>VLOOKUP($B136,'2007-2020 Metadata'!$A$4:$S$214,MATCH("Site type",'2007-2020 Metadata'!$A$4:$S$4,0),FALSE)</f>
        <v>Background</v>
      </c>
      <c r="AG136" s="336">
        <f t="shared" si="94"/>
        <v>14.366666666666667</v>
      </c>
      <c r="AH136" s="336">
        <f t="shared" si="95"/>
        <v>44.300000000000004</v>
      </c>
      <c r="AI136" s="267">
        <f t="shared" si="75"/>
        <v>7.2416666666666671</v>
      </c>
    </row>
    <row r="137" spans="2:35" ht="12" customHeight="1" x14ac:dyDescent="0.15">
      <c r="B137" s="193" t="s">
        <v>981</v>
      </c>
      <c r="C137" s="190">
        <v>12.2</v>
      </c>
      <c r="D137" s="190">
        <v>12.6</v>
      </c>
      <c r="E137" s="190">
        <v>14.4</v>
      </c>
      <c r="F137" s="190">
        <v>18.100000000000001</v>
      </c>
      <c r="G137" s="190">
        <v>19.8</v>
      </c>
      <c r="H137" s="190">
        <v>20.5</v>
      </c>
      <c r="I137" s="190">
        <v>17</v>
      </c>
      <c r="J137" s="190">
        <v>20.2</v>
      </c>
      <c r="K137" s="190">
        <v>13.8</v>
      </c>
      <c r="L137" s="190">
        <v>13.3</v>
      </c>
      <c r="M137" s="190">
        <v>11.4</v>
      </c>
      <c r="N137" s="190">
        <v>11</v>
      </c>
      <c r="O137" s="191">
        <f t="shared" ref="O137:O164" si="96">(AVERAGE(C137:N137))</f>
        <v>15.358333333333334</v>
      </c>
      <c r="P137" s="191">
        <f t="shared" ref="P137:P168" si="97">IFERROR((STDEVP(C137:N137)/O137)*100,"")</f>
        <v>22.211836195190095</v>
      </c>
      <c r="Q137" s="192">
        <f t="shared" ref="Q137:Q169" si="98">COUNT(C137:N137)/COUNT($C$6:$N$6)</f>
        <v>1</v>
      </c>
      <c r="R137" s="332">
        <f t="shared" si="58"/>
        <v>13.066666666666665</v>
      </c>
      <c r="S137" s="226">
        <f t="shared" si="72"/>
        <v>1</v>
      </c>
      <c r="T137" s="332">
        <f t="shared" si="59"/>
        <v>17</v>
      </c>
      <c r="U137" s="226">
        <f t="shared" si="73"/>
        <v>1</v>
      </c>
      <c r="V137" s="333">
        <f t="shared" si="60"/>
        <v>15.358333333333334</v>
      </c>
      <c r="W137" s="226">
        <f t="shared" si="74"/>
        <v>1</v>
      </c>
      <c r="X137" s="144" t="e">
        <f t="shared" ref="X137:X169" si="99">IF(VLOOKUP($B137,$AC$6:$AI$180,3,FALSE)="",$R137,IF(ISERROR(AVERAGEIF($AD$6:$AD$180,VLOOKUP($B137,$AC$6:$AI$180,2,FALSE),$R$6:$R$180)),"",AVERAGEIF($AD$6:$AD$180,VLOOKUP($B137,$AC$6:$AI$180,2,FALSE),$R$6:$R$180)))</f>
        <v>#N/A</v>
      </c>
      <c r="Y137" s="144" t="e">
        <f t="shared" ref="Y137:Y169" si="100">IF(VLOOKUP($B137,$AC$6:$AI$180,3,FALSE)="",$T137,IF(ISERROR(AVERAGEIF($AD$6:$AD$180,VLOOKUP($B137,$AC$6:$AI$180,2,FALSE),$T$6:$T$180)),"",AVERAGEIF($AD$6:$AD$180,VLOOKUP($B137,$AC$6:$AI$180,2,FALSE),$T$6:$T$180)))</f>
        <v>#N/A</v>
      </c>
      <c r="Z137" s="144" t="e">
        <f t="shared" ref="Z137:Z169" si="101">IF(VLOOKUP($B137,$AC$6:$AI$180,3,FALSE)="",$V137,IF(ISERROR(AVERAGEIF($AD$6:$AD$180,VLOOKUP($B137,$AC$6:$AI$180,2,FALSE),$V$6:$V$180)),"",AVERAGEIF($AD$6:$AD$180,VLOOKUP($B137,$AC$6:$AI$180,2,FALSE),$V$6:$V$180)))</f>
        <v>#N/A</v>
      </c>
      <c r="AA137" s="249"/>
      <c r="AB137" s="357" t="e">
        <f>VLOOKUP($B137,'2007-2020 Metadata'!$A$4:$S$214,MATCH("Urban Area /Monitoring Zone",'2007-2020 Metadata'!$A$4:$S$4,0),FALSE)</f>
        <v>#N/A</v>
      </c>
      <c r="AC137" s="334" t="e">
        <f>VLOOKUP(B137,'2007-2020 Metadata'!$A$6:$A$214,1,FALSE)</f>
        <v>#N/A</v>
      </c>
      <c r="AD137" s="250" t="e">
        <f>VLOOKUP($AC137,'2007-2020 Metadata'!$A$6:$S$214,9,FALSE)</f>
        <v>#N/A</v>
      </c>
      <c r="AE137" s="250" t="e">
        <f>IF(ISBLANK(VLOOKUP($AC137,'2007-2020 Metadata'!$A$6:$S$214,19,FALSE)),"",VLOOKUP($AC137,'2007-2020 Metadata'!$A$6:$S$214,19,FALSE))</f>
        <v>#N/A</v>
      </c>
      <c r="AF137" s="335" t="e">
        <f>VLOOKUP($B137,'2007-2020 Metadata'!$A$4:$S$214,MATCH("Site type",'2007-2020 Metadata'!$A$4:$S$4,0),FALSE)</f>
        <v>#N/A</v>
      </c>
      <c r="AG137" s="336">
        <f t="shared" si="94"/>
        <v>14.366666666666667</v>
      </c>
      <c r="AH137" s="336">
        <f t="shared" si="95"/>
        <v>44.300000000000004</v>
      </c>
      <c r="AI137" s="267" t="e">
        <f t="shared" si="75"/>
        <v>#N/A</v>
      </c>
    </row>
    <row r="138" spans="2:35" ht="12" customHeight="1" x14ac:dyDescent="0.15">
      <c r="B138" s="193" t="s">
        <v>534</v>
      </c>
      <c r="C138" s="190">
        <v>4.2</v>
      </c>
      <c r="D138" s="190">
        <v>6.8</v>
      </c>
      <c r="E138" s="190">
        <v>5.6</v>
      </c>
      <c r="F138" s="190">
        <v>8</v>
      </c>
      <c r="G138" s="190">
        <v>7.9</v>
      </c>
      <c r="H138" s="190">
        <v>10</v>
      </c>
      <c r="I138" s="190">
        <v>8</v>
      </c>
      <c r="J138" s="190">
        <v>7.4</v>
      </c>
      <c r="K138" s="190"/>
      <c r="L138" s="190">
        <v>6.3</v>
      </c>
      <c r="M138" s="190">
        <v>5.9</v>
      </c>
      <c r="N138" s="190">
        <v>4</v>
      </c>
      <c r="O138" s="191">
        <f t="shared" si="96"/>
        <v>6.7363636363636372</v>
      </c>
      <c r="P138" s="191">
        <f t="shared" si="97"/>
        <v>25.218480165825735</v>
      </c>
      <c r="Q138" s="192">
        <f t="shared" si="98"/>
        <v>0.91666666666666663</v>
      </c>
      <c r="R138" s="332">
        <f t="shared" si="58"/>
        <v>5.5333333333333341</v>
      </c>
      <c r="S138" s="226">
        <f t="shared" si="72"/>
        <v>1</v>
      </c>
      <c r="T138" s="332">
        <f t="shared" si="59"/>
        <v>7.7</v>
      </c>
      <c r="U138" s="226">
        <f t="shared" si="73"/>
        <v>0.66666666666666663</v>
      </c>
      <c r="V138" s="333">
        <f t="shared" si="60"/>
        <v>6.7363636363636372</v>
      </c>
      <c r="W138" s="226">
        <f t="shared" si="74"/>
        <v>0.91666666666666663</v>
      </c>
      <c r="X138" s="144">
        <f t="shared" si="99"/>
        <v>17.488888888888891</v>
      </c>
      <c r="Y138" s="144">
        <f t="shared" si="100"/>
        <v>20.127777777777776</v>
      </c>
      <c r="Z138" s="144">
        <f t="shared" si="101"/>
        <v>19.373308080808084</v>
      </c>
      <c r="AA138" s="249"/>
      <c r="AB138" s="357" t="str">
        <f>VLOOKUP($B138,'2007-2020 Metadata'!$A$4:$S$214,MATCH("Urban Area /Monitoring Zone",'2007-2020 Metadata'!$A$4:$S$4,0),FALSE)</f>
        <v>Wellington</v>
      </c>
      <c r="AC138" s="334" t="str">
        <f>VLOOKUP(B138,'2007-2020 Metadata'!$A$6:$A$214,1,FALSE)</f>
        <v>WEL094</v>
      </c>
      <c r="AD138" s="250" t="str">
        <f>VLOOKUP($AC138,'2007-2020 Metadata'!$A$6:$S$214,9,FALSE)</f>
        <v>Wellington</v>
      </c>
      <c r="AE138" s="250">
        <f>IF(ISBLANK(VLOOKUP($AC138,'2007-2020 Metadata'!$A$6:$S$214,19,FALSE)),"",VLOOKUP($AC138,'2007-2020 Metadata'!$A$6:$S$214,19,FALSE))</f>
        <v>3</v>
      </c>
      <c r="AF138" s="335" t="str">
        <f>VLOOKUP($B138,'2007-2020 Metadata'!$A$4:$S$214,MATCH("Site type",'2007-2020 Metadata'!$A$4:$S$4,0),FALSE)</f>
        <v>Background</v>
      </c>
      <c r="AG138" s="336">
        <f t="shared" ref="AG138:AG146" si="102">MIN(C138:N138)</f>
        <v>4</v>
      </c>
      <c r="AH138" s="336">
        <f t="shared" ref="AH138:AH146" si="103">MAX(C138:N138)</f>
        <v>10</v>
      </c>
      <c r="AI138" s="267">
        <f t="shared" si="75"/>
        <v>19.373308080808084</v>
      </c>
    </row>
    <row r="139" spans="2:35" ht="12" customHeight="1" x14ac:dyDescent="0.15">
      <c r="B139" s="193" t="s">
        <v>982</v>
      </c>
      <c r="C139" s="190">
        <v>12.2</v>
      </c>
      <c r="D139" s="190">
        <v>14.2</v>
      </c>
      <c r="E139" s="190">
        <v>17.899999999999999</v>
      </c>
      <c r="F139" s="190">
        <v>18</v>
      </c>
      <c r="G139" s="190">
        <v>23</v>
      </c>
      <c r="H139" s="190">
        <v>25.55</v>
      </c>
      <c r="I139" s="190">
        <v>23.4</v>
      </c>
      <c r="J139" s="190">
        <v>19.5</v>
      </c>
      <c r="K139" s="190">
        <v>15.8</v>
      </c>
      <c r="L139" s="190">
        <v>14.8</v>
      </c>
      <c r="M139" s="190">
        <v>14.8</v>
      </c>
      <c r="N139" s="190">
        <v>13.3</v>
      </c>
      <c r="O139" s="191">
        <f t="shared" si="96"/>
        <v>17.704166666666669</v>
      </c>
      <c r="P139" s="191">
        <f t="shared" si="97"/>
        <v>23.50832808334766</v>
      </c>
      <c r="Q139" s="192">
        <f t="shared" si="98"/>
        <v>1</v>
      </c>
      <c r="R139" s="332">
        <f t="shared" si="58"/>
        <v>14.766666666666666</v>
      </c>
      <c r="S139" s="226">
        <f t="shared" si="72"/>
        <v>1</v>
      </c>
      <c r="T139" s="332">
        <f t="shared" si="59"/>
        <v>19.566666666666666</v>
      </c>
      <c r="U139" s="226">
        <f t="shared" si="73"/>
        <v>1</v>
      </c>
      <c r="V139" s="333">
        <f t="shared" si="60"/>
        <v>17.704166666666669</v>
      </c>
      <c r="W139" s="226">
        <f t="shared" si="74"/>
        <v>1</v>
      </c>
      <c r="X139" s="144" t="e">
        <f t="shared" si="99"/>
        <v>#N/A</v>
      </c>
      <c r="Y139" s="144" t="e">
        <f t="shared" si="100"/>
        <v>#N/A</v>
      </c>
      <c r="Z139" s="144" t="e">
        <f t="shared" si="101"/>
        <v>#N/A</v>
      </c>
      <c r="AA139" s="249"/>
      <c r="AB139" s="357" t="e">
        <f>VLOOKUP($B139,'2007-2020 Metadata'!$A$4:$S$214,MATCH("Urban Area /Monitoring Zone",'2007-2020 Metadata'!$A$4:$S$4,0),FALSE)</f>
        <v>#N/A</v>
      </c>
      <c r="AC139" s="334" t="e">
        <f>VLOOKUP(B139,'2007-2020 Metadata'!$A$6:$A$214,1,FALSE)</f>
        <v>#N/A</v>
      </c>
      <c r="AD139" s="250" t="e">
        <f>VLOOKUP($AC139,'2007-2020 Metadata'!$A$6:$S$214,9,FALSE)</f>
        <v>#N/A</v>
      </c>
      <c r="AE139" s="250" t="e">
        <f>IF(ISBLANK(VLOOKUP($AC139,'2007-2020 Metadata'!$A$6:$S$214,19,FALSE)),"",VLOOKUP($AC139,'2007-2020 Metadata'!$A$6:$S$214,19,FALSE))</f>
        <v>#N/A</v>
      </c>
      <c r="AF139" s="335" t="e">
        <f>VLOOKUP($B139,'2007-2020 Metadata'!$A$4:$S$214,MATCH("Site type",'2007-2020 Metadata'!$A$4:$S$4,0),FALSE)</f>
        <v>#N/A</v>
      </c>
      <c r="AG139" s="336">
        <f t="shared" si="102"/>
        <v>12.2</v>
      </c>
      <c r="AH139" s="336">
        <f t="shared" si="103"/>
        <v>25.55</v>
      </c>
      <c r="AI139" s="267" t="e">
        <f t="shared" si="75"/>
        <v>#N/A</v>
      </c>
    </row>
    <row r="140" spans="2:35" ht="12" customHeight="1" x14ac:dyDescent="0.15">
      <c r="B140" s="193" t="s">
        <v>536</v>
      </c>
      <c r="C140" s="190">
        <v>4.5</v>
      </c>
      <c r="D140" s="190">
        <v>6.5</v>
      </c>
      <c r="E140" s="190">
        <v>7.3</v>
      </c>
      <c r="F140" s="190"/>
      <c r="G140" s="190">
        <v>15.3</v>
      </c>
      <c r="H140" s="190">
        <v>13.4</v>
      </c>
      <c r="I140" s="190">
        <v>11.4</v>
      </c>
      <c r="J140" s="190">
        <v>9.9</v>
      </c>
      <c r="K140" s="190">
        <v>6.2</v>
      </c>
      <c r="L140" s="190">
        <v>5.9</v>
      </c>
      <c r="M140" s="190">
        <v>5.0999999999999996</v>
      </c>
      <c r="N140" s="190">
        <v>4</v>
      </c>
      <c r="O140" s="191">
        <f t="shared" si="96"/>
        <v>8.1363636363636367</v>
      </c>
      <c r="P140" s="191">
        <f t="shared" si="97"/>
        <v>44.540522916830369</v>
      </c>
      <c r="Q140" s="192">
        <f t="shared" si="98"/>
        <v>0.91666666666666663</v>
      </c>
      <c r="R140" s="332">
        <f t="shared" ref="R140:R169" si="104">IF($S140=0%,"",IF($S140&gt;66%,AVERAGE($C140:$E140),"-"))</f>
        <v>6.1000000000000005</v>
      </c>
      <c r="S140" s="226">
        <f t="shared" si="72"/>
        <v>1</v>
      </c>
      <c r="T140" s="332">
        <f t="shared" ref="T140:T169" si="105">IF($U140=0%,"",IF($U140&gt;66%,AVERAGE($I140:$K140),"-"))</f>
        <v>9.1666666666666661</v>
      </c>
      <c r="U140" s="226">
        <f t="shared" si="73"/>
        <v>1</v>
      </c>
      <c r="V140" s="333">
        <f t="shared" ref="V140:V169" si="106">IF(AND(($S140&gt;33%),($U140&gt;33%),($W140&gt;=75%)),AVERAGE($C140:$N140),"-")</f>
        <v>8.1363636363636367</v>
      </c>
      <c r="W140" s="226">
        <f t="shared" si="74"/>
        <v>0.91666666666666663</v>
      </c>
      <c r="X140" s="144">
        <f t="shared" si="99"/>
        <v>9</v>
      </c>
      <c r="Y140" s="144">
        <f t="shared" si="100"/>
        <v>14.133333333333333</v>
      </c>
      <c r="Z140" s="144">
        <f t="shared" si="101"/>
        <v>12.138181818181819</v>
      </c>
      <c r="AA140" s="249"/>
      <c r="AB140" s="357" t="str">
        <f>VLOOKUP($B140,'2007-2020 Metadata'!$A$4:$S$214,MATCH("Urban Area /Monitoring Zone",'2007-2020 Metadata'!$A$4:$S$4,0),FALSE)</f>
        <v xml:space="preserve">Masterton </v>
      </c>
      <c r="AC140" s="334" t="str">
        <f>VLOOKUP(B140,'2007-2020 Metadata'!$A$6:$A$214,1,FALSE)</f>
        <v>WEL096</v>
      </c>
      <c r="AD140" s="250" t="str">
        <f>VLOOKUP($AC140,'2007-2020 Metadata'!$A$6:$S$214,9,FALSE)</f>
        <v xml:space="preserve">Masterton </v>
      </c>
      <c r="AE140" s="250">
        <f>IF(ISBLANK(VLOOKUP($AC140,'2007-2020 Metadata'!$A$6:$S$214,19,FALSE)),"",VLOOKUP($AC140,'2007-2020 Metadata'!$A$6:$S$214,19,FALSE))</f>
        <v>3</v>
      </c>
      <c r="AF140" s="335" t="str">
        <f>VLOOKUP($B140,'2007-2020 Metadata'!$A$4:$S$214,MATCH("Site type",'2007-2020 Metadata'!$A$4:$S$4,0),FALSE)</f>
        <v>Background</v>
      </c>
      <c r="AG140" s="336">
        <f t="shared" si="102"/>
        <v>4</v>
      </c>
      <c r="AH140" s="336">
        <f t="shared" si="103"/>
        <v>15.3</v>
      </c>
      <c r="AI140" s="267">
        <f t="shared" si="75"/>
        <v>12.138181818181819</v>
      </c>
    </row>
    <row r="141" spans="2:35" ht="12" customHeight="1" x14ac:dyDescent="0.15">
      <c r="B141" s="193" t="s">
        <v>983</v>
      </c>
      <c r="C141" s="190">
        <v>16.3</v>
      </c>
      <c r="D141" s="190">
        <v>18.2</v>
      </c>
      <c r="E141" s="190">
        <v>19.7</v>
      </c>
      <c r="F141" s="190">
        <v>15.6</v>
      </c>
      <c r="G141" s="190">
        <v>17.8</v>
      </c>
      <c r="H141" s="190">
        <v>17.399999999999999</v>
      </c>
      <c r="I141" s="190">
        <v>21.9</v>
      </c>
      <c r="J141" s="190">
        <v>19.3</v>
      </c>
      <c r="K141" s="190">
        <v>12.6</v>
      </c>
      <c r="L141" s="190">
        <v>14</v>
      </c>
      <c r="M141" s="190">
        <v>13.7</v>
      </c>
      <c r="N141" s="190">
        <v>11</v>
      </c>
      <c r="O141" s="191">
        <f t="shared" si="96"/>
        <v>16.458333333333332</v>
      </c>
      <c r="P141" s="191">
        <f t="shared" si="97"/>
        <v>18.64577156644701</v>
      </c>
      <c r="Q141" s="192">
        <f t="shared" si="98"/>
        <v>1</v>
      </c>
      <c r="R141" s="332">
        <f t="shared" si="104"/>
        <v>18.066666666666666</v>
      </c>
      <c r="S141" s="226">
        <f t="shared" si="72"/>
        <v>1</v>
      </c>
      <c r="T141" s="332">
        <f t="shared" si="105"/>
        <v>17.933333333333334</v>
      </c>
      <c r="U141" s="226">
        <f t="shared" si="73"/>
        <v>1</v>
      </c>
      <c r="V141" s="333">
        <f t="shared" si="106"/>
        <v>16.458333333333332</v>
      </c>
      <c r="W141" s="226">
        <f t="shared" si="74"/>
        <v>1</v>
      </c>
      <c r="X141" s="144" t="e">
        <f t="shared" si="99"/>
        <v>#N/A</v>
      </c>
      <c r="Y141" s="144" t="e">
        <f t="shared" si="100"/>
        <v>#N/A</v>
      </c>
      <c r="Z141" s="144" t="e">
        <f t="shared" si="101"/>
        <v>#N/A</v>
      </c>
      <c r="AA141" s="249"/>
      <c r="AB141" s="357" t="e">
        <f>VLOOKUP($B141,'2007-2020 Metadata'!$A$4:$S$214,MATCH("Urban Area /Monitoring Zone",'2007-2020 Metadata'!$A$4:$S$4,0),FALSE)</f>
        <v>#N/A</v>
      </c>
      <c r="AC141" s="334" t="e">
        <f>VLOOKUP(B141,'2007-2020 Metadata'!$A$6:$A$214,1,FALSE)</f>
        <v>#N/A</v>
      </c>
      <c r="AD141" s="250" t="e">
        <f>VLOOKUP($AC141,'2007-2020 Metadata'!$A$6:$S$214,9,FALSE)</f>
        <v>#N/A</v>
      </c>
      <c r="AE141" s="250" t="e">
        <f>IF(ISBLANK(VLOOKUP($AC141,'2007-2020 Metadata'!$A$6:$S$214,19,FALSE)),"",VLOOKUP($AC141,'2007-2020 Metadata'!$A$6:$S$214,19,FALSE))</f>
        <v>#N/A</v>
      </c>
      <c r="AF141" s="335" t="e">
        <f>VLOOKUP($B141,'2007-2020 Metadata'!$A$4:$S$214,MATCH("Site type",'2007-2020 Metadata'!$A$4:$S$4,0),FALSE)</f>
        <v>#N/A</v>
      </c>
      <c r="AG141" s="336">
        <f t="shared" si="102"/>
        <v>11</v>
      </c>
      <c r="AH141" s="336">
        <f t="shared" si="103"/>
        <v>21.9</v>
      </c>
      <c r="AI141" s="267" t="e">
        <f t="shared" si="75"/>
        <v>#N/A</v>
      </c>
    </row>
    <row r="142" spans="2:35" ht="12" customHeight="1" x14ac:dyDescent="0.15">
      <c r="B142" s="193" t="s">
        <v>984</v>
      </c>
      <c r="C142" s="190">
        <v>16.7</v>
      </c>
      <c r="D142" s="190">
        <v>17.899999999999999</v>
      </c>
      <c r="E142" s="190">
        <v>19.8</v>
      </c>
      <c r="F142" s="190">
        <v>18.2</v>
      </c>
      <c r="G142" s="190">
        <v>19.600000000000001</v>
      </c>
      <c r="H142" s="190">
        <v>17.7</v>
      </c>
      <c r="I142" s="190">
        <v>21</v>
      </c>
      <c r="J142" s="190">
        <v>17.100000000000001</v>
      </c>
      <c r="K142" s="190">
        <v>13</v>
      </c>
      <c r="L142" s="190">
        <v>15.4</v>
      </c>
      <c r="M142" s="190">
        <v>12.9</v>
      </c>
      <c r="N142" s="190">
        <v>11.6</v>
      </c>
      <c r="O142" s="191">
        <f t="shared" si="96"/>
        <v>16.741666666666664</v>
      </c>
      <c r="P142" s="191">
        <f t="shared" si="97"/>
        <v>16.99710375095157</v>
      </c>
      <c r="Q142" s="192">
        <f t="shared" si="98"/>
        <v>1</v>
      </c>
      <c r="R142" s="332">
        <f t="shared" si="104"/>
        <v>18.133333333333329</v>
      </c>
      <c r="S142" s="226">
        <f t="shared" si="72"/>
        <v>1</v>
      </c>
      <c r="T142" s="332">
        <f t="shared" si="105"/>
        <v>17.033333333333335</v>
      </c>
      <c r="U142" s="226">
        <f t="shared" si="73"/>
        <v>1</v>
      </c>
      <c r="V142" s="333">
        <f t="shared" si="106"/>
        <v>16.741666666666664</v>
      </c>
      <c r="W142" s="226">
        <f t="shared" si="74"/>
        <v>1</v>
      </c>
      <c r="X142" s="144" t="e">
        <f t="shared" si="99"/>
        <v>#N/A</v>
      </c>
      <c r="Y142" s="144" t="e">
        <f t="shared" si="100"/>
        <v>#N/A</v>
      </c>
      <c r="Z142" s="144" t="e">
        <f t="shared" si="101"/>
        <v>#N/A</v>
      </c>
      <c r="AA142" s="249"/>
      <c r="AB142" s="357" t="e">
        <f>VLOOKUP($B142,'2007-2020 Metadata'!$A$4:$S$214,MATCH("Urban Area /Monitoring Zone",'2007-2020 Metadata'!$A$4:$S$4,0),FALSE)</f>
        <v>#N/A</v>
      </c>
      <c r="AC142" s="334" t="e">
        <f>VLOOKUP(B142,'2007-2020 Metadata'!$A$6:$A$214,1,FALSE)</f>
        <v>#N/A</v>
      </c>
      <c r="AD142" s="250" t="e">
        <f>VLOOKUP($AC142,'2007-2020 Metadata'!$A$6:$S$214,9,FALSE)</f>
        <v>#N/A</v>
      </c>
      <c r="AE142" s="250" t="e">
        <f>IF(ISBLANK(VLOOKUP($AC142,'2007-2020 Metadata'!$A$6:$S$214,19,FALSE)),"",VLOOKUP($AC142,'2007-2020 Metadata'!$A$6:$S$214,19,FALSE))</f>
        <v>#N/A</v>
      </c>
      <c r="AF142" s="335" t="e">
        <f>VLOOKUP($B142,'2007-2020 Metadata'!$A$4:$S$214,MATCH("Site type",'2007-2020 Metadata'!$A$4:$S$4,0),FALSE)</f>
        <v>#N/A</v>
      </c>
      <c r="AG142" s="336">
        <f t="shared" si="102"/>
        <v>11.6</v>
      </c>
      <c r="AH142" s="336">
        <f t="shared" si="103"/>
        <v>21</v>
      </c>
      <c r="AI142" s="267" t="e">
        <f t="shared" si="75"/>
        <v>#N/A</v>
      </c>
    </row>
    <row r="143" spans="2:35" ht="12" customHeight="1" x14ac:dyDescent="0.15">
      <c r="B143" s="193" t="s">
        <v>21</v>
      </c>
      <c r="C143" s="190">
        <v>8.6</v>
      </c>
      <c r="D143" s="190">
        <v>10.5</v>
      </c>
      <c r="E143" s="190">
        <v>11.7</v>
      </c>
      <c r="F143" s="190">
        <v>13.6</v>
      </c>
      <c r="G143" s="190">
        <v>12</v>
      </c>
      <c r="H143" s="190">
        <v>14.6</v>
      </c>
      <c r="I143" s="190">
        <v>16.399999999999999</v>
      </c>
      <c r="J143" s="190">
        <v>15.2</v>
      </c>
      <c r="K143" s="190">
        <v>13.1</v>
      </c>
      <c r="L143" s="190">
        <v>11.2</v>
      </c>
      <c r="M143" s="190">
        <v>8.6</v>
      </c>
      <c r="N143" s="190">
        <v>7.2</v>
      </c>
      <c r="O143" s="191">
        <f t="shared" si="96"/>
        <v>11.891666666666666</v>
      </c>
      <c r="P143" s="191">
        <f t="shared" si="97"/>
        <v>22.917992497219853</v>
      </c>
      <c r="Q143" s="192">
        <f t="shared" si="98"/>
        <v>1</v>
      </c>
      <c r="R143" s="332">
        <f t="shared" si="104"/>
        <v>10.266666666666667</v>
      </c>
      <c r="S143" s="226">
        <f t="shared" si="72"/>
        <v>1</v>
      </c>
      <c r="T143" s="332">
        <f t="shared" si="105"/>
        <v>14.899999999999999</v>
      </c>
      <c r="U143" s="226">
        <f t="shared" si="73"/>
        <v>1</v>
      </c>
      <c r="V143" s="333">
        <f t="shared" si="106"/>
        <v>11.891666666666666</v>
      </c>
      <c r="W143" s="226">
        <f t="shared" si="74"/>
        <v>1</v>
      </c>
      <c r="X143" s="144">
        <f t="shared" si="99"/>
        <v>10.266666666666667</v>
      </c>
      <c r="Y143" s="144">
        <f t="shared" si="100"/>
        <v>14.899999999999999</v>
      </c>
      <c r="Z143" s="144">
        <f t="shared" si="101"/>
        <v>11.891666666666666</v>
      </c>
      <c r="AA143" s="249"/>
      <c r="AB143" s="357" t="str">
        <f>VLOOKUP($B143,'2007-2020 Metadata'!$A$4:$S$214,MATCH("Urban Area /Monitoring Zone",'2007-2020 Metadata'!$A$4:$S$4,0),FALSE)</f>
        <v>Greymouth</v>
      </c>
      <c r="AC143" s="334" t="str">
        <f>VLOOKUP(B143,'2007-2020 Metadata'!$A$6:$A$214,1,FALSE)</f>
        <v>CHR001</v>
      </c>
      <c r="AD143" s="250" t="str">
        <f>VLOOKUP($AC143,'2007-2020 Metadata'!$A$6:$S$214,9,FALSE)</f>
        <v>Greymouth</v>
      </c>
      <c r="AE143" s="250">
        <f>IF(ISBLANK(VLOOKUP($AC143,'2007-2020 Metadata'!$A$6:$S$214,19,FALSE)),"",VLOOKUP($AC143,'2007-2020 Metadata'!$A$6:$S$214,19,FALSE))</f>
        <v>2.2999999999999998</v>
      </c>
      <c r="AF143" s="335" t="str">
        <f>VLOOKUP($B143,'2007-2020 Metadata'!$A$4:$S$214,MATCH("Site type",'2007-2020 Metadata'!$A$4:$S$4,0),FALSE)</f>
        <v>SH</v>
      </c>
      <c r="AG143" s="336">
        <f t="shared" si="102"/>
        <v>7.2</v>
      </c>
      <c r="AH143" s="336">
        <f t="shared" si="103"/>
        <v>16.399999999999999</v>
      </c>
      <c r="AI143" s="267">
        <f t="shared" si="75"/>
        <v>11.891666666666666</v>
      </c>
    </row>
    <row r="144" spans="2:35" ht="12" customHeight="1" x14ac:dyDescent="0.15">
      <c r="B144" s="193" t="s">
        <v>22</v>
      </c>
      <c r="C144" s="190">
        <v>20.399999999999999</v>
      </c>
      <c r="D144" s="190">
        <v>24.7</v>
      </c>
      <c r="E144" s="190">
        <v>28.9</v>
      </c>
      <c r="F144" s="190">
        <v>31.2</v>
      </c>
      <c r="G144" s="190">
        <v>37.6</v>
      </c>
      <c r="H144" s="190">
        <v>36.200000000000003</v>
      </c>
      <c r="I144" s="190">
        <v>36.299999999999997</v>
      </c>
      <c r="J144" s="190">
        <v>33.5</v>
      </c>
      <c r="K144" s="190">
        <v>27.4</v>
      </c>
      <c r="L144" s="190">
        <v>26.3</v>
      </c>
      <c r="M144" s="190">
        <v>17.8</v>
      </c>
      <c r="N144" s="190">
        <v>16.5</v>
      </c>
      <c r="O144" s="191">
        <f t="shared" si="96"/>
        <v>28.066666666666666</v>
      </c>
      <c r="P144" s="191">
        <f t="shared" si="97"/>
        <v>24.721780566999495</v>
      </c>
      <c r="Q144" s="192">
        <f t="shared" si="98"/>
        <v>1</v>
      </c>
      <c r="R144" s="332">
        <f t="shared" si="104"/>
        <v>24.666666666666668</v>
      </c>
      <c r="S144" s="226">
        <f t="shared" si="72"/>
        <v>1</v>
      </c>
      <c r="T144" s="332">
        <f t="shared" si="105"/>
        <v>32.4</v>
      </c>
      <c r="U144" s="226">
        <f t="shared" si="73"/>
        <v>1</v>
      </c>
      <c r="V144" s="333">
        <f t="shared" si="106"/>
        <v>28.066666666666666</v>
      </c>
      <c r="W144" s="226">
        <f t="shared" si="74"/>
        <v>1</v>
      </c>
      <c r="X144" s="144">
        <f t="shared" si="99"/>
        <v>23.440625000000001</v>
      </c>
      <c r="Y144" s="144">
        <f t="shared" si="100"/>
        <v>30.637500000000003</v>
      </c>
      <c r="Z144" s="144">
        <f t="shared" si="101"/>
        <v>26.49441287878788</v>
      </c>
      <c r="AA144" s="249"/>
      <c r="AB144" s="357" t="str">
        <f>VLOOKUP($B144,'2007-2020 Metadata'!$A$4:$S$214,MATCH("Urban Area /Monitoring Zone",'2007-2020 Metadata'!$A$4:$S$4,0),FALSE)</f>
        <v>Christchurch</v>
      </c>
      <c r="AC144" s="334" t="str">
        <f>VLOOKUP(B144,'2007-2020 Metadata'!$A$6:$A$214,1,FALSE)</f>
        <v>CHR002</v>
      </c>
      <c r="AD144" s="250" t="str">
        <f>VLOOKUP($AC144,'2007-2020 Metadata'!$A$6:$S$214,9,FALSE)</f>
        <v>Christchurch</v>
      </c>
      <c r="AE144" s="250">
        <f>IF(ISBLANK(VLOOKUP($AC144,'2007-2020 Metadata'!$A$6:$S$214,19,FALSE)),"",VLOOKUP($AC144,'2007-2020 Metadata'!$A$6:$S$214,19,FALSE))</f>
        <v>3.2</v>
      </c>
      <c r="AF144" s="335" t="str">
        <f>VLOOKUP($B144,'2007-2020 Metadata'!$A$4:$S$214,MATCH("Site type",'2007-2020 Metadata'!$A$4:$S$4,0),FALSE)</f>
        <v>SH</v>
      </c>
      <c r="AG144" s="336">
        <f t="shared" si="102"/>
        <v>16.5</v>
      </c>
      <c r="AH144" s="336">
        <f t="shared" si="103"/>
        <v>37.6</v>
      </c>
      <c r="AI144" s="267">
        <f t="shared" si="75"/>
        <v>26.49441287878788</v>
      </c>
    </row>
    <row r="145" spans="2:35" ht="12" customHeight="1" x14ac:dyDescent="0.15">
      <c r="B145" s="193" t="s">
        <v>23</v>
      </c>
      <c r="C145" s="190">
        <v>15.9</v>
      </c>
      <c r="D145" s="190">
        <v>24.8</v>
      </c>
      <c r="E145" s="190">
        <v>25</v>
      </c>
      <c r="F145" s="190">
        <v>31.6</v>
      </c>
      <c r="G145" s="190">
        <v>37.9</v>
      </c>
      <c r="H145" s="190">
        <v>39.9</v>
      </c>
      <c r="I145" s="190">
        <v>36.6</v>
      </c>
      <c r="J145" s="190">
        <v>35.799999999999997</v>
      </c>
      <c r="K145" s="190">
        <v>27.1</v>
      </c>
      <c r="L145" s="190">
        <v>27.1</v>
      </c>
      <c r="M145" s="190">
        <v>14.8</v>
      </c>
      <c r="N145" s="190">
        <v>15.1</v>
      </c>
      <c r="O145" s="191">
        <f t="shared" si="96"/>
        <v>27.63333333333334</v>
      </c>
      <c r="P145" s="191">
        <f t="shared" si="97"/>
        <v>31.229766738979603</v>
      </c>
      <c r="Q145" s="192">
        <f t="shared" si="98"/>
        <v>1</v>
      </c>
      <c r="R145" s="332">
        <f t="shared" si="104"/>
        <v>21.900000000000002</v>
      </c>
      <c r="S145" s="226">
        <f t="shared" si="72"/>
        <v>1</v>
      </c>
      <c r="T145" s="332">
        <f t="shared" si="105"/>
        <v>33.166666666666664</v>
      </c>
      <c r="U145" s="226">
        <f t="shared" si="73"/>
        <v>1</v>
      </c>
      <c r="V145" s="333">
        <f t="shared" si="106"/>
        <v>27.63333333333334</v>
      </c>
      <c r="W145" s="226">
        <f t="shared" si="74"/>
        <v>1</v>
      </c>
      <c r="X145" s="144">
        <f t="shared" si="99"/>
        <v>23.440625000000001</v>
      </c>
      <c r="Y145" s="144">
        <f t="shared" si="100"/>
        <v>30.637500000000003</v>
      </c>
      <c r="Z145" s="144">
        <f t="shared" si="101"/>
        <v>26.49441287878788</v>
      </c>
      <c r="AA145" s="249"/>
      <c r="AB145" s="357" t="str">
        <f>VLOOKUP($B145,'2007-2020 Metadata'!$A$4:$S$214,MATCH("Urban Area /Monitoring Zone",'2007-2020 Metadata'!$A$4:$S$4,0),FALSE)</f>
        <v>Christchurch</v>
      </c>
      <c r="AC145" s="334" t="str">
        <f>VLOOKUP(B145,'2007-2020 Metadata'!$A$6:$A$214,1,FALSE)</f>
        <v>CHR003</v>
      </c>
      <c r="AD145" s="250" t="str">
        <f>VLOOKUP($AC145,'2007-2020 Metadata'!$A$6:$S$214,9,FALSE)</f>
        <v>Christchurch</v>
      </c>
      <c r="AE145" s="250">
        <f>IF(ISBLANK(VLOOKUP($AC145,'2007-2020 Metadata'!$A$6:$S$214,19,FALSE)),"",VLOOKUP($AC145,'2007-2020 Metadata'!$A$6:$S$214,19,FALSE))</f>
        <v>3.3</v>
      </c>
      <c r="AF145" s="335" t="str">
        <f>VLOOKUP($B145,'2007-2020 Metadata'!$A$4:$S$214,MATCH("Site type",'2007-2020 Metadata'!$A$4:$S$4,0),FALSE)</f>
        <v>SH</v>
      </c>
      <c r="AG145" s="336">
        <f t="shared" si="102"/>
        <v>14.8</v>
      </c>
      <c r="AH145" s="336">
        <f t="shared" si="103"/>
        <v>39.9</v>
      </c>
      <c r="AI145" s="267">
        <f t="shared" si="75"/>
        <v>26.49441287878788</v>
      </c>
    </row>
    <row r="146" spans="2:35" ht="12" customHeight="1" x14ac:dyDescent="0.15">
      <c r="B146" s="193" t="s">
        <v>24</v>
      </c>
      <c r="C146" s="190">
        <v>9.5</v>
      </c>
      <c r="D146" s="190">
        <v>11.4</v>
      </c>
      <c r="E146" s="190">
        <v>14.5</v>
      </c>
      <c r="F146" s="190">
        <v>16.100000000000001</v>
      </c>
      <c r="G146" s="190">
        <v>19.8</v>
      </c>
      <c r="H146" s="190">
        <v>21.1</v>
      </c>
      <c r="I146" s="190">
        <v>22.9</v>
      </c>
      <c r="J146" s="190">
        <v>16.3</v>
      </c>
      <c r="K146" s="190">
        <v>13.9</v>
      </c>
      <c r="L146" s="190">
        <v>10.4</v>
      </c>
      <c r="M146" s="190">
        <v>6.4</v>
      </c>
      <c r="N146" s="190">
        <v>6.8</v>
      </c>
      <c r="O146" s="191">
        <f t="shared" si="96"/>
        <v>14.09166666666667</v>
      </c>
      <c r="P146" s="191">
        <f t="shared" si="97"/>
        <v>36.799270395485351</v>
      </c>
      <c r="Q146" s="192">
        <f t="shared" si="98"/>
        <v>1</v>
      </c>
      <c r="R146" s="332">
        <f t="shared" si="104"/>
        <v>11.799999999999999</v>
      </c>
      <c r="S146" s="226">
        <f t="shared" si="72"/>
        <v>1</v>
      </c>
      <c r="T146" s="332">
        <f t="shared" si="105"/>
        <v>17.7</v>
      </c>
      <c r="U146" s="226">
        <f t="shared" si="73"/>
        <v>1</v>
      </c>
      <c r="V146" s="333">
        <f t="shared" si="106"/>
        <v>14.09166666666667</v>
      </c>
      <c r="W146" s="226">
        <f t="shared" si="74"/>
        <v>1</v>
      </c>
      <c r="X146" s="144">
        <f t="shared" si="99"/>
        <v>23.440625000000001</v>
      </c>
      <c r="Y146" s="144">
        <f t="shared" si="100"/>
        <v>30.637500000000003</v>
      </c>
      <c r="Z146" s="144">
        <f t="shared" si="101"/>
        <v>26.49441287878788</v>
      </c>
      <c r="AA146" s="249"/>
      <c r="AB146" s="357" t="str">
        <f>VLOOKUP($B146,'2007-2020 Metadata'!$A$4:$S$214,MATCH("Urban Area /Monitoring Zone",'2007-2020 Metadata'!$A$4:$S$4,0),FALSE)</f>
        <v>Christchurch</v>
      </c>
      <c r="AC146" s="334" t="str">
        <f>VLOOKUP(B146,'2007-2020 Metadata'!$A$6:$A$214,1,FALSE)</f>
        <v>CHR004</v>
      </c>
      <c r="AD146" s="250" t="str">
        <f>VLOOKUP($AC146,'2007-2020 Metadata'!$A$6:$S$214,9,FALSE)</f>
        <v>Christchurch</v>
      </c>
      <c r="AE146" s="250">
        <f>IF(ISBLANK(VLOOKUP($AC146,'2007-2020 Metadata'!$A$6:$S$214,19,FALSE)),"",VLOOKUP($AC146,'2007-2020 Metadata'!$A$6:$S$214,19,FALSE))</f>
        <v>3.1</v>
      </c>
      <c r="AF146" s="335" t="str">
        <f>VLOOKUP($B146,'2007-2020 Metadata'!$A$4:$S$214,MATCH("Site type",'2007-2020 Metadata'!$A$4:$S$4,0),FALSE)</f>
        <v>Background</v>
      </c>
      <c r="AG146" s="336">
        <f t="shared" si="102"/>
        <v>6.4</v>
      </c>
      <c r="AH146" s="336">
        <f t="shared" si="103"/>
        <v>22.9</v>
      </c>
      <c r="AI146" s="267">
        <f t="shared" si="75"/>
        <v>26.49441287878788</v>
      </c>
    </row>
    <row r="147" spans="2:35" ht="12" customHeight="1" x14ac:dyDescent="0.15">
      <c r="B147" s="193" t="s">
        <v>25</v>
      </c>
      <c r="C147" s="190"/>
      <c r="D147" s="190">
        <v>28.7</v>
      </c>
      <c r="E147" s="190">
        <v>34.1</v>
      </c>
      <c r="F147" s="190">
        <v>32.799999999999997</v>
      </c>
      <c r="G147" s="190">
        <v>39.299999999999997</v>
      </c>
      <c r="H147" s="190">
        <v>35.1</v>
      </c>
      <c r="I147" s="190">
        <v>42.1</v>
      </c>
      <c r="J147" s="190">
        <v>35.200000000000003</v>
      </c>
      <c r="K147" s="190">
        <v>33.9</v>
      </c>
      <c r="L147" s="190">
        <v>31.7</v>
      </c>
      <c r="M147" s="190">
        <v>21.1</v>
      </c>
      <c r="N147" s="190">
        <v>15.7</v>
      </c>
      <c r="O147" s="191">
        <f t="shared" si="96"/>
        <v>31.790909090909086</v>
      </c>
      <c r="P147" s="191">
        <f t="shared" si="97"/>
        <v>22.817516964012569</v>
      </c>
      <c r="Q147" s="192">
        <f t="shared" si="98"/>
        <v>0.91666666666666663</v>
      </c>
      <c r="R147" s="332">
        <f t="shared" si="104"/>
        <v>31.4</v>
      </c>
      <c r="S147" s="226">
        <f t="shared" si="72"/>
        <v>0.66666666666666663</v>
      </c>
      <c r="T147" s="332">
        <f t="shared" si="105"/>
        <v>37.06666666666667</v>
      </c>
      <c r="U147" s="226">
        <f t="shared" si="73"/>
        <v>1</v>
      </c>
      <c r="V147" s="333">
        <f t="shared" si="106"/>
        <v>31.790909090909086</v>
      </c>
      <c r="W147" s="226">
        <f t="shared" si="74"/>
        <v>0.91666666666666663</v>
      </c>
      <c r="X147" s="144">
        <f t="shared" si="99"/>
        <v>23.440625000000001</v>
      </c>
      <c r="Y147" s="144">
        <f t="shared" si="100"/>
        <v>30.637500000000003</v>
      </c>
      <c r="Z147" s="144">
        <f t="shared" si="101"/>
        <v>26.49441287878788</v>
      </c>
      <c r="AA147" s="249"/>
      <c r="AB147" s="357" t="str">
        <f>VLOOKUP($B147,'2007-2020 Metadata'!$A$4:$S$214,MATCH("Urban Area /Monitoring Zone",'2007-2020 Metadata'!$A$4:$S$4,0),FALSE)</f>
        <v>Christchurch</v>
      </c>
      <c r="AC147" s="334" t="str">
        <f>VLOOKUP(B147,'2007-2020 Metadata'!$A$6:$A$214,1,FALSE)</f>
        <v>CHR006</v>
      </c>
      <c r="AD147" s="250" t="str">
        <f>VLOOKUP($AC147,'2007-2020 Metadata'!$A$6:$S$214,9,FALSE)</f>
        <v>Christchurch</v>
      </c>
      <c r="AE147" s="250">
        <f>IF(ISBLANK(VLOOKUP($AC147,'2007-2020 Metadata'!$A$6:$S$214,19,FALSE)),"",VLOOKUP($AC147,'2007-2020 Metadata'!$A$6:$S$214,19,FALSE))</f>
        <v>3.4</v>
      </c>
      <c r="AF147" s="335" t="str">
        <f>VLOOKUP($B147,'2007-2020 Metadata'!$A$4:$S$214,MATCH("Site type",'2007-2020 Metadata'!$A$4:$S$4,0),FALSE)</f>
        <v>SH</v>
      </c>
      <c r="AG147" s="336">
        <f t="shared" ref="AG147:AG149" si="107">MIN(AVERAGE($C$13:$C$15),AVERAGE($D$13:$D$15),AVERAGE($E$13:$E$15),AVERAGE($F$13:$F$15),AVERAGE($G$13:$G$15),AVERAGE($H$13:$H$15),AVERAGE($I$13:$I$15),AVERAGE($J$13:$J$15),AVERAGE($K$13:$K$15),AVERAGE($L$13:$L$15),AVERAGE($M$13:$M$15),AVERAGE($N$13:$N$15))</f>
        <v>14.366666666666667</v>
      </c>
      <c r="AH147" s="336">
        <f t="shared" ref="AH147:AH149" si="108">MAX(AVERAGE($C$13:$C$15),AVERAGE($D$13:$D$15),AVERAGE($E$13:$E$15),AVERAGE($F$13:$F$15),AVERAGE($G$13:$G$15),AVERAGE($H$13:$H$15),AVERAGE($I$13:$I$15),AVERAGE($J$13:$J$15),AVERAGE($K$13:$K$15),AVERAGE($L$13:$L$15),AVERAGE($M$13:$M$15),AVERAGE($N$13:$N$15))</f>
        <v>44.300000000000004</v>
      </c>
      <c r="AI147" s="267">
        <f t="shared" si="75"/>
        <v>26.49441287878788</v>
      </c>
    </row>
    <row r="148" spans="2:35" ht="12" customHeight="1" x14ac:dyDescent="0.15">
      <c r="B148" s="193" t="s">
        <v>143</v>
      </c>
      <c r="C148" s="190">
        <v>16.5</v>
      </c>
      <c r="D148" s="190">
        <v>23.8</v>
      </c>
      <c r="E148" s="190">
        <v>23</v>
      </c>
      <c r="F148" s="190">
        <v>28.9</v>
      </c>
      <c r="G148" s="190">
        <v>28.3</v>
      </c>
      <c r="H148" s="190">
        <v>36.4</v>
      </c>
      <c r="I148" s="190">
        <v>33.700000000000003</v>
      </c>
      <c r="J148" s="190">
        <v>33.700000000000003</v>
      </c>
      <c r="K148" s="190">
        <v>23.5</v>
      </c>
      <c r="L148" s="190">
        <v>23.6</v>
      </c>
      <c r="M148" s="190"/>
      <c r="N148" s="190">
        <v>14.8</v>
      </c>
      <c r="O148" s="191">
        <f t="shared" si="96"/>
        <v>26.018181818181816</v>
      </c>
      <c r="P148" s="191">
        <f t="shared" si="97"/>
        <v>25.441316660097019</v>
      </c>
      <c r="Q148" s="192">
        <f t="shared" si="98"/>
        <v>0.91666666666666663</v>
      </c>
      <c r="R148" s="332">
        <f t="shared" si="104"/>
        <v>21.099999999999998</v>
      </c>
      <c r="S148" s="226">
        <f t="shared" si="72"/>
        <v>1</v>
      </c>
      <c r="T148" s="332">
        <f t="shared" si="105"/>
        <v>30.3</v>
      </c>
      <c r="U148" s="226">
        <f t="shared" si="73"/>
        <v>1</v>
      </c>
      <c r="V148" s="333">
        <f t="shared" si="106"/>
        <v>26.018181818181816</v>
      </c>
      <c r="W148" s="226">
        <f t="shared" si="74"/>
        <v>0.91666666666666663</v>
      </c>
      <c r="X148" s="144">
        <f t="shared" si="99"/>
        <v>23.440625000000001</v>
      </c>
      <c r="Y148" s="144">
        <f t="shared" si="100"/>
        <v>30.637500000000003</v>
      </c>
      <c r="Z148" s="144">
        <f t="shared" si="101"/>
        <v>26.49441287878788</v>
      </c>
      <c r="AA148" s="249"/>
      <c r="AB148" s="357" t="str">
        <f>VLOOKUP($B148,'2007-2020 Metadata'!$A$4:$S$214,MATCH("Urban Area /Monitoring Zone",'2007-2020 Metadata'!$A$4:$S$4,0),FALSE)</f>
        <v>Christchurch</v>
      </c>
      <c r="AC148" s="334" t="str">
        <f>VLOOKUP(B148,'2007-2020 Metadata'!$A$6:$A$214,1,FALSE)</f>
        <v>CHR011</v>
      </c>
      <c r="AD148" s="250" t="str">
        <f>VLOOKUP($AC148,'2007-2020 Metadata'!$A$6:$S$214,9,FALSE)</f>
        <v>Christchurch</v>
      </c>
      <c r="AE148" s="250">
        <f>IF(ISBLANK(VLOOKUP($AC148,'2007-2020 Metadata'!$A$6:$S$214,19,FALSE)),"",VLOOKUP($AC148,'2007-2020 Metadata'!$A$6:$S$214,19,FALSE))</f>
        <v>2.85</v>
      </c>
      <c r="AF148" s="335" t="str">
        <f>VLOOKUP($B148,'2007-2020 Metadata'!$A$4:$S$214,MATCH("Site type",'2007-2020 Metadata'!$A$4:$S$4,0),FALSE)</f>
        <v>SH</v>
      </c>
      <c r="AG148" s="336">
        <f t="shared" si="107"/>
        <v>14.366666666666667</v>
      </c>
      <c r="AH148" s="336">
        <f t="shared" si="108"/>
        <v>44.300000000000004</v>
      </c>
      <c r="AI148" s="267">
        <f t="shared" si="75"/>
        <v>26.49441287878788</v>
      </c>
    </row>
    <row r="149" spans="2:35" ht="12" customHeight="1" x14ac:dyDescent="0.15">
      <c r="B149" s="193" t="s">
        <v>144</v>
      </c>
      <c r="C149" s="190">
        <v>23.7</v>
      </c>
      <c r="D149" s="190">
        <v>29.3</v>
      </c>
      <c r="E149" s="190">
        <v>31.5</v>
      </c>
      <c r="F149" s="190">
        <v>31.3</v>
      </c>
      <c r="G149" s="190">
        <v>37</v>
      </c>
      <c r="H149" s="190">
        <v>37.5</v>
      </c>
      <c r="I149" s="190">
        <v>41.5</v>
      </c>
      <c r="J149" s="190">
        <v>35.200000000000003</v>
      </c>
      <c r="K149" s="190">
        <v>31.3</v>
      </c>
      <c r="L149" s="190">
        <v>29.3</v>
      </c>
      <c r="M149" s="190">
        <v>23</v>
      </c>
      <c r="N149" s="190">
        <v>21.9</v>
      </c>
      <c r="O149" s="191">
        <f t="shared" si="96"/>
        <v>31.041666666666668</v>
      </c>
      <c r="P149" s="191">
        <f t="shared" si="97"/>
        <v>18.885958510347255</v>
      </c>
      <c r="Q149" s="192">
        <f t="shared" si="98"/>
        <v>1</v>
      </c>
      <c r="R149" s="332">
        <f t="shared" si="104"/>
        <v>28.166666666666668</v>
      </c>
      <c r="S149" s="226">
        <f t="shared" si="72"/>
        <v>1</v>
      </c>
      <c r="T149" s="332">
        <f t="shared" si="105"/>
        <v>36</v>
      </c>
      <c r="U149" s="226">
        <f t="shared" si="73"/>
        <v>1</v>
      </c>
      <c r="V149" s="333">
        <f t="shared" si="106"/>
        <v>31.041666666666668</v>
      </c>
      <c r="W149" s="226">
        <f t="shared" si="74"/>
        <v>1</v>
      </c>
      <c r="X149" s="144">
        <f t="shared" si="99"/>
        <v>23.440625000000001</v>
      </c>
      <c r="Y149" s="144">
        <f t="shared" si="100"/>
        <v>30.637500000000003</v>
      </c>
      <c r="Z149" s="144">
        <f t="shared" si="101"/>
        <v>26.49441287878788</v>
      </c>
      <c r="AA149" s="249"/>
      <c r="AB149" s="357" t="str">
        <f>VLOOKUP($B149,'2007-2020 Metadata'!$A$4:$S$214,MATCH("Urban Area /Monitoring Zone",'2007-2020 Metadata'!$A$4:$S$4,0),FALSE)</f>
        <v>Christchurch</v>
      </c>
      <c r="AC149" s="334" t="str">
        <f>VLOOKUP(B149,'2007-2020 Metadata'!$A$6:$A$214,1,FALSE)</f>
        <v>CHR012</v>
      </c>
      <c r="AD149" s="250" t="str">
        <f>VLOOKUP($AC149,'2007-2020 Metadata'!$A$6:$S$214,9,FALSE)</f>
        <v>Christchurch</v>
      </c>
      <c r="AE149" s="250">
        <f>IF(ISBLANK(VLOOKUP($AC149,'2007-2020 Metadata'!$A$6:$S$214,19,FALSE)),"",VLOOKUP($AC149,'2007-2020 Metadata'!$A$6:$S$214,19,FALSE))</f>
        <v>3</v>
      </c>
      <c r="AF149" s="335" t="str">
        <f>VLOOKUP($B149,'2007-2020 Metadata'!$A$4:$S$214,MATCH("Site type",'2007-2020 Metadata'!$A$4:$S$4,0),FALSE)</f>
        <v>Local</v>
      </c>
      <c r="AG149" s="336">
        <f t="shared" si="107"/>
        <v>14.366666666666667</v>
      </c>
      <c r="AH149" s="336">
        <f t="shared" si="108"/>
        <v>44.300000000000004</v>
      </c>
      <c r="AI149" s="267">
        <f t="shared" si="75"/>
        <v>26.49441287878788</v>
      </c>
    </row>
    <row r="150" spans="2:35" ht="12" customHeight="1" x14ac:dyDescent="0.15">
      <c r="B150" s="193" t="s">
        <v>145</v>
      </c>
      <c r="C150" s="190">
        <v>13.7</v>
      </c>
      <c r="D150" s="190">
        <v>20.399999999999999</v>
      </c>
      <c r="E150" s="190"/>
      <c r="F150" s="190">
        <v>27.9</v>
      </c>
      <c r="G150" s="190">
        <v>33.799999999999997</v>
      </c>
      <c r="H150" s="190">
        <v>37.200000000000003</v>
      </c>
      <c r="I150" s="190">
        <v>31.5</v>
      </c>
      <c r="J150" s="190">
        <v>29.2</v>
      </c>
      <c r="K150" s="190">
        <v>23.3</v>
      </c>
      <c r="L150" s="190">
        <v>22.5</v>
      </c>
      <c r="M150" s="190">
        <v>11.9</v>
      </c>
      <c r="N150" s="190">
        <v>10.8</v>
      </c>
      <c r="O150" s="191">
        <f t="shared" si="96"/>
        <v>23.836363636363636</v>
      </c>
      <c r="P150" s="191">
        <f t="shared" si="97"/>
        <v>36.020863672052144</v>
      </c>
      <c r="Q150" s="192">
        <f t="shared" si="98"/>
        <v>0.91666666666666663</v>
      </c>
      <c r="R150" s="332">
        <f t="shared" si="104"/>
        <v>17.049999999999997</v>
      </c>
      <c r="S150" s="226">
        <f t="shared" ref="S150:S169" si="109">COUNT(C150:E150)/3</f>
        <v>0.66666666666666663</v>
      </c>
      <c r="T150" s="332">
        <f t="shared" si="105"/>
        <v>28</v>
      </c>
      <c r="U150" s="226">
        <f t="shared" ref="U150:U169" si="110">COUNT(I150:K150)/3</f>
        <v>1</v>
      </c>
      <c r="V150" s="333">
        <f t="shared" si="106"/>
        <v>23.836363636363636</v>
      </c>
      <c r="W150" s="226">
        <f t="shared" ref="W150:W169" si="111">Q150</f>
        <v>0.91666666666666663</v>
      </c>
      <c r="X150" s="144">
        <f t="shared" si="99"/>
        <v>23.440625000000001</v>
      </c>
      <c r="Y150" s="144">
        <f t="shared" si="100"/>
        <v>30.637500000000003</v>
      </c>
      <c r="Z150" s="144">
        <f t="shared" si="101"/>
        <v>26.49441287878788</v>
      </c>
      <c r="AA150" s="249"/>
      <c r="AB150" s="357" t="str">
        <f>VLOOKUP($B150,'2007-2020 Metadata'!$A$4:$S$214,MATCH("Urban Area /Monitoring Zone",'2007-2020 Metadata'!$A$4:$S$4,0),FALSE)</f>
        <v>Christchurch</v>
      </c>
      <c r="AC150" s="334" t="str">
        <f>VLOOKUP(B150,'2007-2020 Metadata'!$A$6:$A$214,1,FALSE)</f>
        <v>CHR013</v>
      </c>
      <c r="AD150" s="250" t="str">
        <f>VLOOKUP($AC150,'2007-2020 Metadata'!$A$6:$S$214,9,FALSE)</f>
        <v>Christchurch</v>
      </c>
      <c r="AE150" s="250">
        <f>IF(ISBLANK(VLOOKUP($AC150,'2007-2020 Metadata'!$A$6:$S$214,19,FALSE)),"",VLOOKUP($AC150,'2007-2020 Metadata'!$A$6:$S$214,19,FALSE))</f>
        <v>3.15</v>
      </c>
      <c r="AF150" s="335" t="str">
        <f>VLOOKUP($B150,'2007-2020 Metadata'!$A$4:$S$214,MATCH("Site type",'2007-2020 Metadata'!$A$4:$S$4,0),FALSE)</f>
        <v>SH</v>
      </c>
      <c r="AG150" s="336">
        <f t="shared" ref="AG150:AG153" si="112">MIN(C150:N150)</f>
        <v>10.8</v>
      </c>
      <c r="AH150" s="336">
        <f t="shared" ref="AH150:AH153" si="113">MAX(C150:N150)</f>
        <v>37.200000000000003</v>
      </c>
      <c r="AI150" s="267">
        <f t="shared" ref="AI150:AI169" si="114">IF(W150&gt;=75%,Z150," ")</f>
        <v>26.49441287878788</v>
      </c>
    </row>
    <row r="151" spans="2:35" ht="12" customHeight="1" x14ac:dyDescent="0.15">
      <c r="B151" s="193" t="s">
        <v>146</v>
      </c>
      <c r="C151" s="190">
        <v>27.9</v>
      </c>
      <c r="D151" s="190"/>
      <c r="E151" s="190">
        <v>32.5</v>
      </c>
      <c r="F151" s="190">
        <v>34.9</v>
      </c>
      <c r="G151" s="190">
        <v>36.5</v>
      </c>
      <c r="H151" s="190">
        <v>32.799999999999997</v>
      </c>
      <c r="I151" s="190">
        <v>41</v>
      </c>
      <c r="J151" s="190">
        <v>32.9</v>
      </c>
      <c r="K151" s="190">
        <v>31.2</v>
      </c>
      <c r="L151" s="190">
        <v>29.7</v>
      </c>
      <c r="M151" s="190">
        <v>20.2</v>
      </c>
      <c r="N151" s="190">
        <v>19.600000000000001</v>
      </c>
      <c r="O151" s="191">
        <f t="shared" si="96"/>
        <v>30.83636363636364</v>
      </c>
      <c r="P151" s="191">
        <f t="shared" si="97"/>
        <v>19.851684580249778</v>
      </c>
      <c r="Q151" s="192">
        <f t="shared" si="98"/>
        <v>0.91666666666666663</v>
      </c>
      <c r="R151" s="332">
        <f t="shared" si="104"/>
        <v>30.2</v>
      </c>
      <c r="S151" s="226">
        <f t="shared" si="109"/>
        <v>0.66666666666666663</v>
      </c>
      <c r="T151" s="332">
        <f t="shared" si="105"/>
        <v>35.033333333333339</v>
      </c>
      <c r="U151" s="226">
        <f t="shared" si="110"/>
        <v>1</v>
      </c>
      <c r="V151" s="333">
        <f t="shared" si="106"/>
        <v>30.83636363636364</v>
      </c>
      <c r="W151" s="226">
        <f t="shared" si="111"/>
        <v>0.91666666666666663</v>
      </c>
      <c r="X151" s="144">
        <f t="shared" si="99"/>
        <v>23.440625000000001</v>
      </c>
      <c r="Y151" s="144">
        <f t="shared" si="100"/>
        <v>30.637500000000003</v>
      </c>
      <c r="Z151" s="144">
        <f t="shared" si="101"/>
        <v>26.49441287878788</v>
      </c>
      <c r="AA151" s="249"/>
      <c r="AB151" s="357" t="str">
        <f>VLOOKUP($B151,'2007-2020 Metadata'!$A$4:$S$214,MATCH("Urban Area /Monitoring Zone",'2007-2020 Metadata'!$A$4:$S$4,0),FALSE)</f>
        <v>Christchurch</v>
      </c>
      <c r="AC151" s="334" t="str">
        <f>VLOOKUP(B151,'2007-2020 Metadata'!$A$6:$A$214,1,FALSE)</f>
        <v>CHR014</v>
      </c>
      <c r="AD151" s="250" t="str">
        <f>VLOOKUP($AC151,'2007-2020 Metadata'!$A$6:$S$214,9,FALSE)</f>
        <v>Christchurch</v>
      </c>
      <c r="AE151" s="250">
        <f>IF(ISBLANK(VLOOKUP($AC151,'2007-2020 Metadata'!$A$6:$S$214,19,FALSE)),"",VLOOKUP($AC151,'2007-2020 Metadata'!$A$6:$S$214,19,FALSE))</f>
        <v>2.9</v>
      </c>
      <c r="AF151" s="335" t="str">
        <f>VLOOKUP($B151,'2007-2020 Metadata'!$A$4:$S$214,MATCH("Site type",'2007-2020 Metadata'!$A$4:$S$4,0),FALSE)</f>
        <v>SH</v>
      </c>
      <c r="AG151" s="336">
        <f t="shared" si="112"/>
        <v>19.600000000000001</v>
      </c>
      <c r="AH151" s="336">
        <f t="shared" si="113"/>
        <v>41</v>
      </c>
      <c r="AI151" s="267">
        <f t="shared" si="114"/>
        <v>26.49441287878788</v>
      </c>
    </row>
    <row r="152" spans="2:35" ht="12" customHeight="1" x14ac:dyDescent="0.15">
      <c r="B152" s="193" t="s">
        <v>147</v>
      </c>
      <c r="C152" s="190">
        <v>17.7</v>
      </c>
      <c r="D152" s="190">
        <v>22.3</v>
      </c>
      <c r="E152" s="190">
        <v>25.3</v>
      </c>
      <c r="F152" s="190"/>
      <c r="G152" s="190">
        <v>32.6</v>
      </c>
      <c r="H152" s="190">
        <v>35.5</v>
      </c>
      <c r="I152" s="190">
        <v>34.6</v>
      </c>
      <c r="J152" s="190">
        <v>29.5</v>
      </c>
      <c r="K152" s="190">
        <v>23.5</v>
      </c>
      <c r="L152" s="190">
        <v>23.3</v>
      </c>
      <c r="M152" s="190">
        <v>15.1</v>
      </c>
      <c r="N152" s="190">
        <v>16.100000000000001</v>
      </c>
      <c r="O152" s="191">
        <f t="shared" si="96"/>
        <v>25.04545454545455</v>
      </c>
      <c r="P152" s="191">
        <f t="shared" si="97"/>
        <v>27.542471778822698</v>
      </c>
      <c r="Q152" s="192">
        <f t="shared" si="98"/>
        <v>0.91666666666666663</v>
      </c>
      <c r="R152" s="332">
        <f t="shared" si="104"/>
        <v>21.766666666666666</v>
      </c>
      <c r="S152" s="226">
        <f t="shared" si="109"/>
        <v>1</v>
      </c>
      <c r="T152" s="332">
        <f t="shared" si="105"/>
        <v>29.2</v>
      </c>
      <c r="U152" s="226">
        <f t="shared" si="110"/>
        <v>1</v>
      </c>
      <c r="V152" s="333">
        <f t="shared" si="106"/>
        <v>25.04545454545455</v>
      </c>
      <c r="W152" s="226">
        <f t="shared" si="111"/>
        <v>0.91666666666666663</v>
      </c>
      <c r="X152" s="144">
        <f t="shared" si="99"/>
        <v>23.440625000000001</v>
      </c>
      <c r="Y152" s="144">
        <f t="shared" si="100"/>
        <v>30.637500000000003</v>
      </c>
      <c r="Z152" s="144">
        <f t="shared" si="101"/>
        <v>26.49441287878788</v>
      </c>
      <c r="AA152" s="249"/>
      <c r="AB152" s="357" t="str">
        <f>VLOOKUP($B152,'2007-2020 Metadata'!$A$4:$S$214,MATCH("Urban Area /Monitoring Zone",'2007-2020 Metadata'!$A$4:$S$4,0),FALSE)</f>
        <v>Christchurch</v>
      </c>
      <c r="AC152" s="334" t="str">
        <f>VLOOKUP(B152,'2007-2020 Metadata'!$A$6:$A$214,1,FALSE)</f>
        <v>CHR015</v>
      </c>
      <c r="AD152" s="250" t="str">
        <f>VLOOKUP($AC152,'2007-2020 Metadata'!$A$6:$S$214,9,FALSE)</f>
        <v>Christchurch</v>
      </c>
      <c r="AE152" s="250">
        <f>IF(ISBLANK(VLOOKUP($AC152,'2007-2020 Metadata'!$A$6:$S$214,19,FALSE)),"",VLOOKUP($AC152,'2007-2020 Metadata'!$A$6:$S$214,19,FALSE))</f>
        <v>3.1</v>
      </c>
      <c r="AF152" s="335" t="str">
        <f>VLOOKUP($B152,'2007-2020 Metadata'!$A$4:$S$214,MATCH("Site type",'2007-2020 Metadata'!$A$4:$S$4,0),FALSE)</f>
        <v>Local</v>
      </c>
      <c r="AG152" s="336">
        <f t="shared" si="112"/>
        <v>15.1</v>
      </c>
      <c r="AH152" s="336">
        <f t="shared" si="113"/>
        <v>35.5</v>
      </c>
      <c r="AI152" s="267">
        <f t="shared" si="114"/>
        <v>26.49441287878788</v>
      </c>
    </row>
    <row r="153" spans="2:35" ht="12" customHeight="1" x14ac:dyDescent="0.15">
      <c r="B153" s="193" t="s">
        <v>148</v>
      </c>
      <c r="C153" s="190">
        <v>23.6</v>
      </c>
      <c r="D153" s="190">
        <v>29.3</v>
      </c>
      <c r="E153" s="190">
        <v>35.6</v>
      </c>
      <c r="F153" s="190">
        <v>36.5</v>
      </c>
      <c r="G153" s="190">
        <v>42.2</v>
      </c>
      <c r="H153" s="190">
        <v>47.9</v>
      </c>
      <c r="I153" s="190">
        <v>46.2</v>
      </c>
      <c r="J153" s="190">
        <v>39.4</v>
      </c>
      <c r="K153" s="190">
        <v>35.1</v>
      </c>
      <c r="L153" s="190">
        <v>35.200000000000003</v>
      </c>
      <c r="M153" s="190">
        <v>24.8</v>
      </c>
      <c r="N153" s="190">
        <v>23.9</v>
      </c>
      <c r="O153" s="191">
        <f t="shared" si="96"/>
        <v>34.975000000000001</v>
      </c>
      <c r="P153" s="191">
        <f t="shared" si="97"/>
        <v>22.685108600512276</v>
      </c>
      <c r="Q153" s="192">
        <f t="shared" si="98"/>
        <v>1</v>
      </c>
      <c r="R153" s="332">
        <f t="shared" si="104"/>
        <v>29.5</v>
      </c>
      <c r="S153" s="226">
        <f t="shared" si="109"/>
        <v>1</v>
      </c>
      <c r="T153" s="332">
        <f t="shared" si="105"/>
        <v>40.233333333333327</v>
      </c>
      <c r="U153" s="226">
        <f t="shared" si="110"/>
        <v>1</v>
      </c>
      <c r="V153" s="333">
        <f t="shared" si="106"/>
        <v>34.975000000000001</v>
      </c>
      <c r="W153" s="226">
        <f t="shared" si="111"/>
        <v>1</v>
      </c>
      <c r="X153" s="144">
        <f t="shared" si="99"/>
        <v>23.440625000000001</v>
      </c>
      <c r="Y153" s="144">
        <f t="shared" si="100"/>
        <v>30.637500000000003</v>
      </c>
      <c r="Z153" s="144">
        <f t="shared" si="101"/>
        <v>26.49441287878788</v>
      </c>
      <c r="AA153" s="249"/>
      <c r="AB153" s="357" t="str">
        <f>VLOOKUP($B153,'2007-2020 Metadata'!$A$4:$S$214,MATCH("Urban Area /Monitoring Zone",'2007-2020 Metadata'!$A$4:$S$4,0),FALSE)</f>
        <v>Christchurch</v>
      </c>
      <c r="AC153" s="334" t="str">
        <f>VLOOKUP(B153,'2007-2020 Metadata'!$A$6:$A$214,1,FALSE)</f>
        <v>CHR016</v>
      </c>
      <c r="AD153" s="250" t="str">
        <f>VLOOKUP($AC153,'2007-2020 Metadata'!$A$6:$S$214,9,FALSE)</f>
        <v>Christchurch</v>
      </c>
      <c r="AE153" s="250">
        <f>IF(ISBLANK(VLOOKUP($AC153,'2007-2020 Metadata'!$A$6:$S$214,19,FALSE)),"",VLOOKUP($AC153,'2007-2020 Metadata'!$A$6:$S$214,19,FALSE))</f>
        <v>3</v>
      </c>
      <c r="AF153" s="335" t="str">
        <f>VLOOKUP($B153,'2007-2020 Metadata'!$A$4:$S$214,MATCH("Site type",'2007-2020 Metadata'!$A$4:$S$4,0),FALSE)</f>
        <v>Local</v>
      </c>
      <c r="AG153" s="336">
        <f t="shared" si="112"/>
        <v>23.6</v>
      </c>
      <c r="AH153" s="336">
        <f t="shared" si="113"/>
        <v>47.9</v>
      </c>
      <c r="AI153" s="267">
        <f t="shared" si="114"/>
        <v>26.49441287878788</v>
      </c>
    </row>
    <row r="154" spans="2:35" ht="12" customHeight="1" x14ac:dyDescent="0.15">
      <c r="B154" s="193" t="s">
        <v>149</v>
      </c>
      <c r="C154" s="190">
        <v>37.799999999999997</v>
      </c>
      <c r="D154" s="190">
        <v>35.700000000000003</v>
      </c>
      <c r="E154" s="190">
        <v>33.9</v>
      </c>
      <c r="F154" s="190">
        <v>33.700000000000003</v>
      </c>
      <c r="G154" s="190">
        <v>39.1</v>
      </c>
      <c r="H154" s="190">
        <v>42.7</v>
      </c>
      <c r="I154" s="190">
        <v>44.9</v>
      </c>
      <c r="J154" s="190">
        <v>40.4</v>
      </c>
      <c r="K154" s="190">
        <v>32.1</v>
      </c>
      <c r="L154" s="190">
        <v>40.6</v>
      </c>
      <c r="M154" s="190">
        <v>36.1</v>
      </c>
      <c r="N154" s="190">
        <v>31.6</v>
      </c>
      <c r="O154" s="191">
        <f t="shared" si="96"/>
        <v>37.38333333333334</v>
      </c>
      <c r="P154" s="191">
        <f t="shared" si="97"/>
        <v>10.889884407611556</v>
      </c>
      <c r="Q154" s="192">
        <f t="shared" si="98"/>
        <v>1</v>
      </c>
      <c r="R154" s="251">
        <f t="shared" si="104"/>
        <v>35.800000000000004</v>
      </c>
      <c r="S154" s="252">
        <f t="shared" si="109"/>
        <v>1</v>
      </c>
      <c r="T154" s="251">
        <f t="shared" si="105"/>
        <v>39.133333333333333</v>
      </c>
      <c r="U154" s="252">
        <f t="shared" si="110"/>
        <v>1</v>
      </c>
      <c r="V154" s="253">
        <f t="shared" si="106"/>
        <v>37.38333333333334</v>
      </c>
      <c r="W154" s="252">
        <f t="shared" si="111"/>
        <v>1</v>
      </c>
      <c r="X154" s="359">
        <f t="shared" si="99"/>
        <v>23.440625000000001</v>
      </c>
      <c r="Y154" s="359">
        <f t="shared" si="100"/>
        <v>30.637500000000003</v>
      </c>
      <c r="Z154" s="359">
        <f t="shared" si="101"/>
        <v>26.49441287878788</v>
      </c>
      <c r="AA154" s="366"/>
      <c r="AB154" s="357" t="str">
        <f>VLOOKUP($B154,'2007-2020 Metadata'!$A$4:$S$214,MATCH("Urban Area /Monitoring Zone",'2007-2020 Metadata'!$A$4:$S$4,0),FALSE)</f>
        <v>Christchurch</v>
      </c>
      <c r="AC154" s="255" t="str">
        <f>VLOOKUP(B154,'2007-2020 Metadata'!$A$6:$A$214,1,FALSE)</f>
        <v>CHR017</v>
      </c>
      <c r="AD154" s="361" t="str">
        <f>VLOOKUP($AC154,'2007-2020 Metadata'!$A$6:$S$214,9,FALSE)</f>
        <v>Christchurch</v>
      </c>
      <c r="AE154" s="361">
        <f>IF(ISBLANK(VLOOKUP($AC154,'2007-2020 Metadata'!$A$6:$S$214,19,FALSE)),"",VLOOKUP($AC154,'2007-2020 Metadata'!$A$6:$S$214,19,FALSE))</f>
        <v>3</v>
      </c>
      <c r="AF154" s="360" t="str">
        <f>VLOOKUP($B154,'2007-2020 Metadata'!$A$4:$S$214,MATCH("Site type",'2007-2020 Metadata'!$A$4:$S$4,0),FALSE)</f>
        <v>Local</v>
      </c>
      <c r="AG154" s="365">
        <f>MIN(AVERAGE($C$154:$C$156),AVERAGE($D$154:$D$156),AVERAGE($E$154:$E$156),AVERAGE($F$154:$F$156),AVERAGE($G$154:$G$156),AVERAGE($H$154:$H$156),AVERAGE($I$154:$I$156),AVERAGE($J$154:$J$156),AVERAGE($K$154:$K$156),AVERAGE($L$154:$L$156),AVERAGE($M$154:$M$156),AVERAGE($N$154:$N$156))</f>
        <v>29.8</v>
      </c>
      <c r="AH154" s="365">
        <f>MAX(AVERAGE($C$154:$C$156),AVERAGE($D$154:$D$156),AVERAGE($E$154:$E$156),AVERAGE($F$154:$F$156),AVERAGE($G$154:$G$156),AVERAGE($H$154:$H$156),AVERAGE($I$154:$I$156),AVERAGE($J$154:$J$156),AVERAGE($K$154:$K$156),AVERAGE($L$154:$L$156),AVERAGE($M$154:$M$156),AVERAGE($N$154:$N$156))</f>
        <v>45.5</v>
      </c>
      <c r="AI154" s="359">
        <f t="shared" si="114"/>
        <v>26.49441287878788</v>
      </c>
    </row>
    <row r="155" spans="2:35" ht="12" customHeight="1" x14ac:dyDescent="0.15">
      <c r="B155" s="193" t="s">
        <v>150</v>
      </c>
      <c r="C155" s="190">
        <v>34.6</v>
      </c>
      <c r="D155" s="190">
        <v>34.9</v>
      </c>
      <c r="E155" s="190">
        <v>35.6</v>
      </c>
      <c r="F155" s="190">
        <v>35.5</v>
      </c>
      <c r="G155" s="190">
        <v>31.9</v>
      </c>
      <c r="H155" s="190">
        <v>38.1</v>
      </c>
      <c r="I155" s="190">
        <v>45.3</v>
      </c>
      <c r="J155" s="190">
        <v>41</v>
      </c>
      <c r="K155" s="190">
        <v>36.4</v>
      </c>
      <c r="L155" s="190">
        <v>32.4</v>
      </c>
      <c r="M155" s="190">
        <v>35.6</v>
      </c>
      <c r="N155" s="190">
        <v>25.3</v>
      </c>
      <c r="O155" s="191">
        <f t="shared" si="96"/>
        <v>35.549999999999997</v>
      </c>
      <c r="P155" s="191">
        <f t="shared" si="97"/>
        <v>13.134499929344685</v>
      </c>
      <c r="Q155" s="192">
        <f t="shared" si="98"/>
        <v>1</v>
      </c>
      <c r="R155" s="251">
        <f t="shared" si="104"/>
        <v>35.033333333333331</v>
      </c>
      <c r="S155" s="252">
        <f t="shared" si="109"/>
        <v>1</v>
      </c>
      <c r="T155" s="251">
        <f t="shared" si="105"/>
        <v>40.9</v>
      </c>
      <c r="U155" s="252">
        <f t="shared" si="110"/>
        <v>1</v>
      </c>
      <c r="V155" s="253">
        <f t="shared" si="106"/>
        <v>35.549999999999997</v>
      </c>
      <c r="W155" s="252">
        <f t="shared" si="111"/>
        <v>1</v>
      </c>
      <c r="X155" s="359">
        <f t="shared" si="99"/>
        <v>23.440625000000001</v>
      </c>
      <c r="Y155" s="359">
        <f t="shared" si="100"/>
        <v>30.637500000000003</v>
      </c>
      <c r="Z155" s="359">
        <f t="shared" si="101"/>
        <v>26.49441287878788</v>
      </c>
      <c r="AA155" s="366"/>
      <c r="AB155" s="357" t="str">
        <f>VLOOKUP($B155,'2007-2020 Metadata'!$A$4:$S$214,MATCH("Urban Area /Monitoring Zone",'2007-2020 Metadata'!$A$4:$S$4,0),FALSE)</f>
        <v>Christchurch</v>
      </c>
      <c r="AC155" s="255" t="str">
        <f>VLOOKUP(B155,'2007-2020 Metadata'!$A$6:$A$214,1,FALSE)</f>
        <v>CHR018</v>
      </c>
      <c r="AD155" s="361" t="str">
        <f>VLOOKUP($AC155,'2007-2020 Metadata'!$A$6:$S$214,9,FALSE)</f>
        <v>Christchurch</v>
      </c>
      <c r="AE155" s="361">
        <f>IF(ISBLANK(VLOOKUP($AC155,'2007-2020 Metadata'!$A$6:$S$214,19,FALSE)),"",VLOOKUP($AC155,'2007-2020 Metadata'!$A$6:$S$214,19,FALSE))</f>
        <v>3</v>
      </c>
      <c r="AF155" s="360" t="str">
        <f>VLOOKUP($B155,'2007-2020 Metadata'!$A$4:$S$214,MATCH("Site type",'2007-2020 Metadata'!$A$4:$S$4,0),FALSE)</f>
        <v>Local</v>
      </c>
      <c r="AG155" s="365">
        <f t="shared" ref="AG155" si="115">MIN(AVERAGE($C$154:$C$156),AVERAGE($D$154:$D$156),AVERAGE($E$154:$E$156),AVERAGE($F$154:$F$156),AVERAGE($G$154:$G$156),AVERAGE($H$154:$H$156),AVERAGE($I$154:$I$156),AVERAGE($J$154:$J$156),AVERAGE($K$154:$K$156),AVERAGE($L$154:$L$156),AVERAGE($M$154:$M$156),AVERAGE($N$154:$N$156))</f>
        <v>29.8</v>
      </c>
      <c r="AH155" s="365">
        <f t="shared" ref="AH155:AH156" si="116">MAX(AVERAGE($C$154:$C$156),AVERAGE($D$154:$D$156),AVERAGE($E$154:$E$156),AVERAGE($F$154:$F$156),AVERAGE($G$154:$G$156),AVERAGE($H$154:$H$156),AVERAGE($I$154:$I$156),AVERAGE($J$154:$J$156),AVERAGE($K$154:$K$156),AVERAGE($L$154:$L$156),AVERAGE($M$154:$M$156),AVERAGE($N$154:$N$156))</f>
        <v>45.5</v>
      </c>
      <c r="AI155" s="359">
        <f t="shared" si="114"/>
        <v>26.49441287878788</v>
      </c>
    </row>
    <row r="156" spans="2:35" ht="12" customHeight="1" x14ac:dyDescent="0.15">
      <c r="B156" s="193" t="s">
        <v>151</v>
      </c>
      <c r="C156" s="190">
        <v>35.5</v>
      </c>
      <c r="D156" s="190">
        <v>36.4</v>
      </c>
      <c r="E156" s="190">
        <v>38.1</v>
      </c>
      <c r="F156" s="190">
        <v>35.700000000000003</v>
      </c>
      <c r="G156" s="190">
        <v>39.5</v>
      </c>
      <c r="H156" s="190">
        <v>39.700000000000003</v>
      </c>
      <c r="I156" s="190">
        <v>46.3</v>
      </c>
      <c r="J156" s="190">
        <v>37.799999999999997</v>
      </c>
      <c r="K156" s="190">
        <v>36.1</v>
      </c>
      <c r="L156" s="190">
        <v>35.9</v>
      </c>
      <c r="M156" s="190">
        <v>36.799999999999997</v>
      </c>
      <c r="N156" s="190">
        <v>32.5</v>
      </c>
      <c r="O156" s="191">
        <f t="shared" si="96"/>
        <v>37.524999999999999</v>
      </c>
      <c r="P156" s="191">
        <f t="shared" si="97"/>
        <v>8.6071720915975511</v>
      </c>
      <c r="Q156" s="192">
        <f t="shared" si="98"/>
        <v>1</v>
      </c>
      <c r="R156" s="251">
        <f t="shared" si="104"/>
        <v>36.666666666666664</v>
      </c>
      <c r="S156" s="252">
        <f t="shared" si="109"/>
        <v>1</v>
      </c>
      <c r="T156" s="251">
        <f t="shared" si="105"/>
        <v>40.066666666666663</v>
      </c>
      <c r="U156" s="252">
        <f t="shared" si="110"/>
        <v>1</v>
      </c>
      <c r="V156" s="253">
        <f t="shared" si="106"/>
        <v>37.524999999999999</v>
      </c>
      <c r="W156" s="252">
        <f t="shared" si="111"/>
        <v>1</v>
      </c>
      <c r="X156" s="359">
        <f t="shared" si="99"/>
        <v>23.440625000000001</v>
      </c>
      <c r="Y156" s="359">
        <f t="shared" si="100"/>
        <v>30.637500000000003</v>
      </c>
      <c r="Z156" s="359">
        <f t="shared" si="101"/>
        <v>26.49441287878788</v>
      </c>
      <c r="AA156" s="366"/>
      <c r="AB156" s="357" t="str">
        <f>VLOOKUP($B156,'2007-2020 Metadata'!$A$4:$S$214,MATCH("Urban Area /Monitoring Zone",'2007-2020 Metadata'!$A$4:$S$4,0),FALSE)</f>
        <v>Christchurch</v>
      </c>
      <c r="AC156" s="255" t="str">
        <f>VLOOKUP(B156,'2007-2020 Metadata'!$A$6:$A$214,1,FALSE)</f>
        <v>CHR019</v>
      </c>
      <c r="AD156" s="361" t="str">
        <f>VLOOKUP($AC156,'2007-2020 Metadata'!$A$6:$S$214,9,FALSE)</f>
        <v>Christchurch</v>
      </c>
      <c r="AE156" s="361">
        <f>IF(ISBLANK(VLOOKUP($AC156,'2007-2020 Metadata'!$A$6:$S$214,19,FALSE)),"",VLOOKUP($AC156,'2007-2020 Metadata'!$A$6:$S$214,19,FALSE))</f>
        <v>3</v>
      </c>
      <c r="AF156" s="360" t="str">
        <f>VLOOKUP($B156,'2007-2020 Metadata'!$A$4:$S$214,MATCH("Site type",'2007-2020 Metadata'!$A$4:$S$4,0),FALSE)</f>
        <v>Local</v>
      </c>
      <c r="AG156" s="365">
        <f>MIN(AVERAGE($C$154:$C$156),AVERAGE($D$154:$D$156),AVERAGE($E$154:$E$156),AVERAGE($F$154:$F$156),AVERAGE($G$154:$G$156),AVERAGE($H$154:$H$156),AVERAGE($I$154:$I$156),AVERAGE($J$154:$J$156),AVERAGE($K$154:$K$156),AVERAGE($L$154:$L$156),AVERAGE($M$154:$M$156),AVERAGE($N$154:$N$156))</f>
        <v>29.8</v>
      </c>
      <c r="AH156" s="365">
        <f t="shared" si="116"/>
        <v>45.5</v>
      </c>
      <c r="AI156" s="359">
        <f t="shared" si="114"/>
        <v>26.49441287878788</v>
      </c>
    </row>
    <row r="157" spans="2:35" ht="12" customHeight="1" x14ac:dyDescent="0.15">
      <c r="B157" s="193" t="s">
        <v>152</v>
      </c>
      <c r="C157" s="190">
        <v>7.3</v>
      </c>
      <c r="D157" s="190">
        <v>11.3</v>
      </c>
      <c r="E157" s="190">
        <v>12.7</v>
      </c>
      <c r="F157" s="190">
        <v>14.5</v>
      </c>
      <c r="G157" s="190">
        <v>19.7</v>
      </c>
      <c r="H157" s="190">
        <v>24.5</v>
      </c>
      <c r="I157" s="190">
        <v>21.4</v>
      </c>
      <c r="J157" s="190">
        <v>16.399999999999999</v>
      </c>
      <c r="K157" s="190">
        <v>14.3</v>
      </c>
      <c r="L157" s="190">
        <v>9.1</v>
      </c>
      <c r="M157" s="190">
        <v>7.3</v>
      </c>
      <c r="N157" s="190">
        <v>5.9</v>
      </c>
      <c r="O157" s="191">
        <f t="shared" si="96"/>
        <v>13.700000000000003</v>
      </c>
      <c r="P157" s="191">
        <f t="shared" si="97"/>
        <v>41.660228248543021</v>
      </c>
      <c r="Q157" s="192">
        <f t="shared" si="98"/>
        <v>1</v>
      </c>
      <c r="R157" s="251">
        <f t="shared" si="104"/>
        <v>10.433333333333334</v>
      </c>
      <c r="S157" s="252">
        <f t="shared" si="109"/>
        <v>1</v>
      </c>
      <c r="T157" s="251">
        <f t="shared" si="105"/>
        <v>17.366666666666664</v>
      </c>
      <c r="U157" s="252">
        <f t="shared" si="110"/>
        <v>1</v>
      </c>
      <c r="V157" s="253">
        <f t="shared" si="106"/>
        <v>13.700000000000003</v>
      </c>
      <c r="W157" s="252">
        <f t="shared" si="111"/>
        <v>1</v>
      </c>
      <c r="X157" s="359">
        <f t="shared" si="99"/>
        <v>23.440625000000001</v>
      </c>
      <c r="Y157" s="359">
        <f t="shared" si="100"/>
        <v>30.637500000000003</v>
      </c>
      <c r="Z157" s="359">
        <f t="shared" si="101"/>
        <v>26.49441287878788</v>
      </c>
      <c r="AA157" s="366"/>
      <c r="AB157" s="357" t="str">
        <f>VLOOKUP($B157,'2007-2020 Metadata'!$A$4:$S$214,MATCH("Urban Area /Monitoring Zone",'2007-2020 Metadata'!$A$4:$S$4,0),FALSE)</f>
        <v>Christchurch</v>
      </c>
      <c r="AC157" s="255" t="str">
        <f>VLOOKUP(B157,'2007-2020 Metadata'!$A$6:$A$214,1,FALSE)</f>
        <v>CHR020</v>
      </c>
      <c r="AD157" s="361" t="str">
        <f>VLOOKUP($AC157,'2007-2020 Metadata'!$A$6:$S$214,9,FALSE)</f>
        <v>Christchurch</v>
      </c>
      <c r="AE157" s="361">
        <f>IF(ISBLANK(VLOOKUP($AC157,'2007-2020 Metadata'!$A$6:$S$214,19,FALSE)),"",VLOOKUP($AC157,'2007-2020 Metadata'!$A$6:$S$214,19,FALSE))</f>
        <v>3.5</v>
      </c>
      <c r="AF157" s="360" t="str">
        <f>VLOOKUP($B157,'2007-2020 Metadata'!$A$4:$S$214,MATCH("Site type",'2007-2020 Metadata'!$A$4:$S$4,0),FALSE)</f>
        <v>Background</v>
      </c>
      <c r="AG157" s="365">
        <f>MIN(AVERAGE($C$157:$C$159),AVERAGE($D$157:$D$159),AVERAGE($E$157:$E$159),AVERAGE($F$157:$F$159),AVERAGE($G$157:$G$159),AVERAGE($H$157:$H$159),AVERAGE($I$157:$I$159),AVERAGE($J$157:$J$159),AVERAGE($K$157:$K$159),AVERAGE($L$157:$L$159),AVERAGE($M$157:$M$159),AVERAGE($N$157:$N$159))</f>
        <v>6.1333333333333329</v>
      </c>
      <c r="AH157" s="365">
        <f>MAX(AVERAGE($C$157:$C$159),AVERAGE($D$157:$D$159),AVERAGE($E$157:$E$159),AVERAGE($F$157:$F$159),AVERAGE($G$157:$G$159),AVERAGE($H$157:$H$159),AVERAGE($I$157:$I$159),AVERAGE($J$157:$J$159),AVERAGE($K$157:$K$159),AVERAGE($L$157:$L$159),AVERAGE($M$157:$M$159),AVERAGE($N$157:$N$159))</f>
        <v>21.733333333333334</v>
      </c>
      <c r="AI157" s="359">
        <f t="shared" si="114"/>
        <v>26.49441287878788</v>
      </c>
    </row>
    <row r="158" spans="2:35" ht="12" customHeight="1" x14ac:dyDescent="0.15">
      <c r="B158" s="193" t="s">
        <v>153</v>
      </c>
      <c r="C158" s="190">
        <v>7.5</v>
      </c>
      <c r="D158" s="190">
        <v>10.199999999999999</v>
      </c>
      <c r="E158" s="190">
        <v>12.8</v>
      </c>
      <c r="F158" s="190">
        <v>13.9</v>
      </c>
      <c r="G158" s="190">
        <v>19.8</v>
      </c>
      <c r="H158" s="190">
        <v>19</v>
      </c>
      <c r="I158" s="190">
        <v>21</v>
      </c>
      <c r="J158" s="190">
        <v>17.5</v>
      </c>
      <c r="K158" s="190">
        <v>12.6</v>
      </c>
      <c r="L158" s="190">
        <v>10.9</v>
      </c>
      <c r="M158" s="190">
        <v>9.6</v>
      </c>
      <c r="N158" s="190">
        <v>6.3</v>
      </c>
      <c r="O158" s="191">
        <f t="shared" si="96"/>
        <v>13.425000000000002</v>
      </c>
      <c r="P158" s="191">
        <f t="shared" si="97"/>
        <v>34.956608111202776</v>
      </c>
      <c r="Q158" s="192">
        <f t="shared" si="98"/>
        <v>1</v>
      </c>
      <c r="R158" s="251">
        <f t="shared" si="104"/>
        <v>10.166666666666666</v>
      </c>
      <c r="S158" s="252">
        <f t="shared" si="109"/>
        <v>1</v>
      </c>
      <c r="T158" s="251">
        <f t="shared" si="105"/>
        <v>17.033333333333335</v>
      </c>
      <c r="U158" s="252">
        <f t="shared" si="110"/>
        <v>1</v>
      </c>
      <c r="V158" s="253">
        <f t="shared" si="106"/>
        <v>13.425000000000002</v>
      </c>
      <c r="W158" s="252">
        <f t="shared" si="111"/>
        <v>1</v>
      </c>
      <c r="X158" s="359">
        <f t="shared" si="99"/>
        <v>23.440625000000001</v>
      </c>
      <c r="Y158" s="359">
        <f t="shared" si="100"/>
        <v>30.637500000000003</v>
      </c>
      <c r="Z158" s="359">
        <f t="shared" si="101"/>
        <v>26.49441287878788</v>
      </c>
      <c r="AA158" s="366"/>
      <c r="AB158" s="357" t="str">
        <f>VLOOKUP($B158,'2007-2020 Metadata'!$A$4:$S$214,MATCH("Urban Area /Monitoring Zone",'2007-2020 Metadata'!$A$4:$S$4,0),FALSE)</f>
        <v>Christchurch</v>
      </c>
      <c r="AC158" s="255" t="str">
        <f>VLOOKUP(B158,'2007-2020 Metadata'!$A$6:$A$214,1,FALSE)</f>
        <v>CHR021</v>
      </c>
      <c r="AD158" s="361" t="str">
        <f>VLOOKUP($AC158,'2007-2020 Metadata'!$A$6:$S$214,9,FALSE)</f>
        <v>Christchurch</v>
      </c>
      <c r="AE158" s="361">
        <f>IF(ISBLANK(VLOOKUP($AC158,'2007-2020 Metadata'!$A$6:$S$214,19,FALSE)),"",VLOOKUP($AC158,'2007-2020 Metadata'!$A$6:$S$214,19,FALSE))</f>
        <v>3.5</v>
      </c>
      <c r="AF158" s="360" t="str">
        <f>VLOOKUP($B158,'2007-2020 Metadata'!$A$4:$S$214,MATCH("Site type",'2007-2020 Metadata'!$A$4:$S$4,0),FALSE)</f>
        <v>Background</v>
      </c>
      <c r="AG158" s="365">
        <f t="shared" ref="AG158:AG159" si="117">MIN(AVERAGE($C$157:$C$159),AVERAGE($D$157:$D$159),AVERAGE($E$157:$E$159),AVERAGE($F$157:$F$159),AVERAGE($G$157:$G$159),AVERAGE($H$157:$H$159),AVERAGE($I$157:$I$159),AVERAGE($J$157:$J$159),AVERAGE($K$157:$K$159),AVERAGE($L$157:$L$159),AVERAGE($M$157:$M$159),AVERAGE($N$157:$N$159))</f>
        <v>6.1333333333333329</v>
      </c>
      <c r="AH158" s="365">
        <f t="shared" ref="AH158:AH159" si="118">MAX(AVERAGE($C$157:$C$159),AVERAGE($D$157:$D$159),AVERAGE($E$157:$E$159),AVERAGE($F$157:$F$159),AVERAGE($G$157:$G$159),AVERAGE($H$157:$H$159),AVERAGE($I$157:$I$159),AVERAGE($J$157:$J$159),AVERAGE($K$157:$K$159),AVERAGE($L$157:$L$159),AVERAGE($M$157:$M$159),AVERAGE($N$157:$N$159))</f>
        <v>21.733333333333334</v>
      </c>
      <c r="AI158" s="359">
        <f t="shared" si="114"/>
        <v>26.49441287878788</v>
      </c>
    </row>
    <row r="159" spans="2:35" ht="12" customHeight="1" x14ac:dyDescent="0.15">
      <c r="B159" s="193" t="s">
        <v>154</v>
      </c>
      <c r="C159" s="190">
        <v>5.8</v>
      </c>
      <c r="D159" s="190">
        <v>10.1</v>
      </c>
      <c r="E159" s="190">
        <v>12.3</v>
      </c>
      <c r="F159" s="190">
        <v>14.3</v>
      </c>
      <c r="G159" s="190">
        <v>19.5</v>
      </c>
      <c r="H159" s="190">
        <v>21.7</v>
      </c>
      <c r="I159" s="190">
        <v>19</v>
      </c>
      <c r="J159" s="190">
        <v>17.5</v>
      </c>
      <c r="K159" s="190">
        <v>13.3</v>
      </c>
      <c r="L159" s="190">
        <v>9.3000000000000007</v>
      </c>
      <c r="M159" s="190">
        <v>6.9</v>
      </c>
      <c r="N159" s="190">
        <v>6.2</v>
      </c>
      <c r="O159" s="191">
        <f t="shared" si="96"/>
        <v>12.991666666666667</v>
      </c>
      <c r="P159" s="191">
        <f t="shared" si="97"/>
        <v>40.599403805377065</v>
      </c>
      <c r="Q159" s="192">
        <f t="shared" si="98"/>
        <v>1</v>
      </c>
      <c r="R159" s="251">
        <f t="shared" si="104"/>
        <v>9.4</v>
      </c>
      <c r="S159" s="252">
        <f t="shared" si="109"/>
        <v>1</v>
      </c>
      <c r="T159" s="251">
        <f t="shared" si="105"/>
        <v>16.599999999999998</v>
      </c>
      <c r="U159" s="252">
        <f t="shared" si="110"/>
        <v>1</v>
      </c>
      <c r="V159" s="253">
        <f t="shared" si="106"/>
        <v>12.991666666666667</v>
      </c>
      <c r="W159" s="252">
        <f t="shared" si="111"/>
        <v>1</v>
      </c>
      <c r="X159" s="359">
        <f t="shared" si="99"/>
        <v>23.440625000000001</v>
      </c>
      <c r="Y159" s="359">
        <f t="shared" si="100"/>
        <v>30.637500000000003</v>
      </c>
      <c r="Z159" s="359">
        <f t="shared" si="101"/>
        <v>26.49441287878788</v>
      </c>
      <c r="AA159" s="366"/>
      <c r="AB159" s="357" t="str">
        <f>VLOOKUP($B159,'2007-2020 Metadata'!$A$4:$S$214,MATCH("Urban Area /Monitoring Zone",'2007-2020 Metadata'!$A$4:$S$4,0),FALSE)</f>
        <v>Christchurch</v>
      </c>
      <c r="AC159" s="255" t="str">
        <f>VLOOKUP(B159,'2007-2020 Metadata'!$A$6:$A$214,1,FALSE)</f>
        <v>CHR022</v>
      </c>
      <c r="AD159" s="361" t="str">
        <f>VLOOKUP($AC159,'2007-2020 Metadata'!$A$6:$S$214,9,FALSE)</f>
        <v>Christchurch</v>
      </c>
      <c r="AE159" s="361">
        <f>IF(ISBLANK(VLOOKUP($AC159,'2007-2020 Metadata'!$A$6:$S$214,19,FALSE)),"",VLOOKUP($AC159,'2007-2020 Metadata'!$A$6:$S$214,19,FALSE))</f>
        <v>3.5</v>
      </c>
      <c r="AF159" s="360" t="str">
        <f>VLOOKUP($B159,'2007-2020 Metadata'!$A$4:$S$214,MATCH("Site type",'2007-2020 Metadata'!$A$4:$S$4,0),FALSE)</f>
        <v>Background</v>
      </c>
      <c r="AG159" s="365">
        <f t="shared" si="117"/>
        <v>6.1333333333333329</v>
      </c>
      <c r="AH159" s="365">
        <f t="shared" si="118"/>
        <v>21.733333333333334</v>
      </c>
      <c r="AI159" s="359">
        <f t="shared" si="114"/>
        <v>26.49441287878788</v>
      </c>
    </row>
    <row r="160" spans="2:35" ht="12" customHeight="1" x14ac:dyDescent="0.15">
      <c r="B160" s="193" t="s">
        <v>26</v>
      </c>
      <c r="C160" s="190">
        <v>19.100000000000001</v>
      </c>
      <c r="D160" s="190">
        <v>24.2</v>
      </c>
      <c r="E160" s="190">
        <v>25</v>
      </c>
      <c r="F160" s="190">
        <v>27.9</v>
      </c>
      <c r="G160" s="190">
        <v>28.3</v>
      </c>
      <c r="H160" s="190">
        <v>33.200000000000003</v>
      </c>
      <c r="I160" s="190">
        <v>34.700000000000003</v>
      </c>
      <c r="J160" s="190">
        <v>33.700000000000003</v>
      </c>
      <c r="K160" s="190">
        <v>27.3</v>
      </c>
      <c r="L160" s="190">
        <v>24.4</v>
      </c>
      <c r="M160" s="190">
        <v>18</v>
      </c>
      <c r="N160" s="190">
        <v>15.8</v>
      </c>
      <c r="O160" s="191">
        <f t="shared" si="96"/>
        <v>25.966666666666665</v>
      </c>
      <c r="P160" s="191">
        <f t="shared" si="97"/>
        <v>22.779203203563849</v>
      </c>
      <c r="Q160" s="192">
        <f t="shared" si="98"/>
        <v>1</v>
      </c>
      <c r="R160" s="332">
        <f t="shared" si="104"/>
        <v>22.766666666666666</v>
      </c>
      <c r="S160" s="226">
        <f t="shared" si="109"/>
        <v>1</v>
      </c>
      <c r="T160" s="332">
        <f t="shared" si="105"/>
        <v>31.900000000000002</v>
      </c>
      <c r="U160" s="226">
        <f t="shared" si="110"/>
        <v>1</v>
      </c>
      <c r="V160" s="333">
        <f t="shared" si="106"/>
        <v>25.966666666666665</v>
      </c>
      <c r="W160" s="226">
        <f t="shared" si="111"/>
        <v>1</v>
      </c>
      <c r="X160" s="144">
        <f t="shared" si="99"/>
        <v>16.135714285714283</v>
      </c>
      <c r="Y160" s="144">
        <f t="shared" si="100"/>
        <v>20.954761904761906</v>
      </c>
      <c r="Z160" s="144">
        <f t="shared" si="101"/>
        <v>17.729437229437227</v>
      </c>
      <c r="AA160" s="249"/>
      <c r="AB160" s="357" t="str">
        <f>VLOOKUP($B160,'2007-2020 Metadata'!$A$4:$S$214,MATCH("Urban Area /Monitoring Zone",'2007-2020 Metadata'!$A$4:$S$4,0),FALSE)</f>
        <v>Dunedin</v>
      </c>
      <c r="AC160" s="334" t="str">
        <f>VLOOKUP(B160,'2007-2020 Metadata'!$A$6:$A$214,1,FALSE)</f>
        <v>DUN001</v>
      </c>
      <c r="AD160" s="250" t="str">
        <f>VLOOKUP($AC160,'2007-2020 Metadata'!$A$6:$S$214,9,FALSE)</f>
        <v>Dunedin</v>
      </c>
      <c r="AE160" s="250">
        <f>IF(ISBLANK(VLOOKUP($AC160,'2007-2020 Metadata'!$A$6:$S$214,19,FALSE)),"",VLOOKUP($AC160,'2007-2020 Metadata'!$A$6:$S$214,19,FALSE))</f>
        <v>3</v>
      </c>
      <c r="AF160" s="335" t="str">
        <f>VLOOKUP($B160,'2007-2020 Metadata'!$A$4:$S$214,MATCH("Site type",'2007-2020 Metadata'!$A$4:$S$4,0),FALSE)</f>
        <v>SH</v>
      </c>
      <c r="AG160" s="336">
        <f t="shared" ref="AG160:AG161" si="119">MIN(AVERAGE($C$13:$C$15),AVERAGE($D$13:$D$15),AVERAGE($E$13:$E$15),AVERAGE($F$13:$F$15),AVERAGE($G$13:$G$15),AVERAGE($H$13:$H$15),AVERAGE($I$13:$I$15),AVERAGE($J$13:$J$15),AVERAGE($K$13:$K$15),AVERAGE($L$13:$L$15),AVERAGE($M$13:$M$15),AVERAGE($N$13:$N$15))</f>
        <v>14.366666666666667</v>
      </c>
      <c r="AH160" s="336">
        <f t="shared" ref="AH160:AH161" si="120">MAX(AVERAGE($C$13:$C$15),AVERAGE($D$13:$D$15),AVERAGE($E$13:$E$15),AVERAGE($F$13:$F$15),AVERAGE($G$13:$G$15),AVERAGE($H$13:$H$15),AVERAGE($I$13:$I$15),AVERAGE($J$13:$J$15),AVERAGE($K$13:$K$15),AVERAGE($L$13:$L$15),AVERAGE($M$13:$M$15),AVERAGE($N$13:$N$15))</f>
        <v>44.300000000000004</v>
      </c>
      <c r="AI160" s="267">
        <f t="shared" si="114"/>
        <v>17.729437229437227</v>
      </c>
    </row>
    <row r="161" spans="2:35" ht="12" customHeight="1" x14ac:dyDescent="0.15">
      <c r="B161" s="193" t="s">
        <v>27</v>
      </c>
      <c r="C161" s="190"/>
      <c r="D161" s="190">
        <v>16.3</v>
      </c>
      <c r="E161" s="190">
        <v>16.600000000000001</v>
      </c>
      <c r="F161" s="190">
        <v>16.7</v>
      </c>
      <c r="G161" s="190">
        <v>14.1</v>
      </c>
      <c r="H161" s="190">
        <v>24.1</v>
      </c>
      <c r="I161" s="190">
        <v>18.600000000000001</v>
      </c>
      <c r="J161" s="190"/>
      <c r="K161" s="190">
        <v>17.3</v>
      </c>
      <c r="L161" s="190">
        <v>14.5</v>
      </c>
      <c r="M161" s="190">
        <v>16.3</v>
      </c>
      <c r="N161" s="190">
        <v>10.5</v>
      </c>
      <c r="O161" s="191">
        <f t="shared" si="96"/>
        <v>16.5</v>
      </c>
      <c r="P161" s="191">
        <f t="shared" si="97"/>
        <v>19.9816260870722</v>
      </c>
      <c r="Q161" s="192">
        <f t="shared" si="98"/>
        <v>0.83333333333333337</v>
      </c>
      <c r="R161" s="332">
        <f t="shared" si="104"/>
        <v>16.450000000000003</v>
      </c>
      <c r="S161" s="226">
        <f t="shared" si="109"/>
        <v>0.66666666666666663</v>
      </c>
      <c r="T161" s="332">
        <f t="shared" si="105"/>
        <v>17.950000000000003</v>
      </c>
      <c r="U161" s="226">
        <f t="shared" si="110"/>
        <v>0.66666666666666663</v>
      </c>
      <c r="V161" s="333">
        <f t="shared" si="106"/>
        <v>16.5</v>
      </c>
      <c r="W161" s="226">
        <f t="shared" si="111"/>
        <v>0.83333333333333337</v>
      </c>
      <c r="X161" s="144">
        <f t="shared" si="99"/>
        <v>16.135714285714283</v>
      </c>
      <c r="Y161" s="144">
        <f t="shared" si="100"/>
        <v>20.954761904761906</v>
      </c>
      <c r="Z161" s="144">
        <f t="shared" si="101"/>
        <v>17.729437229437227</v>
      </c>
      <c r="AA161" s="249"/>
      <c r="AB161" s="357" t="str">
        <f>VLOOKUP($B161,'2007-2020 Metadata'!$A$4:$S$214,MATCH("Urban Area /Monitoring Zone",'2007-2020 Metadata'!$A$4:$S$4,0),FALSE)</f>
        <v>Dunedin</v>
      </c>
      <c r="AC161" s="334" t="str">
        <f>VLOOKUP(B161,'2007-2020 Metadata'!$A$6:$A$214,1,FALSE)</f>
        <v>DUN002</v>
      </c>
      <c r="AD161" s="250" t="str">
        <f>VLOOKUP($AC161,'2007-2020 Metadata'!$A$6:$S$214,9,FALSE)</f>
        <v>Dunedin</v>
      </c>
      <c r="AE161" s="250">
        <f>IF(ISBLANK(VLOOKUP($AC161,'2007-2020 Metadata'!$A$6:$S$214,19,FALSE)),"",VLOOKUP($AC161,'2007-2020 Metadata'!$A$6:$S$214,19,FALSE))</f>
        <v>3</v>
      </c>
      <c r="AF161" s="335" t="str">
        <f>VLOOKUP($B161,'2007-2020 Metadata'!$A$4:$S$214,MATCH("Site type",'2007-2020 Metadata'!$A$4:$S$4,0),FALSE)</f>
        <v>SH</v>
      </c>
      <c r="AG161" s="336">
        <f t="shared" si="119"/>
        <v>14.366666666666667</v>
      </c>
      <c r="AH161" s="336">
        <f t="shared" si="120"/>
        <v>44.300000000000004</v>
      </c>
      <c r="AI161" s="267">
        <f t="shared" si="114"/>
        <v>17.729437229437227</v>
      </c>
    </row>
    <row r="162" spans="2:35" ht="12" customHeight="1" x14ac:dyDescent="0.15">
      <c r="B162" s="193" t="s">
        <v>29</v>
      </c>
      <c r="C162" s="190"/>
      <c r="D162" s="190"/>
      <c r="E162" s="190"/>
      <c r="F162" s="190"/>
      <c r="G162" s="190">
        <v>26.9</v>
      </c>
      <c r="H162" s="190">
        <v>34.299999999999997</v>
      </c>
      <c r="I162" s="190">
        <v>36.799999999999997</v>
      </c>
      <c r="J162" s="190">
        <v>33.9</v>
      </c>
      <c r="K162" s="190">
        <v>26.3</v>
      </c>
      <c r="L162" s="190">
        <v>20.399999999999999</v>
      </c>
      <c r="M162" s="190">
        <v>21.8</v>
      </c>
      <c r="N162" s="190">
        <v>20.399999999999999</v>
      </c>
      <c r="O162" s="191">
        <f t="shared" si="96"/>
        <v>27.600000000000005</v>
      </c>
      <c r="P162" s="191">
        <f t="shared" si="97"/>
        <v>22.507554334054038</v>
      </c>
      <c r="Q162" s="192">
        <f t="shared" si="98"/>
        <v>0.66666666666666663</v>
      </c>
      <c r="R162" s="332" t="str">
        <f t="shared" si="104"/>
        <v/>
      </c>
      <c r="S162" s="226">
        <f t="shared" si="109"/>
        <v>0</v>
      </c>
      <c r="T162" s="332">
        <f t="shared" si="105"/>
        <v>32.333333333333329</v>
      </c>
      <c r="U162" s="226">
        <f t="shared" si="110"/>
        <v>1</v>
      </c>
      <c r="V162" s="333" t="str">
        <f t="shared" si="106"/>
        <v>-</v>
      </c>
      <c r="W162" s="226">
        <f t="shared" si="111"/>
        <v>0.66666666666666663</v>
      </c>
      <c r="X162" s="144" t="str">
        <f t="shared" si="99"/>
        <v/>
      </c>
      <c r="Y162" s="144">
        <f t="shared" si="100"/>
        <v>32.333333333333329</v>
      </c>
      <c r="Z162" s="144" t="str">
        <f t="shared" si="101"/>
        <v/>
      </c>
      <c r="AA162" s="249"/>
      <c r="AB162" s="357" t="str">
        <f>VLOOKUP($B162,'2007-2020 Metadata'!$A$4:$S$214,MATCH("Urban Area /Monitoring Zone",'2007-2020 Metadata'!$A$4:$S$4,0),FALSE)</f>
        <v>Queenstown</v>
      </c>
      <c r="AC162" s="334" t="str">
        <f>VLOOKUP(B162,'2007-2020 Metadata'!$A$6:$A$214,1,FALSE)</f>
        <v>DUN004</v>
      </c>
      <c r="AD162" s="250" t="str">
        <f>VLOOKUP($AC162,'2007-2020 Metadata'!$A$6:$S$214,9,FALSE)</f>
        <v>Queenstown</v>
      </c>
      <c r="AE162" s="250">
        <f>IF(ISBLANK(VLOOKUP($AC162,'2007-2020 Metadata'!$A$6:$S$214,19,FALSE)),"",VLOOKUP($AC162,'2007-2020 Metadata'!$A$6:$S$214,19,FALSE))</f>
        <v>3</v>
      </c>
      <c r="AF162" s="335" t="str">
        <f>VLOOKUP($B162,'2007-2020 Metadata'!$A$4:$S$214,MATCH("Site type",'2007-2020 Metadata'!$A$4:$S$4,0),FALSE)</f>
        <v>SH</v>
      </c>
      <c r="AG162" s="336">
        <f t="shared" ref="AG162:AG169" si="121">MIN(C162:N162)</f>
        <v>20.399999999999999</v>
      </c>
      <c r="AH162" s="336">
        <f t="shared" ref="AH162:AH169" si="122">MAX(C162:N162)</f>
        <v>36.799999999999997</v>
      </c>
      <c r="AI162" s="267" t="str">
        <f t="shared" si="114"/>
        <v xml:space="preserve"> </v>
      </c>
    </row>
    <row r="163" spans="2:35" ht="12" customHeight="1" x14ac:dyDescent="0.15">
      <c r="B163" s="193" t="s">
        <v>30</v>
      </c>
      <c r="C163" s="190"/>
      <c r="D163" s="190"/>
      <c r="E163" s="190">
        <v>22.4</v>
      </c>
      <c r="F163" s="190">
        <v>22.4</v>
      </c>
      <c r="G163" s="190">
        <v>27.7</v>
      </c>
      <c r="H163" s="190">
        <v>42.9</v>
      </c>
      <c r="I163" s="190">
        <v>26.2</v>
      </c>
      <c r="J163" s="190"/>
      <c r="K163" s="190">
        <v>21.1</v>
      </c>
      <c r="L163" s="190"/>
      <c r="M163" s="190"/>
      <c r="N163" s="190">
        <v>16.5</v>
      </c>
      <c r="O163" s="191">
        <f t="shared" si="96"/>
        <v>25.599999999999998</v>
      </c>
      <c r="P163" s="191">
        <f t="shared" si="97"/>
        <v>30.530215017550361</v>
      </c>
      <c r="Q163" s="192">
        <f t="shared" si="98"/>
        <v>0.58333333333333337</v>
      </c>
      <c r="R163" s="225" t="str">
        <f t="shared" si="104"/>
        <v>-</v>
      </c>
      <c r="S163" s="226">
        <f t="shared" si="109"/>
        <v>0.33333333333333331</v>
      </c>
      <c r="T163" s="225">
        <f t="shared" si="105"/>
        <v>23.65</v>
      </c>
      <c r="U163" s="226">
        <f t="shared" si="110"/>
        <v>0.66666666666666663</v>
      </c>
      <c r="V163" s="227" t="str">
        <f t="shared" si="106"/>
        <v>-</v>
      </c>
      <c r="W163" s="228">
        <f t="shared" si="111"/>
        <v>0.58333333333333337</v>
      </c>
      <c r="X163" s="144" t="str">
        <f t="shared" si="99"/>
        <v/>
      </c>
      <c r="Y163" s="144">
        <f t="shared" si="100"/>
        <v>16.041666666666664</v>
      </c>
      <c r="Z163" s="144">
        <f t="shared" si="101"/>
        <v>7.1729670037695747</v>
      </c>
      <c r="AA163" s="205"/>
      <c r="AB163" s="357" t="str">
        <f>VLOOKUP($B163,'2007-2020 Metadata'!$A$4:$S$214,MATCH("Urban Area /Monitoring Zone",'2007-2020 Metadata'!$A$4:$S$4,0),FALSE)</f>
        <v>Invercargill</v>
      </c>
      <c r="AC163" s="229" t="str">
        <f>VLOOKUP(B163,'2007-2020 Metadata'!$A$6:$A$214,1,FALSE)</f>
        <v>DUN005</v>
      </c>
      <c r="AD163" s="230" t="str">
        <f>VLOOKUP($AC163,'2007-2020 Metadata'!$A$6:$S$214,9,FALSE)</f>
        <v>Invercargill</v>
      </c>
      <c r="AE163" s="230">
        <f>IF(ISBLANK(VLOOKUP($AC163,'2007-2020 Metadata'!$A$6:$S$214,19,FALSE)),"",VLOOKUP($AC163,'2007-2020 Metadata'!$A$6:$S$214,19,FALSE))</f>
        <v>3</v>
      </c>
      <c r="AF163" s="88" t="str">
        <f>VLOOKUP($B163,'2007-2020 Metadata'!$A$4:$S$214,MATCH("Site type",'2007-2020 Metadata'!$A$4:$S$4,0),FALSE)</f>
        <v>SH</v>
      </c>
      <c r="AG163" s="143">
        <f t="shared" si="121"/>
        <v>16.5</v>
      </c>
      <c r="AH163" s="143">
        <f t="shared" si="122"/>
        <v>42.9</v>
      </c>
      <c r="AI163" s="144" t="str">
        <f t="shared" si="114"/>
        <v xml:space="preserve"> </v>
      </c>
    </row>
    <row r="164" spans="2:35" ht="12" customHeight="1" x14ac:dyDescent="0.15">
      <c r="B164" s="193" t="s">
        <v>155</v>
      </c>
      <c r="C164" s="190">
        <v>20.3</v>
      </c>
      <c r="D164" s="190">
        <v>20</v>
      </c>
      <c r="E164" s="190">
        <v>24.5</v>
      </c>
      <c r="F164" s="190">
        <v>17.399999999999999</v>
      </c>
      <c r="G164" s="190">
        <v>28.1</v>
      </c>
      <c r="H164" s="190">
        <v>28.9</v>
      </c>
      <c r="I164" s="190">
        <v>28.6</v>
      </c>
      <c r="J164" s="190">
        <v>32.1</v>
      </c>
      <c r="K164" s="190">
        <v>20.100000000000001</v>
      </c>
      <c r="L164" s="190">
        <v>16.8</v>
      </c>
      <c r="M164" s="190">
        <v>18.100000000000001</v>
      </c>
      <c r="N164" s="190">
        <v>16.3</v>
      </c>
      <c r="O164" s="191">
        <f t="shared" si="96"/>
        <v>22.599999999999998</v>
      </c>
      <c r="P164" s="191">
        <f t="shared" si="97"/>
        <v>23.508307245895907</v>
      </c>
      <c r="Q164" s="192">
        <f t="shared" si="98"/>
        <v>1</v>
      </c>
      <c r="R164" s="225">
        <f t="shared" si="104"/>
        <v>21.599999999999998</v>
      </c>
      <c r="S164" s="226">
        <f t="shared" si="109"/>
        <v>1</v>
      </c>
      <c r="T164" s="225">
        <f t="shared" si="105"/>
        <v>26.933333333333337</v>
      </c>
      <c r="U164" s="226">
        <f t="shared" si="110"/>
        <v>1</v>
      </c>
      <c r="V164" s="227">
        <f t="shared" si="106"/>
        <v>22.599999999999998</v>
      </c>
      <c r="W164" s="228">
        <f t="shared" si="111"/>
        <v>1</v>
      </c>
      <c r="X164" s="144">
        <f t="shared" si="99"/>
        <v>16.135714285714283</v>
      </c>
      <c r="Y164" s="144">
        <f t="shared" si="100"/>
        <v>20.954761904761906</v>
      </c>
      <c r="Z164" s="144">
        <f t="shared" si="101"/>
        <v>17.729437229437227</v>
      </c>
      <c r="AA164" s="205"/>
      <c r="AB164" s="357" t="str">
        <f>VLOOKUP($B164,'2007-2020 Metadata'!$A$4:$S$214,MATCH("Urban Area /Monitoring Zone",'2007-2020 Metadata'!$A$4:$S$4,0),FALSE)</f>
        <v>Dunedin</v>
      </c>
      <c r="AC164" s="229" t="str">
        <f>VLOOKUP(B164,'2007-2020 Metadata'!$A$6:$A$214,1,FALSE)</f>
        <v>DUN006</v>
      </c>
      <c r="AD164" s="230" t="str">
        <f>VLOOKUP($AC164,'2007-2020 Metadata'!$A$6:$S$214,9,FALSE)</f>
        <v>Dunedin</v>
      </c>
      <c r="AE164" s="230">
        <f>IF(ISBLANK(VLOOKUP($AC164,'2007-2020 Metadata'!$A$6:$S$214,19,FALSE)),"",VLOOKUP($AC164,'2007-2020 Metadata'!$A$6:$S$214,19,FALSE))</f>
        <v>3</v>
      </c>
      <c r="AF164" s="88" t="str">
        <f>VLOOKUP($B164,'2007-2020 Metadata'!$A$4:$S$214,MATCH("Site type",'2007-2020 Metadata'!$A$4:$S$4,0),FALSE)</f>
        <v>SH</v>
      </c>
      <c r="AG164" s="143">
        <f t="shared" si="121"/>
        <v>16.3</v>
      </c>
      <c r="AH164" s="143">
        <f t="shared" si="122"/>
        <v>32.1</v>
      </c>
      <c r="AI164" s="144">
        <f t="shared" si="114"/>
        <v>17.729437229437227</v>
      </c>
    </row>
    <row r="165" spans="2:35" ht="12" customHeight="1" x14ac:dyDescent="0.15">
      <c r="B165" s="193" t="s">
        <v>156</v>
      </c>
      <c r="C165" s="190">
        <v>9.1999999999999993</v>
      </c>
      <c r="D165" s="190">
        <v>10.3</v>
      </c>
      <c r="E165" s="190">
        <v>9.8000000000000007</v>
      </c>
      <c r="F165" s="190">
        <v>15.2</v>
      </c>
      <c r="G165" s="190">
        <v>11.6</v>
      </c>
      <c r="H165" s="190">
        <v>15.9</v>
      </c>
      <c r="I165" s="190">
        <v>12</v>
      </c>
      <c r="J165" s="190">
        <v>14.1</v>
      </c>
      <c r="K165" s="190">
        <v>9.3000000000000007</v>
      </c>
      <c r="L165" s="190">
        <v>8.6999999999999993</v>
      </c>
      <c r="M165" s="190">
        <v>8.1</v>
      </c>
      <c r="N165" s="190">
        <v>7.3</v>
      </c>
      <c r="O165" s="191">
        <f>(AVERAGE(C165:N165))</f>
        <v>10.958333333333334</v>
      </c>
      <c r="P165" s="191">
        <f t="shared" si="97"/>
        <v>24.718806348563394</v>
      </c>
      <c r="Q165" s="192">
        <f t="shared" si="98"/>
        <v>1</v>
      </c>
      <c r="R165" s="225">
        <f t="shared" si="104"/>
        <v>9.7666666666666675</v>
      </c>
      <c r="S165" s="226">
        <f t="shared" si="109"/>
        <v>1</v>
      </c>
      <c r="T165" s="225">
        <f t="shared" si="105"/>
        <v>11.800000000000002</v>
      </c>
      <c r="U165" s="226">
        <f t="shared" si="110"/>
        <v>1</v>
      </c>
      <c r="V165" s="227">
        <f t="shared" si="106"/>
        <v>10.958333333333334</v>
      </c>
      <c r="W165" s="228">
        <f t="shared" si="111"/>
        <v>1</v>
      </c>
      <c r="X165" s="144">
        <f t="shared" si="99"/>
        <v>16.135714285714283</v>
      </c>
      <c r="Y165" s="144">
        <f t="shared" si="100"/>
        <v>20.954761904761906</v>
      </c>
      <c r="Z165" s="144">
        <f t="shared" si="101"/>
        <v>17.729437229437227</v>
      </c>
      <c r="AA165" s="205"/>
      <c r="AB165" s="357" t="str">
        <f>VLOOKUP($B165,'2007-2020 Metadata'!$A$4:$S$214,MATCH("Urban Area /Monitoring Zone",'2007-2020 Metadata'!$A$4:$S$4,0),FALSE)</f>
        <v>Dunedin</v>
      </c>
      <c r="AC165" s="229" t="str">
        <f>VLOOKUP(B165,'2007-2020 Metadata'!$A$6:$A$214,1,FALSE)</f>
        <v>DUN007</v>
      </c>
      <c r="AD165" s="230" t="str">
        <f>VLOOKUP($AC165,'2007-2020 Metadata'!$A$6:$S$214,9,FALSE)</f>
        <v>Dunedin</v>
      </c>
      <c r="AE165" s="230">
        <f>IF(ISBLANK(VLOOKUP($AC165,'2007-2020 Metadata'!$A$6:$S$214,19,FALSE)),"",VLOOKUP($AC165,'2007-2020 Metadata'!$A$6:$S$214,19,FALSE))</f>
        <v>3</v>
      </c>
      <c r="AF165" s="88" t="str">
        <f>VLOOKUP($B165,'2007-2020 Metadata'!$A$4:$S$214,MATCH("Site type",'2007-2020 Metadata'!$A$4:$S$4,0),FALSE)</f>
        <v>Background</v>
      </c>
      <c r="AG165" s="143">
        <f t="shared" si="121"/>
        <v>7.3</v>
      </c>
      <c r="AH165" s="143">
        <f t="shared" si="122"/>
        <v>15.9</v>
      </c>
      <c r="AI165" s="144">
        <f t="shared" si="114"/>
        <v>17.729437229437227</v>
      </c>
    </row>
    <row r="166" spans="2:35" ht="12" customHeight="1" x14ac:dyDescent="0.15">
      <c r="B166" s="193" t="s">
        <v>157</v>
      </c>
      <c r="C166" s="190">
        <v>13.4</v>
      </c>
      <c r="D166" s="190">
        <v>17.100000000000001</v>
      </c>
      <c r="E166" s="190">
        <v>14.7</v>
      </c>
      <c r="F166" s="190">
        <v>15.7</v>
      </c>
      <c r="G166" s="190">
        <v>15.9</v>
      </c>
      <c r="H166" s="190">
        <v>22.1</v>
      </c>
      <c r="I166" s="190">
        <v>20.2</v>
      </c>
      <c r="J166" s="190">
        <v>20.8</v>
      </c>
      <c r="K166" s="190">
        <v>14.7</v>
      </c>
      <c r="L166" s="190">
        <v>13.8</v>
      </c>
      <c r="M166" s="190">
        <v>14.2</v>
      </c>
      <c r="N166" s="190">
        <v>11.7</v>
      </c>
      <c r="O166" s="191">
        <f>(AVERAGE(C166:N166))</f>
        <v>16.191666666666666</v>
      </c>
      <c r="P166" s="191">
        <f t="shared" si="97"/>
        <v>19.158029523765087</v>
      </c>
      <c r="Q166" s="192">
        <f t="shared" si="98"/>
        <v>1</v>
      </c>
      <c r="R166" s="225">
        <f t="shared" si="104"/>
        <v>15.066666666666668</v>
      </c>
      <c r="S166" s="226">
        <f t="shared" si="109"/>
        <v>1</v>
      </c>
      <c r="T166" s="225">
        <f t="shared" si="105"/>
        <v>18.566666666666666</v>
      </c>
      <c r="U166" s="226">
        <f t="shared" si="110"/>
        <v>1</v>
      </c>
      <c r="V166" s="227">
        <f t="shared" si="106"/>
        <v>16.191666666666666</v>
      </c>
      <c r="W166" s="228">
        <f t="shared" si="111"/>
        <v>1</v>
      </c>
      <c r="X166" s="144">
        <f t="shared" si="99"/>
        <v>16.135714285714283</v>
      </c>
      <c r="Y166" s="144">
        <f t="shared" si="100"/>
        <v>20.954761904761906</v>
      </c>
      <c r="Z166" s="144">
        <f t="shared" si="101"/>
        <v>17.729437229437227</v>
      </c>
      <c r="AA166" s="205"/>
      <c r="AB166" s="357" t="str">
        <f>VLOOKUP($B166,'2007-2020 Metadata'!$A$4:$S$214,MATCH("Urban Area /Monitoring Zone",'2007-2020 Metadata'!$A$4:$S$4,0),FALSE)</f>
        <v>Dunedin</v>
      </c>
      <c r="AC166" s="229" t="str">
        <f>VLOOKUP(B166,'2007-2020 Metadata'!$A$6:$A$214,1,FALSE)</f>
        <v>DUN008</v>
      </c>
      <c r="AD166" s="230" t="str">
        <f>VLOOKUP($AC166,'2007-2020 Metadata'!$A$6:$S$214,9,FALSE)</f>
        <v>Dunedin</v>
      </c>
      <c r="AE166" s="230">
        <f>IF(ISBLANK(VLOOKUP($AC166,'2007-2020 Metadata'!$A$6:$S$214,19,FALSE)),"",VLOOKUP($AC166,'2007-2020 Metadata'!$A$6:$S$214,19,FALSE))</f>
        <v>3</v>
      </c>
      <c r="AF166" s="88" t="str">
        <f>VLOOKUP($B166,'2007-2020 Metadata'!$A$4:$S$214,MATCH("Site type",'2007-2020 Metadata'!$A$4:$S$4,0),FALSE)</f>
        <v>Local</v>
      </c>
      <c r="AG166" s="143">
        <f t="shared" si="121"/>
        <v>11.7</v>
      </c>
      <c r="AH166" s="143">
        <f t="shared" si="122"/>
        <v>22.1</v>
      </c>
      <c r="AI166" s="144">
        <f t="shared" si="114"/>
        <v>17.729437229437227</v>
      </c>
    </row>
    <row r="167" spans="2:35" ht="12" customHeight="1" x14ac:dyDescent="0.15">
      <c r="B167" s="193" t="s">
        <v>158</v>
      </c>
      <c r="C167" s="190">
        <v>12.9</v>
      </c>
      <c r="D167" s="190">
        <v>16.600000000000001</v>
      </c>
      <c r="E167" s="190">
        <v>18.7</v>
      </c>
      <c r="F167" s="190"/>
      <c r="G167" s="190">
        <v>19.3</v>
      </c>
      <c r="H167" s="190">
        <v>30.3</v>
      </c>
      <c r="I167" s="190">
        <v>31.9</v>
      </c>
      <c r="J167" s="190">
        <v>25.2</v>
      </c>
      <c r="K167" s="190">
        <v>21.5</v>
      </c>
      <c r="L167" s="190">
        <v>16.8</v>
      </c>
      <c r="M167" s="190">
        <v>16</v>
      </c>
      <c r="N167" s="190">
        <v>13.8</v>
      </c>
      <c r="O167" s="191">
        <f>(AVERAGE(C167:N167))</f>
        <v>20.272727272727273</v>
      </c>
      <c r="P167" s="191">
        <f t="shared" si="97"/>
        <v>29.930913096809171</v>
      </c>
      <c r="Q167" s="192">
        <f t="shared" si="98"/>
        <v>0.91666666666666663</v>
      </c>
      <c r="R167" s="225">
        <f t="shared" si="104"/>
        <v>16.066666666666666</v>
      </c>
      <c r="S167" s="226">
        <f t="shared" si="109"/>
        <v>1</v>
      </c>
      <c r="T167" s="225">
        <f t="shared" si="105"/>
        <v>26.2</v>
      </c>
      <c r="U167" s="226">
        <f t="shared" si="110"/>
        <v>1</v>
      </c>
      <c r="V167" s="227">
        <f t="shared" si="106"/>
        <v>20.272727272727273</v>
      </c>
      <c r="W167" s="228">
        <f t="shared" si="111"/>
        <v>0.91666666666666663</v>
      </c>
      <c r="X167" s="144">
        <f t="shared" si="99"/>
        <v>16.135714285714283</v>
      </c>
      <c r="Y167" s="144">
        <f t="shared" si="100"/>
        <v>20.954761904761906</v>
      </c>
      <c r="Z167" s="144">
        <f t="shared" si="101"/>
        <v>17.729437229437227</v>
      </c>
      <c r="AA167" s="205"/>
      <c r="AB167" s="357" t="str">
        <f>VLOOKUP($B167,'2007-2020 Metadata'!$A$4:$S$214,MATCH("Urban Area /Monitoring Zone",'2007-2020 Metadata'!$A$4:$S$4,0),FALSE)</f>
        <v>Dunedin</v>
      </c>
      <c r="AC167" s="229" t="str">
        <f>VLOOKUP(B167,'2007-2020 Metadata'!$A$6:$A$214,1,FALSE)</f>
        <v>DUN009</v>
      </c>
      <c r="AD167" s="230" t="str">
        <f>VLOOKUP($AC167,'2007-2020 Metadata'!$A$6:$S$214,9,FALSE)</f>
        <v>Dunedin</v>
      </c>
      <c r="AE167" s="230">
        <f>IF(ISBLANK(VLOOKUP($AC167,'2007-2020 Metadata'!$A$6:$S$214,19,FALSE)),"",VLOOKUP($AC167,'2007-2020 Metadata'!$A$6:$S$214,19,FALSE))</f>
        <v>3</v>
      </c>
      <c r="AF167" s="88" t="str">
        <f>VLOOKUP($B167,'2007-2020 Metadata'!$A$4:$S$214,MATCH("Site type",'2007-2020 Metadata'!$A$4:$S$4,0),FALSE)</f>
        <v>Local</v>
      </c>
      <c r="AG167" s="143">
        <f t="shared" si="121"/>
        <v>12.9</v>
      </c>
      <c r="AH167" s="143">
        <f t="shared" si="122"/>
        <v>31.9</v>
      </c>
      <c r="AI167" s="144">
        <f t="shared" si="114"/>
        <v>17.729437229437227</v>
      </c>
    </row>
    <row r="168" spans="2:35" ht="12" customHeight="1" x14ac:dyDescent="0.15">
      <c r="B168" s="193" t="s">
        <v>31</v>
      </c>
      <c r="C168" s="190"/>
      <c r="D168" s="190"/>
      <c r="E168" s="190">
        <v>5.5</v>
      </c>
      <c r="F168" s="190">
        <v>5.5</v>
      </c>
      <c r="G168" s="190">
        <v>7.7</v>
      </c>
      <c r="H168" s="190">
        <v>11.7</v>
      </c>
      <c r="I168" s="190">
        <v>8.3000000000000007</v>
      </c>
      <c r="J168" s="190">
        <v>8.6</v>
      </c>
      <c r="K168" s="190">
        <v>8.4</v>
      </c>
      <c r="L168" s="190">
        <v>4.6567030339261697</v>
      </c>
      <c r="M168" s="190"/>
      <c r="N168" s="190">
        <v>4.2</v>
      </c>
      <c r="O168" s="191">
        <f>(AVERAGE(C168:N168))</f>
        <v>7.1729670037695747</v>
      </c>
      <c r="P168" s="191">
        <f t="shared" si="97"/>
        <v>31.638299418640266</v>
      </c>
      <c r="Q168" s="192">
        <f t="shared" si="98"/>
        <v>0.75</v>
      </c>
      <c r="R168" s="225" t="str">
        <f t="shared" si="104"/>
        <v>-</v>
      </c>
      <c r="S168" s="226">
        <f t="shared" si="109"/>
        <v>0.33333333333333331</v>
      </c>
      <c r="T168" s="225">
        <f t="shared" si="105"/>
        <v>8.4333333333333318</v>
      </c>
      <c r="U168" s="226">
        <f t="shared" si="110"/>
        <v>1</v>
      </c>
      <c r="V168" s="227">
        <f t="shared" si="106"/>
        <v>7.1729670037695747</v>
      </c>
      <c r="W168" s="228">
        <f t="shared" si="111"/>
        <v>0.75</v>
      </c>
      <c r="X168" s="144" t="str">
        <f t="shared" si="99"/>
        <v/>
      </c>
      <c r="Y168" s="144">
        <f t="shared" si="100"/>
        <v>16.041666666666664</v>
      </c>
      <c r="Z168" s="144">
        <f t="shared" si="101"/>
        <v>7.1729670037695747</v>
      </c>
      <c r="AA168" s="205"/>
      <c r="AB168" s="357" t="str">
        <f>VLOOKUP($B168,'2007-2020 Metadata'!$A$4:$S$214,MATCH("Urban Area /Monitoring Zone",'2007-2020 Metadata'!$A$4:$S$4,0),FALSE)</f>
        <v>Invercargill</v>
      </c>
      <c r="AC168" s="229" t="str">
        <f>VLOOKUP(B168,'2007-2020 Metadata'!$A$6:$A$214,1,FALSE)</f>
        <v>DUN010</v>
      </c>
      <c r="AD168" s="230" t="str">
        <f>VLOOKUP($AC168,'2007-2020 Metadata'!$A$6:$S$214,9,FALSE)</f>
        <v>Invercargill</v>
      </c>
      <c r="AE168" s="230">
        <f>IF(ISBLANK(VLOOKUP($AC168,'2007-2020 Metadata'!$A$6:$S$214,19,FALSE)),"",VLOOKUP($AC168,'2007-2020 Metadata'!$A$6:$S$214,19,FALSE))</f>
        <v>3</v>
      </c>
      <c r="AF168" s="88" t="str">
        <f>VLOOKUP($B168,'2007-2020 Metadata'!$A$4:$S$214,MATCH("Site type",'2007-2020 Metadata'!$A$4:$S$4,0),FALSE)</f>
        <v>Background</v>
      </c>
      <c r="AG168" s="143">
        <f t="shared" si="121"/>
        <v>4.2</v>
      </c>
      <c r="AH168" s="143">
        <f t="shared" si="122"/>
        <v>11.7</v>
      </c>
      <c r="AI168" s="144">
        <f t="shared" si="114"/>
        <v>7.1729670037695747</v>
      </c>
    </row>
    <row r="169" spans="2:35" ht="12" customHeight="1" x14ac:dyDescent="0.15">
      <c r="B169" s="193" t="s">
        <v>468</v>
      </c>
      <c r="C169" s="190">
        <v>11.1</v>
      </c>
      <c r="D169" s="190">
        <v>10.3</v>
      </c>
      <c r="E169" s="190">
        <v>12.3</v>
      </c>
      <c r="F169" s="190">
        <v>11.9</v>
      </c>
      <c r="G169" s="190">
        <v>13.4</v>
      </c>
      <c r="H169" s="190">
        <v>16.2</v>
      </c>
      <c r="I169" s="190">
        <v>13.1</v>
      </c>
      <c r="J169" s="190">
        <v>16.399999999999999</v>
      </c>
      <c r="K169" s="190">
        <v>10.5</v>
      </c>
      <c r="L169" s="190">
        <v>8.5</v>
      </c>
      <c r="M169" s="190">
        <v>7.1</v>
      </c>
      <c r="N169" s="190">
        <v>8.6</v>
      </c>
      <c r="O169" s="191">
        <f>(AVERAGE(C169:N169))</f>
        <v>11.616666666666665</v>
      </c>
      <c r="P169" s="191">
        <f>IFERROR((STDEVP(C169:N169)/O169)*100,"")</f>
        <v>23.871175090724403</v>
      </c>
      <c r="Q169" s="192">
        <f t="shared" si="98"/>
        <v>1</v>
      </c>
      <c r="R169" s="225">
        <f t="shared" si="104"/>
        <v>11.233333333333334</v>
      </c>
      <c r="S169" s="226">
        <f t="shared" si="109"/>
        <v>1</v>
      </c>
      <c r="T169" s="225">
        <f t="shared" si="105"/>
        <v>13.333333333333334</v>
      </c>
      <c r="U169" s="226">
        <f t="shared" si="110"/>
        <v>1</v>
      </c>
      <c r="V169" s="227">
        <f t="shared" si="106"/>
        <v>11.616666666666665</v>
      </c>
      <c r="W169" s="228">
        <f t="shared" si="111"/>
        <v>1</v>
      </c>
      <c r="X169" s="144">
        <f t="shared" si="99"/>
        <v>16.135714285714283</v>
      </c>
      <c r="Y169" s="144">
        <f t="shared" si="100"/>
        <v>20.954761904761906</v>
      </c>
      <c r="Z169" s="144">
        <f t="shared" si="101"/>
        <v>17.729437229437227</v>
      </c>
      <c r="AA169" s="205"/>
      <c r="AB169" s="357" t="str">
        <f>VLOOKUP($B169,'2007-2020 Metadata'!$A$4:$S$214,MATCH("Urban Area /Monitoring Zone",'2007-2020 Metadata'!$A$4:$S$4,0),FALSE)</f>
        <v>Dunedin</v>
      </c>
      <c r="AC169" s="229" t="str">
        <f>VLOOKUP(B169,'2007-2020 Metadata'!$A$6:$A$214,1,FALSE)</f>
        <v>DUN011</v>
      </c>
      <c r="AD169" s="230" t="str">
        <f>VLOOKUP($AC169,'2007-2020 Metadata'!$A$6:$S$214,9,FALSE)</f>
        <v>Dunedin</v>
      </c>
      <c r="AE169" s="230">
        <f>IF(ISBLANK(VLOOKUP($AC169,'2007-2020 Metadata'!$A$6:$S$214,19,FALSE)),"",VLOOKUP($AC169,'2007-2020 Metadata'!$A$6:$S$214,19,FALSE))</f>
        <v>3</v>
      </c>
      <c r="AF169" s="88" t="str">
        <f>VLOOKUP($B169,'2007-2020 Metadata'!$A$4:$S$214,MATCH("Site type",'2007-2020 Metadata'!$A$4:$S$4,0),FALSE)</f>
        <v>SH</v>
      </c>
      <c r="AG169" s="143">
        <f t="shared" si="121"/>
        <v>7.1</v>
      </c>
      <c r="AH169" s="143">
        <f t="shared" si="122"/>
        <v>16.399999999999999</v>
      </c>
      <c r="AI169" s="144">
        <f t="shared" si="114"/>
        <v>17.729437229437227</v>
      </c>
    </row>
    <row r="170" spans="2:35" ht="12" customHeight="1" thickBot="1" x14ac:dyDescent="0.2">
      <c r="B170" s="293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294"/>
      <c r="P170" s="294"/>
      <c r="Q170" s="295"/>
      <c r="R170" s="329"/>
      <c r="S170" s="331"/>
      <c r="T170" s="330"/>
      <c r="U170" s="331"/>
      <c r="V170" s="330"/>
      <c r="W170" s="331"/>
      <c r="X170" s="331"/>
      <c r="Y170" s="331"/>
      <c r="Z170" s="331"/>
      <c r="AA170" s="331"/>
      <c r="AB170" s="330"/>
      <c r="AC170" s="330"/>
      <c r="AD170" s="330"/>
      <c r="AE170" s="330"/>
      <c r="AF170" s="331"/>
      <c r="AG170" s="330"/>
      <c r="AH170" s="330"/>
      <c r="AI170" s="331"/>
    </row>
    <row r="171" spans="2:35" ht="12" customHeight="1" thickTop="1" x14ac:dyDescent="0.15">
      <c r="B171" s="182"/>
      <c r="C171" s="237" t="s">
        <v>487</v>
      </c>
      <c r="D171" s="181"/>
      <c r="E171" s="181"/>
      <c r="F171" s="181"/>
      <c r="G171" s="181"/>
      <c r="H171" s="181"/>
      <c r="I171" s="181"/>
      <c r="J171" s="181"/>
      <c r="K171" s="181"/>
      <c r="L171" s="181"/>
      <c r="M171" s="181"/>
      <c r="N171" s="181"/>
      <c r="O171" s="195"/>
      <c r="P171" s="195"/>
      <c r="Q171" s="195"/>
    </row>
    <row r="172" spans="2:35" ht="12" customHeight="1" x14ac:dyDescent="0.15">
      <c r="B172" s="296" t="s">
        <v>455</v>
      </c>
      <c r="C172" s="181"/>
      <c r="D172" s="181"/>
      <c r="E172" s="181"/>
      <c r="F172" s="181"/>
      <c r="G172" s="181"/>
      <c r="H172" s="181"/>
      <c r="I172" s="181"/>
      <c r="J172" s="181"/>
      <c r="K172" s="181"/>
      <c r="L172" s="181"/>
      <c r="M172" s="181"/>
      <c r="N172" s="181"/>
      <c r="O172" s="195"/>
      <c r="P172" s="195"/>
      <c r="Q172" s="195"/>
    </row>
    <row r="173" spans="2:35" ht="11.25" customHeight="1" x14ac:dyDescent="0.15">
      <c r="B173" s="321"/>
      <c r="C173" s="301" t="s">
        <v>456</v>
      </c>
      <c r="D173" s="181"/>
      <c r="E173" s="181"/>
      <c r="F173" s="181"/>
      <c r="G173" s="181"/>
      <c r="H173" s="181"/>
      <c r="I173" s="181"/>
      <c r="J173" s="181"/>
      <c r="K173" s="181"/>
      <c r="L173" s="181"/>
      <c r="M173" s="181"/>
      <c r="N173" s="181"/>
      <c r="O173" s="195"/>
      <c r="P173" s="195"/>
      <c r="Q173" s="195"/>
    </row>
    <row r="174" spans="2:35" ht="11.25" customHeight="1" x14ac:dyDescent="0.15">
      <c r="B174" s="371"/>
      <c r="C174" s="301" t="s">
        <v>1085</v>
      </c>
      <c r="D174" s="181"/>
      <c r="E174" s="181"/>
      <c r="F174" s="181"/>
      <c r="G174" s="181"/>
      <c r="H174" s="181"/>
      <c r="I174" s="181"/>
      <c r="J174" s="181"/>
      <c r="K174" s="181"/>
      <c r="L174" s="181"/>
      <c r="M174" s="181"/>
      <c r="N174" s="181"/>
      <c r="O174" s="195"/>
      <c r="P174" s="195"/>
      <c r="Q174" s="195"/>
    </row>
    <row r="175" spans="2:35" ht="11.25" customHeight="1" x14ac:dyDescent="0.15">
      <c r="B175" s="297"/>
      <c r="C175" s="181" t="s">
        <v>488</v>
      </c>
      <c r="D175" s="181"/>
      <c r="E175" s="181"/>
      <c r="F175" s="181"/>
      <c r="G175" s="181"/>
      <c r="H175" s="181"/>
      <c r="I175" s="181"/>
      <c r="J175" s="181"/>
      <c r="K175" s="181"/>
      <c r="L175" s="181"/>
      <c r="M175" s="181"/>
      <c r="N175" s="181"/>
      <c r="O175" s="195"/>
      <c r="P175" s="195"/>
      <c r="Q175" s="195"/>
    </row>
    <row r="176" spans="2:35" ht="11.25" customHeight="1" x14ac:dyDescent="0.15">
      <c r="B176" s="298"/>
      <c r="C176" s="181" t="s">
        <v>457</v>
      </c>
      <c r="D176" s="181"/>
      <c r="E176" s="181"/>
      <c r="F176" s="181"/>
      <c r="G176" s="181"/>
      <c r="H176" s="181"/>
      <c r="I176" s="181"/>
      <c r="J176" s="181"/>
      <c r="K176" s="181"/>
      <c r="L176" s="181"/>
      <c r="M176" s="181"/>
      <c r="N176" s="181"/>
      <c r="O176" s="195"/>
      <c r="P176" s="195"/>
      <c r="Q176" s="195"/>
    </row>
    <row r="177" spans="2:17" ht="11.25" customHeight="1" x14ac:dyDescent="0.15">
      <c r="B177" s="299"/>
      <c r="C177" s="181" t="s">
        <v>458</v>
      </c>
      <c r="D177" s="181"/>
      <c r="E177" s="181"/>
      <c r="F177" s="181"/>
      <c r="G177" s="181"/>
      <c r="H177" s="181"/>
      <c r="I177" s="181"/>
      <c r="J177" s="181"/>
      <c r="K177" s="181"/>
      <c r="L177" s="181"/>
      <c r="M177" s="181"/>
      <c r="N177" s="181"/>
      <c r="O177" s="195"/>
      <c r="P177" s="195"/>
      <c r="Q177" s="195"/>
    </row>
    <row r="178" spans="2:17" x14ac:dyDescent="0.15">
      <c r="B178" s="300"/>
      <c r="C178" s="181" t="s">
        <v>489</v>
      </c>
      <c r="D178" s="181"/>
      <c r="E178" s="181"/>
      <c r="F178" s="181"/>
      <c r="G178" s="181"/>
      <c r="H178" s="181"/>
      <c r="I178" s="181"/>
      <c r="J178" s="181"/>
      <c r="K178" s="181"/>
      <c r="L178" s="181"/>
      <c r="M178" s="181"/>
      <c r="N178" s="181"/>
      <c r="O178" s="195"/>
      <c r="P178" s="195"/>
      <c r="Q178" s="195"/>
    </row>
    <row r="179" spans="2:17" x14ac:dyDescent="0.15">
      <c r="B179" s="254"/>
      <c r="C179" s="206" t="s">
        <v>540</v>
      </c>
      <c r="D179" s="181"/>
      <c r="E179" s="181"/>
      <c r="F179" s="181"/>
      <c r="G179" s="181"/>
      <c r="H179" s="181"/>
      <c r="I179" s="181"/>
      <c r="J179" s="181"/>
      <c r="K179" s="181"/>
      <c r="L179" s="181"/>
      <c r="M179" s="181"/>
      <c r="N179" s="181"/>
      <c r="O179" s="195"/>
      <c r="P179" s="195"/>
      <c r="Q179" s="195"/>
    </row>
    <row r="180" spans="2:17" x14ac:dyDescent="0.15">
      <c r="B180" s="372"/>
      <c r="C180" s="10" t="s">
        <v>1086</v>
      </c>
      <c r="D180" s="181"/>
      <c r="E180" s="181"/>
      <c r="F180" s="181"/>
      <c r="G180" s="181"/>
      <c r="H180" s="181"/>
      <c r="I180" s="181"/>
      <c r="J180" s="181"/>
      <c r="K180" s="181"/>
      <c r="L180" s="181"/>
      <c r="M180" s="181"/>
      <c r="N180" s="181"/>
      <c r="O180" s="195"/>
      <c r="P180" s="195"/>
      <c r="Q180" s="195"/>
    </row>
    <row r="181" spans="2:17" x14ac:dyDescent="0.15">
      <c r="B181" s="182"/>
      <c r="C181" s="181"/>
      <c r="D181" s="181"/>
      <c r="E181" s="181"/>
      <c r="F181" s="181"/>
      <c r="G181" s="181"/>
      <c r="H181" s="181"/>
      <c r="I181" s="181"/>
      <c r="J181" s="181"/>
      <c r="K181" s="181"/>
      <c r="L181" s="181"/>
      <c r="M181" s="181"/>
      <c r="N181" s="181"/>
      <c r="O181" s="195"/>
      <c r="P181" s="195"/>
      <c r="Q181" s="195"/>
    </row>
    <row r="182" spans="2:17" x14ac:dyDescent="0.15">
      <c r="B182" s="182"/>
      <c r="C182" s="181"/>
      <c r="D182" s="181"/>
      <c r="E182" s="181"/>
      <c r="F182" s="181"/>
      <c r="G182" s="181"/>
      <c r="H182" s="181"/>
      <c r="I182" s="181"/>
      <c r="J182" s="181"/>
      <c r="K182" s="181"/>
      <c r="L182" s="181"/>
      <c r="M182" s="181"/>
      <c r="N182" s="181"/>
      <c r="O182" s="195"/>
      <c r="P182" s="195"/>
      <c r="Q182" s="195"/>
    </row>
    <row r="183" spans="2:17" x14ac:dyDescent="0.15">
      <c r="B183" s="182"/>
      <c r="C183" s="181"/>
      <c r="D183" s="181"/>
      <c r="E183" s="181"/>
      <c r="F183" s="181"/>
      <c r="G183" s="181"/>
      <c r="H183" s="181"/>
      <c r="I183" s="181"/>
      <c r="J183" s="181"/>
      <c r="K183" s="181"/>
      <c r="L183" s="181"/>
      <c r="M183" s="181"/>
      <c r="N183" s="181"/>
      <c r="O183" s="195"/>
      <c r="P183" s="195"/>
      <c r="Q183" s="195"/>
    </row>
    <row r="184" spans="2:17" x14ac:dyDescent="0.15">
      <c r="B184" s="182"/>
      <c r="C184" s="181"/>
      <c r="D184" s="181"/>
      <c r="E184" s="181"/>
      <c r="F184" s="181"/>
      <c r="G184" s="181"/>
      <c r="H184" s="181"/>
      <c r="I184" s="181"/>
      <c r="J184" s="181"/>
      <c r="K184" s="181"/>
      <c r="L184" s="181"/>
      <c r="M184" s="181"/>
      <c r="N184" s="181"/>
      <c r="O184" s="195"/>
      <c r="P184" s="195"/>
      <c r="Q184" s="195"/>
    </row>
    <row r="185" spans="2:17" x14ac:dyDescent="0.15">
      <c r="B185" s="182"/>
      <c r="C185" s="181"/>
      <c r="D185" s="181"/>
      <c r="E185" s="181"/>
      <c r="F185" s="181"/>
      <c r="G185" s="181"/>
      <c r="H185" s="181"/>
      <c r="I185" s="181"/>
      <c r="J185" s="181"/>
      <c r="K185" s="181"/>
      <c r="L185" s="181"/>
      <c r="M185" s="181"/>
      <c r="N185" s="181"/>
      <c r="O185" s="195"/>
      <c r="P185" s="195"/>
      <c r="Q185" s="195"/>
    </row>
    <row r="186" spans="2:17" x14ac:dyDescent="0.15">
      <c r="B186" s="182"/>
      <c r="C186" s="181"/>
      <c r="D186" s="181"/>
      <c r="E186" s="181"/>
      <c r="F186" s="181"/>
      <c r="G186" s="181"/>
      <c r="H186" s="181"/>
      <c r="I186" s="181"/>
      <c r="J186" s="181"/>
      <c r="K186" s="181"/>
      <c r="L186" s="181"/>
      <c r="M186" s="181"/>
      <c r="N186" s="181"/>
      <c r="O186" s="195"/>
      <c r="P186" s="195"/>
      <c r="Q186" s="195"/>
    </row>
    <row r="187" spans="2:17" x14ac:dyDescent="0.15">
      <c r="B187" s="182"/>
      <c r="C187" s="181"/>
      <c r="D187" s="181"/>
      <c r="E187" s="181"/>
      <c r="F187" s="181"/>
      <c r="G187" s="181"/>
      <c r="H187" s="181"/>
      <c r="I187" s="181"/>
      <c r="J187" s="181"/>
      <c r="K187" s="181"/>
      <c r="L187" s="181"/>
      <c r="M187" s="181"/>
      <c r="N187" s="181"/>
      <c r="O187" s="195"/>
      <c r="P187" s="195"/>
      <c r="Q187" s="195"/>
    </row>
    <row r="188" spans="2:17" x14ac:dyDescent="0.15">
      <c r="B188" s="182"/>
      <c r="C188" s="181"/>
      <c r="D188" s="181"/>
      <c r="E188" s="181"/>
      <c r="F188" s="181"/>
      <c r="G188" s="181"/>
      <c r="H188" s="181"/>
      <c r="I188" s="181"/>
      <c r="J188" s="181"/>
      <c r="K188" s="181"/>
      <c r="L188" s="181"/>
      <c r="M188" s="181"/>
      <c r="N188" s="181"/>
      <c r="O188" s="195"/>
      <c r="P188" s="195"/>
      <c r="Q188" s="195"/>
    </row>
    <row r="189" spans="2:17" x14ac:dyDescent="0.15">
      <c r="B189" s="182"/>
      <c r="C189" s="181"/>
      <c r="D189" s="181"/>
      <c r="E189" s="181"/>
      <c r="F189" s="181"/>
      <c r="G189" s="181"/>
      <c r="H189" s="181"/>
      <c r="I189" s="181"/>
      <c r="J189" s="181"/>
      <c r="K189" s="181"/>
      <c r="L189" s="181"/>
      <c r="M189" s="181"/>
      <c r="N189" s="181"/>
      <c r="O189" s="195"/>
      <c r="P189" s="195"/>
      <c r="Q189" s="195"/>
    </row>
    <row r="190" spans="2:17" x14ac:dyDescent="0.15">
      <c r="B190" s="182"/>
      <c r="C190" s="181"/>
      <c r="D190" s="181"/>
      <c r="E190" s="181"/>
      <c r="F190" s="181"/>
      <c r="G190" s="181"/>
      <c r="H190" s="181"/>
      <c r="I190" s="181"/>
      <c r="J190" s="181"/>
      <c r="K190" s="181"/>
      <c r="L190" s="181"/>
      <c r="M190" s="181"/>
      <c r="N190" s="181"/>
      <c r="O190" s="195"/>
      <c r="P190" s="195"/>
      <c r="Q190" s="195"/>
    </row>
    <row r="191" spans="2:17" x14ac:dyDescent="0.15">
      <c r="B191" s="182"/>
      <c r="C191" s="181"/>
      <c r="D191" s="181"/>
      <c r="E191" s="181"/>
      <c r="F191" s="181"/>
      <c r="G191" s="181"/>
      <c r="H191" s="181"/>
      <c r="I191" s="181"/>
      <c r="J191" s="181"/>
      <c r="K191" s="181"/>
      <c r="L191" s="181"/>
      <c r="M191" s="181"/>
      <c r="N191" s="181"/>
      <c r="O191" s="195"/>
      <c r="P191" s="195"/>
      <c r="Q191" s="195"/>
    </row>
    <row r="192" spans="2:17" x14ac:dyDescent="0.15">
      <c r="B192" s="182"/>
      <c r="C192" s="181"/>
      <c r="D192" s="181"/>
      <c r="E192" s="181"/>
      <c r="F192" s="181"/>
      <c r="G192" s="181"/>
      <c r="H192" s="181"/>
      <c r="I192" s="181"/>
      <c r="J192" s="181"/>
      <c r="K192" s="181"/>
      <c r="L192" s="181"/>
      <c r="M192" s="181"/>
      <c r="N192" s="181"/>
      <c r="O192" s="195"/>
      <c r="P192" s="195"/>
      <c r="Q192" s="195"/>
    </row>
    <row r="193" spans="2:17" x14ac:dyDescent="0.15">
      <c r="B193" s="182"/>
      <c r="C193" s="181"/>
      <c r="D193" s="181"/>
      <c r="E193" s="181"/>
      <c r="F193" s="181"/>
      <c r="G193" s="181"/>
      <c r="H193" s="181"/>
      <c r="I193" s="181"/>
      <c r="J193" s="181"/>
      <c r="K193" s="181"/>
      <c r="L193" s="181"/>
      <c r="M193" s="181"/>
      <c r="N193" s="181"/>
      <c r="O193" s="195"/>
      <c r="P193" s="195"/>
      <c r="Q193" s="195"/>
    </row>
    <row r="194" spans="2:17" x14ac:dyDescent="0.15">
      <c r="B194" s="182"/>
      <c r="C194" s="181"/>
      <c r="D194" s="181"/>
      <c r="E194" s="181"/>
      <c r="F194" s="181"/>
      <c r="G194" s="181"/>
      <c r="H194" s="181"/>
      <c r="I194" s="181"/>
      <c r="J194" s="181"/>
      <c r="K194" s="181"/>
      <c r="L194" s="181"/>
      <c r="M194" s="181"/>
      <c r="N194" s="181"/>
      <c r="O194" s="195"/>
      <c r="P194" s="195"/>
      <c r="Q194" s="195"/>
    </row>
    <row r="195" spans="2:17" x14ac:dyDescent="0.15">
      <c r="B195" s="182"/>
      <c r="C195" s="181"/>
      <c r="D195" s="181"/>
      <c r="E195" s="181"/>
      <c r="F195" s="181"/>
      <c r="G195" s="181"/>
      <c r="H195" s="181"/>
      <c r="I195" s="181"/>
      <c r="J195" s="181"/>
      <c r="K195" s="181"/>
      <c r="L195" s="181"/>
      <c r="M195" s="181"/>
      <c r="N195" s="181"/>
      <c r="O195" s="195"/>
      <c r="P195" s="195"/>
      <c r="Q195" s="195"/>
    </row>
    <row r="196" spans="2:17" x14ac:dyDescent="0.15">
      <c r="B196" s="182"/>
      <c r="C196" s="181"/>
      <c r="D196" s="181"/>
      <c r="E196" s="181"/>
      <c r="F196" s="181"/>
      <c r="G196" s="181"/>
      <c r="H196" s="181"/>
      <c r="I196" s="181"/>
      <c r="J196" s="181"/>
      <c r="K196" s="181"/>
      <c r="L196" s="181"/>
      <c r="M196" s="181"/>
      <c r="N196" s="181"/>
      <c r="O196" s="195"/>
      <c r="P196" s="195"/>
      <c r="Q196" s="195"/>
    </row>
    <row r="197" spans="2:17" x14ac:dyDescent="0.15">
      <c r="B197" s="182"/>
      <c r="C197" s="181"/>
      <c r="D197" s="181"/>
      <c r="E197" s="181"/>
      <c r="F197" s="181"/>
      <c r="G197" s="181"/>
      <c r="H197" s="181"/>
      <c r="I197" s="181"/>
      <c r="J197" s="181"/>
      <c r="K197" s="181"/>
      <c r="L197" s="181"/>
      <c r="M197" s="181"/>
      <c r="N197" s="181"/>
      <c r="O197" s="195"/>
      <c r="P197" s="195"/>
      <c r="Q197" s="195"/>
    </row>
    <row r="198" spans="2:17" x14ac:dyDescent="0.15">
      <c r="B198" s="182"/>
      <c r="C198" s="181"/>
      <c r="D198" s="181"/>
      <c r="E198" s="181"/>
      <c r="F198" s="181"/>
      <c r="G198" s="181"/>
      <c r="H198" s="181"/>
      <c r="I198" s="181"/>
      <c r="J198" s="181"/>
      <c r="K198" s="181"/>
      <c r="L198" s="181"/>
      <c r="M198" s="181"/>
      <c r="N198" s="181"/>
      <c r="O198" s="195"/>
      <c r="P198" s="195"/>
      <c r="Q198" s="195"/>
    </row>
    <row r="199" spans="2:17" x14ac:dyDescent="0.15">
      <c r="B199" s="182"/>
      <c r="C199" s="181"/>
      <c r="D199" s="181"/>
      <c r="E199" s="181"/>
      <c r="F199" s="181"/>
      <c r="G199" s="181"/>
      <c r="H199" s="181"/>
      <c r="I199" s="181"/>
      <c r="J199" s="181"/>
      <c r="K199" s="181"/>
      <c r="L199" s="181"/>
      <c r="M199" s="181"/>
      <c r="N199" s="181"/>
      <c r="O199" s="195"/>
      <c r="P199" s="195"/>
      <c r="Q199" s="195"/>
    </row>
    <row r="200" spans="2:17" x14ac:dyDescent="0.15">
      <c r="B200" s="182"/>
      <c r="C200" s="181"/>
      <c r="D200" s="181"/>
      <c r="E200" s="181"/>
      <c r="F200" s="181"/>
      <c r="G200" s="181"/>
      <c r="H200" s="181"/>
      <c r="I200" s="181"/>
      <c r="J200" s="181"/>
      <c r="K200" s="181"/>
      <c r="L200" s="181"/>
      <c r="M200" s="181"/>
      <c r="N200" s="181"/>
      <c r="O200" s="195"/>
      <c r="P200" s="195"/>
      <c r="Q200" s="195"/>
    </row>
    <row r="201" spans="2:17" x14ac:dyDescent="0.15">
      <c r="B201" s="182"/>
      <c r="C201" s="181"/>
      <c r="D201" s="181"/>
      <c r="E201" s="181"/>
      <c r="F201" s="181"/>
      <c r="G201" s="181"/>
      <c r="H201" s="181"/>
      <c r="I201" s="181"/>
      <c r="J201" s="181"/>
      <c r="K201" s="181"/>
      <c r="L201" s="181"/>
      <c r="M201" s="181"/>
      <c r="N201" s="181"/>
      <c r="O201" s="195"/>
      <c r="P201" s="195"/>
      <c r="Q201" s="195"/>
    </row>
    <row r="202" spans="2:17" x14ac:dyDescent="0.15">
      <c r="B202" s="182"/>
      <c r="C202" s="181"/>
      <c r="D202" s="181"/>
      <c r="E202" s="181"/>
      <c r="F202" s="181"/>
      <c r="G202" s="181"/>
      <c r="H202" s="181"/>
      <c r="I202" s="181"/>
      <c r="J202" s="181"/>
      <c r="K202" s="181"/>
      <c r="L202" s="181"/>
      <c r="M202" s="181"/>
      <c r="N202" s="181"/>
      <c r="O202" s="195"/>
      <c r="P202" s="195"/>
      <c r="Q202" s="195"/>
    </row>
    <row r="203" spans="2:17" x14ac:dyDescent="0.15">
      <c r="B203" s="182"/>
      <c r="C203" s="181"/>
      <c r="D203" s="181"/>
      <c r="E203" s="181"/>
      <c r="F203" s="181"/>
      <c r="G203" s="181"/>
      <c r="H203" s="181"/>
      <c r="I203" s="181"/>
      <c r="J203" s="181"/>
      <c r="K203" s="181"/>
      <c r="L203" s="181"/>
      <c r="M203" s="181"/>
      <c r="N203" s="181"/>
      <c r="O203" s="195"/>
      <c r="P203" s="195"/>
      <c r="Q203" s="195"/>
    </row>
    <row r="204" spans="2:17" x14ac:dyDescent="0.15">
      <c r="B204" s="182"/>
      <c r="C204" s="181"/>
      <c r="D204" s="181"/>
      <c r="E204" s="181"/>
      <c r="F204" s="181"/>
      <c r="G204" s="181"/>
      <c r="H204" s="181"/>
      <c r="I204" s="181"/>
      <c r="J204" s="181"/>
      <c r="K204" s="181"/>
      <c r="L204" s="181"/>
      <c r="M204" s="181"/>
      <c r="N204" s="181"/>
      <c r="O204" s="195"/>
      <c r="P204" s="195"/>
      <c r="Q204" s="195"/>
    </row>
    <row r="205" spans="2:17" x14ac:dyDescent="0.15">
      <c r="B205" s="182"/>
      <c r="C205" s="181"/>
      <c r="D205" s="181"/>
      <c r="E205" s="181"/>
      <c r="F205" s="181"/>
      <c r="G205" s="181"/>
      <c r="H205" s="181"/>
      <c r="I205" s="181"/>
      <c r="J205" s="181"/>
      <c r="K205" s="181"/>
      <c r="L205" s="181"/>
      <c r="M205" s="181"/>
      <c r="N205" s="181"/>
      <c r="O205" s="195"/>
      <c r="P205" s="195"/>
      <c r="Q205" s="195"/>
    </row>
    <row r="206" spans="2:17" x14ac:dyDescent="0.15">
      <c r="B206" s="182"/>
      <c r="C206" s="181"/>
      <c r="D206" s="181"/>
      <c r="E206" s="181"/>
      <c r="F206" s="181"/>
      <c r="G206" s="181"/>
      <c r="H206" s="181"/>
      <c r="I206" s="181"/>
      <c r="J206" s="181"/>
      <c r="K206" s="181"/>
      <c r="L206" s="181"/>
      <c r="M206" s="181"/>
      <c r="N206" s="181"/>
      <c r="O206" s="195"/>
      <c r="P206" s="195"/>
      <c r="Q206" s="195"/>
    </row>
    <row r="207" spans="2:17" x14ac:dyDescent="0.15">
      <c r="B207" s="182"/>
      <c r="C207" s="181"/>
      <c r="D207" s="181"/>
      <c r="E207" s="181"/>
      <c r="F207" s="181"/>
      <c r="G207" s="181"/>
      <c r="H207" s="181"/>
      <c r="I207" s="181"/>
      <c r="J207" s="181"/>
      <c r="K207" s="181"/>
      <c r="L207" s="181"/>
      <c r="M207" s="181"/>
      <c r="N207" s="181"/>
      <c r="O207" s="195"/>
      <c r="P207" s="195"/>
      <c r="Q207" s="195"/>
    </row>
    <row r="208" spans="2:17" x14ac:dyDescent="0.15">
      <c r="B208" s="182"/>
      <c r="C208" s="181"/>
      <c r="D208" s="181"/>
      <c r="E208" s="181"/>
      <c r="F208" s="181"/>
      <c r="G208" s="181"/>
      <c r="H208" s="181"/>
      <c r="I208" s="181"/>
      <c r="J208" s="181"/>
      <c r="K208" s="181"/>
      <c r="L208" s="181"/>
      <c r="M208" s="181"/>
      <c r="N208" s="181"/>
      <c r="O208" s="195"/>
      <c r="P208" s="195"/>
      <c r="Q208" s="195"/>
    </row>
    <row r="209" spans="2:17" x14ac:dyDescent="0.15">
      <c r="B209" s="182"/>
      <c r="C209" s="181"/>
      <c r="D209" s="181"/>
      <c r="E209" s="181"/>
      <c r="F209" s="181"/>
      <c r="G209" s="181"/>
      <c r="H209" s="181"/>
      <c r="I209" s="181"/>
      <c r="J209" s="181"/>
      <c r="K209" s="181"/>
      <c r="L209" s="181"/>
      <c r="M209" s="181"/>
      <c r="N209" s="181"/>
      <c r="O209" s="195"/>
      <c r="P209" s="195"/>
      <c r="Q209" s="195"/>
    </row>
    <row r="210" spans="2:17" x14ac:dyDescent="0.15">
      <c r="B210" s="182"/>
      <c r="C210" s="181"/>
      <c r="D210" s="181"/>
      <c r="E210" s="181"/>
      <c r="F210" s="181"/>
      <c r="G210" s="181"/>
      <c r="H210" s="181"/>
      <c r="I210" s="181"/>
      <c r="J210" s="181"/>
      <c r="K210" s="181"/>
      <c r="L210" s="181"/>
      <c r="M210" s="181"/>
      <c r="N210" s="181"/>
      <c r="O210" s="195"/>
      <c r="P210" s="195"/>
      <c r="Q210" s="195"/>
    </row>
    <row r="211" spans="2:17" x14ac:dyDescent="0.15">
      <c r="B211" s="182"/>
      <c r="C211" s="181"/>
      <c r="D211" s="181"/>
      <c r="E211" s="181"/>
      <c r="F211" s="181"/>
      <c r="G211" s="181"/>
      <c r="H211" s="181"/>
      <c r="I211" s="181"/>
      <c r="J211" s="181"/>
      <c r="K211" s="181"/>
      <c r="L211" s="181"/>
      <c r="M211" s="181"/>
      <c r="N211" s="181"/>
      <c r="O211" s="195"/>
      <c r="P211" s="195"/>
      <c r="Q211" s="195"/>
    </row>
    <row r="212" spans="2:17" x14ac:dyDescent="0.15">
      <c r="B212" s="182"/>
      <c r="C212" s="181"/>
      <c r="D212" s="181"/>
      <c r="E212" s="181"/>
      <c r="F212" s="181"/>
      <c r="G212" s="181"/>
      <c r="H212" s="181"/>
      <c r="I212" s="181"/>
      <c r="J212" s="181"/>
      <c r="K212" s="181"/>
      <c r="L212" s="181"/>
      <c r="M212" s="181"/>
      <c r="N212" s="181"/>
      <c r="O212" s="195"/>
      <c r="P212" s="195"/>
      <c r="Q212" s="195"/>
    </row>
    <row r="213" spans="2:17" x14ac:dyDescent="0.15">
      <c r="B213" s="182"/>
      <c r="C213" s="181"/>
      <c r="D213" s="181"/>
      <c r="E213" s="181"/>
      <c r="F213" s="181"/>
      <c r="G213" s="181"/>
      <c r="H213" s="181"/>
      <c r="I213" s="181"/>
      <c r="J213" s="181"/>
      <c r="K213" s="181"/>
      <c r="L213" s="181"/>
      <c r="M213" s="181"/>
      <c r="N213" s="181"/>
      <c r="O213" s="195"/>
      <c r="P213" s="195"/>
      <c r="Q213" s="195"/>
    </row>
    <row r="214" spans="2:17" x14ac:dyDescent="0.15">
      <c r="B214" s="182"/>
      <c r="C214" s="181"/>
      <c r="D214" s="181"/>
      <c r="E214" s="181"/>
      <c r="F214" s="181"/>
      <c r="G214" s="181"/>
      <c r="H214" s="181"/>
      <c r="I214" s="181"/>
      <c r="J214" s="181"/>
      <c r="K214" s="181"/>
      <c r="L214" s="181"/>
      <c r="M214" s="181"/>
      <c r="N214" s="181"/>
      <c r="O214" s="195"/>
      <c r="P214" s="195"/>
      <c r="Q214" s="195"/>
    </row>
    <row r="215" spans="2:17" x14ac:dyDescent="0.15">
      <c r="B215" s="182"/>
      <c r="C215" s="181"/>
      <c r="D215" s="181"/>
      <c r="E215" s="181"/>
      <c r="F215" s="181"/>
      <c r="G215" s="181"/>
      <c r="H215" s="181"/>
      <c r="I215" s="181"/>
      <c r="J215" s="181"/>
      <c r="K215" s="181"/>
      <c r="L215" s="181"/>
      <c r="M215" s="181"/>
      <c r="N215" s="181"/>
      <c r="O215" s="195"/>
      <c r="P215" s="195"/>
      <c r="Q215" s="195"/>
    </row>
    <row r="216" spans="2:17" x14ac:dyDescent="0.15">
      <c r="B216" s="182"/>
      <c r="C216" s="181"/>
      <c r="D216" s="181"/>
      <c r="E216" s="181"/>
      <c r="F216" s="181"/>
      <c r="G216" s="181"/>
      <c r="H216" s="181"/>
      <c r="I216" s="181"/>
      <c r="J216" s="181"/>
      <c r="K216" s="181"/>
      <c r="L216" s="181"/>
      <c r="M216" s="181"/>
      <c r="N216" s="181"/>
      <c r="O216" s="195"/>
      <c r="P216" s="195"/>
      <c r="Q216" s="195"/>
    </row>
    <row r="217" spans="2:17" x14ac:dyDescent="0.15">
      <c r="B217" s="182"/>
      <c r="C217" s="181"/>
      <c r="D217" s="181"/>
      <c r="E217" s="181"/>
      <c r="F217" s="181"/>
      <c r="G217" s="181"/>
      <c r="H217" s="181"/>
      <c r="I217" s="181"/>
      <c r="J217" s="181"/>
      <c r="K217" s="181"/>
      <c r="L217" s="181"/>
      <c r="M217" s="181"/>
      <c r="N217" s="181"/>
      <c r="O217" s="195"/>
      <c r="P217" s="195"/>
      <c r="Q217" s="195"/>
    </row>
    <row r="218" spans="2:17" x14ac:dyDescent="0.15">
      <c r="B218" s="182"/>
      <c r="C218" s="181"/>
      <c r="D218" s="181"/>
      <c r="E218" s="181"/>
      <c r="F218" s="181"/>
      <c r="G218" s="181"/>
      <c r="H218" s="181"/>
      <c r="I218" s="181"/>
      <c r="J218" s="181"/>
      <c r="K218" s="181"/>
      <c r="L218" s="181"/>
      <c r="M218" s="181"/>
      <c r="N218" s="181"/>
      <c r="O218" s="195"/>
      <c r="P218" s="195"/>
      <c r="Q218" s="195"/>
    </row>
    <row r="219" spans="2:17" x14ac:dyDescent="0.15">
      <c r="B219" s="182"/>
      <c r="C219" s="181"/>
      <c r="D219" s="181"/>
      <c r="E219" s="181"/>
      <c r="F219" s="181"/>
      <c r="G219" s="181"/>
      <c r="H219" s="181"/>
      <c r="I219" s="181"/>
      <c r="J219" s="181"/>
      <c r="K219" s="181"/>
      <c r="L219" s="181"/>
      <c r="M219" s="181"/>
      <c r="N219" s="181"/>
      <c r="O219" s="195"/>
      <c r="P219" s="195"/>
      <c r="Q219" s="195"/>
    </row>
    <row r="220" spans="2:17" x14ac:dyDescent="0.15">
      <c r="B220" s="182"/>
      <c r="C220" s="181"/>
      <c r="D220" s="181"/>
      <c r="E220" s="181"/>
      <c r="F220" s="181"/>
      <c r="G220" s="181"/>
      <c r="H220" s="181"/>
      <c r="I220" s="181"/>
      <c r="J220" s="181"/>
      <c r="K220" s="181"/>
      <c r="L220" s="181"/>
      <c r="M220" s="181"/>
      <c r="N220" s="181"/>
      <c r="O220" s="195"/>
      <c r="P220" s="195"/>
      <c r="Q220" s="195"/>
    </row>
    <row r="221" spans="2:17" x14ac:dyDescent="0.15">
      <c r="B221" s="182"/>
      <c r="C221" s="181"/>
      <c r="D221" s="181"/>
      <c r="E221" s="181"/>
      <c r="F221" s="181"/>
      <c r="G221" s="181"/>
      <c r="H221" s="181"/>
      <c r="I221" s="181"/>
      <c r="J221" s="181"/>
      <c r="K221" s="181"/>
      <c r="L221" s="181"/>
      <c r="M221" s="181"/>
      <c r="N221" s="181"/>
      <c r="O221" s="195"/>
      <c r="P221" s="195"/>
      <c r="Q221" s="195"/>
    </row>
    <row r="222" spans="2:17" x14ac:dyDescent="0.15">
      <c r="B222" s="182"/>
      <c r="C222" s="181"/>
      <c r="D222" s="181"/>
      <c r="E222" s="181"/>
      <c r="F222" s="181"/>
      <c r="G222" s="181"/>
      <c r="H222" s="181"/>
      <c r="I222" s="181"/>
      <c r="J222" s="181"/>
      <c r="K222" s="181"/>
      <c r="L222" s="181"/>
      <c r="M222" s="181"/>
      <c r="N222" s="181"/>
      <c r="O222" s="195"/>
      <c r="P222" s="195"/>
      <c r="Q222" s="195"/>
    </row>
    <row r="223" spans="2:17" x14ac:dyDescent="0.15">
      <c r="B223" s="182"/>
      <c r="C223" s="181"/>
      <c r="D223" s="181"/>
      <c r="E223" s="181"/>
      <c r="F223" s="181"/>
      <c r="G223" s="181"/>
      <c r="H223" s="181"/>
      <c r="I223" s="181"/>
      <c r="J223" s="181"/>
      <c r="K223" s="181"/>
      <c r="L223" s="181"/>
      <c r="M223" s="181"/>
      <c r="N223" s="181"/>
      <c r="O223" s="195"/>
      <c r="P223" s="195"/>
      <c r="Q223" s="195"/>
    </row>
    <row r="224" spans="2:17" x14ac:dyDescent="0.15">
      <c r="B224" s="182"/>
      <c r="C224" s="181"/>
      <c r="D224" s="181"/>
      <c r="E224" s="181"/>
      <c r="F224" s="181"/>
      <c r="G224" s="181"/>
      <c r="H224" s="181"/>
      <c r="I224" s="181"/>
      <c r="J224" s="181"/>
      <c r="K224" s="181"/>
      <c r="L224" s="181"/>
      <c r="M224" s="181"/>
      <c r="N224" s="181"/>
      <c r="O224" s="195"/>
      <c r="P224" s="195"/>
      <c r="Q224" s="195"/>
    </row>
    <row r="225" spans="2:17" x14ac:dyDescent="0.15">
      <c r="B225" s="182"/>
      <c r="C225" s="181"/>
      <c r="D225" s="181"/>
      <c r="E225" s="181"/>
      <c r="F225" s="181"/>
      <c r="G225" s="181"/>
      <c r="H225" s="181"/>
      <c r="I225" s="181"/>
      <c r="J225" s="181"/>
      <c r="K225" s="181"/>
      <c r="L225" s="181"/>
      <c r="M225" s="181"/>
      <c r="N225" s="181"/>
      <c r="O225" s="195"/>
      <c r="P225" s="195"/>
      <c r="Q225" s="195"/>
    </row>
    <row r="226" spans="2:17" x14ac:dyDescent="0.15">
      <c r="B226" s="182"/>
      <c r="C226" s="181"/>
      <c r="D226" s="181"/>
      <c r="E226" s="181"/>
      <c r="F226" s="181"/>
      <c r="G226" s="181"/>
      <c r="H226" s="181"/>
      <c r="I226" s="181"/>
      <c r="J226" s="181"/>
      <c r="K226" s="181"/>
      <c r="L226" s="181"/>
      <c r="M226" s="181"/>
      <c r="N226" s="181"/>
      <c r="O226" s="195"/>
      <c r="P226" s="195"/>
      <c r="Q226" s="195"/>
    </row>
    <row r="227" spans="2:17" x14ac:dyDescent="0.15">
      <c r="B227" s="182"/>
      <c r="C227" s="181"/>
      <c r="D227" s="181"/>
      <c r="E227" s="181"/>
      <c r="F227" s="181"/>
      <c r="G227" s="181"/>
      <c r="H227" s="181"/>
      <c r="I227" s="181"/>
      <c r="J227" s="181"/>
      <c r="K227" s="181"/>
      <c r="L227" s="181"/>
      <c r="M227" s="181"/>
      <c r="N227" s="181"/>
      <c r="O227" s="195"/>
      <c r="P227" s="195"/>
      <c r="Q227" s="195"/>
    </row>
    <row r="228" spans="2:17" x14ac:dyDescent="0.15">
      <c r="B228" s="182"/>
      <c r="C228" s="181"/>
      <c r="D228" s="181"/>
      <c r="E228" s="181"/>
      <c r="F228" s="181"/>
      <c r="G228" s="181"/>
      <c r="H228" s="181"/>
      <c r="I228" s="181"/>
      <c r="J228" s="181"/>
      <c r="K228" s="181"/>
      <c r="L228" s="181"/>
      <c r="M228" s="181"/>
      <c r="N228" s="181"/>
      <c r="O228" s="195"/>
      <c r="P228" s="195"/>
      <c r="Q228" s="195"/>
    </row>
    <row r="229" spans="2:17" x14ac:dyDescent="0.15">
      <c r="B229" s="182"/>
      <c r="C229" s="181"/>
      <c r="D229" s="181"/>
      <c r="E229" s="181"/>
      <c r="F229" s="181"/>
      <c r="G229" s="181"/>
      <c r="H229" s="181"/>
      <c r="I229" s="181"/>
      <c r="J229" s="181"/>
      <c r="K229" s="181"/>
      <c r="L229" s="181"/>
      <c r="M229" s="181"/>
      <c r="N229" s="181"/>
      <c r="O229" s="195"/>
      <c r="P229" s="195"/>
      <c r="Q229" s="195"/>
    </row>
    <row r="230" spans="2:17" x14ac:dyDescent="0.15">
      <c r="B230" s="182"/>
      <c r="C230" s="181"/>
      <c r="D230" s="181"/>
      <c r="E230" s="181"/>
      <c r="F230" s="181"/>
      <c r="G230" s="181"/>
      <c r="H230" s="181"/>
      <c r="I230" s="181"/>
      <c r="J230" s="181"/>
      <c r="K230" s="181"/>
      <c r="L230" s="181"/>
      <c r="M230" s="181"/>
      <c r="N230" s="181"/>
      <c r="O230" s="195"/>
      <c r="P230" s="195"/>
      <c r="Q230" s="195"/>
    </row>
    <row r="231" spans="2:17" x14ac:dyDescent="0.15">
      <c r="B231" s="182"/>
      <c r="C231" s="181"/>
      <c r="D231" s="181"/>
      <c r="E231" s="181"/>
      <c r="F231" s="181"/>
      <c r="G231" s="181"/>
      <c r="H231" s="181"/>
      <c r="I231" s="181"/>
      <c r="J231" s="181"/>
      <c r="K231" s="181"/>
      <c r="L231" s="181"/>
      <c r="M231" s="181"/>
      <c r="N231" s="181"/>
      <c r="O231" s="195"/>
      <c r="P231" s="195"/>
      <c r="Q231" s="195"/>
    </row>
    <row r="232" spans="2:17" x14ac:dyDescent="0.15">
      <c r="B232" s="182"/>
      <c r="C232" s="181"/>
      <c r="D232" s="181"/>
      <c r="E232" s="181"/>
      <c r="F232" s="181"/>
      <c r="G232" s="181"/>
      <c r="H232" s="181"/>
      <c r="I232" s="181"/>
      <c r="J232" s="181"/>
      <c r="K232" s="181"/>
      <c r="L232" s="181"/>
      <c r="M232" s="181"/>
      <c r="N232" s="181"/>
      <c r="O232" s="195"/>
      <c r="P232" s="195"/>
      <c r="Q232" s="195"/>
    </row>
    <row r="233" spans="2:17" x14ac:dyDescent="0.15">
      <c r="B233" s="182"/>
      <c r="C233" s="181"/>
      <c r="D233" s="181"/>
      <c r="E233" s="181"/>
      <c r="F233" s="181"/>
      <c r="G233" s="181"/>
      <c r="H233" s="181"/>
      <c r="I233" s="181"/>
      <c r="J233" s="181"/>
      <c r="K233" s="181"/>
      <c r="L233" s="181"/>
      <c r="M233" s="181"/>
      <c r="N233" s="181"/>
      <c r="O233" s="195"/>
      <c r="P233" s="195"/>
      <c r="Q233" s="195"/>
    </row>
    <row r="234" spans="2:17" x14ac:dyDescent="0.15">
      <c r="B234" s="182"/>
      <c r="C234" s="181"/>
      <c r="D234" s="181"/>
      <c r="E234" s="181"/>
      <c r="F234" s="181"/>
      <c r="G234" s="181"/>
      <c r="H234" s="181"/>
      <c r="I234" s="181"/>
      <c r="J234" s="181"/>
      <c r="K234" s="181"/>
      <c r="L234" s="181"/>
      <c r="M234" s="181"/>
      <c r="N234" s="181"/>
      <c r="O234" s="195"/>
      <c r="P234" s="195"/>
      <c r="Q234" s="195"/>
    </row>
    <row r="235" spans="2:17" x14ac:dyDescent="0.15">
      <c r="B235" s="182"/>
      <c r="C235" s="181"/>
      <c r="D235" s="181"/>
      <c r="E235" s="181"/>
      <c r="F235" s="181"/>
      <c r="G235" s="181"/>
      <c r="H235" s="181"/>
      <c r="I235" s="181"/>
      <c r="J235" s="181"/>
      <c r="K235" s="181"/>
      <c r="L235" s="181"/>
      <c r="M235" s="181"/>
      <c r="N235" s="181"/>
      <c r="O235" s="195"/>
      <c r="P235" s="195"/>
      <c r="Q235" s="195"/>
    </row>
    <row r="236" spans="2:17" x14ac:dyDescent="0.15">
      <c r="B236" s="182"/>
      <c r="C236" s="181"/>
      <c r="D236" s="181"/>
      <c r="E236" s="181"/>
      <c r="F236" s="181"/>
      <c r="G236" s="181"/>
      <c r="H236" s="181"/>
      <c r="I236" s="181"/>
      <c r="J236" s="181"/>
      <c r="K236" s="181"/>
      <c r="L236" s="181"/>
      <c r="M236" s="181"/>
      <c r="N236" s="181"/>
      <c r="O236" s="195"/>
      <c r="P236" s="195"/>
      <c r="Q236" s="195"/>
    </row>
    <row r="237" spans="2:17" x14ac:dyDescent="0.15">
      <c r="B237" s="182"/>
      <c r="C237" s="181"/>
      <c r="D237" s="181"/>
      <c r="E237" s="181"/>
      <c r="F237" s="181"/>
      <c r="G237" s="181"/>
      <c r="H237" s="181"/>
      <c r="I237" s="181"/>
      <c r="J237" s="181"/>
      <c r="K237" s="181"/>
      <c r="L237" s="181"/>
      <c r="M237" s="181"/>
      <c r="N237" s="181"/>
      <c r="O237" s="195"/>
      <c r="P237" s="195"/>
      <c r="Q237" s="195"/>
    </row>
    <row r="238" spans="2:17" x14ac:dyDescent="0.15">
      <c r="B238" s="182"/>
      <c r="C238" s="181"/>
      <c r="D238" s="181"/>
      <c r="E238" s="181"/>
      <c r="F238" s="181"/>
      <c r="G238" s="181"/>
      <c r="H238" s="181"/>
      <c r="I238" s="181"/>
      <c r="J238" s="181"/>
      <c r="K238" s="181"/>
      <c r="L238" s="181"/>
      <c r="M238" s="181"/>
      <c r="N238" s="181"/>
      <c r="O238" s="195"/>
      <c r="P238" s="195"/>
      <c r="Q238" s="195"/>
    </row>
    <row r="239" spans="2:17" x14ac:dyDescent="0.15">
      <c r="B239" s="182"/>
      <c r="C239" s="181"/>
      <c r="D239" s="181"/>
      <c r="E239" s="181"/>
      <c r="F239" s="181"/>
      <c r="G239" s="181"/>
      <c r="H239" s="181"/>
      <c r="I239" s="181"/>
      <c r="J239" s="181"/>
      <c r="K239" s="181"/>
      <c r="L239" s="181"/>
      <c r="M239" s="181"/>
      <c r="N239" s="181"/>
      <c r="O239" s="195"/>
      <c r="P239" s="195"/>
      <c r="Q239" s="195"/>
    </row>
    <row r="240" spans="2:17" x14ac:dyDescent="0.15">
      <c r="B240" s="182"/>
      <c r="C240" s="181"/>
      <c r="D240" s="181"/>
      <c r="E240" s="181"/>
      <c r="F240" s="181"/>
      <c r="G240" s="181"/>
      <c r="H240" s="181"/>
      <c r="I240" s="181"/>
      <c r="J240" s="181"/>
      <c r="K240" s="181"/>
      <c r="L240" s="181"/>
      <c r="M240" s="181"/>
      <c r="N240" s="181"/>
      <c r="O240" s="195"/>
      <c r="P240" s="195"/>
      <c r="Q240" s="195"/>
    </row>
    <row r="241" spans="2:17" x14ac:dyDescent="0.15">
      <c r="B241" s="182"/>
      <c r="C241" s="181"/>
      <c r="D241" s="181"/>
      <c r="E241" s="181"/>
      <c r="F241" s="181"/>
      <c r="G241" s="181"/>
      <c r="H241" s="181"/>
      <c r="I241" s="181"/>
      <c r="J241" s="181"/>
      <c r="K241" s="181"/>
      <c r="L241" s="181"/>
      <c r="M241" s="181"/>
      <c r="N241" s="181"/>
      <c r="O241" s="195"/>
      <c r="P241" s="195"/>
      <c r="Q241" s="195"/>
    </row>
    <row r="242" spans="2:17" x14ac:dyDescent="0.15">
      <c r="B242" s="182"/>
      <c r="C242" s="181"/>
      <c r="D242" s="181"/>
      <c r="E242" s="181"/>
      <c r="F242" s="181"/>
      <c r="G242" s="181"/>
      <c r="H242" s="181"/>
      <c r="I242" s="181"/>
      <c r="J242" s="181"/>
      <c r="K242" s="181"/>
      <c r="L242" s="181"/>
      <c r="M242" s="181"/>
      <c r="N242" s="181"/>
      <c r="O242" s="195"/>
      <c r="P242" s="195"/>
      <c r="Q242" s="195"/>
    </row>
    <row r="243" spans="2:17" x14ac:dyDescent="0.15">
      <c r="B243" s="182"/>
      <c r="C243" s="181"/>
      <c r="D243" s="181"/>
      <c r="E243" s="181"/>
      <c r="F243" s="181"/>
      <c r="G243" s="181"/>
      <c r="H243" s="181"/>
      <c r="I243" s="181"/>
      <c r="J243" s="181"/>
      <c r="K243" s="181"/>
      <c r="L243" s="181"/>
      <c r="M243" s="181"/>
      <c r="N243" s="181"/>
      <c r="O243" s="195"/>
      <c r="P243" s="195"/>
      <c r="Q243" s="195"/>
    </row>
    <row r="244" spans="2:17" x14ac:dyDescent="0.15">
      <c r="B244" s="182"/>
      <c r="C244" s="181"/>
      <c r="D244" s="181"/>
      <c r="E244" s="181"/>
      <c r="F244" s="181"/>
      <c r="G244" s="181"/>
      <c r="H244" s="181"/>
      <c r="I244" s="181"/>
      <c r="J244" s="181"/>
      <c r="K244" s="181"/>
      <c r="L244" s="181"/>
      <c r="M244" s="181"/>
      <c r="N244" s="181"/>
      <c r="O244" s="195"/>
      <c r="P244" s="195"/>
      <c r="Q244" s="195"/>
    </row>
    <row r="245" spans="2:17" x14ac:dyDescent="0.15">
      <c r="B245" s="182"/>
      <c r="C245" s="181"/>
      <c r="D245" s="181"/>
      <c r="E245" s="181"/>
      <c r="F245" s="181"/>
      <c r="G245" s="181"/>
      <c r="H245" s="181"/>
      <c r="I245" s="181"/>
      <c r="J245" s="181"/>
      <c r="K245" s="181"/>
      <c r="L245" s="181"/>
      <c r="M245" s="181"/>
      <c r="N245" s="181"/>
      <c r="O245" s="195"/>
      <c r="P245" s="195"/>
      <c r="Q245" s="195"/>
    </row>
    <row r="246" spans="2:17" x14ac:dyDescent="0.15">
      <c r="B246" s="182"/>
      <c r="C246" s="181"/>
      <c r="D246" s="181"/>
      <c r="E246" s="181"/>
      <c r="F246" s="181"/>
      <c r="G246" s="181"/>
      <c r="H246" s="181"/>
      <c r="I246" s="181"/>
      <c r="J246" s="181"/>
      <c r="K246" s="181"/>
      <c r="L246" s="181"/>
      <c r="M246" s="181"/>
      <c r="N246" s="181"/>
      <c r="O246" s="195"/>
      <c r="P246" s="195"/>
      <c r="Q246" s="195"/>
    </row>
    <row r="247" spans="2:17" x14ac:dyDescent="0.15">
      <c r="B247" s="182"/>
      <c r="C247" s="181"/>
      <c r="D247" s="181"/>
      <c r="E247" s="181"/>
      <c r="F247" s="181"/>
      <c r="G247" s="181"/>
      <c r="H247" s="181"/>
      <c r="I247" s="181"/>
      <c r="J247" s="181"/>
      <c r="K247" s="181"/>
      <c r="L247" s="181"/>
      <c r="M247" s="181"/>
      <c r="N247" s="181"/>
      <c r="O247" s="195"/>
      <c r="P247" s="195"/>
      <c r="Q247" s="195"/>
    </row>
    <row r="248" spans="2:17" x14ac:dyDescent="0.15">
      <c r="B248" s="182"/>
      <c r="C248" s="181"/>
      <c r="D248" s="181"/>
      <c r="E248" s="181"/>
      <c r="F248" s="181"/>
      <c r="G248" s="181"/>
      <c r="H248" s="181"/>
      <c r="I248" s="181"/>
      <c r="J248" s="181"/>
      <c r="K248" s="181"/>
      <c r="L248" s="181"/>
      <c r="M248" s="181"/>
      <c r="N248" s="181"/>
      <c r="O248" s="195"/>
      <c r="P248" s="195"/>
      <c r="Q248" s="195"/>
    </row>
    <row r="249" spans="2:17" x14ac:dyDescent="0.15">
      <c r="B249" s="182"/>
      <c r="C249" s="181"/>
      <c r="D249" s="181"/>
      <c r="E249" s="181"/>
      <c r="F249" s="181"/>
      <c r="G249" s="181"/>
      <c r="H249" s="181"/>
      <c r="I249" s="181"/>
      <c r="J249" s="181"/>
      <c r="K249" s="181"/>
      <c r="L249" s="181"/>
      <c r="M249" s="181"/>
      <c r="N249" s="181"/>
      <c r="O249" s="195"/>
      <c r="P249" s="195"/>
      <c r="Q249" s="195"/>
    </row>
    <row r="250" spans="2:17" x14ac:dyDescent="0.15">
      <c r="B250" s="182"/>
      <c r="C250" s="181"/>
      <c r="D250" s="181"/>
      <c r="E250" s="181"/>
      <c r="F250" s="181"/>
      <c r="G250" s="181"/>
      <c r="H250" s="181"/>
      <c r="I250" s="181"/>
      <c r="J250" s="181"/>
      <c r="K250" s="181"/>
      <c r="L250" s="181"/>
      <c r="M250" s="181"/>
      <c r="N250" s="181"/>
      <c r="O250" s="195"/>
      <c r="P250" s="195"/>
      <c r="Q250" s="195"/>
    </row>
    <row r="251" spans="2:17" x14ac:dyDescent="0.15">
      <c r="B251" s="182"/>
      <c r="C251" s="181"/>
      <c r="D251" s="181"/>
      <c r="E251" s="181"/>
      <c r="F251" s="181"/>
      <c r="G251" s="181"/>
      <c r="H251" s="181"/>
      <c r="I251" s="181"/>
      <c r="J251" s="181"/>
      <c r="K251" s="181"/>
      <c r="L251" s="181"/>
      <c r="M251" s="181"/>
      <c r="N251" s="181"/>
      <c r="O251" s="195"/>
      <c r="P251" s="195"/>
      <c r="Q251" s="195"/>
    </row>
    <row r="252" spans="2:17" x14ac:dyDescent="0.15">
      <c r="B252" s="182"/>
      <c r="C252" s="181"/>
      <c r="D252" s="181"/>
      <c r="E252" s="181"/>
      <c r="F252" s="181"/>
      <c r="G252" s="181"/>
      <c r="H252" s="181"/>
      <c r="I252" s="181"/>
      <c r="J252" s="181"/>
      <c r="K252" s="181"/>
      <c r="L252" s="181"/>
      <c r="M252" s="181"/>
      <c r="N252" s="181"/>
      <c r="O252" s="195"/>
      <c r="P252" s="195"/>
      <c r="Q252" s="195"/>
    </row>
    <row r="253" spans="2:17" x14ac:dyDescent="0.15">
      <c r="B253" s="182"/>
      <c r="C253" s="181"/>
      <c r="D253" s="181"/>
      <c r="E253" s="181"/>
      <c r="F253" s="181"/>
      <c r="G253" s="181"/>
      <c r="H253" s="181"/>
      <c r="I253" s="181"/>
      <c r="J253" s="181"/>
      <c r="K253" s="181"/>
      <c r="L253" s="181"/>
      <c r="M253" s="181"/>
      <c r="N253" s="181"/>
      <c r="O253" s="195"/>
      <c r="P253" s="195"/>
      <c r="Q253" s="195"/>
    </row>
    <row r="254" spans="2:17" x14ac:dyDescent="0.15">
      <c r="B254" s="182"/>
      <c r="C254" s="181"/>
      <c r="D254" s="181"/>
      <c r="E254" s="181"/>
      <c r="F254" s="181"/>
      <c r="G254" s="181"/>
      <c r="H254" s="181"/>
      <c r="I254" s="181"/>
      <c r="J254" s="181"/>
      <c r="K254" s="181"/>
      <c r="L254" s="181"/>
      <c r="M254" s="181"/>
      <c r="N254" s="181"/>
      <c r="O254" s="195"/>
      <c r="P254" s="195"/>
      <c r="Q254" s="195"/>
    </row>
    <row r="255" spans="2:17" x14ac:dyDescent="0.15">
      <c r="B255" s="182"/>
      <c r="C255" s="181"/>
      <c r="D255" s="181"/>
      <c r="E255" s="181"/>
      <c r="F255" s="181"/>
      <c r="G255" s="181"/>
      <c r="H255" s="181"/>
      <c r="I255" s="181"/>
      <c r="J255" s="181"/>
      <c r="K255" s="181"/>
      <c r="L255" s="181"/>
      <c r="M255" s="181"/>
      <c r="N255" s="181"/>
      <c r="O255" s="195"/>
      <c r="P255" s="195"/>
      <c r="Q255" s="195"/>
    </row>
    <row r="256" spans="2:17" x14ac:dyDescent="0.15">
      <c r="B256" s="182"/>
      <c r="C256" s="181"/>
      <c r="D256" s="181"/>
      <c r="E256" s="181"/>
      <c r="F256" s="181"/>
      <c r="G256" s="181"/>
      <c r="H256" s="181"/>
      <c r="I256" s="181"/>
      <c r="J256" s="181"/>
      <c r="K256" s="181"/>
      <c r="L256" s="181"/>
      <c r="M256" s="181"/>
      <c r="N256" s="181"/>
      <c r="O256" s="195"/>
      <c r="P256" s="195"/>
      <c r="Q256" s="195"/>
    </row>
    <row r="257" spans="2:17" x14ac:dyDescent="0.15">
      <c r="B257" s="182"/>
      <c r="C257" s="181"/>
      <c r="D257" s="181"/>
      <c r="E257" s="181"/>
      <c r="F257" s="181"/>
      <c r="G257" s="181"/>
      <c r="H257" s="181"/>
      <c r="I257" s="181"/>
      <c r="J257" s="181"/>
      <c r="K257" s="181"/>
      <c r="L257" s="181"/>
      <c r="M257" s="181"/>
      <c r="N257" s="181"/>
      <c r="O257" s="195"/>
      <c r="P257" s="195"/>
      <c r="Q257" s="195"/>
    </row>
    <row r="258" spans="2:17" x14ac:dyDescent="0.15">
      <c r="B258" s="182"/>
      <c r="C258" s="181"/>
      <c r="D258" s="181"/>
      <c r="E258" s="181"/>
      <c r="F258" s="181"/>
      <c r="G258" s="181"/>
      <c r="H258" s="181"/>
      <c r="I258" s="181"/>
      <c r="J258" s="181"/>
      <c r="K258" s="181"/>
      <c r="L258" s="181"/>
      <c r="M258" s="181"/>
      <c r="N258" s="181"/>
      <c r="O258" s="195"/>
      <c r="P258" s="195"/>
      <c r="Q258" s="195"/>
    </row>
    <row r="259" spans="2:17" x14ac:dyDescent="0.15">
      <c r="B259" s="182"/>
      <c r="C259" s="181"/>
      <c r="D259" s="181"/>
      <c r="E259" s="181"/>
      <c r="F259" s="181"/>
      <c r="G259" s="181"/>
      <c r="H259" s="181"/>
      <c r="I259" s="181"/>
      <c r="J259" s="181"/>
      <c r="K259" s="181"/>
      <c r="L259" s="181"/>
      <c r="M259" s="181"/>
      <c r="N259" s="181"/>
      <c r="O259" s="195"/>
      <c r="P259" s="195"/>
      <c r="Q259" s="195"/>
    </row>
    <row r="260" spans="2:17" x14ac:dyDescent="0.15">
      <c r="B260" s="182"/>
      <c r="C260" s="181"/>
      <c r="D260" s="181"/>
      <c r="E260" s="181"/>
      <c r="F260" s="181"/>
      <c r="G260" s="181"/>
      <c r="H260" s="181"/>
      <c r="I260" s="181"/>
      <c r="J260" s="181"/>
      <c r="K260" s="181"/>
      <c r="L260" s="181"/>
      <c r="M260" s="181"/>
      <c r="N260" s="181"/>
      <c r="O260" s="195"/>
      <c r="P260" s="195"/>
      <c r="Q260" s="195"/>
    </row>
    <row r="261" spans="2:17" x14ac:dyDescent="0.15">
      <c r="B261" s="182"/>
      <c r="C261" s="181"/>
      <c r="D261" s="181"/>
      <c r="E261" s="181"/>
      <c r="F261" s="181"/>
      <c r="G261" s="181"/>
      <c r="H261" s="181"/>
      <c r="I261" s="181"/>
      <c r="J261" s="181"/>
      <c r="K261" s="181"/>
      <c r="L261" s="181"/>
      <c r="M261" s="181"/>
      <c r="N261" s="181"/>
      <c r="O261" s="195"/>
      <c r="P261" s="195"/>
      <c r="Q261" s="195"/>
    </row>
    <row r="262" spans="2:17" x14ac:dyDescent="0.15">
      <c r="B262" s="182"/>
      <c r="C262" s="181"/>
      <c r="D262" s="181"/>
      <c r="E262" s="181"/>
      <c r="F262" s="181"/>
      <c r="G262" s="181"/>
      <c r="H262" s="181"/>
      <c r="I262" s="181"/>
      <c r="J262" s="181"/>
      <c r="K262" s="181"/>
      <c r="L262" s="181"/>
      <c r="M262" s="181"/>
      <c r="N262" s="181"/>
      <c r="O262" s="195"/>
      <c r="P262" s="195"/>
      <c r="Q262" s="195"/>
    </row>
    <row r="263" spans="2:17" x14ac:dyDescent="0.15">
      <c r="B263" s="182"/>
      <c r="C263" s="181"/>
      <c r="D263" s="181"/>
      <c r="E263" s="181"/>
      <c r="F263" s="181"/>
      <c r="G263" s="181"/>
      <c r="H263" s="181"/>
      <c r="I263" s="181"/>
      <c r="J263" s="181"/>
      <c r="K263" s="181"/>
      <c r="L263" s="181"/>
      <c r="M263" s="181"/>
      <c r="N263" s="181"/>
      <c r="O263" s="195"/>
      <c r="P263" s="195"/>
      <c r="Q263" s="195"/>
    </row>
    <row r="264" spans="2:17" x14ac:dyDescent="0.15">
      <c r="B264" s="182"/>
      <c r="C264" s="181"/>
      <c r="D264" s="181"/>
      <c r="E264" s="181"/>
      <c r="F264" s="181"/>
      <c r="G264" s="181"/>
      <c r="H264" s="181"/>
      <c r="I264" s="181"/>
      <c r="J264" s="181"/>
      <c r="K264" s="181"/>
      <c r="L264" s="181"/>
      <c r="M264" s="181"/>
      <c r="N264" s="181"/>
      <c r="O264" s="195"/>
      <c r="P264" s="195"/>
      <c r="Q264" s="195"/>
    </row>
    <row r="265" spans="2:17" x14ac:dyDescent="0.15">
      <c r="B265" s="182"/>
      <c r="C265" s="181"/>
      <c r="D265" s="181"/>
      <c r="E265" s="181"/>
      <c r="F265" s="181"/>
      <c r="G265" s="181"/>
      <c r="H265" s="181"/>
      <c r="I265" s="181"/>
      <c r="J265" s="181"/>
      <c r="K265" s="181"/>
      <c r="L265" s="181"/>
      <c r="M265" s="181"/>
      <c r="N265" s="181"/>
      <c r="O265" s="195"/>
      <c r="P265" s="195"/>
      <c r="Q265" s="195"/>
    </row>
    <row r="266" spans="2:17" x14ac:dyDescent="0.15">
      <c r="B266" s="182"/>
      <c r="C266" s="181"/>
      <c r="D266" s="181"/>
      <c r="E266" s="181"/>
      <c r="F266" s="181"/>
      <c r="G266" s="181"/>
      <c r="H266" s="181"/>
      <c r="I266" s="181"/>
      <c r="J266" s="181"/>
      <c r="K266" s="181"/>
      <c r="L266" s="181"/>
      <c r="M266" s="181"/>
      <c r="N266" s="181"/>
      <c r="O266" s="195"/>
      <c r="P266" s="195"/>
      <c r="Q266" s="195"/>
    </row>
    <row r="267" spans="2:17" x14ac:dyDescent="0.15">
      <c r="B267" s="182"/>
      <c r="C267" s="181"/>
      <c r="D267" s="181"/>
      <c r="E267" s="181"/>
      <c r="F267" s="181"/>
      <c r="G267" s="181"/>
      <c r="H267" s="181"/>
      <c r="I267" s="181"/>
      <c r="J267" s="181"/>
      <c r="K267" s="181"/>
      <c r="L267" s="181"/>
      <c r="M267" s="181"/>
      <c r="N267" s="181"/>
      <c r="O267" s="195"/>
      <c r="P267" s="195"/>
      <c r="Q267" s="195"/>
    </row>
    <row r="268" spans="2:17" x14ac:dyDescent="0.15">
      <c r="B268" s="182"/>
      <c r="C268" s="181"/>
      <c r="D268" s="181"/>
      <c r="E268" s="181"/>
      <c r="F268" s="181"/>
      <c r="G268" s="181"/>
      <c r="H268" s="181"/>
      <c r="I268" s="181"/>
      <c r="J268" s="181"/>
      <c r="K268" s="181"/>
      <c r="L268" s="181"/>
      <c r="M268" s="181"/>
      <c r="N268" s="181"/>
      <c r="O268" s="195"/>
      <c r="P268" s="195"/>
      <c r="Q268" s="195"/>
    </row>
    <row r="269" spans="2:17" x14ac:dyDescent="0.15">
      <c r="B269" s="182"/>
      <c r="C269" s="181"/>
      <c r="D269" s="181"/>
      <c r="E269" s="181"/>
      <c r="F269" s="181"/>
      <c r="G269" s="181"/>
      <c r="H269" s="181"/>
      <c r="I269" s="181"/>
      <c r="J269" s="181"/>
      <c r="K269" s="181"/>
      <c r="L269" s="181"/>
      <c r="M269" s="181"/>
      <c r="N269" s="181"/>
      <c r="O269" s="195"/>
      <c r="P269" s="195"/>
      <c r="Q269" s="195"/>
    </row>
    <row r="270" spans="2:17" x14ac:dyDescent="0.15">
      <c r="B270" s="182"/>
      <c r="C270" s="181"/>
      <c r="D270" s="181"/>
      <c r="E270" s="181"/>
      <c r="F270" s="181"/>
      <c r="G270" s="181"/>
      <c r="H270" s="181"/>
      <c r="I270" s="181"/>
      <c r="J270" s="181"/>
      <c r="K270" s="181"/>
      <c r="L270" s="181"/>
      <c r="M270" s="181"/>
      <c r="N270" s="181"/>
      <c r="O270" s="195"/>
      <c r="P270" s="195"/>
      <c r="Q270" s="195"/>
    </row>
    <row r="271" spans="2:17" x14ac:dyDescent="0.15">
      <c r="B271" s="182"/>
      <c r="C271" s="181"/>
      <c r="D271" s="181"/>
      <c r="E271" s="181"/>
      <c r="F271" s="181"/>
      <c r="G271" s="181"/>
      <c r="H271" s="181"/>
      <c r="I271" s="181"/>
      <c r="J271" s="181"/>
      <c r="K271" s="181"/>
      <c r="L271" s="181"/>
      <c r="M271" s="181"/>
      <c r="N271" s="181"/>
      <c r="O271" s="195"/>
      <c r="P271" s="195"/>
      <c r="Q271" s="195"/>
    </row>
    <row r="272" spans="2:17" x14ac:dyDescent="0.15">
      <c r="B272" s="182"/>
      <c r="C272" s="181"/>
      <c r="D272" s="181"/>
      <c r="E272" s="181"/>
      <c r="F272" s="181"/>
      <c r="G272" s="181"/>
      <c r="H272" s="181"/>
      <c r="I272" s="181"/>
      <c r="J272" s="181"/>
      <c r="K272" s="181"/>
      <c r="L272" s="181"/>
      <c r="M272" s="181"/>
      <c r="N272" s="181"/>
      <c r="O272" s="195"/>
      <c r="P272" s="195"/>
      <c r="Q272" s="195"/>
    </row>
    <row r="273" spans="2:17" x14ac:dyDescent="0.15">
      <c r="B273" s="182"/>
      <c r="C273" s="181"/>
      <c r="D273" s="181"/>
      <c r="E273" s="181"/>
      <c r="F273" s="181"/>
      <c r="G273" s="181"/>
      <c r="H273" s="181"/>
      <c r="I273" s="181"/>
      <c r="J273" s="181"/>
      <c r="K273" s="181"/>
      <c r="L273" s="181"/>
      <c r="M273" s="181"/>
      <c r="N273" s="181"/>
      <c r="O273" s="195"/>
      <c r="P273" s="195"/>
      <c r="Q273" s="195"/>
    </row>
    <row r="274" spans="2:17" x14ac:dyDescent="0.15">
      <c r="B274" s="182"/>
      <c r="C274" s="181"/>
      <c r="D274" s="181"/>
      <c r="E274" s="181"/>
      <c r="F274" s="181"/>
      <c r="G274" s="181"/>
      <c r="H274" s="181"/>
      <c r="I274" s="181"/>
      <c r="J274" s="181"/>
      <c r="K274" s="181"/>
      <c r="L274" s="181"/>
      <c r="M274" s="181"/>
      <c r="N274" s="181"/>
      <c r="O274" s="195"/>
      <c r="P274" s="195"/>
      <c r="Q274" s="195"/>
    </row>
    <row r="275" spans="2:17" x14ac:dyDescent="0.15">
      <c r="B275" s="182"/>
      <c r="C275" s="181"/>
      <c r="D275" s="181"/>
      <c r="E275" s="181"/>
      <c r="F275" s="181"/>
      <c r="G275" s="181"/>
      <c r="H275" s="181"/>
      <c r="I275" s="181"/>
      <c r="J275" s="181"/>
      <c r="K275" s="181"/>
      <c r="L275" s="181"/>
      <c r="M275" s="181"/>
      <c r="N275" s="181"/>
      <c r="O275" s="195"/>
      <c r="P275" s="195"/>
      <c r="Q275" s="195"/>
    </row>
    <row r="276" spans="2:17" x14ac:dyDescent="0.15">
      <c r="B276" s="182"/>
      <c r="C276" s="181"/>
      <c r="D276" s="181"/>
      <c r="E276" s="181"/>
      <c r="F276" s="181"/>
      <c r="G276" s="181"/>
      <c r="H276" s="181"/>
      <c r="I276" s="181"/>
      <c r="J276" s="181"/>
      <c r="K276" s="181"/>
      <c r="L276" s="181"/>
      <c r="M276" s="181"/>
      <c r="N276" s="181"/>
      <c r="O276" s="195"/>
      <c r="P276" s="195"/>
      <c r="Q276" s="195"/>
    </row>
    <row r="277" spans="2:17" x14ac:dyDescent="0.15">
      <c r="B277" s="182"/>
      <c r="C277" s="181"/>
      <c r="D277" s="181"/>
      <c r="E277" s="181"/>
      <c r="F277" s="181"/>
      <c r="G277" s="181"/>
      <c r="H277" s="181"/>
      <c r="I277" s="181"/>
      <c r="J277" s="181"/>
      <c r="K277" s="181"/>
      <c r="L277" s="181"/>
      <c r="M277" s="181"/>
      <c r="N277" s="181"/>
      <c r="O277" s="195"/>
      <c r="P277" s="195"/>
      <c r="Q277" s="195"/>
    </row>
    <row r="278" spans="2:17" x14ac:dyDescent="0.15">
      <c r="B278" s="182"/>
      <c r="C278" s="181"/>
      <c r="D278" s="181"/>
      <c r="E278" s="181"/>
      <c r="F278" s="181"/>
      <c r="G278" s="181"/>
      <c r="H278" s="181"/>
      <c r="I278" s="181"/>
      <c r="J278" s="181"/>
      <c r="K278" s="181"/>
      <c r="L278" s="181"/>
      <c r="M278" s="181"/>
      <c r="N278" s="181"/>
      <c r="O278" s="195"/>
      <c r="P278" s="195"/>
      <c r="Q278" s="195"/>
    </row>
    <row r="279" spans="2:17" x14ac:dyDescent="0.15">
      <c r="B279" s="182"/>
      <c r="C279" s="181"/>
      <c r="D279" s="181"/>
      <c r="E279" s="181"/>
      <c r="F279" s="181"/>
      <c r="G279" s="181"/>
      <c r="H279" s="181"/>
      <c r="I279" s="181"/>
      <c r="J279" s="181"/>
      <c r="K279" s="181"/>
      <c r="L279" s="181"/>
      <c r="M279" s="181"/>
      <c r="N279" s="181"/>
      <c r="O279" s="195"/>
      <c r="P279" s="195"/>
      <c r="Q279" s="195"/>
    </row>
    <row r="280" spans="2:17" x14ac:dyDescent="0.15">
      <c r="B280" s="182"/>
      <c r="C280" s="181"/>
      <c r="D280" s="181"/>
      <c r="E280" s="181"/>
      <c r="F280" s="181"/>
      <c r="G280" s="181"/>
      <c r="H280" s="181"/>
      <c r="I280" s="181"/>
      <c r="J280" s="181"/>
      <c r="K280" s="181"/>
      <c r="L280" s="181"/>
      <c r="M280" s="181"/>
      <c r="N280" s="181"/>
      <c r="O280" s="195"/>
      <c r="P280" s="195"/>
      <c r="Q280" s="195"/>
    </row>
    <row r="281" spans="2:17" x14ac:dyDescent="0.15">
      <c r="B281" s="182"/>
      <c r="C281" s="181"/>
      <c r="D281" s="181"/>
      <c r="E281" s="181"/>
      <c r="F281" s="181"/>
      <c r="G281" s="181"/>
      <c r="H281" s="181"/>
      <c r="I281" s="181"/>
      <c r="J281" s="181"/>
      <c r="K281" s="181"/>
      <c r="L281" s="181"/>
      <c r="M281" s="181"/>
      <c r="N281" s="181"/>
      <c r="O281" s="195"/>
      <c r="P281" s="195"/>
      <c r="Q281" s="195"/>
    </row>
    <row r="282" spans="2:17" x14ac:dyDescent="0.15">
      <c r="B282" s="182"/>
      <c r="C282" s="181"/>
      <c r="D282" s="181"/>
      <c r="E282" s="181"/>
      <c r="F282" s="181"/>
      <c r="G282" s="181"/>
      <c r="H282" s="181"/>
      <c r="I282" s="181"/>
      <c r="J282" s="181"/>
      <c r="K282" s="181"/>
      <c r="L282" s="181"/>
      <c r="M282" s="181"/>
      <c r="N282" s="181"/>
      <c r="O282" s="195"/>
      <c r="P282" s="195"/>
      <c r="Q282" s="195"/>
    </row>
    <row r="283" spans="2:17" x14ac:dyDescent="0.15">
      <c r="B283" s="182"/>
      <c r="C283" s="181"/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95"/>
      <c r="P283" s="195"/>
      <c r="Q283" s="195"/>
    </row>
    <row r="284" spans="2:17" x14ac:dyDescent="0.15">
      <c r="B284" s="182"/>
      <c r="C284" s="181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95"/>
      <c r="P284" s="195"/>
      <c r="Q284" s="195"/>
    </row>
    <row r="285" spans="2:17" x14ac:dyDescent="0.15">
      <c r="B285" s="182"/>
      <c r="C285" s="181"/>
      <c r="D285" s="181"/>
      <c r="E285" s="181"/>
      <c r="F285" s="181"/>
      <c r="G285" s="181"/>
      <c r="H285" s="181"/>
      <c r="I285" s="181"/>
      <c r="J285" s="181"/>
      <c r="K285" s="181"/>
      <c r="L285" s="181"/>
      <c r="M285" s="181"/>
      <c r="N285" s="181"/>
      <c r="O285" s="195"/>
      <c r="P285" s="195"/>
      <c r="Q285" s="195"/>
    </row>
    <row r="286" spans="2:17" x14ac:dyDescent="0.15">
      <c r="B286" s="182"/>
      <c r="C286" s="181"/>
      <c r="D286" s="181"/>
      <c r="E286" s="181"/>
      <c r="F286" s="181"/>
      <c r="G286" s="181"/>
      <c r="H286" s="181"/>
      <c r="I286" s="181"/>
      <c r="J286" s="181"/>
      <c r="K286" s="181"/>
      <c r="L286" s="181"/>
      <c r="M286" s="181"/>
      <c r="N286" s="181"/>
      <c r="O286" s="195"/>
      <c r="P286" s="195"/>
      <c r="Q286" s="195"/>
    </row>
    <row r="287" spans="2:17" x14ac:dyDescent="0.15">
      <c r="B287" s="182"/>
      <c r="C287" s="181"/>
      <c r="D287" s="181"/>
      <c r="E287" s="181"/>
      <c r="F287" s="181"/>
      <c r="G287" s="181"/>
      <c r="H287" s="181"/>
      <c r="I287" s="181"/>
      <c r="J287" s="181"/>
      <c r="K287" s="181"/>
      <c r="L287" s="181"/>
      <c r="M287" s="181"/>
      <c r="N287" s="181"/>
      <c r="O287" s="195"/>
      <c r="P287" s="195"/>
      <c r="Q287" s="195"/>
    </row>
    <row r="288" spans="2:17" x14ac:dyDescent="0.15">
      <c r="B288" s="182"/>
      <c r="C288" s="181"/>
      <c r="D288" s="181"/>
      <c r="E288" s="181"/>
      <c r="F288" s="181"/>
      <c r="G288" s="181"/>
      <c r="H288" s="181"/>
      <c r="I288" s="181"/>
      <c r="J288" s="181"/>
      <c r="K288" s="181"/>
      <c r="L288" s="181"/>
      <c r="M288" s="181"/>
      <c r="N288" s="181"/>
      <c r="O288" s="195"/>
      <c r="P288" s="195"/>
      <c r="Q288" s="195"/>
    </row>
    <row r="289" spans="2:17" x14ac:dyDescent="0.15">
      <c r="B289" s="182"/>
      <c r="C289" s="181"/>
      <c r="D289" s="181"/>
      <c r="E289" s="181"/>
      <c r="F289" s="181"/>
      <c r="G289" s="181"/>
      <c r="H289" s="181"/>
      <c r="I289" s="181"/>
      <c r="J289" s="181"/>
      <c r="K289" s="181"/>
      <c r="L289" s="181"/>
      <c r="M289" s="181"/>
      <c r="N289" s="181"/>
      <c r="O289" s="195"/>
      <c r="P289" s="195"/>
      <c r="Q289" s="195"/>
    </row>
    <row r="290" spans="2:17" x14ac:dyDescent="0.15">
      <c r="B290" s="182"/>
      <c r="C290" s="181"/>
      <c r="D290" s="181"/>
      <c r="E290" s="181"/>
      <c r="F290" s="181"/>
      <c r="G290" s="181"/>
      <c r="H290" s="181"/>
      <c r="I290" s="181"/>
      <c r="J290" s="181"/>
      <c r="K290" s="181"/>
      <c r="L290" s="181"/>
      <c r="M290" s="181"/>
      <c r="N290" s="181"/>
      <c r="O290" s="195"/>
      <c r="P290" s="195"/>
      <c r="Q290" s="195"/>
    </row>
    <row r="291" spans="2:17" x14ac:dyDescent="0.15">
      <c r="B291" s="182"/>
      <c r="C291" s="181"/>
      <c r="D291" s="181"/>
      <c r="E291" s="181"/>
      <c r="F291" s="181"/>
      <c r="G291" s="181"/>
      <c r="H291" s="181"/>
      <c r="I291" s="181"/>
      <c r="J291" s="181"/>
      <c r="K291" s="181"/>
      <c r="L291" s="181"/>
      <c r="M291" s="181"/>
      <c r="N291" s="181"/>
      <c r="O291" s="195"/>
      <c r="P291" s="195"/>
      <c r="Q291" s="195"/>
    </row>
    <row r="292" spans="2:17" x14ac:dyDescent="0.15">
      <c r="B292" s="182"/>
      <c r="C292" s="181"/>
      <c r="D292" s="181"/>
      <c r="E292" s="181"/>
      <c r="F292" s="181"/>
      <c r="G292" s="181"/>
      <c r="H292" s="181"/>
      <c r="I292" s="181"/>
      <c r="J292" s="181"/>
      <c r="K292" s="181"/>
      <c r="L292" s="181"/>
      <c r="M292" s="181"/>
      <c r="N292" s="181"/>
      <c r="O292" s="195"/>
      <c r="P292" s="195"/>
      <c r="Q292" s="195"/>
    </row>
    <row r="293" spans="2:17" x14ac:dyDescent="0.15">
      <c r="B293" s="182"/>
      <c r="C293" s="181"/>
      <c r="D293" s="181"/>
      <c r="E293" s="181"/>
      <c r="F293" s="181"/>
      <c r="G293" s="181"/>
      <c r="H293" s="181"/>
      <c r="I293" s="181"/>
      <c r="J293" s="181"/>
      <c r="K293" s="181"/>
      <c r="L293" s="181"/>
      <c r="M293" s="181"/>
      <c r="N293" s="181"/>
      <c r="O293" s="195"/>
      <c r="P293" s="195"/>
      <c r="Q293" s="195"/>
    </row>
    <row r="294" spans="2:17" x14ac:dyDescent="0.15">
      <c r="B294" s="182"/>
      <c r="C294" s="181"/>
      <c r="D294" s="181"/>
      <c r="E294" s="181"/>
      <c r="F294" s="181"/>
      <c r="G294" s="181"/>
      <c r="H294" s="181"/>
      <c r="I294" s="181"/>
      <c r="J294" s="181"/>
      <c r="K294" s="181"/>
      <c r="L294" s="181"/>
      <c r="M294" s="181"/>
      <c r="N294" s="181"/>
      <c r="O294" s="195"/>
      <c r="P294" s="195"/>
      <c r="Q294" s="195"/>
    </row>
    <row r="295" spans="2:17" x14ac:dyDescent="0.15">
      <c r="B295" s="182"/>
      <c r="C295" s="181"/>
      <c r="D295" s="181"/>
      <c r="E295" s="181"/>
      <c r="F295" s="181"/>
      <c r="G295" s="181"/>
      <c r="H295" s="181"/>
      <c r="I295" s="181"/>
      <c r="J295" s="181"/>
      <c r="K295" s="181"/>
      <c r="L295" s="181"/>
      <c r="M295" s="181"/>
      <c r="N295" s="181"/>
      <c r="O295" s="195"/>
      <c r="P295" s="195"/>
      <c r="Q295" s="195"/>
    </row>
    <row r="296" spans="2:17" x14ac:dyDescent="0.15">
      <c r="B296" s="182"/>
      <c r="C296" s="181"/>
      <c r="D296" s="181"/>
      <c r="E296" s="181"/>
      <c r="F296" s="181"/>
      <c r="G296" s="181"/>
      <c r="H296" s="181"/>
      <c r="I296" s="181"/>
      <c r="J296" s="181"/>
      <c r="K296" s="181"/>
      <c r="L296" s="181"/>
      <c r="M296" s="181"/>
      <c r="N296" s="181"/>
      <c r="O296" s="195"/>
      <c r="P296" s="195"/>
      <c r="Q296" s="195"/>
    </row>
    <row r="297" spans="2:17" x14ac:dyDescent="0.15">
      <c r="B297" s="182"/>
      <c r="C297" s="181"/>
      <c r="D297" s="181"/>
      <c r="E297" s="181"/>
      <c r="F297" s="181"/>
      <c r="G297" s="181"/>
      <c r="H297" s="181"/>
      <c r="I297" s="181"/>
      <c r="J297" s="181"/>
      <c r="K297" s="181"/>
      <c r="L297" s="181"/>
      <c r="M297" s="181"/>
      <c r="N297" s="181"/>
      <c r="O297" s="195"/>
      <c r="P297" s="195"/>
      <c r="Q297" s="195"/>
    </row>
    <row r="298" spans="2:17" x14ac:dyDescent="0.15">
      <c r="B298" s="182"/>
      <c r="C298" s="181"/>
      <c r="D298" s="181"/>
      <c r="E298" s="181"/>
      <c r="F298" s="181"/>
      <c r="G298" s="181"/>
      <c r="H298" s="181"/>
      <c r="I298" s="181"/>
      <c r="J298" s="181"/>
      <c r="K298" s="181"/>
      <c r="L298" s="181"/>
      <c r="M298" s="181"/>
      <c r="N298" s="181"/>
      <c r="O298" s="195"/>
      <c r="P298" s="195"/>
      <c r="Q298" s="195"/>
    </row>
    <row r="299" spans="2:17" x14ac:dyDescent="0.15">
      <c r="B299" s="182"/>
      <c r="C299" s="181"/>
      <c r="D299" s="181"/>
      <c r="E299" s="181"/>
      <c r="F299" s="181"/>
      <c r="G299" s="181"/>
      <c r="H299" s="181"/>
      <c r="I299" s="181"/>
      <c r="J299" s="181"/>
      <c r="K299" s="181"/>
      <c r="L299" s="181"/>
      <c r="M299" s="181"/>
      <c r="N299" s="181"/>
      <c r="O299" s="195"/>
      <c r="P299" s="195"/>
      <c r="Q299" s="195"/>
    </row>
    <row r="300" spans="2:17" x14ac:dyDescent="0.15">
      <c r="B300" s="182"/>
      <c r="C300" s="181"/>
      <c r="D300" s="181"/>
      <c r="E300" s="181"/>
      <c r="F300" s="181"/>
      <c r="G300" s="181"/>
      <c r="H300" s="181"/>
      <c r="I300" s="181"/>
      <c r="J300" s="181"/>
      <c r="K300" s="181"/>
      <c r="L300" s="181"/>
      <c r="M300" s="181"/>
      <c r="N300" s="181"/>
      <c r="O300" s="195"/>
      <c r="P300" s="195"/>
      <c r="Q300" s="195"/>
    </row>
    <row r="301" spans="2:17" x14ac:dyDescent="0.15">
      <c r="B301" s="182"/>
      <c r="C301" s="181"/>
      <c r="D301" s="181"/>
      <c r="E301" s="181"/>
      <c r="F301" s="181"/>
      <c r="G301" s="181"/>
      <c r="H301" s="181"/>
      <c r="I301" s="181"/>
      <c r="J301" s="181"/>
      <c r="K301" s="181"/>
      <c r="L301" s="181"/>
      <c r="M301" s="181"/>
      <c r="N301" s="181"/>
      <c r="O301" s="195"/>
      <c r="P301" s="195"/>
      <c r="Q301" s="195"/>
    </row>
    <row r="302" spans="2:17" x14ac:dyDescent="0.15">
      <c r="B302" s="182"/>
      <c r="C302" s="181"/>
      <c r="D302" s="181"/>
      <c r="E302" s="181"/>
      <c r="F302" s="181"/>
      <c r="G302" s="181"/>
      <c r="H302" s="181"/>
      <c r="I302" s="181"/>
      <c r="J302" s="181"/>
      <c r="K302" s="181"/>
      <c r="L302" s="181"/>
      <c r="M302" s="181"/>
      <c r="N302" s="181"/>
      <c r="O302" s="195"/>
      <c r="P302" s="195"/>
      <c r="Q302" s="195"/>
    </row>
    <row r="303" spans="2:17" x14ac:dyDescent="0.15">
      <c r="B303" s="182"/>
      <c r="C303" s="181"/>
      <c r="D303" s="181"/>
      <c r="E303" s="181"/>
      <c r="F303" s="181"/>
      <c r="G303" s="181"/>
      <c r="H303" s="181"/>
      <c r="I303" s="181"/>
      <c r="J303" s="181"/>
      <c r="K303" s="181"/>
      <c r="L303" s="181"/>
      <c r="M303" s="181"/>
      <c r="N303" s="181"/>
      <c r="O303" s="195"/>
      <c r="P303" s="195"/>
      <c r="Q303" s="195"/>
    </row>
    <row r="304" spans="2:17" x14ac:dyDescent="0.15">
      <c r="B304" s="182"/>
      <c r="C304" s="181"/>
      <c r="D304" s="181"/>
      <c r="E304" s="181"/>
      <c r="F304" s="181"/>
      <c r="G304" s="181"/>
      <c r="H304" s="181"/>
      <c r="I304" s="181"/>
      <c r="J304" s="181"/>
      <c r="K304" s="181"/>
      <c r="L304" s="181"/>
      <c r="M304" s="181"/>
      <c r="N304" s="181"/>
      <c r="O304" s="195"/>
      <c r="P304" s="195"/>
      <c r="Q304" s="195"/>
    </row>
    <row r="305" spans="2:17" x14ac:dyDescent="0.15">
      <c r="B305" s="182"/>
      <c r="C305" s="181"/>
      <c r="D305" s="181"/>
      <c r="E305" s="181"/>
      <c r="F305" s="181"/>
      <c r="G305" s="181"/>
      <c r="H305" s="181"/>
      <c r="I305" s="181"/>
      <c r="J305" s="181"/>
      <c r="K305" s="181"/>
      <c r="L305" s="181"/>
      <c r="M305" s="181"/>
      <c r="N305" s="181"/>
      <c r="O305" s="195"/>
      <c r="P305" s="195"/>
      <c r="Q305" s="195"/>
    </row>
    <row r="306" spans="2:17" x14ac:dyDescent="0.15">
      <c r="B306" s="182"/>
      <c r="C306" s="181"/>
      <c r="D306" s="181"/>
      <c r="E306" s="181"/>
      <c r="F306" s="181"/>
      <c r="G306" s="181"/>
      <c r="H306" s="181"/>
      <c r="I306" s="181"/>
      <c r="J306" s="181"/>
      <c r="K306" s="181"/>
      <c r="L306" s="181"/>
      <c r="M306" s="181"/>
      <c r="N306" s="181"/>
      <c r="O306" s="195"/>
      <c r="P306" s="195"/>
      <c r="Q306" s="195"/>
    </row>
    <row r="307" spans="2:17" x14ac:dyDescent="0.15">
      <c r="B307" s="182"/>
      <c r="C307" s="181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95"/>
      <c r="P307" s="195"/>
      <c r="Q307" s="195"/>
    </row>
    <row r="308" spans="2:17" x14ac:dyDescent="0.15">
      <c r="B308" s="182"/>
      <c r="C308" s="181"/>
      <c r="D308" s="181"/>
      <c r="E308" s="181"/>
      <c r="F308" s="181"/>
      <c r="G308" s="181"/>
      <c r="H308" s="181"/>
      <c r="I308" s="181"/>
      <c r="J308" s="181"/>
      <c r="K308" s="181"/>
      <c r="L308" s="181"/>
      <c r="M308" s="181"/>
      <c r="N308" s="181"/>
      <c r="O308" s="195"/>
      <c r="P308" s="195"/>
      <c r="Q308" s="195"/>
    </row>
    <row r="309" spans="2:17" x14ac:dyDescent="0.15">
      <c r="B309" s="182"/>
      <c r="C309" s="181"/>
      <c r="D309" s="181"/>
      <c r="E309" s="181"/>
      <c r="F309" s="181"/>
      <c r="G309" s="181"/>
      <c r="H309" s="181"/>
      <c r="I309" s="181"/>
      <c r="J309" s="181"/>
      <c r="K309" s="181"/>
      <c r="L309" s="181"/>
      <c r="M309" s="181"/>
      <c r="N309" s="181"/>
      <c r="O309" s="195"/>
      <c r="P309" s="195"/>
      <c r="Q309" s="195"/>
    </row>
    <row r="310" spans="2:17" x14ac:dyDescent="0.15">
      <c r="B310" s="182"/>
      <c r="C310" s="181"/>
      <c r="D310" s="181"/>
      <c r="E310" s="181"/>
      <c r="F310" s="181"/>
      <c r="G310" s="181"/>
      <c r="H310" s="181"/>
      <c r="I310" s="181"/>
      <c r="J310" s="181"/>
      <c r="K310" s="181"/>
      <c r="L310" s="181"/>
      <c r="M310" s="181"/>
      <c r="N310" s="181"/>
      <c r="O310" s="195"/>
      <c r="P310" s="195"/>
      <c r="Q310" s="195"/>
    </row>
    <row r="311" spans="2:17" x14ac:dyDescent="0.15">
      <c r="B311" s="182"/>
      <c r="C311" s="181"/>
      <c r="D311" s="181"/>
      <c r="E311" s="181"/>
      <c r="F311" s="181"/>
      <c r="G311" s="181"/>
      <c r="H311" s="181"/>
      <c r="I311" s="181"/>
      <c r="J311" s="181"/>
      <c r="K311" s="181"/>
      <c r="L311" s="181"/>
      <c r="M311" s="181"/>
      <c r="N311" s="181"/>
      <c r="O311" s="188"/>
      <c r="P311" s="188"/>
      <c r="Q311" s="188"/>
    </row>
    <row r="312" spans="2:17" x14ac:dyDescent="0.15">
      <c r="B312" s="182"/>
      <c r="C312" s="181"/>
      <c r="D312" s="181"/>
      <c r="E312" s="181"/>
      <c r="F312" s="181"/>
      <c r="G312" s="181"/>
      <c r="H312" s="181"/>
      <c r="I312" s="181"/>
      <c r="J312" s="181"/>
      <c r="K312" s="181"/>
      <c r="L312" s="181"/>
      <c r="M312" s="181"/>
      <c r="N312" s="181"/>
      <c r="O312" s="188"/>
      <c r="P312" s="188"/>
      <c r="Q312" s="188"/>
    </row>
    <row r="313" spans="2:17" x14ac:dyDescent="0.15">
      <c r="B313" s="182"/>
      <c r="C313" s="181"/>
      <c r="D313" s="181"/>
      <c r="E313" s="181"/>
      <c r="F313" s="181"/>
      <c r="G313" s="181"/>
      <c r="H313" s="181"/>
      <c r="I313" s="181"/>
      <c r="J313" s="181"/>
      <c r="K313" s="181"/>
      <c r="L313" s="181"/>
      <c r="M313" s="181"/>
      <c r="N313" s="181"/>
      <c r="O313" s="188"/>
      <c r="P313" s="188"/>
      <c r="Q313" s="188"/>
    </row>
    <row r="314" spans="2:17" x14ac:dyDescent="0.15">
      <c r="B314" s="182"/>
      <c r="C314" s="181"/>
      <c r="D314" s="181"/>
      <c r="E314" s="181"/>
      <c r="F314" s="181"/>
      <c r="G314" s="181"/>
      <c r="H314" s="181"/>
      <c r="I314" s="181"/>
      <c r="J314" s="181"/>
      <c r="K314" s="181"/>
      <c r="L314" s="181"/>
      <c r="M314" s="181"/>
      <c r="N314" s="181"/>
      <c r="O314" s="188"/>
      <c r="P314" s="188"/>
      <c r="Q314" s="188"/>
    </row>
    <row r="315" spans="2:17" x14ac:dyDescent="0.15">
      <c r="B315" s="182"/>
      <c r="C315" s="181"/>
      <c r="D315" s="181"/>
      <c r="E315" s="181"/>
      <c r="F315" s="181"/>
      <c r="G315" s="181"/>
      <c r="H315" s="181"/>
      <c r="I315" s="181"/>
      <c r="J315" s="181"/>
      <c r="K315" s="181"/>
      <c r="L315" s="181"/>
      <c r="M315" s="181"/>
      <c r="N315" s="181"/>
      <c r="O315" s="188"/>
      <c r="P315" s="188"/>
      <c r="Q315" s="188"/>
    </row>
    <row r="316" spans="2:17" x14ac:dyDescent="0.15">
      <c r="B316" s="182"/>
      <c r="C316" s="181"/>
      <c r="D316" s="181"/>
      <c r="E316" s="181"/>
      <c r="F316" s="181"/>
      <c r="G316" s="181"/>
      <c r="H316" s="181"/>
      <c r="I316" s="181"/>
      <c r="J316" s="181"/>
      <c r="K316" s="181"/>
      <c r="L316" s="181"/>
      <c r="M316" s="181"/>
      <c r="N316" s="181"/>
      <c r="O316" s="188"/>
      <c r="P316" s="188"/>
      <c r="Q316" s="188"/>
    </row>
    <row r="317" spans="2:17" x14ac:dyDescent="0.15">
      <c r="B317" s="182"/>
      <c r="C317" s="181"/>
      <c r="D317" s="181"/>
      <c r="E317" s="181"/>
      <c r="F317" s="181"/>
      <c r="G317" s="181"/>
      <c r="H317" s="181"/>
      <c r="I317" s="181"/>
      <c r="J317" s="181"/>
      <c r="K317" s="181"/>
      <c r="L317" s="181"/>
      <c r="M317" s="181"/>
      <c r="N317" s="181"/>
      <c r="O317" s="188"/>
      <c r="P317" s="188"/>
      <c r="Q317" s="188"/>
    </row>
    <row r="318" spans="2:17" x14ac:dyDescent="0.15">
      <c r="B318" s="182"/>
      <c r="C318" s="181"/>
      <c r="D318" s="181"/>
      <c r="E318" s="181"/>
      <c r="F318" s="181"/>
      <c r="G318" s="181"/>
      <c r="H318" s="181"/>
      <c r="I318" s="181"/>
      <c r="J318" s="181"/>
      <c r="K318" s="181"/>
      <c r="L318" s="181"/>
      <c r="M318" s="181"/>
      <c r="N318" s="181"/>
      <c r="O318" s="188"/>
      <c r="P318" s="188"/>
      <c r="Q318" s="188"/>
    </row>
    <row r="319" spans="2:17" x14ac:dyDescent="0.15">
      <c r="B319" s="182"/>
      <c r="C319" s="181"/>
      <c r="D319" s="181"/>
      <c r="E319" s="181"/>
      <c r="F319" s="181"/>
      <c r="G319" s="181"/>
      <c r="H319" s="181"/>
      <c r="I319" s="181"/>
      <c r="J319" s="181"/>
      <c r="K319" s="181"/>
      <c r="L319" s="181"/>
      <c r="M319" s="181"/>
      <c r="N319" s="181"/>
      <c r="O319" s="188"/>
      <c r="P319" s="188"/>
      <c r="Q319" s="188"/>
    </row>
    <row r="320" spans="2:17" x14ac:dyDescent="0.15">
      <c r="B320" s="182"/>
      <c r="C320" s="181"/>
      <c r="D320" s="181"/>
      <c r="E320" s="181"/>
      <c r="F320" s="181"/>
      <c r="G320" s="181"/>
      <c r="H320" s="181"/>
      <c r="I320" s="181"/>
      <c r="J320" s="181"/>
      <c r="K320" s="181"/>
      <c r="L320" s="181"/>
      <c r="M320" s="181"/>
      <c r="N320" s="181"/>
      <c r="O320" s="188"/>
      <c r="P320" s="188"/>
      <c r="Q320" s="188"/>
    </row>
    <row r="321" spans="2:17" x14ac:dyDescent="0.15">
      <c r="B321" s="182"/>
      <c r="C321" s="181"/>
      <c r="D321" s="181"/>
      <c r="E321" s="181"/>
      <c r="F321" s="181"/>
      <c r="G321" s="181"/>
      <c r="H321" s="181"/>
      <c r="I321" s="181"/>
      <c r="J321" s="181"/>
      <c r="K321" s="181"/>
      <c r="L321" s="181"/>
      <c r="M321" s="181"/>
      <c r="N321" s="181"/>
      <c r="O321" s="188"/>
      <c r="P321" s="188"/>
      <c r="Q321" s="188"/>
    </row>
    <row r="322" spans="2:17" s="196" customFormat="1" x14ac:dyDescent="0.15">
      <c r="B322" s="182"/>
      <c r="C322" s="181"/>
      <c r="D322" s="181"/>
      <c r="E322" s="181"/>
      <c r="F322" s="181"/>
      <c r="G322" s="181"/>
      <c r="H322" s="181"/>
      <c r="I322" s="181"/>
      <c r="J322" s="181"/>
      <c r="K322" s="181"/>
      <c r="L322" s="181"/>
      <c r="M322" s="181"/>
      <c r="N322" s="181"/>
    </row>
    <row r="323" spans="2:17" s="196" customFormat="1" x14ac:dyDescent="0.15">
      <c r="B323" s="182"/>
      <c r="C323" s="181"/>
      <c r="D323" s="181"/>
      <c r="E323" s="181"/>
      <c r="F323" s="181"/>
      <c r="G323" s="181"/>
      <c r="H323" s="181"/>
      <c r="I323" s="181"/>
      <c r="J323" s="181"/>
      <c r="K323" s="181"/>
      <c r="L323" s="181"/>
      <c r="M323" s="181"/>
      <c r="N323" s="181"/>
    </row>
    <row r="324" spans="2:17" s="196" customFormat="1" x14ac:dyDescent="0.15">
      <c r="B324" s="182"/>
      <c r="C324" s="181"/>
      <c r="D324" s="181"/>
      <c r="E324" s="181"/>
      <c r="F324" s="181"/>
      <c r="G324" s="181"/>
      <c r="H324" s="181"/>
      <c r="I324" s="181"/>
      <c r="J324" s="181"/>
      <c r="K324" s="181"/>
      <c r="L324" s="181"/>
      <c r="M324" s="181"/>
      <c r="N324" s="181"/>
    </row>
    <row r="325" spans="2:17" s="196" customFormat="1" x14ac:dyDescent="0.15">
      <c r="B325" s="182"/>
      <c r="C325" s="181"/>
      <c r="D325" s="181"/>
      <c r="E325" s="181"/>
      <c r="F325" s="181"/>
      <c r="G325" s="181"/>
      <c r="H325" s="181"/>
      <c r="I325" s="181"/>
      <c r="J325" s="181"/>
      <c r="K325" s="181"/>
      <c r="L325" s="181"/>
      <c r="M325" s="181"/>
      <c r="N325" s="181"/>
    </row>
    <row r="326" spans="2:17" s="196" customFormat="1" x14ac:dyDescent="0.15">
      <c r="B326" s="182"/>
      <c r="C326" s="181"/>
      <c r="D326" s="181"/>
      <c r="E326" s="181"/>
      <c r="F326" s="181"/>
      <c r="G326" s="181"/>
      <c r="H326" s="181"/>
      <c r="I326" s="181"/>
      <c r="J326" s="181"/>
      <c r="K326" s="181"/>
      <c r="L326" s="181"/>
      <c r="M326" s="181"/>
      <c r="N326" s="181"/>
    </row>
    <row r="327" spans="2:17" s="196" customFormat="1" x14ac:dyDescent="0.15">
      <c r="B327" s="182"/>
      <c r="C327" s="181"/>
      <c r="D327" s="181"/>
      <c r="E327" s="181"/>
      <c r="F327" s="181"/>
      <c r="G327" s="181"/>
      <c r="H327" s="181"/>
      <c r="I327" s="181"/>
      <c r="J327" s="181"/>
      <c r="K327" s="181"/>
      <c r="L327" s="181"/>
      <c r="M327" s="181"/>
      <c r="N327" s="181"/>
    </row>
    <row r="328" spans="2:17" s="196" customFormat="1" x14ac:dyDescent="0.15">
      <c r="B328" s="182"/>
      <c r="C328" s="181"/>
      <c r="D328" s="181"/>
      <c r="E328" s="181"/>
      <c r="F328" s="181"/>
      <c r="G328" s="181"/>
      <c r="H328" s="181"/>
      <c r="I328" s="181"/>
      <c r="J328" s="181"/>
      <c r="K328" s="181"/>
      <c r="L328" s="181"/>
      <c r="M328" s="181"/>
      <c r="N328" s="181"/>
    </row>
    <row r="329" spans="2:17" s="196" customFormat="1" x14ac:dyDescent="0.15">
      <c r="B329" s="182"/>
      <c r="C329" s="181"/>
      <c r="D329" s="181"/>
      <c r="E329" s="181"/>
      <c r="F329" s="181"/>
      <c r="G329" s="181"/>
      <c r="H329" s="181"/>
      <c r="I329" s="181"/>
      <c r="J329" s="181"/>
      <c r="K329" s="181"/>
      <c r="L329" s="181"/>
      <c r="M329" s="181"/>
      <c r="N329" s="181"/>
    </row>
    <row r="330" spans="2:17" s="196" customFormat="1" x14ac:dyDescent="0.15">
      <c r="B330" s="182"/>
      <c r="C330" s="181"/>
      <c r="D330" s="181"/>
      <c r="E330" s="181"/>
      <c r="F330" s="181"/>
      <c r="G330" s="181"/>
      <c r="H330" s="181"/>
      <c r="I330" s="181"/>
      <c r="J330" s="181"/>
      <c r="K330" s="181"/>
      <c r="L330" s="181"/>
      <c r="M330" s="181"/>
      <c r="N330" s="181"/>
    </row>
    <row r="331" spans="2:17" s="196" customFormat="1" x14ac:dyDescent="0.15">
      <c r="B331" s="182"/>
      <c r="C331" s="181"/>
      <c r="D331" s="181"/>
      <c r="E331" s="181"/>
      <c r="F331" s="181"/>
      <c r="G331" s="181"/>
      <c r="H331" s="181"/>
      <c r="I331" s="181"/>
      <c r="J331" s="181"/>
      <c r="K331" s="181"/>
      <c r="L331" s="181"/>
      <c r="M331" s="181"/>
      <c r="N331" s="181"/>
    </row>
    <row r="332" spans="2:17" s="196" customFormat="1" x14ac:dyDescent="0.15">
      <c r="B332" s="182"/>
      <c r="C332" s="181"/>
      <c r="D332" s="181"/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</row>
    <row r="333" spans="2:17" s="196" customFormat="1" x14ac:dyDescent="0.15">
      <c r="B333" s="182"/>
      <c r="C333" s="181"/>
      <c r="D333" s="181"/>
      <c r="E333" s="181"/>
      <c r="F333" s="181"/>
      <c r="G333" s="181"/>
      <c r="H333" s="181"/>
      <c r="I333" s="181"/>
      <c r="J333" s="181"/>
      <c r="K333" s="181"/>
      <c r="L333" s="181"/>
      <c r="M333" s="181"/>
      <c r="N333" s="181"/>
    </row>
    <row r="334" spans="2:17" s="196" customFormat="1" x14ac:dyDescent="0.15">
      <c r="B334" s="182"/>
      <c r="C334" s="181"/>
      <c r="D334" s="181"/>
      <c r="E334" s="181"/>
      <c r="F334" s="181"/>
      <c r="G334" s="181"/>
      <c r="H334" s="181"/>
      <c r="I334" s="181"/>
      <c r="J334" s="181"/>
      <c r="K334" s="181"/>
      <c r="L334" s="181"/>
      <c r="M334" s="181"/>
      <c r="N334" s="181"/>
    </row>
    <row r="335" spans="2:17" s="196" customFormat="1" x14ac:dyDescent="0.15">
      <c r="B335" s="182"/>
      <c r="C335" s="181"/>
      <c r="D335" s="181"/>
      <c r="E335" s="181"/>
      <c r="F335" s="181"/>
      <c r="G335" s="181"/>
      <c r="H335" s="181"/>
      <c r="I335" s="181"/>
      <c r="J335" s="181"/>
      <c r="K335" s="181"/>
      <c r="L335" s="181"/>
      <c r="M335" s="181"/>
      <c r="N335" s="181"/>
    </row>
    <row r="336" spans="2:17" s="196" customFormat="1" x14ac:dyDescent="0.15">
      <c r="B336" s="182"/>
      <c r="C336" s="181"/>
      <c r="D336" s="181"/>
      <c r="E336" s="181"/>
      <c r="F336" s="181"/>
      <c r="G336" s="181"/>
      <c r="H336" s="181"/>
      <c r="I336" s="181"/>
      <c r="J336" s="181"/>
      <c r="K336" s="181"/>
      <c r="L336" s="181"/>
      <c r="M336" s="181"/>
      <c r="N336" s="181"/>
    </row>
    <row r="337" spans="2:14" s="196" customFormat="1" x14ac:dyDescent="0.15">
      <c r="B337" s="182"/>
      <c r="C337" s="181"/>
      <c r="D337" s="181"/>
      <c r="E337" s="181"/>
      <c r="F337" s="181"/>
      <c r="G337" s="181"/>
      <c r="H337" s="181"/>
      <c r="I337" s="181"/>
      <c r="J337" s="181"/>
      <c r="K337" s="181"/>
      <c r="L337" s="181"/>
      <c r="M337" s="181"/>
      <c r="N337" s="181"/>
    </row>
    <row r="338" spans="2:14" s="196" customFormat="1" x14ac:dyDescent="0.15">
      <c r="B338" s="182"/>
      <c r="C338" s="181"/>
      <c r="D338" s="181"/>
      <c r="E338" s="181"/>
      <c r="F338" s="181"/>
      <c r="G338" s="181"/>
      <c r="H338" s="181"/>
      <c r="I338" s="181"/>
      <c r="J338" s="181"/>
      <c r="K338" s="181"/>
      <c r="L338" s="181"/>
      <c r="M338" s="181"/>
      <c r="N338" s="181"/>
    </row>
    <row r="339" spans="2:14" s="196" customFormat="1" x14ac:dyDescent="0.15">
      <c r="B339" s="182"/>
      <c r="C339" s="181"/>
      <c r="D339" s="181"/>
      <c r="E339" s="181"/>
      <c r="F339" s="181"/>
      <c r="G339" s="181"/>
      <c r="H339" s="181"/>
      <c r="I339" s="181"/>
      <c r="J339" s="181"/>
      <c r="K339" s="181"/>
      <c r="L339" s="181"/>
      <c r="M339" s="181"/>
      <c r="N339" s="181"/>
    </row>
    <row r="340" spans="2:14" s="196" customFormat="1" x14ac:dyDescent="0.15">
      <c r="B340" s="182"/>
      <c r="C340" s="181"/>
      <c r="D340" s="181"/>
      <c r="E340" s="181"/>
      <c r="F340" s="181"/>
      <c r="G340" s="181"/>
      <c r="H340" s="181"/>
      <c r="I340" s="181"/>
      <c r="J340" s="181"/>
      <c r="K340" s="181"/>
      <c r="L340" s="181"/>
      <c r="M340" s="181"/>
      <c r="N340" s="181"/>
    </row>
    <row r="341" spans="2:14" s="196" customFormat="1" x14ac:dyDescent="0.15">
      <c r="B341" s="182"/>
      <c r="C341" s="181"/>
      <c r="D341" s="181"/>
      <c r="E341" s="181"/>
      <c r="F341" s="181"/>
      <c r="G341" s="181"/>
      <c r="H341" s="181"/>
      <c r="I341" s="181"/>
      <c r="J341" s="181"/>
      <c r="K341" s="181"/>
      <c r="L341" s="181"/>
      <c r="M341" s="181"/>
      <c r="N341" s="181"/>
    </row>
    <row r="342" spans="2:14" s="196" customFormat="1" x14ac:dyDescent="0.15">
      <c r="B342" s="182"/>
      <c r="C342" s="181"/>
      <c r="D342" s="181"/>
      <c r="E342" s="181"/>
      <c r="F342" s="181"/>
      <c r="G342" s="181"/>
      <c r="H342" s="181"/>
      <c r="I342" s="181"/>
      <c r="J342" s="181"/>
      <c r="K342" s="181"/>
      <c r="L342" s="181"/>
      <c r="M342" s="181"/>
      <c r="N342" s="181"/>
    </row>
    <row r="343" spans="2:14" s="196" customFormat="1" x14ac:dyDescent="0.15">
      <c r="B343" s="182"/>
      <c r="C343" s="181"/>
      <c r="D343" s="181"/>
      <c r="E343" s="181"/>
      <c r="F343" s="181"/>
      <c r="G343" s="181"/>
      <c r="H343" s="181"/>
      <c r="I343" s="181"/>
      <c r="J343" s="181"/>
      <c r="K343" s="181"/>
      <c r="L343" s="181"/>
      <c r="M343" s="181"/>
      <c r="N343" s="181"/>
    </row>
    <row r="344" spans="2:14" s="196" customFormat="1" x14ac:dyDescent="0.15">
      <c r="B344" s="182"/>
      <c r="C344" s="181"/>
      <c r="D344" s="181"/>
      <c r="E344" s="181"/>
      <c r="F344" s="181"/>
      <c r="G344" s="181"/>
      <c r="H344" s="181"/>
      <c r="I344" s="181"/>
      <c r="J344" s="181"/>
      <c r="K344" s="181"/>
      <c r="L344" s="181"/>
      <c r="M344" s="181"/>
      <c r="N344" s="181"/>
    </row>
    <row r="345" spans="2:14" s="196" customFormat="1" x14ac:dyDescent="0.15">
      <c r="B345" s="182"/>
      <c r="C345" s="181"/>
      <c r="D345" s="181"/>
      <c r="E345" s="181"/>
      <c r="F345" s="181"/>
      <c r="G345" s="181"/>
      <c r="H345" s="181"/>
      <c r="I345" s="181"/>
      <c r="J345" s="181"/>
      <c r="K345" s="181"/>
      <c r="L345" s="181"/>
      <c r="M345" s="181"/>
      <c r="N345" s="181"/>
    </row>
    <row r="346" spans="2:14" s="196" customFormat="1" x14ac:dyDescent="0.15">
      <c r="B346" s="182"/>
      <c r="C346" s="181"/>
      <c r="D346" s="181"/>
      <c r="E346" s="181"/>
      <c r="F346" s="181"/>
      <c r="G346" s="181"/>
      <c r="H346" s="181"/>
      <c r="I346" s="181"/>
      <c r="J346" s="181"/>
      <c r="K346" s="181"/>
      <c r="L346" s="181"/>
      <c r="M346" s="181"/>
      <c r="N346" s="181"/>
    </row>
    <row r="347" spans="2:14" s="196" customFormat="1" x14ac:dyDescent="0.15">
      <c r="B347" s="182"/>
      <c r="C347" s="181"/>
      <c r="D347" s="181"/>
      <c r="E347" s="181"/>
      <c r="F347" s="181"/>
      <c r="G347" s="181"/>
      <c r="H347" s="181"/>
      <c r="I347" s="181"/>
      <c r="J347" s="181"/>
      <c r="K347" s="181"/>
      <c r="L347" s="181"/>
      <c r="M347" s="181"/>
      <c r="N347" s="181"/>
    </row>
    <row r="348" spans="2:14" s="196" customFormat="1" x14ac:dyDescent="0.15">
      <c r="B348" s="182"/>
      <c r="C348" s="181"/>
      <c r="D348" s="181"/>
      <c r="E348" s="181"/>
      <c r="F348" s="181"/>
      <c r="G348" s="181"/>
      <c r="H348" s="181"/>
      <c r="I348" s="181"/>
      <c r="J348" s="181"/>
      <c r="K348" s="181"/>
      <c r="L348" s="181"/>
      <c r="M348" s="181"/>
      <c r="N348" s="181"/>
    </row>
    <row r="349" spans="2:14" s="196" customFormat="1" x14ac:dyDescent="0.15">
      <c r="B349" s="182"/>
      <c r="C349" s="181"/>
      <c r="D349" s="181"/>
      <c r="E349" s="181"/>
      <c r="F349" s="181"/>
      <c r="G349" s="181"/>
      <c r="H349" s="181"/>
      <c r="I349" s="181"/>
      <c r="J349" s="181"/>
      <c r="K349" s="181"/>
      <c r="L349" s="181"/>
      <c r="M349" s="181"/>
      <c r="N349" s="181"/>
    </row>
    <row r="350" spans="2:14" s="196" customFormat="1" x14ac:dyDescent="0.15">
      <c r="B350" s="182"/>
      <c r="C350" s="181"/>
      <c r="D350" s="181"/>
      <c r="E350" s="181"/>
      <c r="F350" s="181"/>
      <c r="G350" s="181"/>
      <c r="H350" s="181"/>
      <c r="I350" s="181"/>
      <c r="J350" s="181"/>
      <c r="K350" s="181"/>
      <c r="L350" s="181"/>
      <c r="M350" s="181"/>
      <c r="N350" s="181"/>
    </row>
    <row r="351" spans="2:14" s="196" customFormat="1" x14ac:dyDescent="0.15">
      <c r="B351" s="182"/>
      <c r="C351" s="181"/>
      <c r="D351" s="181"/>
      <c r="E351" s="181"/>
      <c r="F351" s="181"/>
      <c r="G351" s="181"/>
      <c r="H351" s="181"/>
      <c r="I351" s="181"/>
      <c r="J351" s="181"/>
      <c r="K351" s="181"/>
      <c r="L351" s="181"/>
      <c r="M351" s="181"/>
      <c r="N351" s="181"/>
    </row>
    <row r="352" spans="2:14" s="196" customFormat="1" x14ac:dyDescent="0.15">
      <c r="B352" s="182"/>
      <c r="C352" s="181"/>
      <c r="D352" s="181"/>
      <c r="E352" s="181"/>
      <c r="F352" s="181"/>
      <c r="G352" s="181"/>
      <c r="H352" s="181"/>
      <c r="I352" s="181"/>
      <c r="J352" s="181"/>
      <c r="K352" s="181"/>
      <c r="L352" s="181"/>
      <c r="M352" s="181"/>
      <c r="N352" s="181"/>
    </row>
    <row r="353" spans="2:14" s="196" customFormat="1" x14ac:dyDescent="0.15">
      <c r="B353" s="182"/>
      <c r="C353" s="181"/>
      <c r="D353" s="181"/>
      <c r="E353" s="181"/>
      <c r="F353" s="181"/>
      <c r="G353" s="181"/>
      <c r="H353" s="181"/>
      <c r="I353" s="181"/>
      <c r="J353" s="181"/>
      <c r="K353" s="181"/>
      <c r="L353" s="181"/>
      <c r="M353" s="181"/>
      <c r="N353" s="181"/>
    </row>
    <row r="354" spans="2:14" s="196" customFormat="1" x14ac:dyDescent="0.15">
      <c r="B354" s="182"/>
      <c r="C354" s="181"/>
      <c r="D354" s="181"/>
      <c r="E354" s="181"/>
      <c r="F354" s="181"/>
      <c r="G354" s="181"/>
      <c r="H354" s="181"/>
      <c r="I354" s="181"/>
      <c r="J354" s="181"/>
      <c r="K354" s="181"/>
      <c r="L354" s="181"/>
      <c r="M354" s="181"/>
      <c r="N354" s="181"/>
    </row>
    <row r="355" spans="2:14" s="196" customFormat="1" x14ac:dyDescent="0.15">
      <c r="B355" s="182"/>
      <c r="C355" s="181"/>
      <c r="D355" s="181"/>
      <c r="E355" s="181"/>
      <c r="F355" s="181"/>
      <c r="G355" s="181"/>
      <c r="H355" s="181"/>
      <c r="I355" s="181"/>
      <c r="J355" s="181"/>
      <c r="K355" s="181"/>
      <c r="L355" s="181"/>
      <c r="M355" s="181"/>
      <c r="N355" s="181"/>
    </row>
    <row r="356" spans="2:14" s="196" customFormat="1" x14ac:dyDescent="0.15">
      <c r="B356" s="182"/>
      <c r="C356" s="181"/>
      <c r="D356" s="181"/>
      <c r="E356" s="181"/>
      <c r="F356" s="181"/>
      <c r="G356" s="181"/>
      <c r="H356" s="181"/>
      <c r="I356" s="181"/>
      <c r="J356" s="181"/>
      <c r="K356" s="181"/>
      <c r="L356" s="181"/>
      <c r="M356" s="181"/>
      <c r="N356" s="181"/>
    </row>
    <row r="357" spans="2:14" s="196" customFormat="1" x14ac:dyDescent="0.15">
      <c r="B357" s="182"/>
      <c r="C357" s="181"/>
      <c r="D357" s="181"/>
      <c r="E357" s="181"/>
      <c r="F357" s="181"/>
      <c r="G357" s="181"/>
      <c r="H357" s="181"/>
      <c r="I357" s="181"/>
      <c r="J357" s="181"/>
      <c r="K357" s="181"/>
      <c r="L357" s="181"/>
      <c r="M357" s="181"/>
      <c r="N357" s="181"/>
    </row>
    <row r="358" spans="2:14" s="196" customFormat="1" x14ac:dyDescent="0.15">
      <c r="B358" s="182"/>
      <c r="C358" s="181"/>
      <c r="D358" s="181"/>
      <c r="E358" s="181"/>
      <c r="F358" s="181"/>
      <c r="G358" s="181"/>
      <c r="H358" s="181"/>
      <c r="I358" s="181"/>
      <c r="J358" s="181"/>
      <c r="K358" s="181"/>
      <c r="L358" s="181"/>
      <c r="M358" s="181"/>
      <c r="N358" s="181"/>
    </row>
    <row r="359" spans="2:14" s="196" customFormat="1" x14ac:dyDescent="0.15">
      <c r="B359" s="182"/>
      <c r="C359" s="181"/>
      <c r="D359" s="181"/>
      <c r="E359" s="181"/>
      <c r="F359" s="181"/>
      <c r="G359" s="181"/>
      <c r="H359" s="181"/>
      <c r="I359" s="181"/>
      <c r="J359" s="181"/>
      <c r="K359" s="181"/>
      <c r="L359" s="181"/>
      <c r="M359" s="181"/>
      <c r="N359" s="181"/>
    </row>
    <row r="360" spans="2:14" s="196" customFormat="1" x14ac:dyDescent="0.15">
      <c r="B360" s="182"/>
      <c r="C360" s="181"/>
      <c r="D360" s="181"/>
      <c r="E360" s="181"/>
      <c r="F360" s="181"/>
      <c r="G360" s="181"/>
      <c r="H360" s="181"/>
      <c r="I360" s="181"/>
      <c r="J360" s="181"/>
      <c r="K360" s="181"/>
      <c r="L360" s="181"/>
      <c r="M360" s="181"/>
      <c r="N360" s="181"/>
    </row>
    <row r="361" spans="2:14" s="196" customFormat="1" x14ac:dyDescent="0.15">
      <c r="B361" s="182"/>
      <c r="C361" s="181"/>
      <c r="D361" s="181"/>
      <c r="E361" s="181"/>
      <c r="F361" s="181"/>
      <c r="G361" s="181"/>
      <c r="H361" s="181"/>
      <c r="I361" s="181"/>
      <c r="J361" s="181"/>
      <c r="K361" s="181"/>
      <c r="L361" s="181"/>
      <c r="M361" s="181"/>
      <c r="N361" s="181"/>
    </row>
    <row r="362" spans="2:14" s="196" customFormat="1" x14ac:dyDescent="0.15">
      <c r="B362" s="182"/>
      <c r="C362" s="181"/>
      <c r="D362" s="181"/>
      <c r="E362" s="181"/>
      <c r="F362" s="181"/>
      <c r="G362" s="181"/>
      <c r="H362" s="181"/>
      <c r="I362" s="181"/>
      <c r="J362" s="181"/>
      <c r="K362" s="181"/>
      <c r="L362" s="181"/>
      <c r="M362" s="181"/>
      <c r="N362" s="181"/>
    </row>
    <row r="363" spans="2:14" s="196" customFormat="1" x14ac:dyDescent="0.15">
      <c r="B363" s="182"/>
      <c r="C363" s="181"/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</row>
    <row r="364" spans="2:14" s="196" customFormat="1" x14ac:dyDescent="0.15">
      <c r="B364" s="182"/>
      <c r="C364" s="181"/>
      <c r="D364" s="181"/>
      <c r="E364" s="181"/>
      <c r="F364" s="181"/>
      <c r="G364" s="181"/>
      <c r="H364" s="181"/>
      <c r="I364" s="181"/>
      <c r="J364" s="181"/>
      <c r="K364" s="181"/>
      <c r="L364" s="181"/>
      <c r="M364" s="181"/>
      <c r="N364" s="181"/>
    </row>
    <row r="365" spans="2:14" s="196" customFormat="1" x14ac:dyDescent="0.15">
      <c r="B365" s="182"/>
      <c r="C365" s="181"/>
      <c r="D365" s="181"/>
      <c r="E365" s="181"/>
      <c r="F365" s="181"/>
      <c r="G365" s="181"/>
      <c r="H365" s="181"/>
      <c r="I365" s="181"/>
      <c r="J365" s="181"/>
      <c r="K365" s="181"/>
      <c r="L365" s="181"/>
      <c r="M365" s="181"/>
      <c r="N365" s="181"/>
    </row>
    <row r="366" spans="2:14" s="196" customFormat="1" x14ac:dyDescent="0.15">
      <c r="B366" s="182"/>
      <c r="C366" s="181"/>
      <c r="D366" s="181"/>
      <c r="E366" s="181"/>
      <c r="F366" s="181"/>
      <c r="G366" s="181"/>
      <c r="H366" s="181"/>
      <c r="I366" s="181"/>
      <c r="J366" s="181"/>
      <c r="K366" s="181"/>
      <c r="L366" s="181"/>
      <c r="M366" s="181"/>
      <c r="N366" s="181"/>
    </row>
    <row r="367" spans="2:14" s="196" customFormat="1" x14ac:dyDescent="0.15">
      <c r="B367" s="182"/>
      <c r="C367" s="181"/>
      <c r="D367" s="181"/>
      <c r="E367" s="181"/>
      <c r="F367" s="181"/>
      <c r="G367" s="181"/>
      <c r="H367" s="181"/>
      <c r="I367" s="181"/>
      <c r="J367" s="181"/>
      <c r="K367" s="181"/>
      <c r="L367" s="181"/>
      <c r="M367" s="181"/>
      <c r="N367" s="181"/>
    </row>
    <row r="368" spans="2:14" s="196" customFormat="1" x14ac:dyDescent="0.15">
      <c r="B368" s="182"/>
      <c r="C368" s="181"/>
      <c r="D368" s="181"/>
      <c r="E368" s="181"/>
      <c r="F368" s="181"/>
      <c r="G368" s="181"/>
      <c r="H368" s="181"/>
      <c r="I368" s="181"/>
      <c r="J368" s="181"/>
      <c r="K368" s="181"/>
      <c r="L368" s="181"/>
      <c r="M368" s="181"/>
      <c r="N368" s="181"/>
    </row>
    <row r="369" spans="2:14" s="196" customFormat="1" x14ac:dyDescent="0.15">
      <c r="B369" s="182"/>
      <c r="C369" s="181"/>
      <c r="D369" s="181"/>
      <c r="E369" s="181"/>
      <c r="F369" s="181"/>
      <c r="G369" s="181"/>
      <c r="H369" s="181"/>
      <c r="I369" s="181"/>
      <c r="J369" s="181"/>
      <c r="K369" s="181"/>
      <c r="L369" s="181"/>
      <c r="M369" s="181"/>
      <c r="N369" s="181"/>
    </row>
    <row r="370" spans="2:14" s="196" customFormat="1" x14ac:dyDescent="0.15">
      <c r="B370" s="182"/>
      <c r="C370" s="181"/>
      <c r="D370" s="181"/>
      <c r="E370" s="181"/>
      <c r="F370" s="181"/>
      <c r="G370" s="181"/>
      <c r="H370" s="181"/>
      <c r="I370" s="181"/>
      <c r="J370" s="181"/>
      <c r="K370" s="181"/>
      <c r="L370" s="181"/>
      <c r="M370" s="181"/>
      <c r="N370" s="181"/>
    </row>
    <row r="371" spans="2:14" s="196" customFormat="1" x14ac:dyDescent="0.15">
      <c r="B371" s="182"/>
      <c r="C371" s="181"/>
      <c r="D371" s="181"/>
      <c r="E371" s="181"/>
      <c r="F371" s="181"/>
      <c r="G371" s="181"/>
      <c r="H371" s="181"/>
      <c r="I371" s="181"/>
      <c r="J371" s="181"/>
      <c r="K371" s="181"/>
      <c r="L371" s="181"/>
      <c r="M371" s="181"/>
      <c r="N371" s="181"/>
    </row>
    <row r="372" spans="2:14" s="196" customFormat="1" x14ac:dyDescent="0.15">
      <c r="B372" s="182"/>
      <c r="C372" s="181"/>
      <c r="D372" s="181"/>
      <c r="E372" s="181"/>
      <c r="F372" s="181"/>
      <c r="G372" s="181"/>
      <c r="H372" s="181"/>
      <c r="I372" s="181"/>
      <c r="J372" s="181"/>
      <c r="K372" s="181"/>
      <c r="L372" s="181"/>
      <c r="M372" s="181"/>
      <c r="N372" s="181"/>
    </row>
    <row r="373" spans="2:14" s="196" customFormat="1" x14ac:dyDescent="0.15">
      <c r="B373" s="182"/>
      <c r="C373" s="181"/>
      <c r="D373" s="181"/>
      <c r="E373" s="181"/>
      <c r="F373" s="181"/>
      <c r="G373" s="181"/>
      <c r="H373" s="181"/>
      <c r="I373" s="181"/>
      <c r="J373" s="181"/>
      <c r="K373" s="181"/>
      <c r="L373" s="181"/>
      <c r="M373" s="181"/>
      <c r="N373" s="181"/>
    </row>
    <row r="374" spans="2:14" s="196" customFormat="1" x14ac:dyDescent="0.15">
      <c r="B374" s="182"/>
      <c r="C374" s="181"/>
      <c r="D374" s="181"/>
      <c r="E374" s="181"/>
      <c r="F374" s="181"/>
      <c r="G374" s="181"/>
      <c r="H374" s="181"/>
      <c r="I374" s="181"/>
      <c r="J374" s="181"/>
      <c r="K374" s="181"/>
      <c r="L374" s="181"/>
      <c r="M374" s="181"/>
      <c r="N374" s="181"/>
    </row>
    <row r="375" spans="2:14" s="196" customFormat="1" x14ac:dyDescent="0.15">
      <c r="B375" s="182"/>
      <c r="C375" s="181"/>
      <c r="D375" s="181"/>
      <c r="E375" s="181"/>
      <c r="F375" s="181"/>
      <c r="G375" s="181"/>
      <c r="H375" s="181"/>
      <c r="I375" s="181"/>
      <c r="J375" s="181"/>
      <c r="K375" s="181"/>
      <c r="L375" s="181"/>
      <c r="M375" s="181"/>
      <c r="N375" s="181"/>
    </row>
    <row r="376" spans="2:14" s="196" customFormat="1" x14ac:dyDescent="0.15">
      <c r="B376" s="182"/>
      <c r="C376" s="181"/>
      <c r="D376" s="181"/>
      <c r="E376" s="181"/>
      <c r="F376" s="181"/>
      <c r="G376" s="181"/>
      <c r="H376" s="181"/>
      <c r="I376" s="181"/>
      <c r="J376" s="181"/>
      <c r="K376" s="181"/>
      <c r="L376" s="181"/>
      <c r="M376" s="181"/>
      <c r="N376" s="181"/>
    </row>
    <row r="377" spans="2:14" s="196" customFormat="1" x14ac:dyDescent="0.15">
      <c r="B377" s="182"/>
      <c r="C377" s="181"/>
      <c r="D377" s="181"/>
      <c r="E377" s="181"/>
      <c r="F377" s="181"/>
      <c r="G377" s="181"/>
      <c r="H377" s="181"/>
      <c r="I377" s="181"/>
      <c r="J377" s="181"/>
      <c r="K377" s="181"/>
      <c r="L377" s="181"/>
      <c r="M377" s="181"/>
      <c r="N377" s="181"/>
    </row>
    <row r="378" spans="2:14" s="196" customFormat="1" x14ac:dyDescent="0.15">
      <c r="B378" s="182"/>
      <c r="C378" s="181"/>
      <c r="D378" s="181"/>
      <c r="E378" s="181"/>
      <c r="F378" s="181"/>
      <c r="G378" s="181"/>
      <c r="H378" s="181"/>
      <c r="I378" s="181"/>
      <c r="J378" s="181"/>
      <c r="K378" s="181"/>
      <c r="L378" s="181"/>
      <c r="M378" s="181"/>
      <c r="N378" s="181"/>
    </row>
    <row r="379" spans="2:14" s="196" customFormat="1" x14ac:dyDescent="0.15">
      <c r="B379" s="182"/>
      <c r="C379" s="181"/>
      <c r="D379" s="181"/>
      <c r="E379" s="181"/>
      <c r="F379" s="181"/>
      <c r="G379" s="181"/>
      <c r="H379" s="181"/>
      <c r="I379" s="181"/>
      <c r="J379" s="181"/>
      <c r="K379" s="181"/>
      <c r="L379" s="181"/>
      <c r="M379" s="181"/>
      <c r="N379" s="181"/>
    </row>
    <row r="380" spans="2:14" s="196" customFormat="1" x14ac:dyDescent="0.15">
      <c r="B380" s="182"/>
      <c r="C380" s="181"/>
      <c r="D380" s="181"/>
      <c r="E380" s="181"/>
      <c r="F380" s="181"/>
      <c r="G380" s="181"/>
      <c r="H380" s="181"/>
      <c r="I380" s="181"/>
      <c r="J380" s="181"/>
      <c r="K380" s="181"/>
      <c r="L380" s="181"/>
      <c r="M380" s="181"/>
      <c r="N380" s="181"/>
    </row>
    <row r="381" spans="2:14" s="196" customFormat="1" x14ac:dyDescent="0.15">
      <c r="B381" s="182"/>
      <c r="C381" s="181"/>
      <c r="D381" s="181"/>
      <c r="E381" s="181"/>
      <c r="F381" s="181"/>
      <c r="G381" s="181"/>
      <c r="H381" s="181"/>
      <c r="I381" s="181"/>
      <c r="J381" s="181"/>
      <c r="K381" s="181"/>
      <c r="L381" s="181"/>
      <c r="M381" s="181"/>
      <c r="N381" s="181"/>
    </row>
    <row r="382" spans="2:14" s="196" customFormat="1" x14ac:dyDescent="0.15">
      <c r="B382" s="182"/>
      <c r="C382" s="181"/>
      <c r="D382" s="181"/>
      <c r="E382" s="181"/>
      <c r="F382" s="181"/>
      <c r="G382" s="181"/>
      <c r="H382" s="181"/>
      <c r="I382" s="181"/>
      <c r="J382" s="181"/>
      <c r="K382" s="181"/>
      <c r="L382" s="181"/>
      <c r="M382" s="181"/>
      <c r="N382" s="181"/>
    </row>
    <row r="383" spans="2:14" s="196" customFormat="1" x14ac:dyDescent="0.15">
      <c r="B383" s="182"/>
      <c r="C383" s="181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</row>
    <row r="384" spans="2:14" s="196" customFormat="1" x14ac:dyDescent="0.15">
      <c r="B384" s="182"/>
      <c r="C384" s="181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</row>
    <row r="385" spans="2:14" s="196" customFormat="1" x14ac:dyDescent="0.15">
      <c r="B385" s="182"/>
      <c r="C385" s="181"/>
      <c r="D385" s="181"/>
      <c r="E385" s="181"/>
      <c r="F385" s="181"/>
      <c r="G385" s="181"/>
      <c r="H385" s="181"/>
      <c r="I385" s="181"/>
      <c r="J385" s="181"/>
      <c r="K385" s="181"/>
      <c r="L385" s="181"/>
      <c r="M385" s="181"/>
      <c r="N385" s="181"/>
    </row>
    <row r="386" spans="2:14" s="196" customFormat="1" x14ac:dyDescent="0.15">
      <c r="B386" s="182"/>
      <c r="C386" s="181"/>
      <c r="D386" s="181"/>
      <c r="E386" s="181"/>
      <c r="F386" s="181"/>
      <c r="G386" s="181"/>
      <c r="H386" s="181"/>
      <c r="I386" s="181"/>
      <c r="J386" s="181"/>
      <c r="K386" s="181"/>
      <c r="L386" s="181"/>
      <c r="M386" s="181"/>
      <c r="N386" s="181"/>
    </row>
    <row r="387" spans="2:14" s="196" customFormat="1" x14ac:dyDescent="0.15">
      <c r="B387" s="182"/>
      <c r="C387" s="181"/>
      <c r="D387" s="181"/>
      <c r="E387" s="181"/>
      <c r="F387" s="181"/>
      <c r="G387" s="181"/>
      <c r="H387" s="181"/>
      <c r="I387" s="181"/>
      <c r="J387" s="181"/>
      <c r="K387" s="181"/>
      <c r="L387" s="181"/>
      <c r="M387" s="181"/>
      <c r="N387" s="181"/>
    </row>
    <row r="388" spans="2:14" s="196" customFormat="1" x14ac:dyDescent="0.15">
      <c r="B388" s="182"/>
      <c r="C388" s="181"/>
      <c r="D388" s="181"/>
      <c r="E388" s="181"/>
      <c r="F388" s="181"/>
      <c r="G388" s="181"/>
      <c r="H388" s="181"/>
      <c r="I388" s="181"/>
      <c r="J388" s="181"/>
      <c r="K388" s="181"/>
      <c r="L388" s="181"/>
      <c r="M388" s="181"/>
      <c r="N388" s="181"/>
    </row>
    <row r="389" spans="2:14" s="196" customFormat="1" x14ac:dyDescent="0.15">
      <c r="B389" s="182"/>
      <c r="C389" s="181"/>
      <c r="D389" s="181"/>
      <c r="E389" s="181"/>
      <c r="F389" s="181"/>
      <c r="G389" s="181"/>
      <c r="H389" s="181"/>
      <c r="I389" s="181"/>
      <c r="J389" s="181"/>
      <c r="K389" s="181"/>
      <c r="L389" s="181"/>
      <c r="M389" s="181"/>
      <c r="N389" s="181"/>
    </row>
    <row r="390" spans="2:14" s="196" customFormat="1" x14ac:dyDescent="0.15">
      <c r="B390" s="182"/>
      <c r="C390" s="181"/>
      <c r="D390" s="181"/>
      <c r="E390" s="181"/>
      <c r="F390" s="181"/>
      <c r="G390" s="181"/>
      <c r="H390" s="181"/>
      <c r="I390" s="181"/>
      <c r="J390" s="181"/>
      <c r="K390" s="181"/>
      <c r="L390" s="181"/>
      <c r="M390" s="181"/>
      <c r="N390" s="181"/>
    </row>
    <row r="391" spans="2:14" s="196" customFormat="1" x14ac:dyDescent="0.15">
      <c r="B391" s="182"/>
      <c r="C391" s="181"/>
      <c r="D391" s="181"/>
      <c r="E391" s="181"/>
      <c r="F391" s="181"/>
      <c r="G391" s="181"/>
      <c r="H391" s="181"/>
      <c r="I391" s="181"/>
      <c r="J391" s="181"/>
      <c r="K391" s="181"/>
      <c r="L391" s="181"/>
      <c r="M391" s="181"/>
      <c r="N391" s="181"/>
    </row>
    <row r="392" spans="2:14" s="196" customFormat="1" x14ac:dyDescent="0.15">
      <c r="B392" s="182"/>
      <c r="C392" s="181"/>
      <c r="D392" s="181"/>
      <c r="E392" s="181"/>
      <c r="F392" s="181"/>
      <c r="G392" s="181"/>
      <c r="H392" s="181"/>
      <c r="I392" s="181"/>
      <c r="J392" s="181"/>
      <c r="K392" s="181"/>
      <c r="L392" s="181"/>
      <c r="M392" s="181"/>
      <c r="N392" s="181"/>
    </row>
    <row r="393" spans="2:14" s="196" customFormat="1" x14ac:dyDescent="0.15">
      <c r="B393" s="182"/>
      <c r="C393" s="181"/>
      <c r="D393" s="181"/>
      <c r="E393" s="181"/>
      <c r="F393" s="181"/>
      <c r="G393" s="181"/>
      <c r="H393" s="181"/>
      <c r="I393" s="181"/>
      <c r="J393" s="181"/>
      <c r="K393" s="181"/>
      <c r="L393" s="181"/>
      <c r="M393" s="181"/>
      <c r="N393" s="181"/>
    </row>
    <row r="394" spans="2:14" s="196" customFormat="1" x14ac:dyDescent="0.15">
      <c r="B394" s="182"/>
      <c r="C394" s="181"/>
      <c r="D394" s="181"/>
      <c r="E394" s="181"/>
      <c r="F394" s="181"/>
      <c r="G394" s="181"/>
      <c r="H394" s="181"/>
      <c r="I394" s="181"/>
      <c r="J394" s="181"/>
      <c r="K394" s="181"/>
      <c r="L394" s="181"/>
      <c r="M394" s="181"/>
      <c r="N394" s="181"/>
    </row>
    <row r="395" spans="2:14" s="196" customFormat="1" x14ac:dyDescent="0.15">
      <c r="B395" s="182"/>
      <c r="C395" s="181"/>
      <c r="D395" s="181"/>
      <c r="E395" s="181"/>
      <c r="F395" s="181"/>
      <c r="G395" s="181"/>
      <c r="H395" s="181"/>
      <c r="I395" s="181"/>
      <c r="J395" s="181"/>
      <c r="K395" s="181"/>
      <c r="L395" s="181"/>
      <c r="M395" s="181"/>
      <c r="N395" s="181"/>
    </row>
    <row r="396" spans="2:14" s="196" customFormat="1" x14ac:dyDescent="0.15">
      <c r="B396" s="182"/>
      <c r="C396" s="181"/>
      <c r="D396" s="181"/>
      <c r="E396" s="181"/>
      <c r="F396" s="181"/>
      <c r="G396" s="181"/>
      <c r="H396" s="181"/>
      <c r="I396" s="181"/>
      <c r="J396" s="181"/>
      <c r="K396" s="181"/>
      <c r="L396" s="181"/>
      <c r="M396" s="181"/>
      <c r="N396" s="181"/>
    </row>
    <row r="397" spans="2:14" s="196" customFormat="1" x14ac:dyDescent="0.15">
      <c r="B397" s="182"/>
      <c r="C397" s="181"/>
      <c r="D397" s="181"/>
      <c r="E397" s="181"/>
      <c r="F397" s="181"/>
      <c r="G397" s="181"/>
      <c r="H397" s="181"/>
      <c r="I397" s="181"/>
      <c r="J397" s="181"/>
      <c r="K397" s="181"/>
      <c r="L397" s="181"/>
      <c r="M397" s="181"/>
      <c r="N397" s="181"/>
    </row>
    <row r="398" spans="2:14" s="196" customFormat="1" x14ac:dyDescent="0.15">
      <c r="B398" s="182"/>
      <c r="C398" s="181"/>
      <c r="D398" s="181"/>
      <c r="E398" s="181"/>
      <c r="F398" s="181"/>
      <c r="G398" s="181"/>
      <c r="H398" s="181"/>
      <c r="I398" s="181"/>
      <c r="J398" s="181"/>
      <c r="K398" s="181"/>
      <c r="L398" s="181"/>
      <c r="M398" s="181"/>
      <c r="N398" s="181"/>
    </row>
    <row r="399" spans="2:14" s="196" customFormat="1" x14ac:dyDescent="0.15">
      <c r="B399" s="182"/>
      <c r="C399" s="181"/>
      <c r="D399" s="181"/>
      <c r="E399" s="181"/>
      <c r="F399" s="181"/>
      <c r="G399" s="181"/>
      <c r="H399" s="181"/>
      <c r="I399" s="181"/>
      <c r="J399" s="181"/>
      <c r="K399" s="181"/>
      <c r="L399" s="181"/>
      <c r="M399" s="181"/>
      <c r="N399" s="181"/>
    </row>
    <row r="400" spans="2:14" s="196" customFormat="1" x14ac:dyDescent="0.15">
      <c r="B400" s="182"/>
      <c r="C400" s="181"/>
      <c r="D400" s="181"/>
      <c r="E400" s="181"/>
      <c r="F400" s="181"/>
      <c r="G400" s="181"/>
      <c r="H400" s="181"/>
      <c r="I400" s="181"/>
      <c r="J400" s="181"/>
      <c r="K400" s="181"/>
      <c r="L400" s="181"/>
      <c r="M400" s="181"/>
      <c r="N400" s="181"/>
    </row>
    <row r="401" spans="2:14" s="196" customFormat="1" x14ac:dyDescent="0.15">
      <c r="B401" s="182"/>
      <c r="C401" s="181"/>
      <c r="D401" s="181"/>
      <c r="E401" s="181"/>
      <c r="F401" s="181"/>
      <c r="G401" s="181"/>
      <c r="H401" s="181"/>
      <c r="I401" s="181"/>
      <c r="J401" s="181"/>
      <c r="K401" s="181"/>
      <c r="L401" s="181"/>
      <c r="M401" s="181"/>
      <c r="N401" s="181"/>
    </row>
    <row r="402" spans="2:14" s="196" customFormat="1" x14ac:dyDescent="0.15">
      <c r="B402" s="182"/>
      <c r="C402" s="181"/>
      <c r="D402" s="181"/>
      <c r="E402" s="181"/>
      <c r="F402" s="181"/>
      <c r="G402" s="181"/>
      <c r="H402" s="181"/>
      <c r="I402" s="181"/>
      <c r="J402" s="181"/>
      <c r="K402" s="181"/>
      <c r="L402" s="181"/>
      <c r="M402" s="181"/>
      <c r="N402" s="181"/>
    </row>
    <row r="403" spans="2:14" s="196" customFormat="1" x14ac:dyDescent="0.15">
      <c r="B403" s="182"/>
      <c r="C403" s="181"/>
      <c r="D403" s="181"/>
      <c r="E403" s="181"/>
      <c r="F403" s="181"/>
      <c r="G403" s="181"/>
      <c r="H403" s="181"/>
      <c r="I403" s="181"/>
      <c r="J403" s="181"/>
      <c r="K403" s="181"/>
      <c r="L403" s="181"/>
      <c r="M403" s="181"/>
      <c r="N403" s="181"/>
    </row>
    <row r="404" spans="2:14" s="196" customFormat="1" x14ac:dyDescent="0.15">
      <c r="B404" s="182"/>
      <c r="C404" s="181"/>
      <c r="D404" s="181"/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</row>
    <row r="405" spans="2:14" s="196" customFormat="1" x14ac:dyDescent="0.15">
      <c r="B405" s="182"/>
      <c r="C405" s="181"/>
      <c r="D405" s="181"/>
      <c r="E405" s="181"/>
      <c r="F405" s="181"/>
      <c r="G405" s="181"/>
      <c r="H405" s="181"/>
      <c r="I405" s="181"/>
      <c r="J405" s="181"/>
      <c r="K405" s="181"/>
      <c r="L405" s="181"/>
      <c r="M405" s="181"/>
      <c r="N405" s="181"/>
    </row>
    <row r="406" spans="2:14" s="196" customFormat="1" x14ac:dyDescent="0.15">
      <c r="B406" s="182"/>
      <c r="C406" s="181"/>
      <c r="D406" s="181"/>
      <c r="E406" s="181"/>
      <c r="F406" s="181"/>
      <c r="G406" s="181"/>
      <c r="H406" s="181"/>
      <c r="I406" s="181"/>
      <c r="J406" s="181"/>
      <c r="K406" s="181"/>
      <c r="L406" s="181"/>
      <c r="M406" s="181"/>
      <c r="N406" s="181"/>
    </row>
    <row r="407" spans="2:14" s="196" customFormat="1" x14ac:dyDescent="0.15">
      <c r="B407" s="182"/>
      <c r="C407" s="181"/>
      <c r="D407" s="181"/>
      <c r="E407" s="181"/>
      <c r="F407" s="181"/>
      <c r="G407" s="181"/>
      <c r="H407" s="181"/>
      <c r="I407" s="181"/>
      <c r="J407" s="181"/>
      <c r="K407" s="181"/>
      <c r="L407" s="181"/>
      <c r="M407" s="181"/>
      <c r="N407" s="181"/>
    </row>
    <row r="408" spans="2:14" s="196" customFormat="1" x14ac:dyDescent="0.15">
      <c r="B408" s="182"/>
      <c r="C408" s="181"/>
      <c r="D408" s="181"/>
      <c r="E408" s="181"/>
      <c r="F408" s="181"/>
      <c r="G408" s="181"/>
      <c r="H408" s="181"/>
      <c r="I408" s="181"/>
      <c r="J408" s="181"/>
      <c r="K408" s="181"/>
      <c r="L408" s="181"/>
      <c r="M408" s="181"/>
      <c r="N408" s="181"/>
    </row>
    <row r="409" spans="2:14" s="196" customFormat="1" x14ac:dyDescent="0.15">
      <c r="B409" s="182"/>
      <c r="C409" s="181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</row>
    <row r="410" spans="2:14" s="196" customFormat="1" x14ac:dyDescent="0.15">
      <c r="B410" s="182"/>
      <c r="C410" s="181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</row>
    <row r="411" spans="2:14" s="196" customFormat="1" x14ac:dyDescent="0.15">
      <c r="B411" s="182"/>
      <c r="C411" s="181"/>
      <c r="D411" s="181"/>
      <c r="E411" s="181"/>
      <c r="F411" s="181"/>
      <c r="G411" s="181"/>
      <c r="H411" s="181"/>
      <c r="I411" s="181"/>
      <c r="J411" s="181"/>
      <c r="K411" s="181"/>
      <c r="L411" s="181"/>
      <c r="M411" s="181"/>
      <c r="N411" s="181"/>
    </row>
    <row r="412" spans="2:14" s="196" customFormat="1" x14ac:dyDescent="0.15">
      <c r="B412" s="182"/>
      <c r="C412" s="181"/>
      <c r="D412" s="181"/>
      <c r="E412" s="181"/>
      <c r="F412" s="181"/>
      <c r="G412" s="181"/>
      <c r="H412" s="181"/>
      <c r="I412" s="181"/>
      <c r="J412" s="181"/>
      <c r="K412" s="181"/>
      <c r="L412" s="181"/>
      <c r="M412" s="181"/>
      <c r="N412" s="181"/>
    </row>
    <row r="413" spans="2:14" s="196" customFormat="1" x14ac:dyDescent="0.15">
      <c r="B413" s="182"/>
      <c r="C413" s="181"/>
      <c r="D413" s="181"/>
      <c r="E413" s="181"/>
      <c r="F413" s="181"/>
      <c r="G413" s="181"/>
      <c r="H413" s="181"/>
      <c r="I413" s="181"/>
      <c r="J413" s="181"/>
      <c r="K413" s="181"/>
      <c r="L413" s="181"/>
      <c r="M413" s="181"/>
      <c r="N413" s="181"/>
    </row>
    <row r="414" spans="2:14" s="196" customFormat="1" x14ac:dyDescent="0.15">
      <c r="B414" s="182"/>
      <c r="C414" s="181"/>
      <c r="D414" s="181"/>
      <c r="E414" s="181"/>
      <c r="F414" s="181"/>
      <c r="G414" s="181"/>
      <c r="H414" s="181"/>
      <c r="I414" s="181"/>
      <c r="J414" s="181"/>
      <c r="K414" s="181"/>
      <c r="L414" s="181"/>
      <c r="M414" s="181"/>
      <c r="N414" s="181"/>
    </row>
    <row r="415" spans="2:14" s="196" customFormat="1" x14ac:dyDescent="0.15">
      <c r="B415" s="182"/>
      <c r="C415" s="181"/>
      <c r="D415" s="181"/>
      <c r="E415" s="181"/>
      <c r="F415" s="181"/>
      <c r="G415" s="181"/>
      <c r="H415" s="181"/>
      <c r="I415" s="181"/>
      <c r="J415" s="181"/>
      <c r="K415" s="181"/>
      <c r="L415" s="181"/>
      <c r="M415" s="181"/>
      <c r="N415" s="181"/>
    </row>
    <row r="416" spans="2:14" s="196" customFormat="1" x14ac:dyDescent="0.15">
      <c r="B416" s="182"/>
      <c r="C416" s="181"/>
      <c r="D416" s="181"/>
      <c r="E416" s="181"/>
      <c r="F416" s="181"/>
      <c r="G416" s="181"/>
      <c r="H416" s="181"/>
      <c r="I416" s="181"/>
      <c r="J416" s="181"/>
      <c r="K416" s="181"/>
      <c r="L416" s="181"/>
      <c r="M416" s="181"/>
      <c r="N416" s="181"/>
    </row>
    <row r="417" spans="2:14" s="196" customFormat="1" x14ac:dyDescent="0.15">
      <c r="B417" s="182"/>
      <c r="C417" s="181"/>
      <c r="D417" s="181"/>
      <c r="E417" s="181"/>
      <c r="F417" s="181"/>
      <c r="G417" s="181"/>
      <c r="H417" s="181"/>
      <c r="I417" s="181"/>
      <c r="J417" s="181"/>
      <c r="K417" s="181"/>
      <c r="L417" s="181"/>
      <c r="M417" s="181"/>
      <c r="N417" s="181"/>
    </row>
    <row r="418" spans="2:14" s="196" customFormat="1" x14ac:dyDescent="0.15">
      <c r="B418" s="182"/>
      <c r="C418" s="181"/>
      <c r="D418" s="181"/>
      <c r="E418" s="181"/>
      <c r="F418" s="181"/>
      <c r="G418" s="181"/>
      <c r="H418" s="181"/>
      <c r="I418" s="181"/>
      <c r="J418" s="181"/>
      <c r="K418" s="181"/>
      <c r="L418" s="181"/>
      <c r="M418" s="181"/>
      <c r="N418" s="181"/>
    </row>
    <row r="419" spans="2:14" s="196" customFormat="1" x14ac:dyDescent="0.15">
      <c r="B419" s="182"/>
      <c r="C419" s="181"/>
      <c r="D419" s="181"/>
      <c r="E419" s="181"/>
      <c r="F419" s="181"/>
      <c r="G419" s="181"/>
      <c r="H419" s="181"/>
      <c r="I419" s="181"/>
      <c r="J419" s="181"/>
      <c r="K419" s="181"/>
      <c r="L419" s="181"/>
      <c r="M419" s="181"/>
      <c r="N419" s="181"/>
    </row>
    <row r="420" spans="2:14" s="196" customFormat="1" x14ac:dyDescent="0.15">
      <c r="B420" s="182"/>
      <c r="C420" s="181"/>
      <c r="D420" s="181"/>
      <c r="E420" s="181"/>
      <c r="F420" s="181"/>
      <c r="G420" s="181"/>
      <c r="H420" s="181"/>
      <c r="I420" s="181"/>
      <c r="J420" s="181"/>
      <c r="K420" s="181"/>
      <c r="L420" s="181"/>
      <c r="M420" s="181"/>
      <c r="N420" s="181"/>
    </row>
    <row r="421" spans="2:14" s="196" customFormat="1" x14ac:dyDescent="0.15">
      <c r="B421" s="182"/>
      <c r="C421" s="181"/>
      <c r="D421" s="181"/>
      <c r="E421" s="181"/>
      <c r="F421" s="181"/>
      <c r="G421" s="181"/>
      <c r="H421" s="181"/>
      <c r="I421" s="181"/>
      <c r="J421" s="181"/>
      <c r="K421" s="181"/>
      <c r="L421" s="181"/>
      <c r="M421" s="181"/>
      <c r="N421" s="181"/>
    </row>
    <row r="422" spans="2:14" s="196" customFormat="1" x14ac:dyDescent="0.15">
      <c r="B422" s="182"/>
      <c r="C422" s="181"/>
      <c r="D422" s="181"/>
      <c r="E422" s="181"/>
      <c r="F422" s="181"/>
      <c r="G422" s="181"/>
      <c r="H422" s="181"/>
      <c r="I422" s="181"/>
      <c r="J422" s="181"/>
      <c r="K422" s="181"/>
      <c r="L422" s="181"/>
      <c r="M422" s="181"/>
      <c r="N422" s="181"/>
    </row>
    <row r="423" spans="2:14" s="196" customFormat="1" x14ac:dyDescent="0.15">
      <c r="B423" s="182"/>
      <c r="C423" s="181"/>
      <c r="D423" s="181"/>
      <c r="E423" s="181"/>
      <c r="F423" s="181"/>
      <c r="G423" s="181"/>
      <c r="H423" s="181"/>
      <c r="I423" s="181"/>
      <c r="J423" s="181"/>
      <c r="K423" s="181"/>
      <c r="L423" s="181"/>
      <c r="M423" s="181"/>
      <c r="N423" s="181"/>
    </row>
    <row r="424" spans="2:14" s="196" customFormat="1" x14ac:dyDescent="0.15">
      <c r="B424" s="182"/>
      <c r="C424" s="181"/>
      <c r="D424" s="181"/>
      <c r="E424" s="181"/>
      <c r="F424" s="181"/>
      <c r="G424" s="181"/>
      <c r="H424" s="181"/>
      <c r="I424" s="181"/>
      <c r="J424" s="181"/>
      <c r="K424" s="181"/>
      <c r="L424" s="181"/>
      <c r="M424" s="181"/>
      <c r="N424" s="181"/>
    </row>
    <row r="425" spans="2:14" s="196" customFormat="1" x14ac:dyDescent="0.15">
      <c r="B425" s="182"/>
      <c r="C425" s="181"/>
      <c r="D425" s="181"/>
      <c r="E425" s="181"/>
      <c r="F425" s="181"/>
      <c r="G425" s="181"/>
      <c r="H425" s="181"/>
      <c r="I425" s="181"/>
      <c r="J425" s="181"/>
      <c r="K425" s="181"/>
      <c r="L425" s="181"/>
      <c r="M425" s="181"/>
      <c r="N425" s="181"/>
    </row>
    <row r="426" spans="2:14" s="196" customFormat="1" x14ac:dyDescent="0.15">
      <c r="B426" s="182"/>
      <c r="C426" s="181"/>
      <c r="D426" s="181"/>
      <c r="E426" s="181"/>
      <c r="F426" s="181"/>
      <c r="G426" s="181"/>
      <c r="H426" s="181"/>
      <c r="I426" s="181"/>
      <c r="J426" s="181"/>
      <c r="K426" s="181"/>
      <c r="L426" s="181"/>
      <c r="M426" s="181"/>
      <c r="N426" s="181"/>
    </row>
    <row r="427" spans="2:14" s="196" customFormat="1" x14ac:dyDescent="0.15">
      <c r="B427" s="182"/>
      <c r="C427" s="181"/>
      <c r="D427" s="181"/>
      <c r="E427" s="181"/>
      <c r="F427" s="181"/>
      <c r="G427" s="181"/>
      <c r="H427" s="181"/>
      <c r="I427" s="181"/>
      <c r="J427" s="181"/>
      <c r="K427" s="181"/>
      <c r="L427" s="181"/>
      <c r="M427" s="181"/>
      <c r="N427" s="181"/>
    </row>
    <row r="428" spans="2:14" s="196" customFormat="1" x14ac:dyDescent="0.15">
      <c r="B428" s="182"/>
      <c r="C428" s="181"/>
      <c r="D428" s="181"/>
      <c r="E428" s="181"/>
      <c r="F428" s="181"/>
      <c r="G428" s="181"/>
      <c r="H428" s="181"/>
      <c r="I428" s="181"/>
      <c r="J428" s="181"/>
      <c r="K428" s="181"/>
      <c r="L428" s="181"/>
      <c r="M428" s="181"/>
      <c r="N428" s="181"/>
    </row>
    <row r="429" spans="2:14" s="196" customFormat="1" x14ac:dyDescent="0.15">
      <c r="B429" s="182"/>
      <c r="C429" s="181"/>
      <c r="D429" s="181"/>
      <c r="E429" s="181"/>
      <c r="F429" s="181"/>
      <c r="G429" s="181"/>
      <c r="H429" s="181"/>
      <c r="I429" s="181"/>
      <c r="J429" s="181"/>
      <c r="K429" s="181"/>
      <c r="L429" s="181"/>
      <c r="M429" s="181"/>
      <c r="N429" s="181"/>
    </row>
    <row r="430" spans="2:14" s="196" customFormat="1" x14ac:dyDescent="0.15">
      <c r="B430" s="197"/>
      <c r="C430" s="188"/>
      <c r="D430" s="188"/>
      <c r="E430" s="188"/>
      <c r="F430" s="188"/>
      <c r="G430" s="188"/>
      <c r="H430" s="188"/>
      <c r="I430" s="188"/>
      <c r="J430" s="188"/>
      <c r="K430" s="188"/>
      <c r="L430" s="188"/>
      <c r="M430" s="188"/>
      <c r="N430" s="188"/>
    </row>
    <row r="431" spans="2:14" s="196" customFormat="1" x14ac:dyDescent="0.15">
      <c r="B431" s="197"/>
      <c r="C431" s="188"/>
      <c r="D431" s="188"/>
      <c r="E431" s="188"/>
      <c r="F431" s="188"/>
      <c r="G431" s="188"/>
      <c r="H431" s="188"/>
      <c r="I431" s="188"/>
      <c r="J431" s="188"/>
      <c r="K431" s="188"/>
      <c r="L431" s="188"/>
      <c r="M431" s="188"/>
      <c r="N431" s="188"/>
    </row>
  </sheetData>
  <mergeCells count="10">
    <mergeCell ref="B2:Q2"/>
    <mergeCell ref="B3:Q3"/>
    <mergeCell ref="C5:P5"/>
    <mergeCell ref="Q5:Q6"/>
    <mergeCell ref="B1:Q1"/>
    <mergeCell ref="X4:Z4"/>
    <mergeCell ref="S5:S6"/>
    <mergeCell ref="U5:U6"/>
    <mergeCell ref="W5:W6"/>
    <mergeCell ref="Z5:Z6"/>
  </mergeCells>
  <phoneticPr fontId="0" type="noConversion"/>
  <conditionalFormatting sqref="I7:J34 I36:J82 I84:J169 O7:O169">
    <cfRule type="cellIs" dxfId="232" priority="34" stopIfTrue="1" operator="greaterThan">
      <formula>30</formula>
    </cfRule>
    <cfRule type="cellIs" dxfId="231" priority="35" stopIfTrue="1" operator="between">
      <formula>0.1</formula>
      <formula>10</formula>
    </cfRule>
    <cfRule type="cellIs" dxfId="230" priority="36" stopIfTrue="1" operator="lessThan">
      <formula>0.1</formula>
    </cfRule>
  </conditionalFormatting>
  <conditionalFormatting sqref="P7:P169">
    <cfRule type="containsBlanks" priority="33" stopIfTrue="1">
      <formula>LEN(TRIM(P7))=0</formula>
    </cfRule>
    <cfRule type="cellIs" dxfId="229" priority="38" stopIfTrue="1" operator="greaterThan">
      <formula>40</formula>
    </cfRule>
  </conditionalFormatting>
  <conditionalFormatting sqref="C7:C34 C36:C82 C84:C169">
    <cfRule type="cellIs" dxfId="228" priority="30" stopIfTrue="1" operator="greaterThan">
      <formula>30</formula>
    </cfRule>
    <cfRule type="cellIs" dxfId="227" priority="31" stopIfTrue="1" operator="between">
      <formula>0.1</formula>
      <formula>10</formula>
    </cfRule>
    <cfRule type="cellIs" dxfId="226" priority="32" stopIfTrue="1" operator="lessThan">
      <formula>0.1</formula>
    </cfRule>
  </conditionalFormatting>
  <conditionalFormatting sqref="D7:D34 D36:D82 D84:D169">
    <cfRule type="cellIs" dxfId="225" priority="27" stopIfTrue="1" operator="greaterThan">
      <formula>30</formula>
    </cfRule>
    <cfRule type="cellIs" dxfId="224" priority="28" stopIfTrue="1" operator="between">
      <formula>0.1</formula>
      <formula>10</formula>
    </cfRule>
    <cfRule type="cellIs" dxfId="223" priority="29" stopIfTrue="1" operator="lessThan">
      <formula>0.1</formula>
    </cfRule>
  </conditionalFormatting>
  <conditionalFormatting sqref="E7:E34 E36:E82 E84:E169">
    <cfRule type="cellIs" dxfId="222" priority="24" stopIfTrue="1" operator="greaterThan">
      <formula>30</formula>
    </cfRule>
    <cfRule type="cellIs" dxfId="221" priority="25" stopIfTrue="1" operator="between">
      <formula>0.1</formula>
      <formula>10</formula>
    </cfRule>
    <cfRule type="cellIs" dxfId="220" priority="26" stopIfTrue="1" operator="lessThan">
      <formula>0.1</formula>
    </cfRule>
  </conditionalFormatting>
  <conditionalFormatting sqref="F7:F34 F36:F82 F84:F169">
    <cfRule type="cellIs" dxfId="219" priority="21" stopIfTrue="1" operator="greaterThan">
      <formula>30</formula>
    </cfRule>
    <cfRule type="cellIs" dxfId="218" priority="22" stopIfTrue="1" operator="between">
      <formula>0.1</formula>
      <formula>10</formula>
    </cfRule>
    <cfRule type="cellIs" dxfId="217" priority="23" stopIfTrue="1" operator="lessThan">
      <formula>0.1</formula>
    </cfRule>
  </conditionalFormatting>
  <conditionalFormatting sqref="G7:G34 G36:G82 G84:G169">
    <cfRule type="cellIs" dxfId="216" priority="18" stopIfTrue="1" operator="greaterThan">
      <formula>30</formula>
    </cfRule>
    <cfRule type="cellIs" dxfId="215" priority="19" stopIfTrue="1" operator="between">
      <formula>0.1</formula>
      <formula>10</formula>
    </cfRule>
    <cfRule type="cellIs" dxfId="214" priority="20" stopIfTrue="1" operator="lessThan">
      <formula>0.1</formula>
    </cfRule>
  </conditionalFormatting>
  <conditionalFormatting sqref="H7:H34 H36:H82 H84:H169">
    <cfRule type="cellIs" dxfId="213" priority="15" stopIfTrue="1" operator="greaterThan">
      <formula>30</formula>
    </cfRule>
    <cfRule type="cellIs" dxfId="212" priority="16" stopIfTrue="1" operator="between">
      <formula>0.1</formula>
      <formula>10</formula>
    </cfRule>
    <cfRule type="cellIs" dxfId="211" priority="17" stopIfTrue="1" operator="lessThan">
      <formula>0.1</formula>
    </cfRule>
  </conditionalFormatting>
  <conditionalFormatting sqref="K7:K34 K36:K81 K83:K169">
    <cfRule type="cellIs" dxfId="210" priority="12" stopIfTrue="1" operator="greaterThan">
      <formula>30</formula>
    </cfRule>
    <cfRule type="cellIs" dxfId="209" priority="13" stopIfTrue="1" operator="between">
      <formula>0.1</formula>
      <formula>10</formula>
    </cfRule>
    <cfRule type="cellIs" dxfId="208" priority="14" stopIfTrue="1" operator="lessThan">
      <formula>0.1</formula>
    </cfRule>
  </conditionalFormatting>
  <conditionalFormatting sqref="L7:L34 L36:L81 L83:L169">
    <cfRule type="cellIs" dxfId="207" priority="9" stopIfTrue="1" operator="greaterThan">
      <formula>30</formula>
    </cfRule>
    <cfRule type="cellIs" dxfId="206" priority="10" stopIfTrue="1" operator="between">
      <formula>0.1</formula>
      <formula>10</formula>
    </cfRule>
    <cfRule type="cellIs" dxfId="205" priority="11" stopIfTrue="1" operator="lessThan">
      <formula>0.1</formula>
    </cfRule>
  </conditionalFormatting>
  <conditionalFormatting sqref="M7:M33 M35:M81 M83:M169">
    <cfRule type="cellIs" dxfId="204" priority="6" stopIfTrue="1" operator="greaterThan">
      <formula>30</formula>
    </cfRule>
    <cfRule type="cellIs" dxfId="203" priority="7" stopIfTrue="1" operator="between">
      <formula>0.1</formula>
      <formula>10</formula>
    </cfRule>
    <cfRule type="cellIs" dxfId="202" priority="8" stopIfTrue="1" operator="lessThan">
      <formula>0.1</formula>
    </cfRule>
  </conditionalFormatting>
  <conditionalFormatting sqref="N7:N33 N35:N81 N83:N169">
    <cfRule type="cellIs" dxfId="201" priority="3" stopIfTrue="1" operator="greaterThan">
      <formula>30</formula>
    </cfRule>
    <cfRule type="cellIs" dxfId="200" priority="4" stopIfTrue="1" operator="between">
      <formula>0.1</formula>
      <formula>10</formula>
    </cfRule>
    <cfRule type="cellIs" dxfId="199" priority="5" stopIfTrue="1" operator="lessThan">
      <formula>0.1</formula>
    </cfRule>
  </conditionalFormatting>
  <conditionalFormatting sqref="Q7:Q169 S7:S169 U7:U169 W7:W169">
    <cfRule type="cellIs" dxfId="198" priority="1" stopIfTrue="1" operator="lessThan">
      <formula>0.5</formula>
    </cfRule>
  </conditionalFormatting>
  <conditionalFormatting sqref="W7:W169 U7:U169 S7:S169 Q7:Q169">
    <cfRule type="cellIs" dxfId="197" priority="2" stopIfTrue="1" operator="lessThan">
      <formula>0.75</formula>
    </cfRule>
  </conditionalFormatting>
  <pageMargins left="0.7" right="0.7" top="0.75" bottom="0.75" header="0.3" footer="0.3"/>
  <pageSetup orientation="portrait" horizontalDpi="300" verticalDpi="0" r:id="rId1"/>
  <headerFooter>
    <oddHeader>&amp;L&amp;16&amp;F&amp;R&amp;G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B1:AJ424"/>
  <sheetViews>
    <sheetView zoomScaleNormal="100" workbookViewId="0">
      <pane xSplit="2" ySplit="6" topLeftCell="G148" activePane="bottomRight" state="frozen"/>
      <selection activeCell="J145" sqref="J145"/>
      <selection pane="topRight" activeCell="J145" sqref="J145"/>
      <selection pane="bottomLeft" activeCell="J145" sqref="J145"/>
      <selection pane="bottomRight" activeCell="O10" sqref="O10"/>
    </sheetView>
  </sheetViews>
  <sheetFormatPr defaultColWidth="9.140625" defaultRowHeight="10.5" x14ac:dyDescent="0.15"/>
  <cols>
    <col min="1" max="1" width="9.140625" style="230"/>
    <col min="2" max="2" width="15.7109375" style="248" customWidth="1"/>
    <col min="3" max="14" width="15.7109375" style="230" customWidth="1"/>
    <col min="15" max="17" width="15.7109375" style="247" customWidth="1"/>
    <col min="18" max="19" width="11.7109375" style="203" customWidth="1"/>
    <col min="20" max="20" width="11.7109375" style="204" customWidth="1"/>
    <col min="21" max="25" width="11.7109375" style="205" customWidth="1"/>
    <col min="26" max="26" width="11.7109375" style="39" customWidth="1"/>
    <col min="27" max="27" width="10.7109375" style="39" customWidth="1"/>
    <col min="28" max="28" width="21" style="39" bestFit="1" customWidth="1"/>
    <col min="29" max="29" width="10.7109375" style="39" customWidth="1"/>
    <col min="30" max="31" width="9.140625" style="230"/>
    <col min="32" max="32" width="12.42578125" style="39" bestFit="1" customWidth="1"/>
    <col min="33" max="35" width="9.140625" style="39"/>
    <col min="36" max="16384" width="9.140625" style="230"/>
  </cols>
  <sheetData>
    <row r="1" spans="2:35" s="206" customFormat="1" ht="18" customHeight="1" thickTop="1" x14ac:dyDescent="0.15">
      <c r="B1" s="436" t="s">
        <v>448</v>
      </c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8"/>
      <c r="R1" s="203"/>
      <c r="S1" s="203"/>
      <c r="T1" s="204"/>
      <c r="U1" s="205"/>
      <c r="V1" s="205"/>
      <c r="W1" s="205"/>
      <c r="X1" s="205"/>
      <c r="Y1" s="205"/>
      <c r="Z1" s="39"/>
      <c r="AA1" s="39"/>
      <c r="AB1" s="39"/>
      <c r="AC1" s="39"/>
      <c r="AF1" s="39"/>
      <c r="AG1" s="39"/>
      <c r="AH1" s="39"/>
      <c r="AI1" s="39"/>
    </row>
    <row r="2" spans="2:35" s="206" customFormat="1" ht="18" customHeight="1" x14ac:dyDescent="0.15">
      <c r="B2" s="439" t="s">
        <v>449</v>
      </c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1"/>
      <c r="R2" s="207"/>
      <c r="S2" s="207"/>
      <c r="T2" s="208"/>
      <c r="U2" s="209"/>
      <c r="V2" s="209"/>
      <c r="W2" s="209"/>
      <c r="X2" s="210"/>
      <c r="Y2" s="209"/>
      <c r="Z2" s="31"/>
      <c r="AA2" s="31"/>
      <c r="AB2" s="93"/>
      <c r="AC2" s="93"/>
      <c r="AF2" s="93"/>
      <c r="AG2" s="93"/>
      <c r="AH2" s="93"/>
      <c r="AI2" s="31"/>
    </row>
    <row r="3" spans="2:35" s="206" customFormat="1" ht="18" customHeight="1" thickBot="1" x14ac:dyDescent="0.2">
      <c r="B3" s="442" t="s">
        <v>539</v>
      </c>
      <c r="C3" s="443"/>
      <c r="D3" s="443"/>
      <c r="E3" s="443"/>
      <c r="F3" s="443"/>
      <c r="G3" s="443"/>
      <c r="H3" s="443"/>
      <c r="I3" s="443"/>
      <c r="J3" s="443"/>
      <c r="K3" s="443"/>
      <c r="L3" s="443"/>
      <c r="M3" s="443"/>
      <c r="N3" s="443"/>
      <c r="O3" s="443"/>
      <c r="P3" s="443"/>
      <c r="Q3" s="444"/>
      <c r="R3" s="207"/>
      <c r="S3" s="207"/>
      <c r="T3" s="208"/>
      <c r="U3" s="209"/>
      <c r="V3" s="209"/>
      <c r="W3" s="209"/>
      <c r="X3" s="209"/>
      <c r="Y3" s="209"/>
      <c r="Z3" s="31"/>
      <c r="AA3" s="31"/>
      <c r="AB3" s="93"/>
      <c r="AC3" s="93"/>
      <c r="AF3" s="93"/>
      <c r="AG3" s="93"/>
      <c r="AH3" s="93"/>
      <c r="AI3" s="31"/>
    </row>
    <row r="4" spans="2:35" s="206" customFormat="1" ht="12" thickTop="1" thickBot="1" x14ac:dyDescent="0.2">
      <c r="B4" s="211"/>
      <c r="O4" s="212"/>
      <c r="P4" s="212"/>
      <c r="Q4" s="212"/>
      <c r="R4" s="204" t="s">
        <v>497</v>
      </c>
      <c r="S4" s="204"/>
      <c r="T4" s="204" t="s">
        <v>498</v>
      </c>
      <c r="U4" s="205"/>
      <c r="V4" s="205"/>
      <c r="W4" s="205"/>
      <c r="X4" s="416" t="s">
        <v>508</v>
      </c>
      <c r="Y4" s="416"/>
      <c r="Z4" s="416"/>
      <c r="AA4" s="105"/>
      <c r="AB4" s="31"/>
      <c r="AC4" s="31"/>
      <c r="AF4" s="31"/>
      <c r="AG4" s="31"/>
      <c r="AH4" s="31"/>
      <c r="AI4" s="31"/>
    </row>
    <row r="5" spans="2:35" s="206" customFormat="1" ht="12" thickTop="1" thickBot="1" x14ac:dyDescent="0.2">
      <c r="B5" s="213"/>
      <c r="C5" s="445" t="s">
        <v>451</v>
      </c>
      <c r="D5" s="445"/>
      <c r="E5" s="445"/>
      <c r="F5" s="445"/>
      <c r="G5" s="445"/>
      <c r="H5" s="445"/>
      <c r="I5" s="445"/>
      <c r="J5" s="445"/>
      <c r="K5" s="445"/>
      <c r="L5" s="445"/>
      <c r="M5" s="445"/>
      <c r="N5" s="445"/>
      <c r="O5" s="445"/>
      <c r="P5" s="446"/>
      <c r="Q5" s="447" t="s">
        <v>452</v>
      </c>
      <c r="R5" s="214" t="s">
        <v>461</v>
      </c>
      <c r="S5" s="421" t="s">
        <v>452</v>
      </c>
      <c r="T5" s="214" t="s">
        <v>460</v>
      </c>
      <c r="U5" s="421" t="s">
        <v>452</v>
      </c>
      <c r="V5" s="215" t="s">
        <v>494</v>
      </c>
      <c r="W5" s="421" t="s">
        <v>452</v>
      </c>
      <c r="X5" s="214" t="s">
        <v>461</v>
      </c>
      <c r="Y5" s="214" t="s">
        <v>460</v>
      </c>
      <c r="Z5" s="421" t="s">
        <v>509</v>
      </c>
      <c r="AA5" s="107"/>
      <c r="AB5" s="95"/>
      <c r="AC5" s="96"/>
      <c r="AD5" s="96"/>
      <c r="AE5" s="96"/>
      <c r="AF5" s="96"/>
      <c r="AG5" s="96"/>
      <c r="AH5" s="96"/>
      <c r="AI5" s="97"/>
    </row>
    <row r="6" spans="2:35" s="206" customFormat="1" ht="14.25" customHeight="1" thickTop="1" x14ac:dyDescent="0.15">
      <c r="B6" s="216" t="s">
        <v>453</v>
      </c>
      <c r="C6" s="217">
        <v>42736</v>
      </c>
      <c r="D6" s="217">
        <v>42767</v>
      </c>
      <c r="E6" s="217">
        <v>42795</v>
      </c>
      <c r="F6" s="217">
        <v>42826</v>
      </c>
      <c r="G6" s="217">
        <v>42856</v>
      </c>
      <c r="H6" s="217">
        <v>42887</v>
      </c>
      <c r="I6" s="217">
        <v>42917</v>
      </c>
      <c r="J6" s="217">
        <v>42948</v>
      </c>
      <c r="K6" s="217">
        <v>42979</v>
      </c>
      <c r="L6" s="217">
        <v>43009</v>
      </c>
      <c r="M6" s="217">
        <v>43040</v>
      </c>
      <c r="N6" s="217">
        <v>43070</v>
      </c>
      <c r="O6" s="218" t="s">
        <v>454</v>
      </c>
      <c r="P6" s="218" t="s">
        <v>484</v>
      </c>
      <c r="Q6" s="448"/>
      <c r="R6" s="219" t="s">
        <v>454</v>
      </c>
      <c r="S6" s="422"/>
      <c r="T6" s="219" t="s">
        <v>454</v>
      </c>
      <c r="U6" s="422"/>
      <c r="V6" s="220" t="s">
        <v>454</v>
      </c>
      <c r="W6" s="422"/>
      <c r="X6" s="219" t="s">
        <v>454</v>
      </c>
      <c r="Y6" s="219" t="s">
        <v>454</v>
      </c>
      <c r="Z6" s="422"/>
      <c r="AA6" s="31"/>
      <c r="AB6" s="98" t="s">
        <v>166</v>
      </c>
      <c r="AC6" s="34" t="s">
        <v>476</v>
      </c>
      <c r="AD6" s="34" t="s">
        <v>1087</v>
      </c>
      <c r="AE6" s="34" t="s">
        <v>1088</v>
      </c>
      <c r="AF6" s="34" t="s">
        <v>472</v>
      </c>
      <c r="AG6" s="34" t="s">
        <v>474</v>
      </c>
      <c r="AH6" s="34" t="s">
        <v>473</v>
      </c>
      <c r="AI6" s="99" t="s">
        <v>475</v>
      </c>
    </row>
    <row r="7" spans="2:35" ht="12" customHeight="1" x14ac:dyDescent="0.15">
      <c r="B7" s="221" t="s">
        <v>989</v>
      </c>
      <c r="C7" s="222">
        <v>13</v>
      </c>
      <c r="D7" s="222">
        <v>13.1</v>
      </c>
      <c r="E7" s="222">
        <v>15.8</v>
      </c>
      <c r="F7" s="222">
        <v>14.6</v>
      </c>
      <c r="G7" s="222">
        <v>18.5</v>
      </c>
      <c r="H7" s="222">
        <v>21.8</v>
      </c>
      <c r="I7" s="222">
        <v>19.3</v>
      </c>
      <c r="J7" s="222">
        <v>16.600000000000001</v>
      </c>
      <c r="K7" s="222">
        <v>12</v>
      </c>
      <c r="L7" s="222">
        <v>11.9</v>
      </c>
      <c r="M7" s="222">
        <v>14.7</v>
      </c>
      <c r="N7" s="222">
        <v>9.5</v>
      </c>
      <c r="O7" s="223">
        <f>(AVERAGE(C7:N7))</f>
        <v>15.066666666666665</v>
      </c>
      <c r="P7" s="223">
        <f>IFERROR((STDEVP(C7:N7)/O7)*100,"")</f>
        <v>22.413480855289706</v>
      </c>
      <c r="Q7" s="224">
        <f>COUNT(C7:N7)/COUNT($C$6:$N$6)</f>
        <v>1</v>
      </c>
      <c r="R7" s="225">
        <f>IF($S7=0%,"",IF($S7&gt;66%,AVERAGE($C7:$E7),"-"))</f>
        <v>13.966666666666669</v>
      </c>
      <c r="S7" s="226">
        <f>COUNT(C7:E7)/3</f>
        <v>1</v>
      </c>
      <c r="T7" s="225">
        <f>IF($U7=0%,"",IF($U7&gt;66%,AVERAGE($I7:$K7),"-"))</f>
        <v>15.966666666666669</v>
      </c>
      <c r="U7" s="226">
        <f>COUNT(I7:K7)/3</f>
        <v>1</v>
      </c>
      <c r="V7" s="227">
        <f>IF(AND(($S7&gt;33%),($U7&gt;33%),($W7&gt;=75%)),AVERAGE($C7:$N7),"-")</f>
        <v>15.066666666666665</v>
      </c>
      <c r="W7" s="228">
        <f>Q7</f>
        <v>1</v>
      </c>
      <c r="X7" s="144">
        <f>IF(VLOOKUP($B7,$AC$6:$AI$162,3,FALSE)="",$R7,IF(ISERROR(AVERAGEIF($AD$6:$AD$162,VLOOKUP($B7,$AC$6:$AI$162,2,FALSE),$R$6:$R$162)),"",AVERAGEIF($AD$6:$AD$162,VLOOKUP($B7,$AC$6:$AI$162,2,FALSE),$R$6:$R$162)))</f>
        <v>13.966666666666669</v>
      </c>
      <c r="Y7" s="144">
        <f>IF(VLOOKUP($B7,$AC$6:$AI$162,3,FALSE)="",$T7,IF(ISERROR(AVERAGEIF($AD$6:$AD$162,VLOOKUP($B7,$AC$6:$AI$162,2,FALSE),$T$6:$T$162)),"",AVERAGEIF($AD$6:$AD$162,VLOOKUP($B7,$AC$6:$AI$162,2,FALSE),$T$6:$T$162)))</f>
        <v>15.966666666666669</v>
      </c>
      <c r="Z7" s="144">
        <f>IF(VLOOKUP($B7,$AC$6:$AI$162,3,FALSE)="",$V7,IF(ISERROR(AVERAGEIF($AD$6:$AD$162,VLOOKUP($B7,$AC$6:$AI$162,2,FALSE),$V$6:$V$162)),"",AVERAGEIF($AD$6:$AD$162,VLOOKUP($B7,$AC$6:$AI$162,2,FALSE),$V$6:$V$162)))</f>
        <v>15.066666666666665</v>
      </c>
      <c r="AA7" s="205"/>
      <c r="AB7" s="100" t="str">
        <f>VLOOKUP($B7,'2007-2020 Metadata'!$A$4:$S$214,MATCH("Urban Area /Monitoring Zone",'2007-2020 Metadata'!$A$4:$S$4,0),FALSE)</f>
        <v>Auckland - Northern</v>
      </c>
      <c r="AC7" s="229" t="str">
        <f>VLOOKUP(B7,'2007-2020 Metadata'!$A$6:$A$214,1,FALSE)</f>
        <v>AUC004a</v>
      </c>
      <c r="AD7" s="230" t="str">
        <f>VLOOKUP($AC7,'2007-2020 Metadata'!$A$6:$S$214,9,FALSE)</f>
        <v>Rodney</v>
      </c>
      <c r="AE7" s="230" t="str">
        <f>IF(ISBLANK(VLOOKUP($AC7,'2007-2020 Metadata'!$A$6:$S$214,19,FALSE)),"",VLOOKUP($AC7,'2007-2020 Metadata'!$A$6:$S$214,19,FALSE))</f>
        <v/>
      </c>
      <c r="AF7" s="88" t="str">
        <f>VLOOKUP($B7,'2007-2020 Metadata'!$A$4:$S$214,MATCH("Site type",'2007-2020 Metadata'!$A$4:$S$4,0),FALSE)</f>
        <v>Local (ex SH)</v>
      </c>
      <c r="AG7" s="143">
        <f>MIN(C7:N7)</f>
        <v>9.5</v>
      </c>
      <c r="AH7" s="143">
        <f>MAX(C7:N7)</f>
        <v>21.8</v>
      </c>
      <c r="AI7" s="144">
        <f>IF(W7&gt;=75%,Z7," ")</f>
        <v>15.066666666666665</v>
      </c>
    </row>
    <row r="8" spans="2:35" ht="12" customHeight="1" x14ac:dyDescent="0.15">
      <c r="B8" s="231" t="s">
        <v>4</v>
      </c>
      <c r="C8" s="222">
        <v>27.5</v>
      </c>
      <c r="D8" s="222">
        <v>34.5</v>
      </c>
      <c r="E8" s="222">
        <v>30.7</v>
      </c>
      <c r="F8" s="222">
        <v>35</v>
      </c>
      <c r="G8" s="222">
        <v>38.200000000000003</v>
      </c>
      <c r="H8" s="222">
        <v>34.5</v>
      </c>
      <c r="I8" s="222">
        <v>45.4</v>
      </c>
      <c r="J8" s="222">
        <v>31.6</v>
      </c>
      <c r="K8" s="222">
        <v>34.5</v>
      </c>
      <c r="L8" s="222">
        <v>31.8</v>
      </c>
      <c r="M8" s="222">
        <v>32.4</v>
      </c>
      <c r="N8" s="222">
        <v>28.3</v>
      </c>
      <c r="O8" s="223">
        <f t="shared" ref="O8:O75" si="0">(AVERAGE(C8:N8))</f>
        <v>33.700000000000003</v>
      </c>
      <c r="P8" s="223">
        <f t="shared" ref="P8:P75" si="1">IFERROR((STDEVP(C8:N8)/O8)*100,"")</f>
        <v>13.464204356817982</v>
      </c>
      <c r="Q8" s="224">
        <f t="shared" ref="Q8:Q75" si="2">COUNT(C8:N8)/COUNT($C$6:$N$6)</f>
        <v>1</v>
      </c>
      <c r="R8" s="225">
        <f>IF($S8=0%,"",IF($S8&gt;66%,AVERAGE($C8:$E8),"-"))</f>
        <v>30.900000000000002</v>
      </c>
      <c r="S8" s="226">
        <f t="shared" ref="S8:S75" si="3">COUNT(C8:E8)/3</f>
        <v>1</v>
      </c>
      <c r="T8" s="225">
        <f>IF($U8=0%,"",IF($U8&gt;66%,AVERAGE($I8:$K8),"-"))</f>
        <v>37.166666666666664</v>
      </c>
      <c r="U8" s="226">
        <f t="shared" ref="U8:U75" si="4">COUNT(I8:K8)/3</f>
        <v>1</v>
      </c>
      <c r="V8" s="227">
        <f>IF(AND(($S8&gt;33%),($U8&gt;33%),($W8&gt;=75%)),AVERAGE($C8:$N8),"-")</f>
        <v>33.700000000000003</v>
      </c>
      <c r="W8" s="228">
        <f t="shared" ref="W8:W75" si="5">Q8</f>
        <v>1</v>
      </c>
      <c r="X8" s="144">
        <f t="shared" ref="X8:X75" si="6">IF(VLOOKUP($B8,$AC$6:$AI$162,3,FALSE)="",$R8,IF(ISERROR(AVERAGEIF($AD$6:$AD$162,VLOOKUP($B8,$AC$6:$AI$162,2,FALSE),$R$6:$R$162)),"",AVERAGEIF($AD$6:$AD$162,VLOOKUP($B8,$AC$6:$AI$162,2,FALSE),$R$6:$R$162)))</f>
        <v>22.27</v>
      </c>
      <c r="Y8" s="144">
        <f t="shared" ref="Y8:Y75" si="7">IF(VLOOKUP($B8,$AC$6:$AI$162,3,FALSE)="",$T8,IF(ISERROR(AVERAGEIF($AD$6:$AD$162,VLOOKUP($B8,$AC$6:$AI$162,2,FALSE),$T$6:$T$162)),"",AVERAGEIF($AD$6:$AD$162,VLOOKUP($B8,$AC$6:$AI$162,2,FALSE),$T$6:$T$162)))</f>
        <v>30.875757575757575</v>
      </c>
      <c r="Z8" s="144">
        <f>IF(VLOOKUP($B8,$AC$6:$AI$162,3,FALSE)="",$V8,IF(ISERROR(AVERAGEIF($AD$6:$AD$162,VLOOKUP($B8,$AC$6:$AI$162,2,FALSE),$V$6:$V$162)),"",AVERAGEIF($AD$6:$AD$162,VLOOKUP($B8,$AC$6:$AI$162,2,FALSE),$V$6:$V$162)))</f>
        <v>26.595833333333331</v>
      </c>
      <c r="AA8" s="205"/>
      <c r="AB8" s="357" t="str">
        <f>VLOOKUP($B8,'2007-2020 Metadata'!$A$4:$S$214,MATCH("Urban Area /Monitoring Zone",'2007-2020 Metadata'!$A$4:$S$4,0),FALSE)</f>
        <v>Auckland - Northern</v>
      </c>
      <c r="AC8" s="229" t="str">
        <f>VLOOKUP(B8,'2007-2020 Metadata'!$A$6:$A$214,1,FALSE)</f>
        <v>AUC005</v>
      </c>
      <c r="AD8" s="230" t="str">
        <f>VLOOKUP($AC8,'2007-2020 Metadata'!$A$6:$S$214,9,FALSE)</f>
        <v xml:space="preserve">North Shore </v>
      </c>
      <c r="AE8" s="230">
        <f>IF(ISBLANK(VLOOKUP($AC8,'2007-2020 Metadata'!$A$6:$S$214,19,FALSE)),"",VLOOKUP($AC8,'2007-2020 Metadata'!$A$6:$S$214,19,FALSE))</f>
        <v>2.1</v>
      </c>
      <c r="AF8" s="88" t="str">
        <f>VLOOKUP($B8,'2007-2020 Metadata'!$A$4:$S$214,MATCH("Site type",'2007-2020 Metadata'!$A$4:$S$4,0),FALSE)</f>
        <v>Local</v>
      </c>
      <c r="AG8" s="143">
        <f t="shared" ref="AG8:AG75" si="8">MIN(C8:N8)</f>
        <v>27.5</v>
      </c>
      <c r="AH8" s="143">
        <f t="shared" ref="AH8:AH75" si="9">MAX(C8:N8)</f>
        <v>45.4</v>
      </c>
      <c r="AI8" s="144">
        <f t="shared" ref="AI8:AI75" si="10">IF(W8&gt;=75%,Z8," ")</f>
        <v>26.595833333333331</v>
      </c>
    </row>
    <row r="9" spans="2:35" ht="12" customHeight="1" x14ac:dyDescent="0.15">
      <c r="B9" s="231" t="s">
        <v>6</v>
      </c>
      <c r="C9" s="222">
        <v>14</v>
      </c>
      <c r="D9" s="222">
        <v>28.2</v>
      </c>
      <c r="E9" s="222">
        <v>25.6</v>
      </c>
      <c r="F9" s="222">
        <v>32.4</v>
      </c>
      <c r="G9" s="222">
        <v>30.4</v>
      </c>
      <c r="H9" s="222">
        <v>29.3</v>
      </c>
      <c r="I9" s="222">
        <v>31.1</v>
      </c>
      <c r="J9" s="222">
        <v>27.5</v>
      </c>
      <c r="K9" s="222">
        <v>15.2</v>
      </c>
      <c r="L9" s="222">
        <v>19.2</v>
      </c>
      <c r="M9" s="222">
        <v>35.4</v>
      </c>
      <c r="N9" s="222">
        <v>12.9</v>
      </c>
      <c r="O9" s="223">
        <f t="shared" si="0"/>
        <v>25.099999999999998</v>
      </c>
      <c r="P9" s="223">
        <f t="shared" si="1"/>
        <v>29.582399908801726</v>
      </c>
      <c r="Q9" s="224">
        <f t="shared" si="2"/>
        <v>1</v>
      </c>
      <c r="R9" s="225">
        <f>IF($S9=0%,"",IF($S9&gt;66%,AVERAGE($C9:$E9),"-"))</f>
        <v>22.600000000000005</v>
      </c>
      <c r="S9" s="226">
        <f t="shared" si="3"/>
        <v>1</v>
      </c>
      <c r="T9" s="225">
        <f>IF($U9=0%,"",IF($U9&gt;66%,AVERAGE($I9:$K9),"-"))</f>
        <v>24.599999999999998</v>
      </c>
      <c r="U9" s="226">
        <f t="shared" si="4"/>
        <v>1</v>
      </c>
      <c r="V9" s="227">
        <f>IF(AND(($S9&gt;33%),($U9&gt;33%),($W9&gt;=75%)),AVERAGE($C9:$N9),"-")</f>
        <v>25.099999999999998</v>
      </c>
      <c r="W9" s="228">
        <f t="shared" si="5"/>
        <v>1</v>
      </c>
      <c r="X9" s="144">
        <f t="shared" si="6"/>
        <v>22.27</v>
      </c>
      <c r="Y9" s="144">
        <f t="shared" si="7"/>
        <v>30.875757575757575</v>
      </c>
      <c r="Z9" s="144">
        <f t="shared" ref="Z9:Z75" si="11">IF(VLOOKUP($B9,$AC$6:$AI$162,3,FALSE)="",$V9,IF(ISERROR(AVERAGEIF($AD$6:$AD$162,VLOOKUP($B9,$AC$6:$AI$162,2,FALSE),$V$6:$V$162)),"",AVERAGEIF($AD$6:$AD$162,VLOOKUP($B9,$AC$6:$AI$162,2,FALSE),$V$6:$V$162)))</f>
        <v>26.595833333333331</v>
      </c>
      <c r="AA9" s="205"/>
      <c r="AB9" s="357" t="str">
        <f>VLOOKUP($B9,'2007-2020 Metadata'!$A$4:$S$214,MATCH("Urban Area /Monitoring Zone",'2007-2020 Metadata'!$A$4:$S$4,0),FALSE)</f>
        <v>Auckland - Northern</v>
      </c>
      <c r="AC9" s="229" t="str">
        <f>VLOOKUP(B9,'2007-2020 Metadata'!$A$6:$A$214,1,FALSE)</f>
        <v>AUC007</v>
      </c>
      <c r="AD9" s="230" t="str">
        <f>VLOOKUP($AC9,'2007-2020 Metadata'!$A$6:$S$214,9,FALSE)</f>
        <v xml:space="preserve">North Shore </v>
      </c>
      <c r="AE9" s="230">
        <f>IF(ISBLANK(VLOOKUP($AC9,'2007-2020 Metadata'!$A$6:$S$214,19,FALSE)),"",VLOOKUP($AC9,'2007-2020 Metadata'!$A$6:$S$214,19,FALSE))</f>
        <v>3</v>
      </c>
      <c r="AF9" s="88" t="str">
        <f>VLOOKUP($B9,'2007-2020 Metadata'!$A$4:$S$214,MATCH("Site type",'2007-2020 Metadata'!$A$4:$S$4,0),FALSE)</f>
        <v>SH</v>
      </c>
      <c r="AG9" s="143">
        <f t="shared" si="8"/>
        <v>12.9</v>
      </c>
      <c r="AH9" s="143">
        <f t="shared" si="9"/>
        <v>35.4</v>
      </c>
      <c r="AI9" s="144">
        <f t="shared" si="10"/>
        <v>26.595833333333331</v>
      </c>
    </row>
    <row r="10" spans="2:35" ht="12" customHeight="1" x14ac:dyDescent="0.15">
      <c r="B10" s="231" t="s">
        <v>7</v>
      </c>
      <c r="C10" s="222">
        <v>10.3</v>
      </c>
      <c r="D10" s="222">
        <v>26.5</v>
      </c>
      <c r="E10" s="222">
        <v>27</v>
      </c>
      <c r="F10" s="222">
        <v>29.8</v>
      </c>
      <c r="G10" s="222">
        <v>31.5</v>
      </c>
      <c r="H10" s="222">
        <v>32.700000000000003</v>
      </c>
      <c r="I10" s="222">
        <v>30.5</v>
      </c>
      <c r="J10" s="222">
        <v>31.1</v>
      </c>
      <c r="K10" s="222">
        <v>13.5</v>
      </c>
      <c r="L10" s="222">
        <v>19.899999999999999</v>
      </c>
      <c r="M10" s="222"/>
      <c r="N10" s="222">
        <v>16.100000000000001</v>
      </c>
      <c r="O10" s="223">
        <f t="shared" si="0"/>
        <v>24.445454545454549</v>
      </c>
      <c r="P10" s="223">
        <f t="shared" si="1"/>
        <v>31.408671816910577</v>
      </c>
      <c r="Q10" s="224">
        <f t="shared" si="2"/>
        <v>0.91666666666666663</v>
      </c>
      <c r="R10" s="225">
        <f t="shared" ref="R10:R77" si="12">IF($S10=0%,"",IF($S10&gt;66%,AVERAGE($C10:$E10),"-"))</f>
        <v>21.266666666666666</v>
      </c>
      <c r="S10" s="226">
        <f t="shared" si="3"/>
        <v>1</v>
      </c>
      <c r="T10" s="225">
        <f t="shared" ref="T10:T77" si="13">IF($U10=0%,"",IF($U10&gt;66%,AVERAGE($I10:$K10),"-"))</f>
        <v>25.033333333333331</v>
      </c>
      <c r="U10" s="226">
        <f t="shared" si="4"/>
        <v>1</v>
      </c>
      <c r="V10" s="227">
        <f t="shared" ref="V10:V77" si="14">IF(AND(($S10&gt;33%),($U10&gt;33%),($W10&gt;=75%)),AVERAGE($C10:$N10),"-")</f>
        <v>24.445454545454549</v>
      </c>
      <c r="W10" s="228">
        <f t="shared" si="5"/>
        <v>0.91666666666666663</v>
      </c>
      <c r="X10" s="144">
        <f t="shared" si="6"/>
        <v>25.296969696969697</v>
      </c>
      <c r="Y10" s="144">
        <f t="shared" si="7"/>
        <v>35.230303030303027</v>
      </c>
      <c r="Z10" s="144">
        <f t="shared" si="11"/>
        <v>29.7646694214876</v>
      </c>
      <c r="AA10" s="205"/>
      <c r="AB10" s="357" t="str">
        <f>VLOOKUP($B10,'2007-2020 Metadata'!$A$4:$S$214,MATCH("Urban Area /Monitoring Zone",'2007-2020 Metadata'!$A$4:$S$4,0),FALSE)</f>
        <v>Auckland - Central</v>
      </c>
      <c r="AC10" s="229" t="str">
        <f>VLOOKUP(B10,'2007-2020 Metadata'!$A$6:$A$214,1,FALSE)</f>
        <v>AUC008</v>
      </c>
      <c r="AD10" s="230" t="str">
        <f>VLOOKUP($AC10,'2007-2020 Metadata'!$A$6:$S$214,9,FALSE)</f>
        <v>Auckland</v>
      </c>
      <c r="AE10" s="230">
        <f>IF(ISBLANK(VLOOKUP($AC10,'2007-2020 Metadata'!$A$6:$S$214,19,FALSE)),"",VLOOKUP($AC10,'2007-2020 Metadata'!$A$6:$S$214,19,FALSE))</f>
        <v>3</v>
      </c>
      <c r="AF10" s="88" t="str">
        <f>VLOOKUP($B10,'2007-2020 Metadata'!$A$4:$S$214,MATCH("Site type",'2007-2020 Metadata'!$A$4:$S$4,0),FALSE)</f>
        <v>SH</v>
      </c>
      <c r="AG10" s="143">
        <f t="shared" si="8"/>
        <v>10.3</v>
      </c>
      <c r="AH10" s="143">
        <f t="shared" si="9"/>
        <v>32.700000000000003</v>
      </c>
      <c r="AI10" s="144">
        <f t="shared" si="10"/>
        <v>29.7646694214876</v>
      </c>
    </row>
    <row r="11" spans="2:35" ht="12" customHeight="1" x14ac:dyDescent="0.15">
      <c r="B11" s="231" t="s">
        <v>991</v>
      </c>
      <c r="C11" s="222">
        <v>41.8</v>
      </c>
      <c r="D11" s="222">
        <v>42.9</v>
      </c>
      <c r="E11" s="222">
        <v>49.4</v>
      </c>
      <c r="F11" s="222">
        <v>52.6</v>
      </c>
      <c r="G11" s="222">
        <v>54</v>
      </c>
      <c r="H11" s="222">
        <v>55.8</v>
      </c>
      <c r="I11" s="222">
        <v>61.2</v>
      </c>
      <c r="J11" s="222">
        <v>46.5</v>
      </c>
      <c r="K11" s="222">
        <v>51.9</v>
      </c>
      <c r="L11" s="222"/>
      <c r="M11" s="222">
        <v>41</v>
      </c>
      <c r="N11" s="222">
        <v>32.6</v>
      </c>
      <c r="O11" s="223">
        <f t="shared" si="0"/>
        <v>48.154545454545449</v>
      </c>
      <c r="P11" s="223">
        <f t="shared" si="1"/>
        <v>16.110081961165449</v>
      </c>
      <c r="Q11" s="224">
        <f t="shared" si="2"/>
        <v>0.91666666666666663</v>
      </c>
      <c r="R11" s="225">
        <f t="shared" si="12"/>
        <v>44.699999999999996</v>
      </c>
      <c r="S11" s="226">
        <f t="shared" si="3"/>
        <v>1</v>
      </c>
      <c r="T11" s="225">
        <f t="shared" si="13"/>
        <v>53.199999999999996</v>
      </c>
      <c r="U11" s="226">
        <f t="shared" si="4"/>
        <v>1</v>
      </c>
      <c r="V11" s="227">
        <f t="shared" si="14"/>
        <v>48.154545454545449</v>
      </c>
      <c r="W11" s="228">
        <f t="shared" si="5"/>
        <v>0.91666666666666663</v>
      </c>
      <c r="X11" s="144">
        <f t="shared" si="6"/>
        <v>44.699999999999996</v>
      </c>
      <c r="Y11" s="144">
        <f t="shared" si="7"/>
        <v>53.199999999999996</v>
      </c>
      <c r="Z11" s="144">
        <f t="shared" si="11"/>
        <v>48.154545454545449</v>
      </c>
      <c r="AA11" s="205"/>
      <c r="AB11" s="357" t="str">
        <f>VLOOKUP($B11,'2007-2020 Metadata'!$A$4:$S$214,MATCH("Urban Area /Monitoring Zone",'2007-2020 Metadata'!$A$4:$S$4,0),FALSE)</f>
        <v>Auckland - Central</v>
      </c>
      <c r="AC11" s="229" t="str">
        <f>VLOOKUP(B11,'2007-2020 Metadata'!$A$6:$A$214,1,FALSE)</f>
        <v>AUC009b</v>
      </c>
      <c r="AD11" s="230" t="str">
        <f>VLOOKUP($AC11,'2007-2020 Metadata'!$A$6:$S$214,9,FALSE)</f>
        <v>Auckland</v>
      </c>
      <c r="AE11" s="230" t="str">
        <f>IF(ISBLANK(VLOOKUP($AC11,'2007-2020 Metadata'!$A$6:$S$214,19,FALSE)),"",VLOOKUP($AC11,'2007-2020 Metadata'!$A$6:$S$214,19,FALSE))</f>
        <v/>
      </c>
      <c r="AF11" s="88" t="str">
        <f>VLOOKUP($B11,'2007-2020 Metadata'!$A$4:$S$214,MATCH("Site type",'2007-2020 Metadata'!$A$4:$S$4,0),FALSE)</f>
        <v>SH</v>
      </c>
      <c r="AG11" s="143">
        <f t="shared" si="8"/>
        <v>32.6</v>
      </c>
      <c r="AH11" s="143">
        <f t="shared" si="9"/>
        <v>61.2</v>
      </c>
      <c r="AI11" s="144">
        <f t="shared" si="10"/>
        <v>48.154545454545449</v>
      </c>
    </row>
    <row r="12" spans="2:35" ht="12" customHeight="1" x14ac:dyDescent="0.15">
      <c r="B12" s="231" t="s">
        <v>9</v>
      </c>
      <c r="C12" s="222">
        <v>22.5</v>
      </c>
      <c r="D12" s="222">
        <v>29.4</v>
      </c>
      <c r="E12" s="222">
        <v>33</v>
      </c>
      <c r="F12" s="222">
        <v>37.299999999999997</v>
      </c>
      <c r="G12" s="222">
        <v>40</v>
      </c>
      <c r="H12" s="222">
        <v>50.7</v>
      </c>
      <c r="I12" s="222">
        <v>47.4</v>
      </c>
      <c r="J12" s="222"/>
      <c r="K12" s="222">
        <v>36.6</v>
      </c>
      <c r="L12" s="222">
        <v>26.2</v>
      </c>
      <c r="M12" s="222">
        <v>26.1</v>
      </c>
      <c r="N12" s="222">
        <v>20.8</v>
      </c>
      <c r="O12" s="223">
        <f t="shared" si="0"/>
        <v>33.636363636363633</v>
      </c>
      <c r="P12" s="223">
        <f t="shared" si="1"/>
        <v>27.810272366284455</v>
      </c>
      <c r="Q12" s="224">
        <f t="shared" si="2"/>
        <v>0.91666666666666663</v>
      </c>
      <c r="R12" s="225">
        <f t="shared" si="12"/>
        <v>28.3</v>
      </c>
      <c r="S12" s="226">
        <f t="shared" si="3"/>
        <v>1</v>
      </c>
      <c r="T12" s="225">
        <f t="shared" si="13"/>
        <v>42</v>
      </c>
      <c r="U12" s="226">
        <f t="shared" si="4"/>
        <v>0.66666666666666663</v>
      </c>
      <c r="V12" s="227">
        <f t="shared" si="14"/>
        <v>33.636363636363633</v>
      </c>
      <c r="W12" s="228">
        <f t="shared" si="5"/>
        <v>0.91666666666666663</v>
      </c>
      <c r="X12" s="144">
        <f t="shared" si="6"/>
        <v>25.296969696969697</v>
      </c>
      <c r="Y12" s="144">
        <f t="shared" si="7"/>
        <v>35.230303030303027</v>
      </c>
      <c r="Z12" s="144">
        <f t="shared" si="11"/>
        <v>29.7646694214876</v>
      </c>
      <c r="AA12" s="205"/>
      <c r="AB12" s="357" t="str">
        <f>VLOOKUP($B12,'2007-2020 Metadata'!$A$4:$S$214,MATCH("Urban Area /Monitoring Zone",'2007-2020 Metadata'!$A$4:$S$4,0),FALSE)</f>
        <v>Auckland - Central</v>
      </c>
      <c r="AC12" s="229" t="str">
        <f>VLOOKUP(B12,'2007-2020 Metadata'!$A$6:$A$214,1,FALSE)</f>
        <v>AUC011</v>
      </c>
      <c r="AD12" s="230" t="str">
        <f>VLOOKUP($AC12,'2007-2020 Metadata'!$A$6:$S$214,9,FALSE)</f>
        <v>Auckland</v>
      </c>
      <c r="AE12" s="230">
        <f>IF(ISBLANK(VLOOKUP($AC12,'2007-2020 Metadata'!$A$6:$S$214,19,FALSE)),"",VLOOKUP($AC12,'2007-2020 Metadata'!$A$6:$S$214,19,FALSE))</f>
        <v>3</v>
      </c>
      <c r="AF12" s="88" t="str">
        <f>VLOOKUP($B12,'2007-2020 Metadata'!$A$4:$S$214,MATCH("Site type",'2007-2020 Metadata'!$A$4:$S$4,0),FALSE)</f>
        <v>SH</v>
      </c>
      <c r="AG12" s="143">
        <f t="shared" si="8"/>
        <v>20.8</v>
      </c>
      <c r="AH12" s="143">
        <f t="shared" si="9"/>
        <v>50.7</v>
      </c>
      <c r="AI12" s="144">
        <f t="shared" si="10"/>
        <v>29.7646694214876</v>
      </c>
    </row>
    <row r="13" spans="2:35" ht="12" customHeight="1" x14ac:dyDescent="0.15">
      <c r="B13" s="231" t="s">
        <v>10</v>
      </c>
      <c r="C13" s="222">
        <v>17.600000000000001</v>
      </c>
      <c r="D13" s="222">
        <v>27.2</v>
      </c>
      <c r="E13" s="222">
        <v>27.5</v>
      </c>
      <c r="F13" s="222">
        <v>32.1</v>
      </c>
      <c r="G13" s="222">
        <v>38.799999999999997</v>
      </c>
      <c r="H13" s="222">
        <v>45.3</v>
      </c>
      <c r="I13" s="222">
        <v>42.7</v>
      </c>
      <c r="J13" s="222">
        <v>30.1</v>
      </c>
      <c r="K13" s="222">
        <v>31.2</v>
      </c>
      <c r="L13" s="222">
        <v>23.6</v>
      </c>
      <c r="M13" s="222">
        <v>21.8</v>
      </c>
      <c r="N13" s="222">
        <v>13.2</v>
      </c>
      <c r="O13" s="223">
        <f t="shared" si="0"/>
        <v>29.258333333333336</v>
      </c>
      <c r="P13" s="223">
        <f t="shared" si="1"/>
        <v>31.670594856267677</v>
      </c>
      <c r="Q13" s="224">
        <f t="shared" si="2"/>
        <v>1</v>
      </c>
      <c r="R13" s="251">
        <f t="shared" si="12"/>
        <v>24.099999999999998</v>
      </c>
      <c r="S13" s="252">
        <f t="shared" si="3"/>
        <v>1</v>
      </c>
      <c r="T13" s="251">
        <f t="shared" si="13"/>
        <v>34.666666666666671</v>
      </c>
      <c r="U13" s="252">
        <f t="shared" si="4"/>
        <v>1</v>
      </c>
      <c r="V13" s="253">
        <f t="shared" si="14"/>
        <v>29.258333333333336</v>
      </c>
      <c r="W13" s="252">
        <f t="shared" si="5"/>
        <v>1</v>
      </c>
      <c r="X13" s="177">
        <f t="shared" si="6"/>
        <v>25.296969696969697</v>
      </c>
      <c r="Y13" s="177">
        <f t="shared" si="7"/>
        <v>35.230303030303027</v>
      </c>
      <c r="Z13" s="177">
        <f t="shared" si="11"/>
        <v>29.7646694214876</v>
      </c>
      <c r="AA13" s="205"/>
      <c r="AB13" s="357" t="str">
        <f>VLOOKUP($B13,'2007-2020 Metadata'!$A$4:$S$214,MATCH("Urban Area /Monitoring Zone",'2007-2020 Metadata'!$A$4:$S$4,0),FALSE)</f>
        <v>Auckland - Central</v>
      </c>
      <c r="AC13" s="255" t="str">
        <f>VLOOKUP(B13,'2007-2020 Metadata'!$A$6:$A$214,1,FALSE)</f>
        <v>AUC013</v>
      </c>
      <c r="AD13" s="256" t="str">
        <f>VLOOKUP($AC13,'2007-2020 Metadata'!$A$6:$S$214,9,FALSE)</f>
        <v>Auckland</v>
      </c>
      <c r="AE13" s="256">
        <f>IF(ISBLANK(VLOOKUP($AC13,'2007-2020 Metadata'!$A$6:$S$214,19,FALSE)),"",VLOOKUP($AC13,'2007-2020 Metadata'!$A$6:$S$214,19,FALSE))</f>
        <v>4</v>
      </c>
      <c r="AF13" s="257" t="str">
        <f>VLOOKUP($B13,'2007-2020 Metadata'!$A$4:$S$214,MATCH("Site type",'2007-2020 Metadata'!$A$4:$S$4,0),FALSE)</f>
        <v>SH</v>
      </c>
      <c r="AG13" s="258">
        <f>MIN(AVERAGE($C$13:$C$15),AVERAGE($D$13:$D$15),AVERAGE($E$13:$E$15),AVERAGE($F$13:$F$15),AVERAGE($G$13:$G$15),AVERAGE($H$13:$H$15),AVERAGE($I$13:$I$15),AVERAGE($J$13:$J$15),AVERAGE($K$13:$K$15),AVERAGE($L$13:$L$15),AVERAGE($M$13:$M$15),AVERAGE($N$13:$N$15))</f>
        <v>16.099999999999998</v>
      </c>
      <c r="AH13" s="258">
        <f>MAX(AVERAGE($C$13:$C$15),AVERAGE($D$13:$D$15),AVERAGE($E$13:$E$15),AVERAGE($F$13:$F$15),AVERAGE($G$13:$G$15),AVERAGE($H$13:$H$15),AVERAGE($I$13:$I$15),AVERAGE($J$13:$J$15),AVERAGE($K$13:$K$15),AVERAGE($L$13:$L$15),AVERAGE($M$13:$M$15),AVERAGE($N$13:$N$15))</f>
        <v>44.20000000000001</v>
      </c>
      <c r="AI13" s="177">
        <f t="shared" si="10"/>
        <v>29.7646694214876</v>
      </c>
    </row>
    <row r="14" spans="2:35" ht="12" customHeight="1" x14ac:dyDescent="0.15">
      <c r="B14" s="231" t="s">
        <v>11</v>
      </c>
      <c r="C14" s="222">
        <v>23.3</v>
      </c>
      <c r="D14" s="222">
        <v>26.2</v>
      </c>
      <c r="E14" s="222">
        <v>28.6</v>
      </c>
      <c r="F14" s="222">
        <v>33.1</v>
      </c>
      <c r="G14" s="222">
        <v>37.6</v>
      </c>
      <c r="H14" s="222">
        <v>42.6</v>
      </c>
      <c r="I14" s="222">
        <v>44.2</v>
      </c>
      <c r="J14" s="222">
        <v>30.5</v>
      </c>
      <c r="K14" s="222">
        <v>30.4</v>
      </c>
      <c r="L14" s="222">
        <v>23.9</v>
      </c>
      <c r="M14" s="222">
        <v>21.9</v>
      </c>
      <c r="N14" s="222">
        <v>17.8</v>
      </c>
      <c r="O14" s="223">
        <f t="shared" si="0"/>
        <v>30.008333333333326</v>
      </c>
      <c r="P14" s="223">
        <f t="shared" si="1"/>
        <v>26.188730961697477</v>
      </c>
      <c r="Q14" s="224">
        <f t="shared" si="2"/>
        <v>1</v>
      </c>
      <c r="R14" s="251">
        <f t="shared" si="12"/>
        <v>26.033333333333331</v>
      </c>
      <c r="S14" s="252">
        <f t="shared" si="3"/>
        <v>1</v>
      </c>
      <c r="T14" s="251">
        <f t="shared" si="13"/>
        <v>35.033333333333331</v>
      </c>
      <c r="U14" s="252">
        <f t="shared" si="4"/>
        <v>1</v>
      </c>
      <c r="V14" s="253">
        <f t="shared" si="14"/>
        <v>30.008333333333326</v>
      </c>
      <c r="W14" s="252">
        <f t="shared" si="5"/>
        <v>1</v>
      </c>
      <c r="X14" s="177">
        <f t="shared" si="6"/>
        <v>25.296969696969697</v>
      </c>
      <c r="Y14" s="177">
        <f t="shared" si="7"/>
        <v>35.230303030303027</v>
      </c>
      <c r="Z14" s="177">
        <f t="shared" si="11"/>
        <v>29.7646694214876</v>
      </c>
      <c r="AA14" s="205"/>
      <c r="AB14" s="357" t="str">
        <f>VLOOKUP($B14,'2007-2020 Metadata'!$A$4:$S$214,MATCH("Urban Area /Monitoring Zone",'2007-2020 Metadata'!$A$4:$S$4,0),FALSE)</f>
        <v>Auckland - Central</v>
      </c>
      <c r="AC14" s="255" t="str">
        <f>VLOOKUP(B14,'2007-2020 Metadata'!$A$6:$A$214,1,FALSE)</f>
        <v>AUC014</v>
      </c>
      <c r="AD14" s="256" t="str">
        <f>VLOOKUP($AC14,'2007-2020 Metadata'!$A$6:$S$214,9,FALSE)</f>
        <v>Auckland</v>
      </c>
      <c r="AE14" s="256">
        <f>IF(ISBLANK(VLOOKUP($AC14,'2007-2020 Metadata'!$A$6:$S$214,19,FALSE)),"",VLOOKUP($AC14,'2007-2020 Metadata'!$A$6:$S$214,19,FALSE))</f>
        <v>4</v>
      </c>
      <c r="AF14" s="257" t="str">
        <f>VLOOKUP($B14,'2007-2020 Metadata'!$A$4:$S$214,MATCH("Site type",'2007-2020 Metadata'!$A$4:$S$4,0),FALSE)</f>
        <v>SH</v>
      </c>
      <c r="AG14" s="258">
        <f>MIN(AVERAGE($C$13:$C$15),AVERAGE($D$13:$D$15),AVERAGE($E$13:$E$15),AVERAGE($F$13:$F$15),AVERAGE($G$13:$G$15),AVERAGE($H$13:$H$15),AVERAGE($I$13:$I$15),AVERAGE($J$13:$J$15),AVERAGE($K$13:$K$15),AVERAGE($L$13:$L$15),AVERAGE($M$13:$M$15),AVERAGE($N$13:$N$15))</f>
        <v>16.099999999999998</v>
      </c>
      <c r="AH14" s="258">
        <f>MAX(AVERAGE($C$13:$C$15),AVERAGE($D$13:$D$15),AVERAGE($E$13:$E$15),AVERAGE($F$13:$F$15),AVERAGE($G$13:$G$15),AVERAGE($H$13:$H$15),AVERAGE($I$13:$I$15),AVERAGE($J$13:$J$15),AVERAGE($K$13:$K$15),AVERAGE($L$13:$L$15),AVERAGE($M$13:$M$15),AVERAGE($N$13:$N$15))</f>
        <v>44.20000000000001</v>
      </c>
      <c r="AI14" s="177">
        <f t="shared" si="10"/>
        <v>29.7646694214876</v>
      </c>
    </row>
    <row r="15" spans="2:35" ht="12" customHeight="1" x14ac:dyDescent="0.15">
      <c r="B15" s="231" t="s">
        <v>12</v>
      </c>
      <c r="C15" s="222">
        <v>22.5</v>
      </c>
      <c r="D15" s="222">
        <v>25.7</v>
      </c>
      <c r="E15" s="222">
        <v>29.2</v>
      </c>
      <c r="F15" s="222">
        <v>32.4</v>
      </c>
      <c r="G15" s="222">
        <v>38.1</v>
      </c>
      <c r="H15" s="222">
        <v>40.1</v>
      </c>
      <c r="I15" s="222">
        <v>45.7</v>
      </c>
      <c r="J15" s="222">
        <v>30.4</v>
      </c>
      <c r="K15" s="222">
        <v>32.299999999999997</v>
      </c>
      <c r="L15" s="222">
        <v>22.9</v>
      </c>
      <c r="M15" s="222">
        <v>15.3</v>
      </c>
      <c r="N15" s="222">
        <v>17.3</v>
      </c>
      <c r="O15" s="223">
        <f t="shared" si="0"/>
        <v>29.324999999999999</v>
      </c>
      <c r="P15" s="223">
        <f t="shared" si="1"/>
        <v>29.907320170039224</v>
      </c>
      <c r="Q15" s="224">
        <f t="shared" si="2"/>
        <v>1</v>
      </c>
      <c r="R15" s="251">
        <f t="shared" si="12"/>
        <v>25.8</v>
      </c>
      <c r="S15" s="252">
        <f t="shared" si="3"/>
        <v>1</v>
      </c>
      <c r="T15" s="251">
        <f t="shared" si="13"/>
        <v>36.133333333333333</v>
      </c>
      <c r="U15" s="252">
        <f t="shared" si="4"/>
        <v>1</v>
      </c>
      <c r="V15" s="253">
        <f t="shared" si="14"/>
        <v>29.324999999999999</v>
      </c>
      <c r="W15" s="252">
        <f t="shared" si="5"/>
        <v>1</v>
      </c>
      <c r="X15" s="177">
        <f t="shared" si="6"/>
        <v>25.296969696969697</v>
      </c>
      <c r="Y15" s="177">
        <f t="shared" si="7"/>
        <v>35.230303030303027</v>
      </c>
      <c r="Z15" s="177">
        <f t="shared" si="11"/>
        <v>29.7646694214876</v>
      </c>
      <c r="AA15" s="205"/>
      <c r="AB15" s="357" t="str">
        <f>VLOOKUP($B15,'2007-2020 Metadata'!$A$4:$S$214,MATCH("Urban Area /Monitoring Zone",'2007-2020 Metadata'!$A$4:$S$4,0),FALSE)</f>
        <v>Auckland - Central</v>
      </c>
      <c r="AC15" s="255" t="str">
        <f>VLOOKUP(B15,'2007-2020 Metadata'!$A$6:$A$214,1,FALSE)</f>
        <v>AUC015</v>
      </c>
      <c r="AD15" s="256" t="str">
        <f>VLOOKUP($AC15,'2007-2020 Metadata'!$A$6:$S$214,9,FALSE)</f>
        <v>Auckland</v>
      </c>
      <c r="AE15" s="256">
        <f>IF(ISBLANK(VLOOKUP($AC15,'2007-2020 Metadata'!$A$6:$S$214,19,FALSE)),"",VLOOKUP($AC15,'2007-2020 Metadata'!$A$6:$S$214,19,FALSE))</f>
        <v>4</v>
      </c>
      <c r="AF15" s="257" t="str">
        <f>VLOOKUP($B15,'2007-2020 Metadata'!$A$4:$S$214,MATCH("Site type",'2007-2020 Metadata'!$A$4:$S$4,0),FALSE)</f>
        <v>SH</v>
      </c>
      <c r="AG15" s="258">
        <f>MIN(AVERAGE($C$13:$C$15),AVERAGE($D$13:$D$15),AVERAGE($E$13:$E$15),AVERAGE($F$13:$F$15),AVERAGE($G$13:$G$15),AVERAGE($H$13:$H$15),AVERAGE($I$13:$I$15),AVERAGE($J$13:$J$15),AVERAGE($K$13:$K$15),AVERAGE($L$13:$L$15),AVERAGE($M$13:$M$15),AVERAGE($N$13:$N$15))</f>
        <v>16.099999999999998</v>
      </c>
      <c r="AH15" s="258">
        <f>MAX(AVERAGE($C$13:$C$15),AVERAGE($D$13:$D$15),AVERAGE($E$13:$E$15),AVERAGE($F$13:$F$15),AVERAGE($G$13:$G$15),AVERAGE($H$13:$H$15),AVERAGE($I$13:$I$15),AVERAGE($J$13:$J$15),AVERAGE($K$13:$K$15),AVERAGE($L$13:$L$15),AVERAGE($M$13:$M$15),AVERAGE($N$13:$N$15))</f>
        <v>44.20000000000001</v>
      </c>
      <c r="AI15" s="177">
        <f t="shared" si="10"/>
        <v>29.7646694214876</v>
      </c>
    </row>
    <row r="16" spans="2:35" ht="12" customHeight="1" x14ac:dyDescent="0.15">
      <c r="B16" s="231" t="s">
        <v>992</v>
      </c>
      <c r="C16" s="222">
        <v>20.7</v>
      </c>
      <c r="D16" s="222">
        <v>25.6</v>
      </c>
      <c r="E16" s="222">
        <v>26.6</v>
      </c>
      <c r="F16" s="222">
        <v>27.4</v>
      </c>
      <c r="G16" s="222">
        <v>35.9</v>
      </c>
      <c r="H16" s="222">
        <v>40.5</v>
      </c>
      <c r="I16" s="222">
        <v>41.9</v>
      </c>
      <c r="J16" s="222">
        <v>27.5</v>
      </c>
      <c r="K16" s="222">
        <v>41.1</v>
      </c>
      <c r="L16" s="222">
        <v>26.4</v>
      </c>
      <c r="M16" s="222">
        <v>19.3</v>
      </c>
      <c r="N16" s="222">
        <v>19.399999999999999</v>
      </c>
      <c r="O16" s="223">
        <f t="shared" si="0"/>
        <v>29.358333333333334</v>
      </c>
      <c r="P16" s="223">
        <f t="shared" si="1"/>
        <v>27.376392874068184</v>
      </c>
      <c r="Q16" s="224">
        <f t="shared" si="2"/>
        <v>1</v>
      </c>
      <c r="R16" s="225">
        <f t="shared" si="12"/>
        <v>24.3</v>
      </c>
      <c r="S16" s="226">
        <f t="shared" si="3"/>
        <v>1</v>
      </c>
      <c r="T16" s="225">
        <f t="shared" si="13"/>
        <v>36.833333333333336</v>
      </c>
      <c r="U16" s="226">
        <f t="shared" si="4"/>
        <v>1</v>
      </c>
      <c r="V16" s="227">
        <f t="shared" si="14"/>
        <v>29.358333333333334</v>
      </c>
      <c r="W16" s="228">
        <f t="shared" si="5"/>
        <v>1</v>
      </c>
      <c r="X16" s="144">
        <f t="shared" si="6"/>
        <v>24.3</v>
      </c>
      <c r="Y16" s="144">
        <f t="shared" si="7"/>
        <v>36.833333333333336</v>
      </c>
      <c r="Z16" s="144">
        <f t="shared" si="11"/>
        <v>29.358333333333334</v>
      </c>
      <c r="AA16" s="205"/>
      <c r="AB16" s="357">
        <f>VLOOKUP($B16,'2007-2020 Metadata'!$A$4:$S$214,MATCH("Urban Area /Monitoring Zone",'2007-2020 Metadata'!$A$4:$S$4,0),FALSE)</f>
        <v>0</v>
      </c>
      <c r="AC16" s="229" t="str">
        <f>VLOOKUP(B16,'2007-2020 Metadata'!$A$6:$A$214,1,FALSE)</f>
        <v>AUC018a</v>
      </c>
      <c r="AD16" s="230">
        <f>VLOOKUP($AC16,'2007-2020 Metadata'!$A$6:$S$214,9,FALSE)</f>
        <v>0</v>
      </c>
      <c r="AE16" s="230" t="str">
        <f>IF(ISBLANK(VLOOKUP($AC16,'2007-2020 Metadata'!$A$6:$S$214,19,FALSE)),"",VLOOKUP($AC16,'2007-2020 Metadata'!$A$6:$S$214,19,FALSE))</f>
        <v/>
      </c>
      <c r="AF16" s="88" t="str">
        <f>VLOOKUP($B16,'2007-2020 Metadata'!$A$4:$S$214,MATCH("Site type",'2007-2020 Metadata'!$A$4:$S$4,0),FALSE)</f>
        <v>SH</v>
      </c>
      <c r="AG16" s="143">
        <f t="shared" si="8"/>
        <v>19.3</v>
      </c>
      <c r="AH16" s="143">
        <f t="shared" si="9"/>
        <v>41.9</v>
      </c>
      <c r="AI16" s="144">
        <f t="shared" si="10"/>
        <v>29.358333333333334</v>
      </c>
    </row>
    <row r="17" spans="2:35" ht="12" customHeight="1" x14ac:dyDescent="0.15">
      <c r="B17" s="231" t="s">
        <v>14</v>
      </c>
      <c r="C17" s="222">
        <v>13.5</v>
      </c>
      <c r="D17" s="222">
        <v>21.9</v>
      </c>
      <c r="E17" s="222">
        <v>22.8</v>
      </c>
      <c r="F17" s="222">
        <v>25</v>
      </c>
      <c r="G17" s="222">
        <v>17.3</v>
      </c>
      <c r="H17" s="222">
        <v>32.9</v>
      </c>
      <c r="I17" s="222">
        <v>35.700000000000003</v>
      </c>
      <c r="J17" s="222">
        <v>31.5</v>
      </c>
      <c r="K17" s="222">
        <v>27</v>
      </c>
      <c r="L17" s="222"/>
      <c r="M17" s="222">
        <v>19</v>
      </c>
      <c r="N17" s="222">
        <v>14.4</v>
      </c>
      <c r="O17" s="223">
        <f t="shared" si="0"/>
        <v>23.727272727272727</v>
      </c>
      <c r="P17" s="223">
        <f t="shared" si="1"/>
        <v>30.062592815583173</v>
      </c>
      <c r="Q17" s="224">
        <f t="shared" si="2"/>
        <v>0.91666666666666663</v>
      </c>
      <c r="R17" s="225">
        <f t="shared" si="12"/>
        <v>19.400000000000002</v>
      </c>
      <c r="S17" s="226">
        <f t="shared" si="3"/>
        <v>1</v>
      </c>
      <c r="T17" s="225">
        <f t="shared" si="13"/>
        <v>31.400000000000002</v>
      </c>
      <c r="U17" s="226">
        <f t="shared" si="4"/>
        <v>1</v>
      </c>
      <c r="V17" s="227">
        <f t="shared" si="14"/>
        <v>23.727272727272727</v>
      </c>
      <c r="W17" s="228">
        <f t="shared" si="5"/>
        <v>0.91666666666666663</v>
      </c>
      <c r="X17" s="144">
        <f t="shared" si="6"/>
        <v>19.883333333333333</v>
      </c>
      <c r="Y17" s="144">
        <f t="shared" si="7"/>
        <v>27.633333333333329</v>
      </c>
      <c r="Z17" s="144">
        <f t="shared" si="11"/>
        <v>22.950216450216452</v>
      </c>
      <c r="AA17" s="205"/>
      <c r="AB17" s="357" t="str">
        <f>VLOOKUP($B17,'2007-2020 Metadata'!$A$4:$S$214,MATCH("Urban Area /Monitoring Zone",'2007-2020 Metadata'!$A$4:$S$4,0),FALSE)</f>
        <v xml:space="preserve">Auckland - Southern </v>
      </c>
      <c r="AC17" s="229" t="str">
        <f>VLOOKUP(B17,'2007-2020 Metadata'!$A$6:$A$214,1,FALSE)</f>
        <v>AUC019</v>
      </c>
      <c r="AD17" s="230" t="str">
        <f>VLOOKUP($AC17,'2007-2020 Metadata'!$A$6:$S$214,9,FALSE)</f>
        <v>Manukau</v>
      </c>
      <c r="AE17" s="230">
        <f>IF(ISBLANK(VLOOKUP($AC17,'2007-2020 Metadata'!$A$6:$S$214,19,FALSE)),"",VLOOKUP($AC17,'2007-2020 Metadata'!$A$6:$S$214,19,FALSE))</f>
        <v>2</v>
      </c>
      <c r="AF17" s="88" t="str">
        <f>VLOOKUP($B17,'2007-2020 Metadata'!$A$4:$S$214,MATCH("Site type",'2007-2020 Metadata'!$A$4:$S$4,0),FALSE)</f>
        <v>SH</v>
      </c>
      <c r="AG17" s="143">
        <f t="shared" si="8"/>
        <v>13.5</v>
      </c>
      <c r="AH17" s="143">
        <f t="shared" si="9"/>
        <v>35.700000000000003</v>
      </c>
      <c r="AI17" s="144">
        <f t="shared" si="10"/>
        <v>22.950216450216452</v>
      </c>
    </row>
    <row r="18" spans="2:35" ht="12" customHeight="1" x14ac:dyDescent="0.15">
      <c r="B18" s="231" t="s">
        <v>993</v>
      </c>
      <c r="C18" s="222"/>
      <c r="D18" s="222">
        <v>15.3</v>
      </c>
      <c r="E18" s="222">
        <v>15.1</v>
      </c>
      <c r="F18" s="222"/>
      <c r="G18" s="222">
        <v>20.5</v>
      </c>
      <c r="H18" s="222">
        <v>21.2</v>
      </c>
      <c r="I18" s="222">
        <v>21.9</v>
      </c>
      <c r="J18" s="222">
        <v>16.899999999999999</v>
      </c>
      <c r="K18" s="222">
        <v>17.7</v>
      </c>
      <c r="L18" s="222">
        <v>10.199999999999999</v>
      </c>
      <c r="M18" s="222">
        <v>13.6</v>
      </c>
      <c r="N18" s="222">
        <v>9.4</v>
      </c>
      <c r="O18" s="223">
        <f t="shared" si="0"/>
        <v>16.18</v>
      </c>
      <c r="P18" s="223">
        <f t="shared" si="1"/>
        <v>25.462935176003775</v>
      </c>
      <c r="Q18" s="224">
        <f t="shared" si="2"/>
        <v>0.83333333333333337</v>
      </c>
      <c r="R18" s="225">
        <f t="shared" si="12"/>
        <v>15.2</v>
      </c>
      <c r="S18" s="226">
        <f t="shared" si="3"/>
        <v>0.66666666666666663</v>
      </c>
      <c r="T18" s="225">
        <f t="shared" si="13"/>
        <v>18.833333333333332</v>
      </c>
      <c r="U18" s="226">
        <f t="shared" si="4"/>
        <v>1</v>
      </c>
      <c r="V18" s="227">
        <f t="shared" si="14"/>
        <v>16.18</v>
      </c>
      <c r="W18" s="228">
        <f t="shared" si="5"/>
        <v>0.83333333333333337</v>
      </c>
      <c r="X18" s="144">
        <f t="shared" si="6"/>
        <v>15.2</v>
      </c>
      <c r="Y18" s="144">
        <f t="shared" si="7"/>
        <v>18.833333333333332</v>
      </c>
      <c r="Z18" s="144">
        <f t="shared" si="11"/>
        <v>16.18</v>
      </c>
      <c r="AA18" s="205"/>
      <c r="AB18" s="357">
        <f>VLOOKUP($B18,'2007-2020 Metadata'!$A$4:$S$214,MATCH("Urban Area /Monitoring Zone",'2007-2020 Metadata'!$A$4:$S$4,0),FALSE)</f>
        <v>0</v>
      </c>
      <c r="AC18" s="229" t="str">
        <f>VLOOKUP(B18,'2007-2020 Metadata'!$A$6:$A$214,1,FALSE)</f>
        <v>AUC020a</v>
      </c>
      <c r="AD18" s="230">
        <f>VLOOKUP($AC18,'2007-2020 Metadata'!$A$6:$S$214,9,FALSE)</f>
        <v>0</v>
      </c>
      <c r="AE18" s="230" t="str">
        <f>IF(ISBLANK(VLOOKUP($AC18,'2007-2020 Metadata'!$A$6:$S$214,19,FALSE)),"",VLOOKUP($AC18,'2007-2020 Metadata'!$A$6:$S$214,19,FALSE))</f>
        <v/>
      </c>
      <c r="AF18" s="88" t="str">
        <f>VLOOKUP($B18,'2007-2020 Metadata'!$A$4:$S$214,MATCH("Site type",'2007-2020 Metadata'!$A$4:$S$4,0),FALSE)</f>
        <v>SH</v>
      </c>
      <c r="AG18" s="143">
        <f t="shared" si="8"/>
        <v>9.4</v>
      </c>
      <c r="AH18" s="143">
        <f t="shared" si="9"/>
        <v>21.9</v>
      </c>
      <c r="AI18" s="144">
        <f t="shared" si="10"/>
        <v>16.18</v>
      </c>
    </row>
    <row r="19" spans="2:35" ht="12" customHeight="1" x14ac:dyDescent="0.15">
      <c r="B19" s="231" t="s">
        <v>994</v>
      </c>
      <c r="C19" s="222">
        <v>11.1</v>
      </c>
      <c r="D19" s="222">
        <v>16.5</v>
      </c>
      <c r="E19" s="222">
        <v>19.600000000000001</v>
      </c>
      <c r="F19" s="341"/>
      <c r="G19" s="341"/>
      <c r="H19" s="341"/>
      <c r="I19" s="341"/>
      <c r="J19" s="341"/>
      <c r="K19" s="341"/>
      <c r="L19" s="341"/>
      <c r="M19" s="341"/>
      <c r="N19" s="341"/>
      <c r="O19" s="223">
        <f t="shared" si="0"/>
        <v>15.733333333333334</v>
      </c>
      <c r="P19" s="223">
        <f>IFERROR((STDEVP(C19:N19)/O19)*100,"")</f>
        <v>22.323311161223515</v>
      </c>
      <c r="Q19" s="224">
        <f t="shared" si="2"/>
        <v>0.25</v>
      </c>
      <c r="R19" s="225">
        <f t="shared" si="12"/>
        <v>15.733333333333334</v>
      </c>
      <c r="S19" s="226">
        <f t="shared" si="3"/>
        <v>1</v>
      </c>
      <c r="T19" s="225" t="str">
        <f t="shared" si="13"/>
        <v/>
      </c>
      <c r="U19" s="226">
        <f t="shared" si="4"/>
        <v>0</v>
      </c>
      <c r="V19" s="227" t="str">
        <f t="shared" si="14"/>
        <v>-</v>
      </c>
      <c r="W19" s="228">
        <f t="shared" si="5"/>
        <v>0.25</v>
      </c>
      <c r="X19" s="144">
        <f t="shared" si="6"/>
        <v>15.733333333333334</v>
      </c>
      <c r="Y19" s="144" t="str">
        <f t="shared" si="7"/>
        <v/>
      </c>
      <c r="Z19" s="144" t="str">
        <f t="shared" si="11"/>
        <v>-</v>
      </c>
      <c r="AA19" s="205"/>
      <c r="AB19" s="357">
        <f>VLOOKUP($B19,'2007-2020 Metadata'!$A$4:$S$214,MATCH("Urban Area /Monitoring Zone",'2007-2020 Metadata'!$A$4:$S$4,0),FALSE)</f>
        <v>0</v>
      </c>
      <c r="AC19" s="229" t="str">
        <f>VLOOKUP(B19,'2007-2020 Metadata'!$A$6:$A$214,1,FALSE)</f>
        <v>AUC021a</v>
      </c>
      <c r="AD19" s="230">
        <f>VLOOKUP($AC19,'2007-2020 Metadata'!$A$6:$S$214,9,FALSE)</f>
        <v>0</v>
      </c>
      <c r="AE19" s="230" t="str">
        <f>IF(ISBLANK(VLOOKUP($AC19,'2007-2020 Metadata'!$A$6:$S$214,19,FALSE)),"",VLOOKUP($AC19,'2007-2020 Metadata'!$A$6:$S$214,19,FALSE))</f>
        <v/>
      </c>
      <c r="AF19" s="88" t="str">
        <f>VLOOKUP($B19,'2007-2020 Metadata'!$A$4:$S$214,MATCH("Site type",'2007-2020 Metadata'!$A$4:$S$4,0),FALSE)</f>
        <v>Background</v>
      </c>
      <c r="AG19" s="143">
        <f t="shared" si="8"/>
        <v>11.1</v>
      </c>
      <c r="AH19" s="143">
        <f t="shared" si="9"/>
        <v>19.600000000000001</v>
      </c>
      <c r="AI19" s="144" t="str">
        <f t="shared" si="10"/>
        <v xml:space="preserve"> </v>
      </c>
    </row>
    <row r="20" spans="2:35" ht="12" customHeight="1" x14ac:dyDescent="0.15">
      <c r="B20" s="231" t="s">
        <v>1007</v>
      </c>
      <c r="C20" s="341"/>
      <c r="D20" s="341"/>
      <c r="E20" s="341"/>
      <c r="F20" s="222"/>
      <c r="G20" s="222">
        <v>22.5</v>
      </c>
      <c r="H20" s="222">
        <v>67.2</v>
      </c>
      <c r="I20" s="222">
        <v>49.3</v>
      </c>
      <c r="J20" s="222">
        <v>25.4</v>
      </c>
      <c r="K20" s="222">
        <v>16.5</v>
      </c>
      <c r="L20" s="222"/>
      <c r="M20" s="222">
        <v>19.899999999999999</v>
      </c>
      <c r="N20" s="222">
        <v>10.3</v>
      </c>
      <c r="O20" s="223">
        <f t="shared" ref="O20" si="15">(AVERAGE(C20:N20))</f>
        <v>30.157142857142862</v>
      </c>
      <c r="P20" s="223">
        <f>IFERROR((STDEVP(C20:N20)/O20)*100,"")</f>
        <v>62.739945955867391</v>
      </c>
      <c r="Q20" s="224">
        <f t="shared" ref="Q20" si="16">COUNT(C20:N20)/COUNT($C$6:$N$6)</f>
        <v>0.58333333333333337</v>
      </c>
      <c r="R20" s="225" t="str">
        <f t="shared" si="12"/>
        <v/>
      </c>
      <c r="S20" s="226">
        <f t="shared" ref="S20" si="17">COUNT(C20:E20)/3</f>
        <v>0</v>
      </c>
      <c r="T20" s="225">
        <f t="shared" si="13"/>
        <v>30.399999999999995</v>
      </c>
      <c r="U20" s="226">
        <f t="shared" ref="U20" si="18">COUNT(I20:K20)/3</f>
        <v>1</v>
      </c>
      <c r="V20" s="227" t="str">
        <f t="shared" si="14"/>
        <v>-</v>
      </c>
      <c r="W20" s="228">
        <f t="shared" ref="W20" si="19">Q20</f>
        <v>0.58333333333333337</v>
      </c>
      <c r="X20" s="144" t="str">
        <f t="shared" si="6"/>
        <v/>
      </c>
      <c r="Y20" s="144">
        <f t="shared" si="7"/>
        <v>30.399999999999995</v>
      </c>
      <c r="Z20" s="144" t="str">
        <f t="shared" si="11"/>
        <v>-</v>
      </c>
      <c r="AA20" s="205"/>
      <c r="AB20" s="357">
        <f>VLOOKUP($B20,'2007-2020 Metadata'!$A$4:$S$214,MATCH("Urban Area /Monitoring Zone",'2007-2020 Metadata'!$A$4:$S$4,0),FALSE)</f>
        <v>0</v>
      </c>
      <c r="AC20" s="229" t="str">
        <f>VLOOKUP(B20,'2007-2020 Metadata'!$A$6:$A$214,1,FALSE)</f>
        <v>AUC021b</v>
      </c>
      <c r="AD20" s="230">
        <f>VLOOKUP($AC20,'2007-2020 Metadata'!$A$6:$S$214,9,FALSE)</f>
        <v>0</v>
      </c>
      <c r="AE20" s="230" t="str">
        <f>IF(ISBLANK(VLOOKUP($AC20,'2007-2020 Metadata'!$A$6:$S$214,19,FALSE)),"",VLOOKUP($AC20,'2007-2020 Metadata'!$A$6:$S$214,19,FALSE))</f>
        <v/>
      </c>
      <c r="AF20" s="88" t="str">
        <f>VLOOKUP($B20,'2007-2020 Metadata'!$A$4:$S$214,MATCH("Site type",'2007-2020 Metadata'!$A$4:$S$4,0),FALSE)</f>
        <v>Background</v>
      </c>
      <c r="AG20" s="143">
        <f t="shared" ref="AG20" si="20">MIN(C20:N20)</f>
        <v>10.3</v>
      </c>
      <c r="AH20" s="143">
        <f t="shared" ref="AH20" si="21">MAX(C20:N20)</f>
        <v>67.2</v>
      </c>
      <c r="AI20" s="144" t="str">
        <f t="shared" ref="AI20" si="22">IF(W20&gt;=75%,Z20," ")</f>
        <v xml:space="preserve"> </v>
      </c>
    </row>
    <row r="21" spans="2:35" ht="12" customHeight="1" x14ac:dyDescent="0.15">
      <c r="B21" s="231" t="s">
        <v>996</v>
      </c>
      <c r="C21" s="222">
        <v>15.7</v>
      </c>
      <c r="D21" s="222">
        <v>25.2</v>
      </c>
      <c r="E21" s="222">
        <v>24.7</v>
      </c>
      <c r="F21" s="222">
        <v>28.2</v>
      </c>
      <c r="G21" s="222">
        <v>32.299999999999997</v>
      </c>
      <c r="H21" s="222">
        <v>35.299999999999997</v>
      </c>
      <c r="I21" s="222">
        <v>33.5</v>
      </c>
      <c r="J21" s="222">
        <v>27.4</v>
      </c>
      <c r="K21" s="222">
        <v>22.4</v>
      </c>
      <c r="L21" s="222">
        <v>20.9</v>
      </c>
      <c r="M21" s="222">
        <v>21.8</v>
      </c>
      <c r="N21" s="222">
        <v>14.1</v>
      </c>
      <c r="O21" s="223">
        <f t="shared" si="0"/>
        <v>25.125</v>
      </c>
      <c r="P21" s="223">
        <f t="shared" si="1"/>
        <v>25.346977054685389</v>
      </c>
      <c r="Q21" s="224">
        <f t="shared" si="2"/>
        <v>1</v>
      </c>
      <c r="R21" s="225">
        <f t="shared" si="12"/>
        <v>21.866666666666664</v>
      </c>
      <c r="S21" s="226">
        <f t="shared" si="3"/>
        <v>1</v>
      </c>
      <c r="T21" s="225">
        <f t="shared" si="13"/>
        <v>27.766666666666666</v>
      </c>
      <c r="U21" s="226">
        <f t="shared" si="4"/>
        <v>1</v>
      </c>
      <c r="V21" s="227">
        <f t="shared" si="14"/>
        <v>25.125</v>
      </c>
      <c r="W21" s="228">
        <f t="shared" si="5"/>
        <v>1</v>
      </c>
      <c r="X21" s="144">
        <f t="shared" si="6"/>
        <v>21.866666666666664</v>
      </c>
      <c r="Y21" s="144">
        <f t="shared" si="7"/>
        <v>27.766666666666666</v>
      </c>
      <c r="Z21" s="144">
        <f t="shared" si="11"/>
        <v>25.125</v>
      </c>
      <c r="AA21" s="205"/>
      <c r="AB21" s="357">
        <f>VLOOKUP($B21,'2007-2020 Metadata'!$A$4:$S$214,MATCH("Urban Area /Monitoring Zone",'2007-2020 Metadata'!$A$4:$S$4,0),FALSE)</f>
        <v>0</v>
      </c>
      <c r="AC21" s="229" t="str">
        <f>VLOOKUP(B21,'2007-2020 Metadata'!$A$6:$A$214,1,FALSE)</f>
        <v>AUC022a</v>
      </c>
      <c r="AD21" s="230">
        <f>VLOOKUP($AC21,'2007-2020 Metadata'!$A$6:$S$214,9,FALSE)</f>
        <v>0</v>
      </c>
      <c r="AE21" s="230" t="str">
        <f>IF(ISBLANK(VLOOKUP($AC21,'2007-2020 Metadata'!$A$6:$S$214,19,FALSE)),"",VLOOKUP($AC21,'2007-2020 Metadata'!$A$6:$S$214,19,FALSE))</f>
        <v/>
      </c>
      <c r="AF21" s="88" t="str">
        <f>VLOOKUP($B21,'2007-2020 Metadata'!$A$4:$S$214,MATCH("Site type",'2007-2020 Metadata'!$A$4:$S$4,0),FALSE)</f>
        <v>SH</v>
      </c>
      <c r="AG21" s="143">
        <f t="shared" si="8"/>
        <v>14.1</v>
      </c>
      <c r="AH21" s="143">
        <f t="shared" si="9"/>
        <v>35.299999999999997</v>
      </c>
      <c r="AI21" s="144">
        <f t="shared" si="10"/>
        <v>25.125</v>
      </c>
    </row>
    <row r="22" spans="2:35" ht="12" customHeight="1" x14ac:dyDescent="0.15">
      <c r="B22" s="231" t="s">
        <v>18</v>
      </c>
      <c r="C22" s="222">
        <v>7.7</v>
      </c>
      <c r="D22" s="222">
        <v>15.4</v>
      </c>
      <c r="E22" s="222">
        <v>17.600000000000001</v>
      </c>
      <c r="F22" s="222">
        <v>19.5</v>
      </c>
      <c r="G22" s="222">
        <v>25.7</v>
      </c>
      <c r="H22" s="222">
        <v>25.8</v>
      </c>
      <c r="I22" s="222">
        <v>27.2</v>
      </c>
      <c r="J22" s="222">
        <v>27.1</v>
      </c>
      <c r="K22" s="222">
        <v>17.7</v>
      </c>
      <c r="L22" s="222">
        <v>15.1</v>
      </c>
      <c r="M22" s="222">
        <v>18.7</v>
      </c>
      <c r="N22" s="222">
        <v>10.3</v>
      </c>
      <c r="O22" s="223">
        <f t="shared" si="0"/>
        <v>18.983333333333331</v>
      </c>
      <c r="P22" s="223">
        <f t="shared" si="1"/>
        <v>32.597743431776053</v>
      </c>
      <c r="Q22" s="224">
        <f t="shared" si="2"/>
        <v>1</v>
      </c>
      <c r="R22" s="225">
        <f t="shared" si="12"/>
        <v>13.566666666666668</v>
      </c>
      <c r="S22" s="226">
        <f t="shared" si="3"/>
        <v>1</v>
      </c>
      <c r="T22" s="225">
        <f t="shared" si="13"/>
        <v>24</v>
      </c>
      <c r="U22" s="226">
        <f t="shared" si="4"/>
        <v>1</v>
      </c>
      <c r="V22" s="227">
        <f t="shared" si="14"/>
        <v>18.983333333333331</v>
      </c>
      <c r="W22" s="228">
        <f t="shared" si="5"/>
        <v>1</v>
      </c>
      <c r="X22" s="144">
        <f t="shared" si="6"/>
        <v>25.296969696969697</v>
      </c>
      <c r="Y22" s="144">
        <f t="shared" si="7"/>
        <v>35.230303030303027</v>
      </c>
      <c r="Z22" s="144">
        <f t="shared" si="11"/>
        <v>29.7646694214876</v>
      </c>
      <c r="AA22" s="205"/>
      <c r="AB22" s="357" t="str">
        <f>VLOOKUP($B22,'2007-2020 Metadata'!$A$4:$S$214,MATCH("Urban Area /Monitoring Zone",'2007-2020 Metadata'!$A$4:$S$4,0),FALSE)</f>
        <v>Auckland - Central</v>
      </c>
      <c r="AC22" s="229" t="str">
        <f>VLOOKUP(B22,'2007-2020 Metadata'!$A$6:$A$214,1,FALSE)</f>
        <v>AUC025</v>
      </c>
      <c r="AD22" s="230" t="str">
        <f>VLOOKUP($AC22,'2007-2020 Metadata'!$A$6:$S$214,9,FALSE)</f>
        <v>Auckland</v>
      </c>
      <c r="AE22" s="230">
        <f>IF(ISBLANK(VLOOKUP($AC22,'2007-2020 Metadata'!$A$6:$S$214,19,FALSE)),"",VLOOKUP($AC22,'2007-2020 Metadata'!$A$6:$S$214,19,FALSE))</f>
        <v>3</v>
      </c>
      <c r="AF22" s="88" t="str">
        <f>VLOOKUP($B22,'2007-2020 Metadata'!$A$4:$S$214,MATCH("Site type",'2007-2020 Metadata'!$A$4:$S$4,0),FALSE)</f>
        <v>SH</v>
      </c>
      <c r="AG22" s="143">
        <f t="shared" si="8"/>
        <v>7.7</v>
      </c>
      <c r="AH22" s="143">
        <f t="shared" si="9"/>
        <v>27.2</v>
      </c>
      <c r="AI22" s="144">
        <f t="shared" si="10"/>
        <v>29.7646694214876</v>
      </c>
    </row>
    <row r="23" spans="2:35" ht="12" customHeight="1" x14ac:dyDescent="0.15">
      <c r="B23" s="231" t="s">
        <v>19</v>
      </c>
      <c r="C23" s="222">
        <v>7.2</v>
      </c>
      <c r="D23" s="222">
        <v>21.9</v>
      </c>
      <c r="E23" s="222">
        <v>23.7</v>
      </c>
      <c r="F23" s="222">
        <v>27.2</v>
      </c>
      <c r="G23" s="222">
        <v>31.1</v>
      </c>
      <c r="H23" s="222">
        <v>29.8</v>
      </c>
      <c r="I23" s="222">
        <v>30.5</v>
      </c>
      <c r="J23" s="222">
        <v>32</v>
      </c>
      <c r="K23" s="222">
        <v>13.7</v>
      </c>
      <c r="L23" s="222">
        <v>18.600000000000001</v>
      </c>
      <c r="M23" s="222">
        <v>29.3</v>
      </c>
      <c r="N23" s="222">
        <v>13.7</v>
      </c>
      <c r="O23" s="223">
        <f t="shared" si="0"/>
        <v>23.224999999999998</v>
      </c>
      <c r="P23" s="223">
        <f t="shared" si="1"/>
        <v>34.028295630682273</v>
      </c>
      <c r="Q23" s="224">
        <f t="shared" si="2"/>
        <v>1</v>
      </c>
      <c r="R23" s="225">
        <f t="shared" si="12"/>
        <v>17.599999999999998</v>
      </c>
      <c r="S23" s="226">
        <f t="shared" si="3"/>
        <v>1</v>
      </c>
      <c r="T23" s="225">
        <f t="shared" si="13"/>
        <v>25.400000000000002</v>
      </c>
      <c r="U23" s="226">
        <f t="shared" si="4"/>
        <v>1</v>
      </c>
      <c r="V23" s="227">
        <f t="shared" si="14"/>
        <v>23.224999999999998</v>
      </c>
      <c r="W23" s="228">
        <f t="shared" si="5"/>
        <v>1</v>
      </c>
      <c r="X23" s="144">
        <f t="shared" si="6"/>
        <v>19.883333333333333</v>
      </c>
      <c r="Y23" s="144">
        <f t="shared" si="7"/>
        <v>27.633333333333329</v>
      </c>
      <c r="Z23" s="144">
        <f t="shared" si="11"/>
        <v>22.950216450216452</v>
      </c>
      <c r="AA23" s="205"/>
      <c r="AB23" s="357" t="str">
        <f>VLOOKUP($B23,'2007-2020 Metadata'!$A$4:$S$214,MATCH("Urban Area /Monitoring Zone",'2007-2020 Metadata'!$A$4:$S$4,0),FALSE)</f>
        <v xml:space="preserve">Auckland - Southern </v>
      </c>
      <c r="AC23" s="229" t="str">
        <f>VLOOKUP(B23,'2007-2020 Metadata'!$A$6:$A$214,1,FALSE)</f>
        <v>AUC026</v>
      </c>
      <c r="AD23" s="230" t="str">
        <f>VLOOKUP($AC23,'2007-2020 Metadata'!$A$6:$S$214,9,FALSE)</f>
        <v>Manukau</v>
      </c>
      <c r="AE23" s="230">
        <f>IF(ISBLANK(VLOOKUP($AC23,'2007-2020 Metadata'!$A$6:$S$214,19,FALSE)),"",VLOOKUP($AC23,'2007-2020 Metadata'!$A$6:$S$214,19,FALSE))</f>
        <v>3</v>
      </c>
      <c r="AF23" s="88" t="str">
        <f>VLOOKUP($B23,'2007-2020 Metadata'!$A$4:$S$214,MATCH("Site type",'2007-2020 Metadata'!$A$4:$S$4,0),FALSE)</f>
        <v>SH</v>
      </c>
      <c r="AG23" s="143">
        <f t="shared" si="8"/>
        <v>7.2</v>
      </c>
      <c r="AH23" s="143">
        <f t="shared" si="9"/>
        <v>32</v>
      </c>
      <c r="AI23" s="144">
        <f t="shared" si="10"/>
        <v>22.950216450216452</v>
      </c>
    </row>
    <row r="24" spans="2:35" ht="12" customHeight="1" x14ac:dyDescent="0.15">
      <c r="B24" s="231" t="s">
        <v>998</v>
      </c>
      <c r="C24" s="222">
        <v>15.7</v>
      </c>
      <c r="D24" s="222">
        <v>22.1</v>
      </c>
      <c r="E24" s="222">
        <v>24</v>
      </c>
      <c r="F24" s="222">
        <v>28.4</v>
      </c>
      <c r="G24" s="222">
        <v>32.9</v>
      </c>
      <c r="H24" s="222">
        <v>36.6</v>
      </c>
      <c r="I24" s="222">
        <v>39.200000000000003</v>
      </c>
      <c r="J24" s="222">
        <v>33.6</v>
      </c>
      <c r="K24" s="222">
        <v>26.3</v>
      </c>
      <c r="L24" s="222">
        <v>17.100000000000001</v>
      </c>
      <c r="M24" s="222">
        <v>22.5</v>
      </c>
      <c r="N24" s="222">
        <v>16.600000000000001</v>
      </c>
      <c r="O24" s="223">
        <f t="shared" si="0"/>
        <v>26.25</v>
      </c>
      <c r="P24" s="223">
        <f t="shared" si="1"/>
        <v>29.141197172352822</v>
      </c>
      <c r="Q24" s="224">
        <f t="shared" si="2"/>
        <v>1</v>
      </c>
      <c r="R24" s="225">
        <f t="shared" si="12"/>
        <v>20.599999999999998</v>
      </c>
      <c r="S24" s="226">
        <f t="shared" si="3"/>
        <v>1</v>
      </c>
      <c r="T24" s="225">
        <f t="shared" si="13"/>
        <v>33.033333333333339</v>
      </c>
      <c r="U24" s="226">
        <f t="shared" si="4"/>
        <v>1</v>
      </c>
      <c r="V24" s="227">
        <f t="shared" si="14"/>
        <v>26.25</v>
      </c>
      <c r="W24" s="228">
        <f t="shared" si="5"/>
        <v>1</v>
      </c>
      <c r="X24" s="144">
        <f t="shared" si="6"/>
        <v>20.599999999999998</v>
      </c>
      <c r="Y24" s="144">
        <f t="shared" si="7"/>
        <v>33.033333333333339</v>
      </c>
      <c r="Z24" s="144">
        <f t="shared" si="11"/>
        <v>26.25</v>
      </c>
      <c r="AA24" s="249"/>
      <c r="AB24" s="357">
        <f>VLOOKUP($B24,'2007-2020 Metadata'!$A$4:$S$214,MATCH("Urban Area /Monitoring Zone",'2007-2020 Metadata'!$A$4:$S$4,0),FALSE)</f>
        <v>0</v>
      </c>
      <c r="AC24" s="229" t="str">
        <f>VLOOKUP(B24,'2007-2020 Metadata'!$A$6:$A$214,1,FALSE)</f>
        <v>AUC027a</v>
      </c>
      <c r="AD24" s="230">
        <f>VLOOKUP($AC24,'2007-2020 Metadata'!$A$6:$S$214,9,FALSE)</f>
        <v>0</v>
      </c>
      <c r="AE24" s="230" t="str">
        <f>IF(ISBLANK(VLOOKUP($AC24,'2007-2020 Metadata'!$A$6:$S$214,19,FALSE)),"",VLOOKUP($AC24,'2007-2020 Metadata'!$A$6:$S$214,19,FALSE))</f>
        <v/>
      </c>
      <c r="AF24" s="88" t="str">
        <f>VLOOKUP($B24,'2007-2020 Metadata'!$A$4:$S$214,MATCH("Site type",'2007-2020 Metadata'!$A$4:$S$4,0),FALSE)</f>
        <v>SH</v>
      </c>
      <c r="AG24" s="143">
        <f t="shared" si="8"/>
        <v>15.7</v>
      </c>
      <c r="AH24" s="143">
        <f t="shared" si="9"/>
        <v>39.200000000000003</v>
      </c>
      <c r="AI24" s="144">
        <f t="shared" si="10"/>
        <v>26.25</v>
      </c>
    </row>
    <row r="25" spans="2:35" ht="12" customHeight="1" x14ac:dyDescent="0.15">
      <c r="B25" s="231" t="s">
        <v>1013</v>
      </c>
      <c r="C25" s="222">
        <v>7.7</v>
      </c>
      <c r="D25" s="222">
        <v>14.5</v>
      </c>
      <c r="E25" s="222">
        <v>15.9</v>
      </c>
      <c r="F25" s="222">
        <v>17.5</v>
      </c>
      <c r="G25" s="222">
        <v>21.3</v>
      </c>
      <c r="H25" s="222">
        <v>22.8</v>
      </c>
      <c r="I25" s="222">
        <v>26.2</v>
      </c>
      <c r="J25" s="222">
        <v>18.399999999999999</v>
      </c>
      <c r="K25" s="222">
        <v>18.8</v>
      </c>
      <c r="L25" s="222">
        <v>12.9</v>
      </c>
      <c r="M25" s="222">
        <v>12</v>
      </c>
      <c r="N25" s="222">
        <v>10.3</v>
      </c>
      <c r="O25" s="223">
        <f t="shared" si="0"/>
        <v>16.525000000000002</v>
      </c>
      <c r="P25" s="223">
        <f t="shared" si="1"/>
        <v>31.257420845784033</v>
      </c>
      <c r="Q25" s="224">
        <f t="shared" si="2"/>
        <v>1</v>
      </c>
      <c r="R25" s="225">
        <f t="shared" si="12"/>
        <v>12.700000000000001</v>
      </c>
      <c r="S25" s="226">
        <f t="shared" si="3"/>
        <v>1</v>
      </c>
      <c r="T25" s="225">
        <f t="shared" si="13"/>
        <v>21.133333333333329</v>
      </c>
      <c r="U25" s="226">
        <f t="shared" si="4"/>
        <v>1</v>
      </c>
      <c r="V25" s="227">
        <f t="shared" si="14"/>
        <v>16.525000000000002</v>
      </c>
      <c r="W25" s="228">
        <f t="shared" si="5"/>
        <v>1</v>
      </c>
      <c r="X25" s="144">
        <f t="shared" si="6"/>
        <v>12.700000000000001</v>
      </c>
      <c r="Y25" s="144">
        <f t="shared" si="7"/>
        <v>21.133333333333329</v>
      </c>
      <c r="Z25" s="144">
        <f t="shared" si="11"/>
        <v>16.525000000000002</v>
      </c>
      <c r="AA25" s="249"/>
      <c r="AB25" s="357">
        <f>VLOOKUP($B25,'2007-2020 Metadata'!$A$4:$S$214,MATCH("Urban Area /Monitoring Zone",'2007-2020 Metadata'!$A$4:$S$4,0),FALSE)</f>
        <v>0</v>
      </c>
      <c r="AC25" s="229" t="str">
        <f>VLOOKUP(B25,'2007-2020 Metadata'!$A$6:$A$214,1,FALSE)</f>
        <v>AUC039a</v>
      </c>
      <c r="AD25" s="230">
        <f>VLOOKUP($AC25,'2007-2020 Metadata'!$A$6:$S$214,9,FALSE)</f>
        <v>0</v>
      </c>
      <c r="AE25" s="230" t="str">
        <f>IF(ISBLANK(VLOOKUP($AC25,'2007-2020 Metadata'!$A$6:$S$214,19,FALSE)),"",VLOOKUP($AC25,'2007-2020 Metadata'!$A$6:$S$214,19,FALSE))</f>
        <v/>
      </c>
      <c r="AF25" s="88" t="str">
        <f>VLOOKUP($B25,'2007-2020 Metadata'!$A$4:$S$214,MATCH("Site type",'2007-2020 Metadata'!$A$4:$S$4,0),FALSE)</f>
        <v>SH</v>
      </c>
      <c r="AG25" s="143">
        <f t="shared" si="8"/>
        <v>7.7</v>
      </c>
      <c r="AH25" s="143">
        <f t="shared" si="9"/>
        <v>26.2</v>
      </c>
      <c r="AI25" s="144">
        <f t="shared" si="10"/>
        <v>16.525000000000002</v>
      </c>
    </row>
    <row r="26" spans="2:35" ht="12" customHeight="1" x14ac:dyDescent="0.15">
      <c r="B26" s="231" t="s">
        <v>61</v>
      </c>
      <c r="C26" s="222">
        <v>13.5</v>
      </c>
      <c r="D26" s="222"/>
      <c r="E26" s="222"/>
      <c r="F26" s="222">
        <v>16.5</v>
      </c>
      <c r="G26" s="222">
        <v>20.2</v>
      </c>
      <c r="H26" s="222">
        <v>21.8</v>
      </c>
      <c r="I26" s="222">
        <v>27.8</v>
      </c>
      <c r="J26" s="222">
        <v>21.3</v>
      </c>
      <c r="K26" s="222">
        <v>23.4</v>
      </c>
      <c r="L26" s="222"/>
      <c r="M26" s="222">
        <v>12.4</v>
      </c>
      <c r="N26" s="222"/>
      <c r="O26" s="223">
        <f t="shared" si="0"/>
        <v>19.612500000000001</v>
      </c>
      <c r="P26" s="223">
        <f t="shared" si="1"/>
        <v>24.745465813166817</v>
      </c>
      <c r="Q26" s="224">
        <f t="shared" si="2"/>
        <v>0.66666666666666663</v>
      </c>
      <c r="R26" s="225" t="str">
        <f t="shared" si="12"/>
        <v>-</v>
      </c>
      <c r="S26" s="226">
        <f t="shared" si="3"/>
        <v>0.33333333333333331</v>
      </c>
      <c r="T26" s="225">
        <f t="shared" si="13"/>
        <v>24.166666666666668</v>
      </c>
      <c r="U26" s="226">
        <f t="shared" si="4"/>
        <v>1</v>
      </c>
      <c r="V26" s="227" t="str">
        <f t="shared" si="14"/>
        <v>-</v>
      </c>
      <c r="W26" s="228">
        <f t="shared" si="5"/>
        <v>0.66666666666666663</v>
      </c>
      <c r="X26" s="144">
        <f t="shared" si="6"/>
        <v>22.27</v>
      </c>
      <c r="Y26" s="144">
        <f t="shared" si="7"/>
        <v>30.875757575757575</v>
      </c>
      <c r="Z26" s="144">
        <f t="shared" si="11"/>
        <v>26.595833333333331</v>
      </c>
      <c r="AA26" s="249"/>
      <c r="AB26" s="357" t="str">
        <f>VLOOKUP($B26,'2007-2020 Metadata'!$A$4:$S$214,MATCH("Urban Area /Monitoring Zone",'2007-2020 Metadata'!$A$4:$S$4,0),FALSE)</f>
        <v>Auckland - Northern</v>
      </c>
      <c r="AC26" s="229" t="str">
        <f>VLOOKUP(B26,'2007-2020 Metadata'!$A$6:$A$214,1,FALSE)</f>
        <v>AUC040</v>
      </c>
      <c r="AD26" s="230" t="str">
        <f>VLOOKUP($AC26,'2007-2020 Metadata'!$A$6:$S$214,9,FALSE)</f>
        <v xml:space="preserve">North Shore </v>
      </c>
      <c r="AE26" s="230">
        <f>IF(ISBLANK(VLOOKUP($AC26,'2007-2020 Metadata'!$A$6:$S$214,19,FALSE)),"",VLOOKUP($AC26,'2007-2020 Metadata'!$A$6:$S$214,19,FALSE))</f>
        <v>2.5</v>
      </c>
      <c r="AF26" s="88" t="str">
        <f>VLOOKUP($B26,'2007-2020 Metadata'!$A$4:$S$214,MATCH("Site type",'2007-2020 Metadata'!$A$4:$S$4,0),FALSE)</f>
        <v>SH</v>
      </c>
      <c r="AG26" s="143">
        <f t="shared" si="8"/>
        <v>12.4</v>
      </c>
      <c r="AH26" s="143">
        <f t="shared" si="9"/>
        <v>27.8</v>
      </c>
      <c r="AI26" s="144" t="str">
        <f t="shared" si="10"/>
        <v xml:space="preserve"> </v>
      </c>
    </row>
    <row r="27" spans="2:35" ht="12" customHeight="1" x14ac:dyDescent="0.15">
      <c r="B27" s="231" t="s">
        <v>62</v>
      </c>
      <c r="C27" s="222">
        <v>8.3000000000000007</v>
      </c>
      <c r="D27" s="222">
        <v>17.7</v>
      </c>
      <c r="E27" s="222">
        <v>22.4</v>
      </c>
      <c r="F27" s="222">
        <v>23.4</v>
      </c>
      <c r="G27" s="222">
        <v>26.5</v>
      </c>
      <c r="H27" s="222">
        <v>24.6</v>
      </c>
      <c r="I27" s="222">
        <v>24.7</v>
      </c>
      <c r="J27" s="222">
        <v>30.7</v>
      </c>
      <c r="K27" s="222">
        <v>15.1</v>
      </c>
      <c r="L27" s="222">
        <v>17.2</v>
      </c>
      <c r="M27" s="222">
        <v>27.7</v>
      </c>
      <c r="N27" s="222">
        <v>9.4</v>
      </c>
      <c r="O27" s="223">
        <f t="shared" si="0"/>
        <v>20.641666666666662</v>
      </c>
      <c r="P27" s="223">
        <f t="shared" si="1"/>
        <v>33.037018642477548</v>
      </c>
      <c r="Q27" s="224">
        <f t="shared" si="2"/>
        <v>1</v>
      </c>
      <c r="R27" s="225">
        <f t="shared" si="12"/>
        <v>16.133333333333333</v>
      </c>
      <c r="S27" s="226">
        <f t="shared" si="3"/>
        <v>1</v>
      </c>
      <c r="T27" s="225">
        <f t="shared" si="13"/>
        <v>23.5</v>
      </c>
      <c r="U27" s="226">
        <f t="shared" si="4"/>
        <v>1</v>
      </c>
      <c r="V27" s="227">
        <f t="shared" si="14"/>
        <v>20.641666666666662</v>
      </c>
      <c r="W27" s="228">
        <f t="shared" si="5"/>
        <v>1</v>
      </c>
      <c r="X27" s="144">
        <f t="shared" si="6"/>
        <v>22.27</v>
      </c>
      <c r="Y27" s="144">
        <f t="shared" si="7"/>
        <v>30.875757575757575</v>
      </c>
      <c r="Z27" s="144">
        <f t="shared" si="11"/>
        <v>26.595833333333331</v>
      </c>
      <c r="AA27" s="249"/>
      <c r="AB27" s="357" t="str">
        <f>VLOOKUP($B27,'2007-2020 Metadata'!$A$4:$S$214,MATCH("Urban Area /Monitoring Zone",'2007-2020 Metadata'!$A$4:$S$4,0),FALSE)</f>
        <v>Auckland - Northern</v>
      </c>
      <c r="AC27" s="229" t="str">
        <f>VLOOKUP(B27,'2007-2020 Metadata'!$A$6:$A$214,1,FALSE)</f>
        <v>AUC041</v>
      </c>
      <c r="AD27" s="230" t="str">
        <f>VLOOKUP($AC27,'2007-2020 Metadata'!$A$6:$S$214,9,FALSE)</f>
        <v xml:space="preserve">North Shore </v>
      </c>
      <c r="AE27" s="230">
        <f>IF(ISBLANK(VLOOKUP($AC27,'2007-2020 Metadata'!$A$6:$S$214,19,FALSE)),"",VLOOKUP($AC27,'2007-2020 Metadata'!$A$6:$S$214,19,FALSE))</f>
        <v>3</v>
      </c>
      <c r="AF27" s="88" t="str">
        <f>VLOOKUP($B27,'2007-2020 Metadata'!$A$4:$S$214,MATCH("Site type",'2007-2020 Metadata'!$A$4:$S$4,0),FALSE)</f>
        <v>Local</v>
      </c>
      <c r="AG27" s="143">
        <f t="shared" si="8"/>
        <v>8.3000000000000007</v>
      </c>
      <c r="AH27" s="143">
        <f t="shared" si="9"/>
        <v>30.7</v>
      </c>
      <c r="AI27" s="144">
        <f t="shared" si="10"/>
        <v>26.595833333333331</v>
      </c>
    </row>
    <row r="28" spans="2:35" ht="12" customHeight="1" x14ac:dyDescent="0.15">
      <c r="B28" s="231" t="s">
        <v>63</v>
      </c>
      <c r="C28" s="222">
        <v>17.600000000000001</v>
      </c>
      <c r="D28" s="222">
        <v>25.8</v>
      </c>
      <c r="E28" s="222">
        <v>27.2</v>
      </c>
      <c r="F28" s="222">
        <v>32.299999999999997</v>
      </c>
      <c r="G28" s="222">
        <v>35.6</v>
      </c>
      <c r="H28" s="222">
        <v>37</v>
      </c>
      <c r="I28" s="222">
        <v>39</v>
      </c>
      <c r="J28" s="222">
        <v>30.2</v>
      </c>
      <c r="K28" s="222">
        <v>28.6</v>
      </c>
      <c r="L28" s="222">
        <v>23</v>
      </c>
      <c r="M28" s="222">
        <v>22.6</v>
      </c>
      <c r="N28" s="222">
        <v>19.2</v>
      </c>
      <c r="O28" s="223">
        <f t="shared" si="0"/>
        <v>28.175000000000001</v>
      </c>
      <c r="P28" s="223">
        <f t="shared" si="1"/>
        <v>23.550222008224996</v>
      </c>
      <c r="Q28" s="224">
        <f t="shared" si="2"/>
        <v>1</v>
      </c>
      <c r="R28" s="225">
        <f t="shared" si="12"/>
        <v>23.533333333333335</v>
      </c>
      <c r="S28" s="226">
        <f t="shared" si="3"/>
        <v>1</v>
      </c>
      <c r="T28" s="225">
        <f t="shared" si="13"/>
        <v>32.6</v>
      </c>
      <c r="U28" s="226">
        <f t="shared" si="4"/>
        <v>1</v>
      </c>
      <c r="V28" s="227">
        <f t="shared" si="14"/>
        <v>28.175000000000001</v>
      </c>
      <c r="W28" s="228">
        <f t="shared" si="5"/>
        <v>1</v>
      </c>
      <c r="X28" s="144">
        <f>IF(VLOOKUP($B28,$AC$6:$AI$162,3,FALSE)="",$R28,IF(ISERROR(AVERAGEIF($AD$6:$AD$162,VLOOKUP($B28,$AC$6:$AI$162,2,FALSE),$R$6:$R$162)),"",AVERAGEIF($AD$6:$AD$162,VLOOKUP($B28,$AC$6:$AI$162,2,FALSE),$R$6:$R$162)))</f>
        <v>22.27</v>
      </c>
      <c r="Y28" s="144">
        <f t="shared" si="7"/>
        <v>30.875757575757575</v>
      </c>
      <c r="Z28" s="144">
        <f t="shared" si="11"/>
        <v>26.595833333333331</v>
      </c>
      <c r="AA28" s="205"/>
      <c r="AB28" s="357" t="str">
        <f>VLOOKUP($B28,'2007-2020 Metadata'!$A$4:$S$214,MATCH("Urban Area /Monitoring Zone",'2007-2020 Metadata'!$A$4:$S$4,0),FALSE)</f>
        <v>Auckland - Northern</v>
      </c>
      <c r="AC28" s="229" t="str">
        <f>VLOOKUP(B28,'2007-2020 Metadata'!$A$6:$A$214,1,FALSE)</f>
        <v>AUC042</v>
      </c>
      <c r="AD28" s="230" t="str">
        <f>VLOOKUP($AC28,'2007-2020 Metadata'!$A$6:$S$214,9,FALSE)</f>
        <v xml:space="preserve">North Shore </v>
      </c>
      <c r="AE28" s="230">
        <f>IF(ISBLANK(VLOOKUP($AC28,'2007-2020 Metadata'!$A$6:$S$214,19,FALSE)),"",VLOOKUP($AC28,'2007-2020 Metadata'!$A$6:$S$214,19,FALSE))</f>
        <v>3</v>
      </c>
      <c r="AF28" s="88" t="str">
        <f>VLOOKUP($B28,'2007-2020 Metadata'!$A$4:$S$214,MATCH("Site type",'2007-2020 Metadata'!$A$4:$S$4,0),FALSE)</f>
        <v>Local</v>
      </c>
      <c r="AG28" s="143">
        <f t="shared" si="8"/>
        <v>17.600000000000001</v>
      </c>
      <c r="AH28" s="143">
        <f t="shared" si="9"/>
        <v>39</v>
      </c>
      <c r="AI28" s="144">
        <f t="shared" si="10"/>
        <v>26.595833333333331</v>
      </c>
    </row>
    <row r="29" spans="2:35" ht="12" customHeight="1" x14ac:dyDescent="0.15">
      <c r="B29" s="231" t="s">
        <v>64</v>
      </c>
      <c r="C29" s="222">
        <v>19.5</v>
      </c>
      <c r="D29" s="222">
        <v>25.5</v>
      </c>
      <c r="E29" s="222">
        <v>20.5</v>
      </c>
      <c r="F29" s="222">
        <v>29</v>
      </c>
      <c r="G29" s="222">
        <v>35.299999999999997</v>
      </c>
      <c r="H29" s="222">
        <v>39.9</v>
      </c>
      <c r="I29" s="222">
        <v>41.7</v>
      </c>
      <c r="J29" s="222">
        <v>30.5</v>
      </c>
      <c r="K29" s="222">
        <v>31.4</v>
      </c>
      <c r="L29" s="222">
        <v>19.600000000000001</v>
      </c>
      <c r="M29" s="222">
        <v>18.399999999999999</v>
      </c>
      <c r="N29" s="222">
        <v>15.3</v>
      </c>
      <c r="O29" s="223">
        <f t="shared" si="0"/>
        <v>27.216666666666669</v>
      </c>
      <c r="P29" s="223">
        <f t="shared" si="1"/>
        <v>30.973992560270545</v>
      </c>
      <c r="Q29" s="224">
        <f t="shared" si="2"/>
        <v>1</v>
      </c>
      <c r="R29" s="251">
        <f t="shared" si="12"/>
        <v>21.833333333333332</v>
      </c>
      <c r="S29" s="252">
        <f t="shared" si="3"/>
        <v>1</v>
      </c>
      <c r="T29" s="251">
        <f t="shared" si="13"/>
        <v>34.533333333333331</v>
      </c>
      <c r="U29" s="252">
        <f t="shared" si="4"/>
        <v>1</v>
      </c>
      <c r="V29" s="253">
        <f t="shared" si="14"/>
        <v>27.216666666666669</v>
      </c>
      <c r="W29" s="252">
        <f t="shared" si="5"/>
        <v>1</v>
      </c>
      <c r="X29" s="177">
        <f>IF(VLOOKUP($B29,$AC$6:$AI$162,3,FALSE)="",$R29,IF(ISERROR(AVERAGEIF($AD$6:$AD$162,VLOOKUP($B29,$AC$6:$AI$162,2,FALSE),$R$6:$R$162)),"",AVERAGEIF($AD$6:$AD$162,VLOOKUP($B29,$AC$6:$AI$162,2,FALSE),$R$6:$R$162)))</f>
        <v>22.27</v>
      </c>
      <c r="Y29" s="177">
        <f t="shared" si="7"/>
        <v>30.875757575757575</v>
      </c>
      <c r="Z29" s="177">
        <f t="shared" si="11"/>
        <v>26.595833333333331</v>
      </c>
      <c r="AA29" s="205"/>
      <c r="AB29" s="357" t="str">
        <f>VLOOKUP($B29,'2007-2020 Metadata'!$A$4:$S$214,MATCH("Urban Area /Monitoring Zone",'2007-2020 Metadata'!$A$4:$S$4,0),FALSE)</f>
        <v>Auckland - Northern</v>
      </c>
      <c r="AC29" s="255" t="str">
        <f>VLOOKUP(B29,'2007-2020 Metadata'!$A$6:$A$214,1,FALSE)</f>
        <v>AUC043</v>
      </c>
      <c r="AD29" s="256" t="str">
        <f>VLOOKUP($AC29,'2007-2020 Metadata'!$A$6:$S$214,9,FALSE)</f>
        <v xml:space="preserve">North Shore </v>
      </c>
      <c r="AE29" s="256">
        <f>IF(ISBLANK(VLOOKUP($AC29,'2007-2020 Metadata'!$A$6:$S$214,19,FALSE)),"",VLOOKUP($AC29,'2007-2020 Metadata'!$A$6:$S$214,19,FALSE))</f>
        <v>3</v>
      </c>
      <c r="AF29" s="257" t="str">
        <f>VLOOKUP($B29,'2007-2020 Metadata'!$A$4:$S$214,MATCH("Site type",'2007-2020 Metadata'!$A$4:$S$4,0),FALSE)</f>
        <v>SH</v>
      </c>
      <c r="AG29" s="258">
        <f t="shared" ref="AG29" si="23">MIN(AVERAGE($C$29:$C$31),AVERAGE($D$29:$D$31),AVERAGE($E$29:$E$31),AVERAGE($F$29:$F$31),AVERAGE($G$29:$G$31),AVERAGE($H$29:$H$31),AVERAGE($I$29:$I$31),AVERAGE($J$29:$J$31),AVERAGE($K$29:$K$31),AVERAGE($L$29:$L$31),AVERAGE($M$29:$M$31),AVERAGE($N$29:$N$31))</f>
        <v>11.433333333333335</v>
      </c>
      <c r="AH29" s="258">
        <f t="shared" ref="AH29" si="24">MAX(AVERAGE($C$29:$C$31),AVERAGE($D$29:$D$31),AVERAGE($E$29:$E$31),AVERAGE($F$29:$F$31),AVERAGE($G$29:$G$31),AVERAGE($H$29:$H$31),AVERAGE($I$29:$I$31),AVERAGE($J$29:$J$31),AVERAGE($K$29:$K$31),AVERAGE($L$29:$L$31),AVERAGE($M$29:$M$31),AVERAGE($N$29:$N$31))</f>
        <v>40.766666666666666</v>
      </c>
      <c r="AI29" s="177">
        <f t="shared" si="10"/>
        <v>26.595833333333331</v>
      </c>
    </row>
    <row r="30" spans="2:35" ht="12" customHeight="1" x14ac:dyDescent="0.15">
      <c r="B30" s="231" t="s">
        <v>65</v>
      </c>
      <c r="C30" s="222">
        <v>19.3</v>
      </c>
      <c r="D30" s="222">
        <v>24</v>
      </c>
      <c r="E30" s="222">
        <v>25</v>
      </c>
      <c r="F30" s="222">
        <v>30.2</v>
      </c>
      <c r="G30" s="222">
        <v>35.299999999999997</v>
      </c>
      <c r="H30" s="222">
        <v>37</v>
      </c>
      <c r="I30" s="222">
        <v>39.299999999999997</v>
      </c>
      <c r="J30" s="222">
        <v>32.4</v>
      </c>
      <c r="K30" s="222">
        <v>31.5</v>
      </c>
      <c r="L30" s="222">
        <v>22.7</v>
      </c>
      <c r="M30" s="222">
        <v>18</v>
      </c>
      <c r="N30" s="222">
        <v>9.4</v>
      </c>
      <c r="O30" s="223">
        <f t="shared" si="0"/>
        <v>27.008333333333329</v>
      </c>
      <c r="P30" s="223">
        <f t="shared" si="1"/>
        <v>31.369402949886329</v>
      </c>
      <c r="Q30" s="224">
        <f t="shared" si="2"/>
        <v>1</v>
      </c>
      <c r="R30" s="251">
        <f t="shared" si="12"/>
        <v>22.766666666666666</v>
      </c>
      <c r="S30" s="252">
        <f t="shared" si="3"/>
        <v>1</v>
      </c>
      <c r="T30" s="251">
        <f t="shared" si="13"/>
        <v>34.4</v>
      </c>
      <c r="U30" s="252">
        <f t="shared" si="4"/>
        <v>1</v>
      </c>
      <c r="V30" s="253">
        <f t="shared" si="14"/>
        <v>27.008333333333329</v>
      </c>
      <c r="W30" s="252">
        <f t="shared" si="5"/>
        <v>1</v>
      </c>
      <c r="X30" s="177">
        <f t="shared" si="6"/>
        <v>22.27</v>
      </c>
      <c r="Y30" s="177">
        <f t="shared" si="7"/>
        <v>30.875757575757575</v>
      </c>
      <c r="Z30" s="177">
        <f t="shared" si="11"/>
        <v>26.595833333333331</v>
      </c>
      <c r="AA30" s="205"/>
      <c r="AB30" s="357" t="str">
        <f>VLOOKUP($B30,'2007-2020 Metadata'!$A$4:$S$214,MATCH("Urban Area /Monitoring Zone",'2007-2020 Metadata'!$A$4:$S$4,0),FALSE)</f>
        <v>Auckland - Northern</v>
      </c>
      <c r="AC30" s="255" t="str">
        <f>VLOOKUP(B30,'2007-2020 Metadata'!$A$6:$A$214,1,FALSE)</f>
        <v>AUC044</v>
      </c>
      <c r="AD30" s="256" t="str">
        <f>VLOOKUP($AC30,'2007-2020 Metadata'!$A$6:$S$214,9,FALSE)</f>
        <v xml:space="preserve">North Shore </v>
      </c>
      <c r="AE30" s="256">
        <f>IF(ISBLANK(VLOOKUP($AC30,'2007-2020 Metadata'!$A$6:$S$214,19,FALSE)),"",VLOOKUP($AC30,'2007-2020 Metadata'!$A$6:$S$214,19,FALSE))</f>
        <v>3</v>
      </c>
      <c r="AF30" s="257" t="str">
        <f>VLOOKUP($B30,'2007-2020 Metadata'!$A$4:$S$214,MATCH("Site type",'2007-2020 Metadata'!$A$4:$S$4,0),FALSE)</f>
        <v>SH</v>
      </c>
      <c r="AG30" s="258">
        <f>MIN(AVERAGE($C$29:$C$31),AVERAGE($D$29:$D$31),AVERAGE($E$29:$E$31),AVERAGE($F$29:$F$31),AVERAGE($G$29:$G$31),AVERAGE($H$29:$H$31),AVERAGE($I$29:$I$31),AVERAGE($J$29:$J$31),AVERAGE($K$29:$K$31),AVERAGE($L$29:$L$31),AVERAGE($M$29:$M$31),AVERAGE($N$29:$N$31))</f>
        <v>11.433333333333335</v>
      </c>
      <c r="AH30" s="258">
        <f>MAX(AVERAGE($C$29:$C$31),AVERAGE($D$29:$D$31),AVERAGE($E$29:$E$31),AVERAGE($F$29:$F$31),AVERAGE($G$29:$G$31),AVERAGE($H$29:$H$31),AVERAGE($I$29:$I$31),AVERAGE($J$29:$J$31),AVERAGE($K$29:$K$31),AVERAGE($L$29:$L$31),AVERAGE($M$29:$M$31),AVERAGE($N$29:$N$31))</f>
        <v>40.766666666666666</v>
      </c>
      <c r="AI30" s="177">
        <f t="shared" si="10"/>
        <v>26.595833333333331</v>
      </c>
    </row>
    <row r="31" spans="2:35" ht="12" customHeight="1" x14ac:dyDescent="0.15">
      <c r="B31" s="231" t="s">
        <v>66</v>
      </c>
      <c r="C31" s="222">
        <v>19.3</v>
      </c>
      <c r="D31" s="222">
        <v>23.4</v>
      </c>
      <c r="E31" s="222">
        <v>22.1</v>
      </c>
      <c r="F31" s="222">
        <v>29.2</v>
      </c>
      <c r="G31" s="222">
        <v>34.1</v>
      </c>
      <c r="H31" s="222">
        <v>38.799999999999997</v>
      </c>
      <c r="I31" s="222">
        <v>41.3</v>
      </c>
      <c r="J31" s="222">
        <v>32.4</v>
      </c>
      <c r="K31" s="222">
        <v>31</v>
      </c>
      <c r="L31" s="222">
        <v>21.1</v>
      </c>
      <c r="M31" s="222">
        <v>18.7</v>
      </c>
      <c r="N31" s="222">
        <v>9.6</v>
      </c>
      <c r="O31" s="223">
        <f t="shared" si="0"/>
        <v>26.750000000000004</v>
      </c>
      <c r="P31" s="223">
        <f t="shared" si="1"/>
        <v>33.193756746443817</v>
      </c>
      <c r="Q31" s="224">
        <f t="shared" si="2"/>
        <v>1</v>
      </c>
      <c r="R31" s="251">
        <f t="shared" si="12"/>
        <v>21.600000000000005</v>
      </c>
      <c r="S31" s="252">
        <f t="shared" si="3"/>
        <v>1</v>
      </c>
      <c r="T31" s="251">
        <f t="shared" si="13"/>
        <v>34.9</v>
      </c>
      <c r="U31" s="252">
        <f t="shared" si="4"/>
        <v>1</v>
      </c>
      <c r="V31" s="253">
        <f t="shared" si="14"/>
        <v>26.750000000000004</v>
      </c>
      <c r="W31" s="252">
        <f t="shared" si="5"/>
        <v>1</v>
      </c>
      <c r="X31" s="177">
        <f t="shared" si="6"/>
        <v>22.27</v>
      </c>
      <c r="Y31" s="177">
        <f t="shared" si="7"/>
        <v>30.875757575757575</v>
      </c>
      <c r="Z31" s="177">
        <f t="shared" si="11"/>
        <v>26.595833333333331</v>
      </c>
      <c r="AA31" s="205"/>
      <c r="AB31" s="357" t="str">
        <f>VLOOKUP($B31,'2007-2020 Metadata'!$A$4:$S$214,MATCH("Urban Area /Monitoring Zone",'2007-2020 Metadata'!$A$4:$S$4,0),FALSE)</f>
        <v>Auckland - Northern</v>
      </c>
      <c r="AC31" s="255" t="str">
        <f>VLOOKUP(B31,'2007-2020 Metadata'!$A$6:$A$214,1,FALSE)</f>
        <v>AUC045</v>
      </c>
      <c r="AD31" s="256" t="str">
        <f>VLOOKUP($AC31,'2007-2020 Metadata'!$A$6:$S$214,9,FALSE)</f>
        <v xml:space="preserve">North Shore </v>
      </c>
      <c r="AE31" s="256">
        <f>IF(ISBLANK(VLOOKUP($AC31,'2007-2020 Metadata'!$A$6:$S$214,19,FALSE)),"",VLOOKUP($AC31,'2007-2020 Metadata'!$A$6:$S$214,19,FALSE))</f>
        <v>3</v>
      </c>
      <c r="AF31" s="257" t="str">
        <f>VLOOKUP($B31,'2007-2020 Metadata'!$A$4:$S$214,MATCH("Site type",'2007-2020 Metadata'!$A$4:$S$4,0),FALSE)</f>
        <v>SH</v>
      </c>
      <c r="AG31" s="258">
        <f t="shared" ref="AG31" si="25">MIN(AVERAGE($C$29:$C$31),AVERAGE($D$29:$D$31),AVERAGE($E$29:$E$31),AVERAGE($F$29:$F$31),AVERAGE($G$29:$G$31),AVERAGE($H$29:$H$31),AVERAGE($I$29:$I$31),AVERAGE($J$29:$J$31),AVERAGE($K$29:$K$31),AVERAGE($L$29:$L$31),AVERAGE($M$29:$M$31),AVERAGE($N$29:$N$31))</f>
        <v>11.433333333333335</v>
      </c>
      <c r="AH31" s="258">
        <f t="shared" ref="AH31" si="26">MAX(AVERAGE($C$29:$C$31),AVERAGE($D$29:$D$31),AVERAGE($E$29:$E$31),AVERAGE($F$29:$F$31),AVERAGE($G$29:$G$31),AVERAGE($H$29:$H$31),AVERAGE($I$29:$I$31),AVERAGE($J$29:$J$31),AVERAGE($K$29:$K$31),AVERAGE($L$29:$L$31),AVERAGE($M$29:$M$31),AVERAGE($N$29:$N$31))</f>
        <v>40.766666666666666</v>
      </c>
      <c r="AI31" s="177">
        <f t="shared" si="10"/>
        <v>26.595833333333331</v>
      </c>
    </row>
    <row r="32" spans="2:35" ht="12" customHeight="1" x14ac:dyDescent="0.15">
      <c r="B32" s="231" t="s">
        <v>67</v>
      </c>
      <c r="C32" s="222">
        <v>21.7</v>
      </c>
      <c r="D32" s="222">
        <v>23.3</v>
      </c>
      <c r="E32" s="222">
        <v>24</v>
      </c>
      <c r="F32" s="222">
        <v>31.2</v>
      </c>
      <c r="G32" s="222">
        <v>37.299999999999997</v>
      </c>
      <c r="H32" s="222">
        <v>39.700000000000003</v>
      </c>
      <c r="I32" s="222">
        <v>44.9</v>
      </c>
      <c r="J32" s="222">
        <v>26.8</v>
      </c>
      <c r="K32" s="222">
        <v>33.4</v>
      </c>
      <c r="L32" s="222">
        <v>26.8</v>
      </c>
      <c r="M32" s="222">
        <v>16.899999999999999</v>
      </c>
      <c r="N32" s="222">
        <v>19.5</v>
      </c>
      <c r="O32" s="223">
        <f t="shared" si="0"/>
        <v>28.791666666666668</v>
      </c>
      <c r="P32" s="223">
        <f t="shared" si="1"/>
        <v>28.658319504637074</v>
      </c>
      <c r="Q32" s="224">
        <f t="shared" si="2"/>
        <v>1</v>
      </c>
      <c r="R32" s="225">
        <f t="shared" si="12"/>
        <v>23</v>
      </c>
      <c r="S32" s="226">
        <f t="shared" si="3"/>
        <v>1</v>
      </c>
      <c r="T32" s="225">
        <f t="shared" si="13"/>
        <v>35.033333333333331</v>
      </c>
      <c r="U32" s="226">
        <f t="shared" si="4"/>
        <v>1</v>
      </c>
      <c r="V32" s="227">
        <f t="shared" si="14"/>
        <v>28.791666666666668</v>
      </c>
      <c r="W32" s="228">
        <f t="shared" si="5"/>
        <v>1</v>
      </c>
      <c r="X32" s="144">
        <f t="shared" si="6"/>
        <v>22.27</v>
      </c>
      <c r="Y32" s="144">
        <f t="shared" si="7"/>
        <v>30.875757575757575</v>
      </c>
      <c r="Z32" s="144">
        <f t="shared" si="11"/>
        <v>26.595833333333331</v>
      </c>
      <c r="AA32" s="205"/>
      <c r="AB32" s="357" t="str">
        <f>VLOOKUP($B32,'2007-2020 Metadata'!$A$4:$S$214,MATCH("Urban Area /Monitoring Zone",'2007-2020 Metadata'!$A$4:$S$4,0),FALSE)</f>
        <v>Auckland - Northern</v>
      </c>
      <c r="AC32" s="229" t="str">
        <f>VLOOKUP(B32,'2007-2020 Metadata'!$A$6:$A$214,1,FALSE)</f>
        <v>AUC046</v>
      </c>
      <c r="AD32" s="230" t="str">
        <f>VLOOKUP($AC32,'2007-2020 Metadata'!$A$6:$S$214,9,FALSE)</f>
        <v xml:space="preserve">North Shore </v>
      </c>
      <c r="AE32" s="230">
        <f>IF(ISBLANK(VLOOKUP($AC32,'2007-2020 Metadata'!$A$6:$S$214,19,FALSE)),"",VLOOKUP($AC32,'2007-2020 Metadata'!$A$6:$S$214,19,FALSE))</f>
        <v>3</v>
      </c>
      <c r="AF32" s="88" t="str">
        <f>VLOOKUP($B32,'2007-2020 Metadata'!$A$4:$S$214,MATCH("Site type",'2007-2020 Metadata'!$A$4:$S$4,0),FALSE)</f>
        <v>Local</v>
      </c>
      <c r="AG32" s="143">
        <f t="shared" si="8"/>
        <v>16.899999999999999</v>
      </c>
      <c r="AH32" s="143">
        <f t="shared" si="9"/>
        <v>44.9</v>
      </c>
      <c r="AI32" s="144">
        <f t="shared" si="10"/>
        <v>26.595833333333331</v>
      </c>
    </row>
    <row r="33" spans="2:35" ht="12" customHeight="1" x14ac:dyDescent="0.15">
      <c r="B33" s="231" t="s">
        <v>68</v>
      </c>
      <c r="C33" s="222">
        <v>7.1</v>
      </c>
      <c r="D33" s="222">
        <v>9</v>
      </c>
      <c r="E33" s="222">
        <v>12.4</v>
      </c>
      <c r="F33" s="222">
        <v>15.2</v>
      </c>
      <c r="G33" s="222">
        <v>17.5</v>
      </c>
      <c r="H33" s="222">
        <v>19.3</v>
      </c>
      <c r="I33" s="222">
        <v>17.600000000000001</v>
      </c>
      <c r="J33" s="222">
        <v>14.4</v>
      </c>
      <c r="K33" s="222">
        <v>11.6</v>
      </c>
      <c r="L33" s="222">
        <v>8.1999999999999993</v>
      </c>
      <c r="M33" s="222">
        <v>9.1999999999999993</v>
      </c>
      <c r="N33" s="222">
        <v>6.3</v>
      </c>
      <c r="O33" s="223">
        <f t="shared" si="0"/>
        <v>12.316666666666665</v>
      </c>
      <c r="P33" s="223">
        <f t="shared" si="1"/>
        <v>34.589302407308601</v>
      </c>
      <c r="Q33" s="224">
        <f t="shared" si="2"/>
        <v>1</v>
      </c>
      <c r="R33" s="225">
        <f t="shared" si="12"/>
        <v>9.5</v>
      </c>
      <c r="S33" s="226">
        <f t="shared" si="3"/>
        <v>1</v>
      </c>
      <c r="T33" s="225">
        <f t="shared" si="13"/>
        <v>14.533333333333333</v>
      </c>
      <c r="U33" s="226">
        <f t="shared" si="4"/>
        <v>1</v>
      </c>
      <c r="V33" s="227">
        <f t="shared" si="14"/>
        <v>12.316666666666665</v>
      </c>
      <c r="W33" s="228">
        <f t="shared" si="5"/>
        <v>1</v>
      </c>
      <c r="X33" s="144">
        <f t="shared" si="6"/>
        <v>22.27</v>
      </c>
      <c r="Y33" s="144">
        <f t="shared" si="7"/>
        <v>30.875757575757575</v>
      </c>
      <c r="Z33" s="144">
        <f t="shared" si="11"/>
        <v>26.595833333333331</v>
      </c>
      <c r="AA33" s="205"/>
      <c r="AB33" s="357" t="str">
        <f>VLOOKUP($B33,'2007-2020 Metadata'!$A$4:$S$214,MATCH("Urban Area /Monitoring Zone",'2007-2020 Metadata'!$A$4:$S$4,0),FALSE)</f>
        <v>Auckland - Northern</v>
      </c>
      <c r="AC33" s="229" t="str">
        <f>VLOOKUP(B33,'2007-2020 Metadata'!$A$6:$A$214,1,FALSE)</f>
        <v>AUC047</v>
      </c>
      <c r="AD33" s="230" t="str">
        <f>VLOOKUP($AC33,'2007-2020 Metadata'!$A$6:$S$214,9,FALSE)</f>
        <v xml:space="preserve">North Shore </v>
      </c>
      <c r="AE33" s="230">
        <f>IF(ISBLANK(VLOOKUP($AC33,'2007-2020 Metadata'!$A$6:$S$214,19,FALSE)),"",VLOOKUP($AC33,'2007-2020 Metadata'!$A$6:$S$214,19,FALSE))</f>
        <v>3</v>
      </c>
      <c r="AF33" s="88" t="str">
        <f>VLOOKUP($B33,'2007-2020 Metadata'!$A$4:$S$214,MATCH("Site type",'2007-2020 Metadata'!$A$4:$S$4,0),FALSE)</f>
        <v>Background</v>
      </c>
      <c r="AG33" s="143">
        <f t="shared" si="8"/>
        <v>6.3</v>
      </c>
      <c r="AH33" s="143">
        <f t="shared" si="9"/>
        <v>19.3</v>
      </c>
      <c r="AI33" s="144">
        <f t="shared" si="10"/>
        <v>26.595833333333331</v>
      </c>
    </row>
    <row r="34" spans="2:35" ht="12" customHeight="1" x14ac:dyDescent="0.15">
      <c r="B34" s="231" t="s">
        <v>1018</v>
      </c>
      <c r="C34" s="222">
        <v>9.3000000000000007</v>
      </c>
      <c r="D34" s="222">
        <v>13.3</v>
      </c>
      <c r="E34" s="222">
        <v>13.7</v>
      </c>
      <c r="F34" s="222">
        <v>14.7</v>
      </c>
      <c r="G34" s="222">
        <v>18.3</v>
      </c>
      <c r="H34" s="222">
        <v>20.8</v>
      </c>
      <c r="I34" s="222"/>
      <c r="J34" s="222"/>
      <c r="K34" s="222"/>
      <c r="L34" s="222"/>
      <c r="M34" s="341"/>
      <c r="N34" s="341"/>
      <c r="O34" s="223">
        <f t="shared" si="0"/>
        <v>15.016666666666666</v>
      </c>
      <c r="P34" s="223">
        <f t="shared" si="1"/>
        <v>24.571453748199403</v>
      </c>
      <c r="Q34" s="224">
        <f t="shared" si="2"/>
        <v>0.5</v>
      </c>
      <c r="R34" s="225">
        <f t="shared" si="12"/>
        <v>12.1</v>
      </c>
      <c r="S34" s="226">
        <f t="shared" si="3"/>
        <v>1</v>
      </c>
      <c r="T34" s="225" t="str">
        <f t="shared" si="13"/>
        <v/>
      </c>
      <c r="U34" s="226">
        <f t="shared" si="4"/>
        <v>0</v>
      </c>
      <c r="V34" s="227" t="str">
        <f t="shared" si="14"/>
        <v>-</v>
      </c>
      <c r="W34" s="228">
        <f t="shared" si="5"/>
        <v>0.5</v>
      </c>
      <c r="X34" s="144">
        <f t="shared" si="6"/>
        <v>12.1</v>
      </c>
      <c r="Y34" s="144" t="str">
        <f t="shared" si="7"/>
        <v/>
      </c>
      <c r="Z34" s="144" t="str">
        <f t="shared" si="11"/>
        <v>-</v>
      </c>
      <c r="AA34" s="205"/>
      <c r="AB34" s="357" t="str">
        <f>VLOOKUP($B34,'2007-2020 Metadata'!$A$4:$S$214,MATCH("Urban Area /Monitoring Zone",'2007-2020 Metadata'!$A$4:$S$4,0),FALSE)</f>
        <v>Auckland - Western</v>
      </c>
      <c r="AC34" s="229" t="str">
        <f>VLOOKUP(B34,'2007-2020 Metadata'!$A$6:$A$214,1,FALSE)</f>
        <v>AUC049a</v>
      </c>
      <c r="AD34" s="230" t="str">
        <f>VLOOKUP($AC34,'2007-2020 Metadata'!$A$6:$S$214,9,FALSE)</f>
        <v>Waitakere</v>
      </c>
      <c r="AE34" s="230" t="str">
        <f>IF(ISBLANK(VLOOKUP($AC34,'2007-2020 Metadata'!$A$6:$S$214,19,FALSE)),"",VLOOKUP($AC34,'2007-2020 Metadata'!$A$6:$S$214,19,FALSE))</f>
        <v/>
      </c>
      <c r="AF34" s="88" t="str">
        <f>VLOOKUP($B34,'2007-2020 Metadata'!$A$4:$S$214,MATCH("Site type",'2007-2020 Metadata'!$A$4:$S$4,0),FALSE)</f>
        <v>Local (ex SH)</v>
      </c>
      <c r="AG34" s="143">
        <f t="shared" si="8"/>
        <v>9.3000000000000007</v>
      </c>
      <c r="AH34" s="143">
        <f t="shared" si="9"/>
        <v>20.8</v>
      </c>
      <c r="AI34" s="144" t="str">
        <f t="shared" si="10"/>
        <v xml:space="preserve"> </v>
      </c>
    </row>
    <row r="35" spans="2:35" ht="12" customHeight="1" x14ac:dyDescent="0.15">
      <c r="B35" s="231" t="s">
        <v>1019</v>
      </c>
      <c r="C35" s="341"/>
      <c r="D35" s="341"/>
      <c r="E35" s="341"/>
      <c r="F35" s="341"/>
      <c r="G35" s="341"/>
      <c r="H35" s="341"/>
      <c r="I35" s="341"/>
      <c r="J35" s="341"/>
      <c r="K35" s="341"/>
      <c r="L35" s="341"/>
      <c r="M35" s="222">
        <v>15.5</v>
      </c>
      <c r="N35" s="222">
        <v>14.7</v>
      </c>
      <c r="O35" s="223">
        <f t="shared" ref="O35" si="27">(AVERAGE(C35:N35))</f>
        <v>15.1</v>
      </c>
      <c r="P35" s="223">
        <f t="shared" ref="P35" si="28">IFERROR((STDEVP(C35:N35)/O35)*100,"")</f>
        <v>2.6490066225165587</v>
      </c>
      <c r="Q35" s="224">
        <f t="shared" ref="Q35" si="29">COUNT(C35:N35)/COUNT($C$6:$N$6)</f>
        <v>0.16666666666666666</v>
      </c>
      <c r="R35" s="225" t="str">
        <f t="shared" si="12"/>
        <v/>
      </c>
      <c r="S35" s="226">
        <f t="shared" ref="S35" si="30">COUNT(C35:E35)/3</f>
        <v>0</v>
      </c>
      <c r="T35" s="225" t="str">
        <f t="shared" si="13"/>
        <v/>
      </c>
      <c r="U35" s="226">
        <f t="shared" ref="U35" si="31">COUNT(I35:K35)/3</f>
        <v>0</v>
      </c>
      <c r="V35" s="227" t="str">
        <f t="shared" si="14"/>
        <v>-</v>
      </c>
      <c r="W35" s="228">
        <f t="shared" ref="W35" si="32">Q35</f>
        <v>0.16666666666666666</v>
      </c>
      <c r="X35" s="144" t="str">
        <f t="shared" si="6"/>
        <v/>
      </c>
      <c r="Y35" s="144" t="str">
        <f t="shared" si="7"/>
        <v/>
      </c>
      <c r="Z35" s="144" t="str">
        <f t="shared" si="11"/>
        <v>-</v>
      </c>
      <c r="AA35" s="205"/>
      <c r="AB35" s="357" t="str">
        <f>VLOOKUP($B35,'2007-2020 Metadata'!$A$4:$S$214,MATCH("Urban Area /Monitoring Zone",'2007-2020 Metadata'!$A$4:$S$4,0),FALSE)</f>
        <v>Auckland - Western</v>
      </c>
      <c r="AC35" s="229" t="str">
        <f>VLOOKUP(B35,'2007-2020 Metadata'!$A$6:$A$214,1,FALSE)</f>
        <v>AUC049b</v>
      </c>
      <c r="AD35" s="230" t="str">
        <f>VLOOKUP($AC35,'2007-2020 Metadata'!$A$6:$S$214,9,FALSE)</f>
        <v>Waitakere</v>
      </c>
      <c r="AE35" s="230" t="str">
        <f>IF(ISBLANK(VLOOKUP($AC35,'2007-2020 Metadata'!$A$6:$S$214,19,FALSE)),"",VLOOKUP($AC35,'2007-2020 Metadata'!$A$6:$S$214,19,FALSE))</f>
        <v/>
      </c>
      <c r="AF35" s="88" t="str">
        <f>VLOOKUP($B35,'2007-2020 Metadata'!$A$4:$S$214,MATCH("Site type",'2007-2020 Metadata'!$A$4:$S$4,0),FALSE)</f>
        <v>Local (ex SH)</v>
      </c>
      <c r="AG35" s="143">
        <f t="shared" ref="AG35" si="33">MIN(C35:N35)</f>
        <v>14.7</v>
      </c>
      <c r="AH35" s="143">
        <f t="shared" ref="AH35" si="34">MAX(C35:N35)</f>
        <v>15.5</v>
      </c>
      <c r="AI35" s="144" t="str">
        <f t="shared" ref="AI35" si="35">IF(W35&gt;=75%,Z35," ")</f>
        <v xml:space="preserve"> </v>
      </c>
    </row>
    <row r="36" spans="2:35" ht="12" customHeight="1" x14ac:dyDescent="0.15">
      <c r="B36" s="231" t="s">
        <v>1020</v>
      </c>
      <c r="C36" s="222">
        <v>9.4</v>
      </c>
      <c r="D36" s="222">
        <v>24.1</v>
      </c>
      <c r="E36" s="222">
        <v>22</v>
      </c>
      <c r="F36" s="222">
        <v>25.5</v>
      </c>
      <c r="G36" s="222">
        <v>30.4</v>
      </c>
      <c r="H36" s="222">
        <v>30.3</v>
      </c>
      <c r="I36" s="222">
        <v>30.5</v>
      </c>
      <c r="J36" s="222">
        <v>31.6</v>
      </c>
      <c r="K36" s="222">
        <v>16.100000000000001</v>
      </c>
      <c r="L36" s="222"/>
      <c r="M36" s="222">
        <v>25.3</v>
      </c>
      <c r="N36" s="222">
        <v>10.8</v>
      </c>
      <c r="O36" s="223">
        <f t="shared" si="0"/>
        <v>23.272727272727273</v>
      </c>
      <c r="P36" s="223">
        <f t="shared" si="1"/>
        <v>32.585290354099023</v>
      </c>
      <c r="Q36" s="224">
        <f t="shared" si="2"/>
        <v>0.91666666666666663</v>
      </c>
      <c r="R36" s="225">
        <f t="shared" si="12"/>
        <v>18.5</v>
      </c>
      <c r="S36" s="226">
        <f t="shared" si="3"/>
        <v>1</v>
      </c>
      <c r="T36" s="225">
        <f t="shared" si="13"/>
        <v>26.066666666666666</v>
      </c>
      <c r="U36" s="226">
        <f t="shared" si="4"/>
        <v>1</v>
      </c>
      <c r="V36" s="227">
        <f t="shared" si="14"/>
        <v>23.272727272727273</v>
      </c>
      <c r="W36" s="228">
        <f t="shared" si="5"/>
        <v>0.91666666666666663</v>
      </c>
      <c r="X36" s="144">
        <f t="shared" si="6"/>
        <v>18.5</v>
      </c>
      <c r="Y36" s="144">
        <f t="shared" si="7"/>
        <v>26.066666666666666</v>
      </c>
      <c r="Z36" s="144">
        <f t="shared" si="11"/>
        <v>23.272727272727273</v>
      </c>
      <c r="AA36" s="205"/>
      <c r="AB36" s="357">
        <f>VLOOKUP($B36,'2007-2020 Metadata'!$A$4:$S$214,MATCH("Urban Area /Monitoring Zone",'2007-2020 Metadata'!$A$4:$S$4,0),FALSE)</f>
        <v>0</v>
      </c>
      <c r="AC36" s="229" t="str">
        <f>VLOOKUP(B36,'2007-2020 Metadata'!$A$6:$A$214,1,FALSE)</f>
        <v>AUC050a</v>
      </c>
      <c r="AD36" s="230">
        <f>VLOOKUP($AC36,'2007-2020 Metadata'!$A$6:$S$214,9,FALSE)</f>
        <v>0</v>
      </c>
      <c r="AE36" s="230" t="str">
        <f>IF(ISBLANK(VLOOKUP($AC36,'2007-2020 Metadata'!$A$6:$S$214,19,FALSE)),"",VLOOKUP($AC36,'2007-2020 Metadata'!$A$6:$S$214,19,FALSE))</f>
        <v/>
      </c>
      <c r="AF36" s="88" t="str">
        <f>VLOOKUP($B36,'2007-2020 Metadata'!$A$4:$S$214,MATCH("Site type",'2007-2020 Metadata'!$A$4:$S$4,0),FALSE)</f>
        <v>SH</v>
      </c>
      <c r="AG36" s="143">
        <f t="shared" si="8"/>
        <v>9.4</v>
      </c>
      <c r="AH36" s="143">
        <f t="shared" si="9"/>
        <v>31.6</v>
      </c>
      <c r="AI36" s="144">
        <f t="shared" si="10"/>
        <v>23.272727272727273</v>
      </c>
    </row>
    <row r="37" spans="2:35" ht="12" customHeight="1" x14ac:dyDescent="0.15">
      <c r="B37" s="231" t="s">
        <v>1024</v>
      </c>
      <c r="C37" s="222">
        <v>14.1</v>
      </c>
      <c r="D37" s="222">
        <v>17.100000000000001</v>
      </c>
      <c r="E37" s="222">
        <v>17.899999999999999</v>
      </c>
      <c r="F37" s="222">
        <v>20.7</v>
      </c>
      <c r="G37" s="222">
        <v>23</v>
      </c>
      <c r="H37" s="222">
        <v>27.8</v>
      </c>
      <c r="I37" s="222">
        <v>30.4</v>
      </c>
      <c r="J37" s="222">
        <v>21.9</v>
      </c>
      <c r="K37" s="222">
        <v>20.8</v>
      </c>
      <c r="L37" s="222"/>
      <c r="M37" s="222"/>
      <c r="N37" s="222">
        <v>11.6</v>
      </c>
      <c r="O37" s="223">
        <f t="shared" si="0"/>
        <v>20.53</v>
      </c>
      <c r="P37" s="223">
        <f t="shared" si="1"/>
        <v>26.595449524373116</v>
      </c>
      <c r="Q37" s="224">
        <f t="shared" si="2"/>
        <v>0.83333333333333337</v>
      </c>
      <c r="R37" s="225">
        <f t="shared" si="12"/>
        <v>16.366666666666667</v>
      </c>
      <c r="S37" s="226">
        <f t="shared" si="3"/>
        <v>1</v>
      </c>
      <c r="T37" s="225">
        <f t="shared" si="13"/>
        <v>24.366666666666664</v>
      </c>
      <c r="U37" s="226">
        <f t="shared" si="4"/>
        <v>1</v>
      </c>
      <c r="V37" s="227">
        <f t="shared" si="14"/>
        <v>20.53</v>
      </c>
      <c r="W37" s="228">
        <f t="shared" si="5"/>
        <v>0.83333333333333337</v>
      </c>
      <c r="X37" s="144">
        <f t="shared" si="6"/>
        <v>16.366666666666667</v>
      </c>
      <c r="Y37" s="144">
        <f t="shared" si="7"/>
        <v>24.366666666666664</v>
      </c>
      <c r="Z37" s="144">
        <f t="shared" si="11"/>
        <v>20.53</v>
      </c>
      <c r="AA37" s="205"/>
      <c r="AB37" s="357">
        <f>VLOOKUP($B37,'2007-2020 Metadata'!$A$4:$S$214,MATCH("Urban Area /Monitoring Zone",'2007-2020 Metadata'!$A$4:$S$4,0),FALSE)</f>
        <v>0</v>
      </c>
      <c r="AC37" s="229" t="str">
        <f>VLOOKUP(B37,'2007-2020 Metadata'!$A$6:$A$214,1,FALSE)</f>
        <v>AUC051a</v>
      </c>
      <c r="AD37" s="230">
        <f>VLOOKUP($AC37,'2007-2020 Metadata'!$A$6:$S$214,9,FALSE)</f>
        <v>0</v>
      </c>
      <c r="AE37" s="230" t="str">
        <f>IF(ISBLANK(VLOOKUP($AC37,'2007-2020 Metadata'!$A$6:$S$214,19,FALSE)),"",VLOOKUP($AC37,'2007-2020 Metadata'!$A$6:$S$214,19,FALSE))</f>
        <v/>
      </c>
      <c r="AF37" s="88" t="str">
        <f>VLOOKUP($B37,'2007-2020 Metadata'!$A$4:$S$214,MATCH("Site type",'2007-2020 Metadata'!$A$4:$S$4,0),FALSE)</f>
        <v>SH</v>
      </c>
      <c r="AG37" s="143">
        <f t="shared" si="8"/>
        <v>11.6</v>
      </c>
      <c r="AH37" s="143">
        <f t="shared" si="9"/>
        <v>30.4</v>
      </c>
      <c r="AI37" s="144">
        <f t="shared" si="10"/>
        <v>20.53</v>
      </c>
    </row>
    <row r="38" spans="2:35" ht="12" customHeight="1" x14ac:dyDescent="0.15">
      <c r="B38" s="231" t="s">
        <v>73</v>
      </c>
      <c r="C38" s="222">
        <v>10.5</v>
      </c>
      <c r="D38" s="222">
        <v>17.2</v>
      </c>
      <c r="E38" s="222">
        <v>19</v>
      </c>
      <c r="F38" s="222">
        <v>23.7</v>
      </c>
      <c r="G38" s="222">
        <v>23.6</v>
      </c>
      <c r="H38" s="222">
        <v>26.6</v>
      </c>
      <c r="I38" s="222">
        <v>25.7</v>
      </c>
      <c r="J38" s="222">
        <v>24.7</v>
      </c>
      <c r="K38" s="222">
        <v>17.399999999999999</v>
      </c>
      <c r="L38" s="222">
        <v>14.7</v>
      </c>
      <c r="M38" s="222">
        <v>14.7</v>
      </c>
      <c r="N38" s="222">
        <v>10.5</v>
      </c>
      <c r="O38" s="223">
        <f t="shared" si="0"/>
        <v>19.024999999999995</v>
      </c>
      <c r="P38" s="223">
        <f t="shared" si="1"/>
        <v>29.015156916981073</v>
      </c>
      <c r="Q38" s="224">
        <f t="shared" si="2"/>
        <v>1</v>
      </c>
      <c r="R38" s="225">
        <f t="shared" si="12"/>
        <v>15.566666666666668</v>
      </c>
      <c r="S38" s="226">
        <f t="shared" si="3"/>
        <v>1</v>
      </c>
      <c r="T38" s="225">
        <f t="shared" si="13"/>
        <v>22.599999999999998</v>
      </c>
      <c r="U38" s="226">
        <f t="shared" si="4"/>
        <v>1</v>
      </c>
      <c r="V38" s="227">
        <f t="shared" si="14"/>
        <v>19.024999999999995</v>
      </c>
      <c r="W38" s="228">
        <f t="shared" si="5"/>
        <v>1</v>
      </c>
      <c r="X38" s="144">
        <f t="shared" si="6"/>
        <v>13.804761904761904</v>
      </c>
      <c r="Y38" s="144">
        <f t="shared" si="7"/>
        <v>17.927777777777777</v>
      </c>
      <c r="Z38" s="144">
        <f t="shared" si="11"/>
        <v>16.226388888888888</v>
      </c>
      <c r="AA38" s="205"/>
      <c r="AB38" s="357" t="str">
        <f>VLOOKUP($B38,'2007-2020 Metadata'!$A$4:$S$214,MATCH("Urban Area /Monitoring Zone",'2007-2020 Metadata'!$A$4:$S$4,0),FALSE)</f>
        <v>Auckland - Western</v>
      </c>
      <c r="AC38" s="229" t="str">
        <f>VLOOKUP(B38,'2007-2020 Metadata'!$A$6:$A$214,1,FALSE)</f>
        <v>AUC052</v>
      </c>
      <c r="AD38" s="230" t="str">
        <f>VLOOKUP($AC38,'2007-2020 Metadata'!$A$6:$S$214,9,FALSE)</f>
        <v>Waitakere</v>
      </c>
      <c r="AE38" s="230">
        <f>IF(ISBLANK(VLOOKUP($AC38,'2007-2020 Metadata'!$A$6:$S$214,19,FALSE)),"",VLOOKUP($AC38,'2007-2020 Metadata'!$A$6:$S$214,19,FALSE))</f>
        <v>3</v>
      </c>
      <c r="AF38" s="88" t="str">
        <f>VLOOKUP($B38,'2007-2020 Metadata'!$A$4:$S$214,MATCH("Site type",'2007-2020 Metadata'!$A$4:$S$4,0),FALSE)</f>
        <v>Local</v>
      </c>
      <c r="AG38" s="143">
        <f t="shared" si="8"/>
        <v>10.5</v>
      </c>
      <c r="AH38" s="143">
        <f t="shared" si="9"/>
        <v>26.6</v>
      </c>
      <c r="AI38" s="144">
        <f t="shared" si="10"/>
        <v>16.226388888888888</v>
      </c>
    </row>
    <row r="39" spans="2:35" ht="12" customHeight="1" x14ac:dyDescent="0.15">
      <c r="B39" s="231" t="s">
        <v>1026</v>
      </c>
      <c r="C39" s="222">
        <v>15.9</v>
      </c>
      <c r="D39" s="222"/>
      <c r="E39" s="222">
        <v>22.1</v>
      </c>
      <c r="F39" s="222">
        <v>24.1</v>
      </c>
      <c r="G39" s="222">
        <v>30.6</v>
      </c>
      <c r="H39" s="222"/>
      <c r="I39" s="222">
        <v>35.4</v>
      </c>
      <c r="J39" s="222">
        <v>29.8</v>
      </c>
      <c r="K39" s="222">
        <v>26.4</v>
      </c>
      <c r="L39" s="341"/>
      <c r="M39" s="341"/>
      <c r="N39" s="341"/>
      <c r="O39" s="223">
        <f t="shared" si="0"/>
        <v>26.328571428571429</v>
      </c>
      <c r="P39" s="223">
        <f t="shared" si="1"/>
        <v>22.433210590742529</v>
      </c>
      <c r="Q39" s="224">
        <f t="shared" si="2"/>
        <v>0.58333333333333337</v>
      </c>
      <c r="R39" s="225">
        <f t="shared" si="12"/>
        <v>19</v>
      </c>
      <c r="S39" s="226">
        <f t="shared" si="3"/>
        <v>0.66666666666666663</v>
      </c>
      <c r="T39" s="225">
        <f t="shared" si="13"/>
        <v>30.533333333333331</v>
      </c>
      <c r="U39" s="226">
        <f t="shared" si="4"/>
        <v>1</v>
      </c>
      <c r="V39" s="227" t="str">
        <f t="shared" si="14"/>
        <v>-</v>
      </c>
      <c r="W39" s="228">
        <f t="shared" si="5"/>
        <v>0.58333333333333337</v>
      </c>
      <c r="X39" s="144">
        <f t="shared" si="6"/>
        <v>19</v>
      </c>
      <c r="Y39" s="144">
        <f t="shared" si="7"/>
        <v>30.533333333333331</v>
      </c>
      <c r="Z39" s="144" t="str">
        <f t="shared" si="11"/>
        <v>-</v>
      </c>
      <c r="AA39" s="205"/>
      <c r="AB39" s="357">
        <f>VLOOKUP($B39,'2007-2020 Metadata'!$A$4:$S$214,MATCH("Urban Area /Monitoring Zone",'2007-2020 Metadata'!$A$4:$S$4,0),FALSE)</f>
        <v>0</v>
      </c>
      <c r="AC39" s="229" t="str">
        <f>VLOOKUP(B39,'2007-2020 Metadata'!$A$6:$A$214,1,FALSE)</f>
        <v>AUC053a</v>
      </c>
      <c r="AD39" s="230">
        <f>VLOOKUP($AC39,'2007-2020 Metadata'!$A$6:$S$214,9,FALSE)</f>
        <v>0</v>
      </c>
      <c r="AE39" s="230" t="str">
        <f>IF(ISBLANK(VLOOKUP($AC39,'2007-2020 Metadata'!$A$6:$S$214,19,FALSE)),"",VLOOKUP($AC39,'2007-2020 Metadata'!$A$6:$S$214,19,FALSE))</f>
        <v/>
      </c>
      <c r="AF39" s="88" t="str">
        <f>VLOOKUP($B39,'2007-2020 Metadata'!$A$4:$S$214,MATCH("Site type",'2007-2020 Metadata'!$A$4:$S$4,0),FALSE)</f>
        <v>Local</v>
      </c>
      <c r="AG39" s="143">
        <f t="shared" si="8"/>
        <v>15.9</v>
      </c>
      <c r="AH39" s="143">
        <f t="shared" si="9"/>
        <v>35.4</v>
      </c>
      <c r="AI39" s="144" t="str">
        <f t="shared" si="10"/>
        <v xml:space="preserve"> </v>
      </c>
    </row>
    <row r="40" spans="2:35" ht="12" customHeight="1" x14ac:dyDescent="0.15">
      <c r="B40" s="231" t="s">
        <v>1028</v>
      </c>
      <c r="C40" s="341"/>
      <c r="D40" s="341"/>
      <c r="E40" s="341"/>
      <c r="F40" s="341"/>
      <c r="G40" s="341"/>
      <c r="H40" s="341"/>
      <c r="I40" s="341"/>
      <c r="J40" s="341"/>
      <c r="K40" s="341"/>
      <c r="L40" s="222">
        <v>23.2</v>
      </c>
      <c r="M40" s="222">
        <v>18.899999999999999</v>
      </c>
      <c r="N40" s="222">
        <v>19.399999999999999</v>
      </c>
      <c r="O40" s="223">
        <f t="shared" ref="O40" si="36">(AVERAGE(C40:N40))</f>
        <v>20.499999999999996</v>
      </c>
      <c r="P40" s="223">
        <f t="shared" ref="P40" si="37">IFERROR((STDEVP(C40:N40)/O40)*100,"")</f>
        <v>9.3661924057981611</v>
      </c>
      <c r="Q40" s="224">
        <f t="shared" ref="Q40" si="38">COUNT(C40:N40)/COUNT($C$6:$N$6)</f>
        <v>0.25</v>
      </c>
      <c r="R40" s="225" t="str">
        <f t="shared" si="12"/>
        <v/>
      </c>
      <c r="S40" s="226">
        <f t="shared" ref="S40" si="39">COUNT(C40:E40)/3</f>
        <v>0</v>
      </c>
      <c r="T40" s="225" t="str">
        <f t="shared" si="13"/>
        <v/>
      </c>
      <c r="U40" s="226">
        <f t="shared" ref="U40" si="40">COUNT(I40:K40)/3</f>
        <v>0</v>
      </c>
      <c r="V40" s="227" t="str">
        <f t="shared" si="14"/>
        <v>-</v>
      </c>
      <c r="W40" s="228">
        <f t="shared" ref="W40" si="41">Q40</f>
        <v>0.25</v>
      </c>
      <c r="X40" s="144" t="str">
        <f t="shared" si="6"/>
        <v/>
      </c>
      <c r="Y40" s="144" t="str">
        <f t="shared" si="7"/>
        <v/>
      </c>
      <c r="Z40" s="144" t="str">
        <f t="shared" si="11"/>
        <v>-</v>
      </c>
      <c r="AA40" s="205"/>
      <c r="AB40" s="357">
        <f>VLOOKUP($B40,'2007-2020 Metadata'!$A$4:$S$214,MATCH("Urban Area /Monitoring Zone",'2007-2020 Metadata'!$A$4:$S$4,0),FALSE)</f>
        <v>0</v>
      </c>
      <c r="AC40" s="229" t="str">
        <f>VLOOKUP(B40,'2007-2020 Metadata'!$A$6:$A$214,1,FALSE)</f>
        <v>AUC053b</v>
      </c>
      <c r="AD40" s="230">
        <f>VLOOKUP($AC40,'2007-2020 Metadata'!$A$6:$S$214,9,FALSE)</f>
        <v>0</v>
      </c>
      <c r="AE40" s="230" t="str">
        <f>IF(ISBLANK(VLOOKUP($AC40,'2007-2020 Metadata'!$A$6:$S$214,19,FALSE)),"",VLOOKUP($AC40,'2007-2020 Metadata'!$A$6:$S$214,19,FALSE))</f>
        <v/>
      </c>
      <c r="AF40" s="88" t="str">
        <f>VLOOKUP($B40,'2007-2020 Metadata'!$A$4:$S$214,MATCH("Site type",'2007-2020 Metadata'!$A$4:$S$4,0),FALSE)</f>
        <v>Local</v>
      </c>
      <c r="AG40" s="143">
        <f t="shared" ref="AG40" si="42">MIN(C40:N40)</f>
        <v>18.899999999999999</v>
      </c>
      <c r="AH40" s="143">
        <f t="shared" ref="AH40" si="43">MAX(C40:N40)</f>
        <v>23.2</v>
      </c>
      <c r="AI40" s="144" t="str">
        <f t="shared" ref="AI40" si="44">IF(W40&gt;=75%,Z40," ")</f>
        <v xml:space="preserve"> </v>
      </c>
    </row>
    <row r="41" spans="2:35" ht="12" customHeight="1" x14ac:dyDescent="0.15">
      <c r="B41" s="231" t="s">
        <v>1030</v>
      </c>
      <c r="C41" s="222">
        <v>8.6</v>
      </c>
      <c r="D41" s="222">
        <v>15.1</v>
      </c>
      <c r="E41" s="222">
        <v>16.8</v>
      </c>
      <c r="F41" s="222">
        <v>20</v>
      </c>
      <c r="G41" s="222">
        <v>21.9</v>
      </c>
      <c r="H41" s="222">
        <v>22.1</v>
      </c>
      <c r="I41" s="222">
        <v>20.3</v>
      </c>
      <c r="J41" s="222">
        <v>12.9</v>
      </c>
      <c r="K41" s="222">
        <v>9.5</v>
      </c>
      <c r="L41" s="222">
        <v>10.1</v>
      </c>
      <c r="M41" s="222">
        <v>15.7</v>
      </c>
      <c r="N41" s="222">
        <v>8.8000000000000007</v>
      </c>
      <c r="O41" s="223">
        <f t="shared" si="0"/>
        <v>15.149999999999999</v>
      </c>
      <c r="P41" s="223">
        <f t="shared" si="1"/>
        <v>32.596502815084868</v>
      </c>
      <c r="Q41" s="224">
        <f t="shared" si="2"/>
        <v>1</v>
      </c>
      <c r="R41" s="251">
        <f t="shared" si="12"/>
        <v>13.5</v>
      </c>
      <c r="S41" s="252">
        <f t="shared" si="3"/>
        <v>1</v>
      </c>
      <c r="T41" s="251">
        <f t="shared" si="13"/>
        <v>14.233333333333334</v>
      </c>
      <c r="U41" s="252">
        <f t="shared" si="4"/>
        <v>1</v>
      </c>
      <c r="V41" s="253">
        <f t="shared" si="14"/>
        <v>15.149999999999999</v>
      </c>
      <c r="W41" s="252">
        <f t="shared" si="5"/>
        <v>1</v>
      </c>
      <c r="X41" s="177">
        <f t="shared" si="6"/>
        <v>13.5</v>
      </c>
      <c r="Y41" s="177">
        <f t="shared" si="7"/>
        <v>14.233333333333334</v>
      </c>
      <c r="Z41" s="177">
        <f t="shared" si="11"/>
        <v>15.149999999999999</v>
      </c>
      <c r="AA41" s="205"/>
      <c r="AB41" s="357">
        <f>VLOOKUP($B41,'2007-2020 Metadata'!$A$4:$S$214,MATCH("Urban Area /Monitoring Zone",'2007-2020 Metadata'!$A$4:$S$4,0),FALSE)</f>
        <v>0</v>
      </c>
      <c r="AC41" s="255" t="str">
        <f>VLOOKUP(B41,'2007-2020 Metadata'!$A$6:$A$214,1,FALSE)</f>
        <v>AUC054a</v>
      </c>
      <c r="AD41" s="256">
        <f>VLOOKUP($AC41,'2007-2020 Metadata'!$A$6:$S$214,9,FALSE)</f>
        <v>0</v>
      </c>
      <c r="AE41" s="256" t="str">
        <f>IF(ISBLANK(VLOOKUP($AC41,'2007-2020 Metadata'!$A$6:$S$214,19,FALSE)),"",VLOOKUP($AC41,'2007-2020 Metadata'!$A$6:$S$214,19,FALSE))</f>
        <v/>
      </c>
      <c r="AF41" s="257" t="str">
        <f>VLOOKUP($B41,'2007-2020 Metadata'!$A$4:$S$214,MATCH("Site type",'2007-2020 Metadata'!$A$4:$S$4,0),FALSE)</f>
        <v>Local</v>
      </c>
      <c r="AG41" s="258">
        <f>MIN(AVERAGE($C$41:$C$43),AVERAGE($D$41:$D$43),AVERAGE($E$41:$E$43),AVERAGE($F$41:$F$43),AVERAGE($G$41:$G$43),AVERAGE($H$41:$H$43),AVERAGE($I$41:$I$43),AVERAGE($J$41:$J$43),AVERAGE($K$41:$K$43),AVERAGE($L$41:$L$43),AVERAGE($M$41:$M$43),AVERAGE($N$41:$N$43))</f>
        <v>7.4333333333333327</v>
      </c>
      <c r="AH41" s="258">
        <f>MAX(AVERAGE($C$41:$C$43),AVERAGE($D$41:$D$43),AVERAGE($E$41:$E$43),AVERAGE($F$41:$F$43),AVERAGE($G$41:$G$43),AVERAGE($H$41:$H$43),AVERAGE($I$41:$I$43),AVERAGE($J$41:$J$43),AVERAGE($K$41:$K$43),AVERAGE($L$41:$L$43),AVERAGE($M$41:$M$43),AVERAGE($N$41:$N$43))</f>
        <v>22.5</v>
      </c>
      <c r="AI41" s="177">
        <f t="shared" si="10"/>
        <v>15.149999999999999</v>
      </c>
    </row>
    <row r="42" spans="2:35" ht="12" customHeight="1" x14ac:dyDescent="0.15">
      <c r="B42" s="231" t="s">
        <v>1031</v>
      </c>
      <c r="C42" s="222">
        <v>7.3</v>
      </c>
      <c r="D42" s="222">
        <v>14.5</v>
      </c>
      <c r="E42" s="222">
        <v>16</v>
      </c>
      <c r="F42" s="222">
        <v>22.5</v>
      </c>
      <c r="G42" s="222">
        <v>23.1</v>
      </c>
      <c r="H42" s="222">
        <v>24.2</v>
      </c>
      <c r="I42" s="222">
        <v>19</v>
      </c>
      <c r="J42" s="222">
        <v>20.2</v>
      </c>
      <c r="K42" s="222">
        <v>10.4</v>
      </c>
      <c r="L42" s="222">
        <v>10.3</v>
      </c>
      <c r="M42" s="222">
        <v>16.2</v>
      </c>
      <c r="N42" s="222"/>
      <c r="O42" s="223">
        <f t="shared" si="0"/>
        <v>16.700000000000003</v>
      </c>
      <c r="P42" s="223">
        <f t="shared" si="1"/>
        <v>32.447033813466973</v>
      </c>
      <c r="Q42" s="224">
        <f t="shared" si="2"/>
        <v>0.91666666666666663</v>
      </c>
      <c r="R42" s="251">
        <f t="shared" si="12"/>
        <v>12.6</v>
      </c>
      <c r="S42" s="252">
        <f t="shared" si="3"/>
        <v>1</v>
      </c>
      <c r="T42" s="251">
        <f t="shared" si="13"/>
        <v>16.533333333333335</v>
      </c>
      <c r="U42" s="252">
        <f t="shared" si="4"/>
        <v>1</v>
      </c>
      <c r="V42" s="253">
        <f t="shared" si="14"/>
        <v>16.700000000000003</v>
      </c>
      <c r="W42" s="252">
        <f t="shared" si="5"/>
        <v>0.91666666666666663</v>
      </c>
      <c r="X42" s="177">
        <f t="shared" si="6"/>
        <v>12.6</v>
      </c>
      <c r="Y42" s="177">
        <f t="shared" si="7"/>
        <v>16.533333333333335</v>
      </c>
      <c r="Z42" s="177">
        <f t="shared" si="11"/>
        <v>16.700000000000003</v>
      </c>
      <c r="AA42" s="205"/>
      <c r="AB42" s="357">
        <f>VLOOKUP($B42,'2007-2020 Metadata'!$A$4:$S$214,MATCH("Urban Area /Monitoring Zone",'2007-2020 Metadata'!$A$4:$S$4,0),FALSE)</f>
        <v>0</v>
      </c>
      <c r="AC42" s="255" t="str">
        <f>VLOOKUP(B42,'2007-2020 Metadata'!$A$6:$A$214,1,FALSE)</f>
        <v>AUC055a</v>
      </c>
      <c r="AD42" s="256">
        <f>VLOOKUP($AC42,'2007-2020 Metadata'!$A$6:$S$214,9,FALSE)</f>
        <v>0</v>
      </c>
      <c r="AE42" s="256" t="str">
        <f>IF(ISBLANK(VLOOKUP($AC42,'2007-2020 Metadata'!$A$6:$S$214,19,FALSE)),"",VLOOKUP($AC42,'2007-2020 Metadata'!$A$6:$S$214,19,FALSE))</f>
        <v/>
      </c>
      <c r="AF42" s="257" t="str">
        <f>VLOOKUP($B42,'2007-2020 Metadata'!$A$4:$S$214,MATCH("Site type",'2007-2020 Metadata'!$A$4:$S$4,0),FALSE)</f>
        <v>Local</v>
      </c>
      <c r="AG42" s="258">
        <f>MIN(AVERAGE($C$41:$C$43),AVERAGE($D$41:$D$43),AVERAGE($E$41:$E$43),AVERAGE($F$41:$F$43),AVERAGE($G$41:$G$43),AVERAGE($H$41:$H$43),AVERAGE($I$41:$I$43),AVERAGE($J$41:$J$43),AVERAGE($K$41:$K$43),AVERAGE($L$41:$L$43),AVERAGE($M$41:$M$43),AVERAGE($N$41:$N$43))</f>
        <v>7.4333333333333327</v>
      </c>
      <c r="AH42" s="258">
        <f>MAX(AVERAGE($C$41:$C$43),AVERAGE($D$41:$D$43),AVERAGE($E$41:$E$43),AVERAGE($F$41:$F$43),AVERAGE($G$41:$G$43),AVERAGE($H$41:$H$43),AVERAGE($I$41:$I$43),AVERAGE($J$41:$J$43),AVERAGE($K$41:$K$43),AVERAGE($L$41:$L$43),AVERAGE($M$41:$M$43),AVERAGE($N$41:$N$43))</f>
        <v>22.5</v>
      </c>
      <c r="AI42" s="177">
        <f t="shared" si="10"/>
        <v>16.700000000000003</v>
      </c>
    </row>
    <row r="43" spans="2:35" ht="12" customHeight="1" x14ac:dyDescent="0.15">
      <c r="B43" s="231" t="s">
        <v>1032</v>
      </c>
      <c r="C43" s="222">
        <v>6.4</v>
      </c>
      <c r="D43" s="222">
        <v>17.7</v>
      </c>
      <c r="E43" s="222">
        <v>17.100000000000001</v>
      </c>
      <c r="F43" s="222">
        <v>23.7</v>
      </c>
      <c r="G43" s="222"/>
      <c r="H43" s="222">
        <v>20.7</v>
      </c>
      <c r="I43" s="222">
        <v>20.7</v>
      </c>
      <c r="J43" s="222">
        <v>19.899999999999999</v>
      </c>
      <c r="K43" s="222">
        <v>10.199999999999999</v>
      </c>
      <c r="L43" s="222">
        <v>9.9</v>
      </c>
      <c r="M43" s="222">
        <v>15</v>
      </c>
      <c r="N43" s="222">
        <v>8.1</v>
      </c>
      <c r="O43" s="223">
        <f t="shared" si="0"/>
        <v>15.4</v>
      </c>
      <c r="P43" s="223">
        <f t="shared" si="1"/>
        <v>36.37839133943676</v>
      </c>
      <c r="Q43" s="224">
        <f t="shared" si="2"/>
        <v>0.91666666666666663</v>
      </c>
      <c r="R43" s="251">
        <f t="shared" si="12"/>
        <v>13.733333333333334</v>
      </c>
      <c r="S43" s="252">
        <f t="shared" si="3"/>
        <v>1</v>
      </c>
      <c r="T43" s="251">
        <f t="shared" si="13"/>
        <v>16.933333333333334</v>
      </c>
      <c r="U43" s="252">
        <f t="shared" si="4"/>
        <v>1</v>
      </c>
      <c r="V43" s="253">
        <f t="shared" si="14"/>
        <v>15.4</v>
      </c>
      <c r="W43" s="252">
        <f t="shared" si="5"/>
        <v>0.91666666666666663</v>
      </c>
      <c r="X43" s="177">
        <f t="shared" si="6"/>
        <v>13.733333333333334</v>
      </c>
      <c r="Y43" s="177">
        <f t="shared" si="7"/>
        <v>16.933333333333334</v>
      </c>
      <c r="Z43" s="177">
        <f t="shared" si="11"/>
        <v>15.4</v>
      </c>
      <c r="AA43" s="205"/>
      <c r="AB43" s="357">
        <f>VLOOKUP($B43,'2007-2020 Metadata'!$A$4:$S$214,MATCH("Urban Area /Monitoring Zone",'2007-2020 Metadata'!$A$4:$S$4,0),FALSE)</f>
        <v>0</v>
      </c>
      <c r="AC43" s="255" t="str">
        <f>VLOOKUP(B43,'2007-2020 Metadata'!$A$6:$A$214,1,FALSE)</f>
        <v>AUC056a</v>
      </c>
      <c r="AD43" s="256">
        <f>VLOOKUP($AC43,'2007-2020 Metadata'!$A$6:$S$214,9,FALSE)</f>
        <v>0</v>
      </c>
      <c r="AE43" s="256" t="str">
        <f>IF(ISBLANK(VLOOKUP($AC43,'2007-2020 Metadata'!$A$6:$S$214,19,FALSE)),"",VLOOKUP($AC43,'2007-2020 Metadata'!$A$6:$S$214,19,FALSE))</f>
        <v/>
      </c>
      <c r="AF43" s="257" t="str">
        <f>VLOOKUP($B43,'2007-2020 Metadata'!$A$4:$S$214,MATCH("Site type",'2007-2020 Metadata'!$A$4:$S$4,0),FALSE)</f>
        <v>Local</v>
      </c>
      <c r="AG43" s="258">
        <f>MIN(AVERAGE($C$41:$C$43),AVERAGE($D$41:$D$43),AVERAGE($E$41:$E$43),AVERAGE($F$41:$F$43),AVERAGE($G$41:$G$43),AVERAGE($H$41:$H$43),AVERAGE($I$41:$I$43),AVERAGE($J$41:$J$43),AVERAGE($K$41:$K$43),AVERAGE($L$41:$L$43),AVERAGE($M$41:$M$43),AVERAGE($N$41:$N$43))</f>
        <v>7.4333333333333327</v>
      </c>
      <c r="AH43" s="258">
        <f>MAX(AVERAGE($C$41:$C$43),AVERAGE($D$41:$D$43),AVERAGE($E$41:$E$43),AVERAGE($F$41:$F$43),AVERAGE($G$41:$G$43),AVERAGE($H$41:$H$43),AVERAGE($I$41:$I$43),AVERAGE($J$41:$J$43),AVERAGE($K$41:$K$43),AVERAGE($L$41:$L$43),AVERAGE($M$41:$M$43),AVERAGE($N$41:$N$43))</f>
        <v>22.5</v>
      </c>
      <c r="AI43" s="177">
        <f t="shared" si="10"/>
        <v>15.4</v>
      </c>
    </row>
    <row r="44" spans="2:35" ht="12" customHeight="1" x14ac:dyDescent="0.15">
      <c r="B44" s="231" t="s">
        <v>78</v>
      </c>
      <c r="C44" s="222">
        <v>3.8</v>
      </c>
      <c r="D44" s="222">
        <v>8</v>
      </c>
      <c r="E44" s="222">
        <v>9.3000000000000007</v>
      </c>
      <c r="F44" s="222">
        <v>10.1</v>
      </c>
      <c r="G44" s="222">
        <v>13.5</v>
      </c>
      <c r="H44" s="222">
        <v>13.4</v>
      </c>
      <c r="I44" s="222">
        <v>12.2</v>
      </c>
      <c r="J44" s="222">
        <v>9.1999999999999993</v>
      </c>
      <c r="K44" s="222">
        <v>6</v>
      </c>
      <c r="L44" s="222">
        <v>5.7</v>
      </c>
      <c r="M44" s="222">
        <v>7.6</v>
      </c>
      <c r="N44" s="222">
        <v>4.7</v>
      </c>
      <c r="O44" s="223">
        <f t="shared" si="0"/>
        <v>8.625</v>
      </c>
      <c r="P44" s="223">
        <f t="shared" si="1"/>
        <v>36.339164844989355</v>
      </c>
      <c r="Q44" s="224">
        <f t="shared" si="2"/>
        <v>1</v>
      </c>
      <c r="R44" s="251">
        <f t="shared" si="12"/>
        <v>7.0333333333333341</v>
      </c>
      <c r="S44" s="252">
        <f t="shared" si="3"/>
        <v>1</v>
      </c>
      <c r="T44" s="251">
        <f t="shared" si="13"/>
        <v>9.1333333333333329</v>
      </c>
      <c r="U44" s="252">
        <f t="shared" si="4"/>
        <v>1</v>
      </c>
      <c r="V44" s="253">
        <f t="shared" si="14"/>
        <v>8.625</v>
      </c>
      <c r="W44" s="252">
        <f t="shared" si="5"/>
        <v>1</v>
      </c>
      <c r="X44" s="177">
        <f t="shared" si="6"/>
        <v>13.804761904761904</v>
      </c>
      <c r="Y44" s="177">
        <f t="shared" si="7"/>
        <v>17.927777777777777</v>
      </c>
      <c r="Z44" s="177">
        <f t="shared" si="11"/>
        <v>16.226388888888888</v>
      </c>
      <c r="AA44" s="205"/>
      <c r="AB44" s="357" t="str">
        <f>VLOOKUP($B44,'2007-2020 Metadata'!$A$4:$S$214,MATCH("Urban Area /Monitoring Zone",'2007-2020 Metadata'!$A$4:$S$4,0),FALSE)</f>
        <v>Auckland - Western</v>
      </c>
      <c r="AC44" s="255" t="str">
        <f>VLOOKUP(B44,'2007-2020 Metadata'!$A$6:$A$214,1,FALSE)</f>
        <v>AUC057</v>
      </c>
      <c r="AD44" s="256" t="str">
        <f>VLOOKUP($AC44,'2007-2020 Metadata'!$A$6:$S$214,9,FALSE)</f>
        <v>Waitakere</v>
      </c>
      <c r="AE44" s="256">
        <f>IF(ISBLANK(VLOOKUP($AC44,'2007-2020 Metadata'!$A$6:$S$214,19,FALSE)),"",VLOOKUP($AC44,'2007-2020 Metadata'!$A$6:$S$214,19,FALSE))</f>
        <v>3</v>
      </c>
      <c r="AF44" s="257" t="str">
        <f>VLOOKUP($B44,'2007-2020 Metadata'!$A$4:$S$214,MATCH("Site type",'2007-2020 Metadata'!$A$4:$S$4,0),FALSE)</f>
        <v>Background</v>
      </c>
      <c r="AG44" s="258">
        <f>MIN(AVERAGE($C$44:$C$46),AVERAGE($D$44:$D$46),AVERAGE($E$44:$E$46),AVERAGE($F$44:$F$46),AVERAGE($G$44:$G$46),AVERAGE($H$44:$H$46),AVERAGE($I$44:$I$46),AVERAGE($J$44:$J$46),AVERAGE($K$44:$K$46),AVERAGE($L$44:$L$46),AVERAGE($M$44:$M$46),AVERAGE($N$44:$N$46))</f>
        <v>4.3999999999999995</v>
      </c>
      <c r="AH44" s="258">
        <f>MAX(AVERAGE($C$44:$C$46),AVERAGE($D$44:$D$46),AVERAGE($E$44:$E$46),AVERAGE($F$44:$F$46),AVERAGE($G$44:$G$46),AVERAGE($H$44:$H$46),AVERAGE($I$44:$I$46),AVERAGE($J$44:$J$46),AVERAGE($K$44:$K$46),AVERAGE($L$44:$L$46),AVERAGE($M$44:$M$46),AVERAGE($N$44:$N$46))</f>
        <v>13.6</v>
      </c>
      <c r="AI44" s="177">
        <f t="shared" si="10"/>
        <v>16.226388888888888</v>
      </c>
    </row>
    <row r="45" spans="2:35" ht="12" customHeight="1" x14ac:dyDescent="0.15">
      <c r="B45" s="231" t="s">
        <v>79</v>
      </c>
      <c r="C45" s="222">
        <v>3.9</v>
      </c>
      <c r="D45" s="222">
        <v>7.8</v>
      </c>
      <c r="E45" s="222">
        <v>11.1</v>
      </c>
      <c r="F45" s="222">
        <v>10.1</v>
      </c>
      <c r="G45" s="222">
        <v>13.8</v>
      </c>
      <c r="H45" s="222">
        <v>13.4</v>
      </c>
      <c r="I45" s="222">
        <v>13</v>
      </c>
      <c r="J45" s="222">
        <v>12.5</v>
      </c>
      <c r="K45" s="222">
        <v>6.3</v>
      </c>
      <c r="L45" s="222">
        <v>5.4</v>
      </c>
      <c r="M45" s="222">
        <v>7.7</v>
      </c>
      <c r="N45" s="222">
        <v>5</v>
      </c>
      <c r="O45" s="223">
        <f t="shared" si="0"/>
        <v>9.1666666666666661</v>
      </c>
      <c r="P45" s="223">
        <f t="shared" si="1"/>
        <v>37.43777206057414</v>
      </c>
      <c r="Q45" s="224">
        <f t="shared" si="2"/>
        <v>1</v>
      </c>
      <c r="R45" s="251">
        <f t="shared" si="12"/>
        <v>7.5999999999999988</v>
      </c>
      <c r="S45" s="252">
        <f t="shared" si="3"/>
        <v>1</v>
      </c>
      <c r="T45" s="251">
        <f t="shared" si="13"/>
        <v>10.6</v>
      </c>
      <c r="U45" s="252">
        <f t="shared" si="4"/>
        <v>1</v>
      </c>
      <c r="V45" s="253">
        <f t="shared" si="14"/>
        <v>9.1666666666666661</v>
      </c>
      <c r="W45" s="252">
        <f t="shared" si="5"/>
        <v>1</v>
      </c>
      <c r="X45" s="177">
        <f t="shared" si="6"/>
        <v>13.804761904761904</v>
      </c>
      <c r="Y45" s="177">
        <f t="shared" si="7"/>
        <v>17.927777777777777</v>
      </c>
      <c r="Z45" s="177">
        <f t="shared" si="11"/>
        <v>16.226388888888888</v>
      </c>
      <c r="AA45" s="205"/>
      <c r="AB45" s="357" t="str">
        <f>VLOOKUP($B45,'2007-2020 Metadata'!$A$4:$S$214,MATCH("Urban Area /Monitoring Zone",'2007-2020 Metadata'!$A$4:$S$4,0),FALSE)</f>
        <v>Auckland - Western</v>
      </c>
      <c r="AC45" s="255" t="str">
        <f>VLOOKUP(B45,'2007-2020 Metadata'!$A$6:$A$214,1,FALSE)</f>
        <v>AUC058</v>
      </c>
      <c r="AD45" s="256" t="str">
        <f>VLOOKUP($AC45,'2007-2020 Metadata'!$A$6:$S$214,9,FALSE)</f>
        <v>Waitakere</v>
      </c>
      <c r="AE45" s="256">
        <f>IF(ISBLANK(VLOOKUP($AC45,'2007-2020 Metadata'!$A$6:$S$214,19,FALSE)),"",VLOOKUP($AC45,'2007-2020 Metadata'!$A$6:$S$214,19,FALSE))</f>
        <v>3</v>
      </c>
      <c r="AF45" s="257" t="str">
        <f>VLOOKUP($B45,'2007-2020 Metadata'!$A$4:$S$214,MATCH("Site type",'2007-2020 Metadata'!$A$4:$S$4,0),FALSE)</f>
        <v>Background</v>
      </c>
      <c r="AG45" s="258">
        <f>MIN(AVERAGE($C$44:$C$46),AVERAGE($D$44:$D$46),AVERAGE($E$44:$E$46),AVERAGE($F$44:$F$46),AVERAGE($G$44:$G$46),AVERAGE($H$44:$H$46),AVERAGE($I$44:$I$46),AVERAGE($J$44:$J$46),AVERAGE($K$44:$K$46),AVERAGE($L$44:$L$46),AVERAGE($M$44:$M$46),AVERAGE($N$44:$N$46))</f>
        <v>4.3999999999999995</v>
      </c>
      <c r="AH45" s="258">
        <f>MAX(AVERAGE($C$44:$C$46),AVERAGE($D$44:$D$46),AVERAGE($E$44:$E$46),AVERAGE($F$44:$F$46),AVERAGE($G$44:$G$46),AVERAGE($H$44:$H$46),AVERAGE($I$44:$I$46),AVERAGE($J$44:$J$46),AVERAGE($K$44:$K$46),AVERAGE($L$44:$L$46),AVERAGE($M$44:$M$46),AVERAGE($N$44:$N$46))</f>
        <v>13.6</v>
      </c>
      <c r="AI45" s="177">
        <f t="shared" si="10"/>
        <v>16.226388888888888</v>
      </c>
    </row>
    <row r="46" spans="2:35" ht="12" customHeight="1" x14ac:dyDescent="0.15">
      <c r="B46" s="221" t="s">
        <v>80</v>
      </c>
      <c r="C46" s="222">
        <v>5.5</v>
      </c>
      <c r="D46" s="222">
        <v>9.3000000000000007</v>
      </c>
      <c r="E46" s="222">
        <v>10</v>
      </c>
      <c r="F46" s="222">
        <v>8.3000000000000007</v>
      </c>
      <c r="G46" s="222">
        <v>13.5</v>
      </c>
      <c r="H46" s="222">
        <v>13.9</v>
      </c>
      <c r="I46" s="222">
        <v>12.7</v>
      </c>
      <c r="J46" s="222">
        <v>11.6</v>
      </c>
      <c r="K46" s="222">
        <v>7.1</v>
      </c>
      <c r="L46" s="222">
        <v>5</v>
      </c>
      <c r="M46" s="222">
        <v>5.8</v>
      </c>
      <c r="N46" s="222">
        <v>5.4</v>
      </c>
      <c r="O46" s="223">
        <f t="shared" si="0"/>
        <v>9.0083333333333329</v>
      </c>
      <c r="P46" s="223">
        <f t="shared" si="1"/>
        <v>35.300700880618038</v>
      </c>
      <c r="Q46" s="224">
        <f t="shared" si="2"/>
        <v>1</v>
      </c>
      <c r="R46" s="251">
        <f t="shared" si="12"/>
        <v>8.2666666666666675</v>
      </c>
      <c r="S46" s="252">
        <f t="shared" si="3"/>
        <v>1</v>
      </c>
      <c r="T46" s="251">
        <f t="shared" si="13"/>
        <v>10.466666666666667</v>
      </c>
      <c r="U46" s="252">
        <f t="shared" si="4"/>
        <v>1</v>
      </c>
      <c r="V46" s="253">
        <f t="shared" si="14"/>
        <v>9.0083333333333329</v>
      </c>
      <c r="W46" s="252">
        <f t="shared" si="5"/>
        <v>1</v>
      </c>
      <c r="X46" s="177">
        <f t="shared" si="6"/>
        <v>13.804761904761904</v>
      </c>
      <c r="Y46" s="177">
        <f t="shared" si="7"/>
        <v>17.927777777777777</v>
      </c>
      <c r="Z46" s="177">
        <f t="shared" si="11"/>
        <v>16.226388888888888</v>
      </c>
      <c r="AA46" s="205"/>
      <c r="AB46" s="357" t="str">
        <f>VLOOKUP($B46,'2007-2020 Metadata'!$A$4:$S$214,MATCH("Urban Area /Monitoring Zone",'2007-2020 Metadata'!$A$4:$S$4,0),FALSE)</f>
        <v>Auckland - Western</v>
      </c>
      <c r="AC46" s="255" t="str">
        <f>VLOOKUP(B46,'2007-2020 Metadata'!$A$6:$A$214,1,FALSE)</f>
        <v>AUC059</v>
      </c>
      <c r="AD46" s="256" t="str">
        <f>VLOOKUP($AC46,'2007-2020 Metadata'!$A$6:$S$214,9,FALSE)</f>
        <v>Waitakere</v>
      </c>
      <c r="AE46" s="256">
        <f>IF(ISBLANK(VLOOKUP($AC46,'2007-2020 Metadata'!$A$6:$S$214,19,FALSE)),"",VLOOKUP($AC46,'2007-2020 Metadata'!$A$6:$S$214,19,FALSE))</f>
        <v>3</v>
      </c>
      <c r="AF46" s="257" t="str">
        <f>VLOOKUP($B46,'2007-2020 Metadata'!$A$4:$S$214,MATCH("Site type",'2007-2020 Metadata'!$A$4:$S$4,0),FALSE)</f>
        <v>Background</v>
      </c>
      <c r="AG46" s="258">
        <f>MIN(AVERAGE($C$44:$C$46),AVERAGE($D$44:$D$46),AVERAGE($E$44:$E$46),AVERAGE($F$44:$F$46),AVERAGE($G$44:$G$46),AVERAGE($H$44:$H$46),AVERAGE($I$44:$I$46),AVERAGE($J$44:$J$46),AVERAGE($K$44:$K$46),AVERAGE($L$44:$L$46),AVERAGE($M$44:$M$46),AVERAGE($N$44:$N$46))</f>
        <v>4.3999999999999995</v>
      </c>
      <c r="AH46" s="258">
        <f>MAX(AVERAGE($C$44:$C$46),AVERAGE($D$44:$D$46),AVERAGE($E$44:$E$46),AVERAGE($F$44:$F$46),AVERAGE($G$44:$G$46),AVERAGE($H$44:$H$46),AVERAGE($I$44:$I$46),AVERAGE($J$44:$J$46),AVERAGE($K$44:$K$46),AVERAGE($L$44:$L$46),AVERAGE($M$44:$M$46),AVERAGE($N$44:$N$46))</f>
        <v>13.6</v>
      </c>
      <c r="AI46" s="177">
        <f t="shared" si="10"/>
        <v>16.226388888888888</v>
      </c>
    </row>
    <row r="47" spans="2:35" ht="12" customHeight="1" x14ac:dyDescent="0.15">
      <c r="B47" s="231" t="s">
        <v>81</v>
      </c>
      <c r="C47" s="222">
        <v>25.2</v>
      </c>
      <c r="D47" s="222">
        <v>35.9</v>
      </c>
      <c r="E47" s="222">
        <v>38.5</v>
      </c>
      <c r="F47" s="222">
        <v>38.700000000000003</v>
      </c>
      <c r="G47" s="222">
        <v>41.2</v>
      </c>
      <c r="H47" s="222">
        <v>47.1</v>
      </c>
      <c r="I47" s="222">
        <v>46.4</v>
      </c>
      <c r="J47" s="222">
        <v>38.799999999999997</v>
      </c>
      <c r="K47" s="222">
        <v>41</v>
      </c>
      <c r="L47" s="222">
        <v>32.5</v>
      </c>
      <c r="M47" s="222">
        <v>30.5</v>
      </c>
      <c r="N47" s="222">
        <v>18.3</v>
      </c>
      <c r="O47" s="223">
        <f t="shared" si="0"/>
        <v>36.175000000000004</v>
      </c>
      <c r="P47" s="223">
        <f t="shared" si="1"/>
        <v>22.241952873597235</v>
      </c>
      <c r="Q47" s="224">
        <f t="shared" si="2"/>
        <v>1</v>
      </c>
      <c r="R47" s="225">
        <f t="shared" si="12"/>
        <v>33.199999999999996</v>
      </c>
      <c r="S47" s="226">
        <f t="shared" si="3"/>
        <v>1</v>
      </c>
      <c r="T47" s="225">
        <f t="shared" si="13"/>
        <v>42.066666666666663</v>
      </c>
      <c r="U47" s="226">
        <f t="shared" si="4"/>
        <v>1</v>
      </c>
      <c r="V47" s="227">
        <f t="shared" si="14"/>
        <v>36.175000000000004</v>
      </c>
      <c r="W47" s="228">
        <f t="shared" si="5"/>
        <v>1</v>
      </c>
      <c r="X47" s="144">
        <f t="shared" si="6"/>
        <v>25.296969696969697</v>
      </c>
      <c r="Y47" s="144">
        <f t="shared" si="7"/>
        <v>35.230303030303027</v>
      </c>
      <c r="Z47" s="144">
        <f t="shared" si="11"/>
        <v>29.7646694214876</v>
      </c>
      <c r="AA47" s="205"/>
      <c r="AB47" s="357" t="str">
        <f>VLOOKUP($B47,'2007-2020 Metadata'!$A$4:$S$214,MATCH("Urban Area /Monitoring Zone",'2007-2020 Metadata'!$A$4:$S$4,0),FALSE)</f>
        <v>Auckland - Central</v>
      </c>
      <c r="AC47" s="229" t="str">
        <f>VLOOKUP(B47,'2007-2020 Metadata'!$A$6:$A$214,1,FALSE)</f>
        <v>AUC060</v>
      </c>
      <c r="AD47" s="230" t="str">
        <f>VLOOKUP($AC47,'2007-2020 Metadata'!$A$6:$S$214,9,FALSE)</f>
        <v>Auckland</v>
      </c>
      <c r="AE47" s="230">
        <f>IF(ISBLANK(VLOOKUP($AC47,'2007-2020 Metadata'!$A$6:$S$214,19,FALSE)),"",VLOOKUP($AC47,'2007-2020 Metadata'!$A$6:$S$214,19,FALSE))</f>
        <v>3</v>
      </c>
      <c r="AF47" s="88" t="str">
        <f>VLOOKUP($B47,'2007-2020 Metadata'!$A$4:$S$214,MATCH("Site type",'2007-2020 Metadata'!$A$4:$S$4,0),FALSE)</f>
        <v>Local</v>
      </c>
      <c r="AG47" s="143">
        <f t="shared" si="8"/>
        <v>18.3</v>
      </c>
      <c r="AH47" s="143">
        <f t="shared" si="9"/>
        <v>47.1</v>
      </c>
      <c r="AI47" s="144">
        <f t="shared" si="10"/>
        <v>29.7646694214876</v>
      </c>
    </row>
    <row r="48" spans="2:35" ht="12" customHeight="1" x14ac:dyDescent="0.15">
      <c r="B48" s="231" t="s">
        <v>82</v>
      </c>
      <c r="C48" s="222">
        <v>16.7</v>
      </c>
      <c r="D48" s="222">
        <v>13.9</v>
      </c>
      <c r="E48" s="222">
        <v>30.3</v>
      </c>
      <c r="F48" s="222">
        <v>30.6</v>
      </c>
      <c r="G48" s="222">
        <v>38</v>
      </c>
      <c r="H48" s="222">
        <v>37.200000000000003</v>
      </c>
      <c r="I48" s="222">
        <v>40.9</v>
      </c>
      <c r="J48" s="222">
        <v>36.700000000000003</v>
      </c>
      <c r="K48" s="222">
        <v>34.799999999999997</v>
      </c>
      <c r="L48" s="222">
        <v>24.9</v>
      </c>
      <c r="M48" s="222">
        <v>27.4</v>
      </c>
      <c r="N48" s="222">
        <v>17.899999999999999</v>
      </c>
      <c r="O48" s="223">
        <f t="shared" si="0"/>
        <v>29.108333333333331</v>
      </c>
      <c r="P48" s="223">
        <f t="shared" si="1"/>
        <v>29.896395431627553</v>
      </c>
      <c r="Q48" s="224">
        <f t="shared" si="2"/>
        <v>1</v>
      </c>
      <c r="R48" s="225">
        <f t="shared" si="12"/>
        <v>20.3</v>
      </c>
      <c r="S48" s="226">
        <f t="shared" si="3"/>
        <v>1</v>
      </c>
      <c r="T48" s="225">
        <f t="shared" si="13"/>
        <v>37.466666666666661</v>
      </c>
      <c r="U48" s="226">
        <f t="shared" si="4"/>
        <v>1</v>
      </c>
      <c r="V48" s="227">
        <f t="shared" si="14"/>
        <v>29.108333333333331</v>
      </c>
      <c r="W48" s="228">
        <f t="shared" si="5"/>
        <v>1</v>
      </c>
      <c r="X48" s="144">
        <f t="shared" si="6"/>
        <v>25.296969696969697</v>
      </c>
      <c r="Y48" s="144">
        <f t="shared" si="7"/>
        <v>35.230303030303027</v>
      </c>
      <c r="Z48" s="144">
        <f t="shared" si="11"/>
        <v>29.7646694214876</v>
      </c>
      <c r="AA48" s="205"/>
      <c r="AB48" s="357" t="str">
        <f>VLOOKUP($B48,'2007-2020 Metadata'!$A$4:$S$214,MATCH("Urban Area /Monitoring Zone",'2007-2020 Metadata'!$A$4:$S$4,0),FALSE)</f>
        <v>Auckland - Central</v>
      </c>
      <c r="AC48" s="229" t="str">
        <f>VLOOKUP(B48,'2007-2020 Metadata'!$A$6:$A$214,1,FALSE)</f>
        <v>AUC061</v>
      </c>
      <c r="AD48" s="230" t="str">
        <f>VLOOKUP($AC48,'2007-2020 Metadata'!$A$6:$S$214,9,FALSE)</f>
        <v>Auckland</v>
      </c>
      <c r="AE48" s="230">
        <f>IF(ISBLANK(VLOOKUP($AC48,'2007-2020 Metadata'!$A$6:$S$214,19,FALSE)),"",VLOOKUP($AC48,'2007-2020 Metadata'!$A$6:$S$214,19,FALSE))</f>
        <v>3</v>
      </c>
      <c r="AF48" s="88" t="str">
        <f>VLOOKUP($B48,'2007-2020 Metadata'!$A$4:$S$214,MATCH("Site type",'2007-2020 Metadata'!$A$4:$S$4,0),FALSE)</f>
        <v>Local</v>
      </c>
      <c r="AG48" s="143">
        <f t="shared" si="8"/>
        <v>13.9</v>
      </c>
      <c r="AH48" s="143">
        <f t="shared" si="9"/>
        <v>40.9</v>
      </c>
      <c r="AI48" s="144">
        <f t="shared" si="10"/>
        <v>29.7646694214876</v>
      </c>
    </row>
    <row r="49" spans="2:35" ht="12" customHeight="1" x14ac:dyDescent="0.15">
      <c r="B49" s="231" t="s">
        <v>83</v>
      </c>
      <c r="C49" s="222">
        <v>16.3</v>
      </c>
      <c r="D49" s="222">
        <v>24.7</v>
      </c>
      <c r="E49" s="222">
        <v>22.2</v>
      </c>
      <c r="F49" s="222">
        <v>26.4</v>
      </c>
      <c r="G49" s="222">
        <v>31.1</v>
      </c>
      <c r="H49" s="222">
        <v>34.6</v>
      </c>
      <c r="I49" s="222">
        <v>36</v>
      </c>
      <c r="J49" s="222">
        <v>23.6</v>
      </c>
      <c r="K49" s="222">
        <v>27.5</v>
      </c>
      <c r="L49" s="222">
        <v>19</v>
      </c>
      <c r="M49" s="222">
        <v>19.7</v>
      </c>
      <c r="N49" s="222">
        <v>14.3</v>
      </c>
      <c r="O49" s="223">
        <f t="shared" si="0"/>
        <v>24.616666666666664</v>
      </c>
      <c r="P49" s="223">
        <f t="shared" si="1"/>
        <v>26.766357139824294</v>
      </c>
      <c r="Q49" s="224">
        <f t="shared" si="2"/>
        <v>1</v>
      </c>
      <c r="R49" s="225">
        <f t="shared" si="12"/>
        <v>21.066666666666666</v>
      </c>
      <c r="S49" s="226">
        <f t="shared" si="3"/>
        <v>1</v>
      </c>
      <c r="T49" s="225">
        <f t="shared" si="13"/>
        <v>29.033333333333331</v>
      </c>
      <c r="U49" s="226">
        <f t="shared" si="4"/>
        <v>1</v>
      </c>
      <c r="V49" s="227">
        <f t="shared" si="14"/>
        <v>24.616666666666664</v>
      </c>
      <c r="W49" s="228">
        <f t="shared" si="5"/>
        <v>1</v>
      </c>
      <c r="X49" s="144">
        <f t="shared" si="6"/>
        <v>25.296969696969697</v>
      </c>
      <c r="Y49" s="144">
        <f t="shared" si="7"/>
        <v>35.230303030303027</v>
      </c>
      <c r="Z49" s="144">
        <f t="shared" si="11"/>
        <v>29.7646694214876</v>
      </c>
      <c r="AA49" s="205"/>
      <c r="AB49" s="357" t="str">
        <f>VLOOKUP($B49,'2007-2020 Metadata'!$A$4:$S$214,MATCH("Urban Area /Monitoring Zone",'2007-2020 Metadata'!$A$4:$S$4,0),FALSE)</f>
        <v>Auckland - Central</v>
      </c>
      <c r="AC49" s="229" t="str">
        <f>VLOOKUP(B49,'2007-2020 Metadata'!$A$6:$A$214,1,FALSE)</f>
        <v>AUC062</v>
      </c>
      <c r="AD49" s="230" t="str">
        <f>VLOOKUP($AC49,'2007-2020 Metadata'!$A$6:$S$214,9,FALSE)</f>
        <v>Auckland</v>
      </c>
      <c r="AE49" s="230">
        <f>IF(ISBLANK(VLOOKUP($AC49,'2007-2020 Metadata'!$A$6:$S$214,19,FALSE)),"",VLOOKUP($AC49,'2007-2020 Metadata'!$A$6:$S$214,19,FALSE))</f>
        <v>2.5</v>
      </c>
      <c r="AF49" s="88" t="str">
        <f>VLOOKUP($B49,'2007-2020 Metadata'!$A$4:$S$214,MATCH("Site type",'2007-2020 Metadata'!$A$4:$S$4,0),FALSE)</f>
        <v>Local</v>
      </c>
      <c r="AG49" s="143">
        <f t="shared" si="8"/>
        <v>14.3</v>
      </c>
      <c r="AH49" s="143">
        <f t="shared" si="9"/>
        <v>36</v>
      </c>
      <c r="AI49" s="144">
        <f t="shared" si="10"/>
        <v>29.7646694214876</v>
      </c>
    </row>
    <row r="50" spans="2:35" ht="12" customHeight="1" x14ac:dyDescent="0.15">
      <c r="B50" s="231" t="s">
        <v>84</v>
      </c>
      <c r="C50" s="222">
        <v>22.4</v>
      </c>
      <c r="D50" s="222">
        <v>36</v>
      </c>
      <c r="E50" s="222">
        <v>33.1</v>
      </c>
      <c r="F50" s="222">
        <v>36.5</v>
      </c>
      <c r="G50" s="222">
        <v>35.4</v>
      </c>
      <c r="H50" s="222">
        <v>41.8</v>
      </c>
      <c r="I50" s="222">
        <v>38.1</v>
      </c>
      <c r="J50" s="222">
        <v>34.1</v>
      </c>
      <c r="K50" s="222">
        <v>26.9</v>
      </c>
      <c r="L50" s="222">
        <v>29.7</v>
      </c>
      <c r="M50" s="222">
        <v>34.5</v>
      </c>
      <c r="N50" s="222">
        <v>21.3</v>
      </c>
      <c r="O50" s="223">
        <f t="shared" si="0"/>
        <v>32.483333333333327</v>
      </c>
      <c r="P50" s="223">
        <f t="shared" si="1"/>
        <v>18.386944549856601</v>
      </c>
      <c r="Q50" s="224">
        <f t="shared" si="2"/>
        <v>1</v>
      </c>
      <c r="R50" s="225">
        <f t="shared" si="12"/>
        <v>30.5</v>
      </c>
      <c r="S50" s="226">
        <f t="shared" si="3"/>
        <v>1</v>
      </c>
      <c r="T50" s="225">
        <f t="shared" si="13"/>
        <v>33.033333333333331</v>
      </c>
      <c r="U50" s="226">
        <f t="shared" si="4"/>
        <v>1</v>
      </c>
      <c r="V50" s="227">
        <f t="shared" si="14"/>
        <v>32.483333333333327</v>
      </c>
      <c r="W50" s="228">
        <f t="shared" si="5"/>
        <v>1</v>
      </c>
      <c r="X50" s="144">
        <f t="shared" si="6"/>
        <v>13.804761904761904</v>
      </c>
      <c r="Y50" s="144">
        <f t="shared" si="7"/>
        <v>17.927777777777777</v>
      </c>
      <c r="Z50" s="144">
        <f t="shared" si="11"/>
        <v>16.226388888888888</v>
      </c>
      <c r="AA50" s="205"/>
      <c r="AB50" s="357" t="str">
        <f>VLOOKUP($B50,'2007-2020 Metadata'!$A$4:$S$214,MATCH("Urban Area /Monitoring Zone",'2007-2020 Metadata'!$A$4:$S$4,0),FALSE)</f>
        <v>Auckland - Western</v>
      </c>
      <c r="AC50" s="229" t="str">
        <f>VLOOKUP(B50,'2007-2020 Metadata'!$A$6:$A$214,1,FALSE)</f>
        <v>AUC063</v>
      </c>
      <c r="AD50" s="230" t="str">
        <f>VLOOKUP($AC50,'2007-2020 Metadata'!$A$6:$S$214,9,FALSE)</f>
        <v>Waitakere</v>
      </c>
      <c r="AE50" s="230">
        <f>IF(ISBLANK(VLOOKUP($AC50,'2007-2020 Metadata'!$A$6:$S$214,19,FALSE)),"",VLOOKUP($AC50,'2007-2020 Metadata'!$A$6:$S$214,19,FALSE))</f>
        <v>3</v>
      </c>
      <c r="AF50" s="88" t="str">
        <f>VLOOKUP($B50,'2007-2020 Metadata'!$A$4:$S$214,MATCH("Site type",'2007-2020 Metadata'!$A$4:$S$4,0),FALSE)</f>
        <v>Local</v>
      </c>
      <c r="AG50" s="143">
        <f t="shared" si="8"/>
        <v>21.3</v>
      </c>
      <c r="AH50" s="143">
        <f t="shared" si="9"/>
        <v>41.8</v>
      </c>
      <c r="AI50" s="144">
        <f t="shared" si="10"/>
        <v>16.226388888888888</v>
      </c>
    </row>
    <row r="51" spans="2:35" ht="12" customHeight="1" x14ac:dyDescent="0.15">
      <c r="B51" s="231" t="s">
        <v>85</v>
      </c>
      <c r="C51" s="222">
        <v>16</v>
      </c>
      <c r="D51" s="222">
        <v>20.100000000000001</v>
      </c>
      <c r="E51" s="222">
        <v>23.7</v>
      </c>
      <c r="F51" s="222">
        <v>28.3</v>
      </c>
      <c r="G51" s="222">
        <v>30</v>
      </c>
      <c r="H51" s="222">
        <v>31.5</v>
      </c>
      <c r="I51" s="222">
        <v>33.5</v>
      </c>
      <c r="J51" s="222">
        <v>29.7</v>
      </c>
      <c r="K51" s="222">
        <v>23.5</v>
      </c>
      <c r="L51" s="222">
        <v>16.2</v>
      </c>
      <c r="M51" s="222">
        <v>19.5</v>
      </c>
      <c r="N51" s="222">
        <v>12.4</v>
      </c>
      <c r="O51" s="223">
        <f t="shared" si="0"/>
        <v>23.7</v>
      </c>
      <c r="P51" s="223">
        <f t="shared" si="1"/>
        <v>27.977791181949961</v>
      </c>
      <c r="Q51" s="224">
        <f t="shared" si="2"/>
        <v>1</v>
      </c>
      <c r="R51" s="225">
        <f t="shared" si="12"/>
        <v>19.933333333333334</v>
      </c>
      <c r="S51" s="226">
        <f t="shared" si="3"/>
        <v>1</v>
      </c>
      <c r="T51" s="225">
        <f t="shared" si="13"/>
        <v>28.900000000000002</v>
      </c>
      <c r="U51" s="226">
        <f t="shared" si="4"/>
        <v>1</v>
      </c>
      <c r="V51" s="227">
        <f t="shared" si="14"/>
        <v>23.7</v>
      </c>
      <c r="W51" s="228">
        <f t="shared" si="5"/>
        <v>1</v>
      </c>
      <c r="X51" s="144">
        <f t="shared" si="6"/>
        <v>25.296969696969697</v>
      </c>
      <c r="Y51" s="144">
        <f t="shared" si="7"/>
        <v>35.230303030303027</v>
      </c>
      <c r="Z51" s="144">
        <f t="shared" si="11"/>
        <v>29.7646694214876</v>
      </c>
      <c r="AA51" s="205"/>
      <c r="AB51" s="357" t="str">
        <f>VLOOKUP($B51,'2007-2020 Metadata'!$A$4:$S$214,MATCH("Urban Area /Monitoring Zone",'2007-2020 Metadata'!$A$4:$S$4,0),FALSE)</f>
        <v>Auckland - Central</v>
      </c>
      <c r="AC51" s="229" t="str">
        <f>VLOOKUP(B51,'2007-2020 Metadata'!$A$6:$A$214,1,FALSE)</f>
        <v>AUC064</v>
      </c>
      <c r="AD51" s="230" t="str">
        <f>VLOOKUP($AC51,'2007-2020 Metadata'!$A$6:$S$214,9,FALSE)</f>
        <v>Auckland</v>
      </c>
      <c r="AE51" s="230">
        <f>IF(ISBLANK(VLOOKUP($AC51,'2007-2020 Metadata'!$A$6:$S$214,19,FALSE)),"",VLOOKUP($AC51,'2007-2020 Metadata'!$A$6:$S$214,19,FALSE))</f>
        <v>3</v>
      </c>
      <c r="AF51" s="88" t="str">
        <f>VLOOKUP($B51,'2007-2020 Metadata'!$A$4:$S$214,MATCH("Site type",'2007-2020 Metadata'!$A$4:$S$4,0),FALSE)</f>
        <v>Local</v>
      </c>
      <c r="AG51" s="143">
        <f t="shared" si="8"/>
        <v>12.4</v>
      </c>
      <c r="AH51" s="143">
        <f t="shared" si="9"/>
        <v>33.5</v>
      </c>
      <c r="AI51" s="144">
        <f t="shared" si="10"/>
        <v>29.7646694214876</v>
      </c>
    </row>
    <row r="52" spans="2:35" ht="12" customHeight="1" x14ac:dyDescent="0.15">
      <c r="B52" s="231" t="s">
        <v>86</v>
      </c>
      <c r="C52" s="222"/>
      <c r="D52" s="222">
        <v>28</v>
      </c>
      <c r="E52" s="222">
        <v>30.2</v>
      </c>
      <c r="F52" s="222">
        <v>29.1</v>
      </c>
      <c r="G52" s="222">
        <v>32.799999999999997</v>
      </c>
      <c r="H52" s="222">
        <v>38.1</v>
      </c>
      <c r="I52" s="222">
        <v>40.5</v>
      </c>
      <c r="J52" s="222">
        <v>30.5</v>
      </c>
      <c r="K52" s="222">
        <v>35.200000000000003</v>
      </c>
      <c r="L52" s="222">
        <v>25.1</v>
      </c>
      <c r="M52" s="222">
        <v>18.7</v>
      </c>
      <c r="N52" s="222">
        <v>19.5</v>
      </c>
      <c r="O52" s="223">
        <f t="shared" si="0"/>
        <v>29.790909090909096</v>
      </c>
      <c r="P52" s="223">
        <f t="shared" si="1"/>
        <v>22.111578865001526</v>
      </c>
      <c r="Q52" s="224">
        <f t="shared" si="2"/>
        <v>0.91666666666666663</v>
      </c>
      <c r="R52" s="225">
        <f t="shared" si="12"/>
        <v>29.1</v>
      </c>
      <c r="S52" s="226">
        <f t="shared" si="3"/>
        <v>0.66666666666666663</v>
      </c>
      <c r="T52" s="225">
        <f t="shared" si="13"/>
        <v>35.4</v>
      </c>
      <c r="U52" s="226">
        <f t="shared" si="4"/>
        <v>1</v>
      </c>
      <c r="V52" s="227">
        <f t="shared" si="14"/>
        <v>29.790909090909096</v>
      </c>
      <c r="W52" s="228">
        <f t="shared" si="5"/>
        <v>0.91666666666666663</v>
      </c>
      <c r="X52" s="144">
        <f t="shared" si="6"/>
        <v>19.883333333333333</v>
      </c>
      <c r="Y52" s="144">
        <f t="shared" si="7"/>
        <v>27.633333333333329</v>
      </c>
      <c r="Z52" s="144">
        <f t="shared" si="11"/>
        <v>22.950216450216452</v>
      </c>
      <c r="AA52" s="205"/>
      <c r="AB52" s="357" t="str">
        <f>VLOOKUP($B52,'2007-2020 Metadata'!$A$4:$S$214,MATCH("Urban Area /Monitoring Zone",'2007-2020 Metadata'!$A$4:$S$4,0),FALSE)</f>
        <v xml:space="preserve">Auckland - Southern </v>
      </c>
      <c r="AC52" s="229" t="str">
        <f>VLOOKUP(B52,'2007-2020 Metadata'!$A$6:$A$214,1,FALSE)</f>
        <v>AUC067</v>
      </c>
      <c r="AD52" s="230" t="str">
        <f>VLOOKUP($AC52,'2007-2020 Metadata'!$A$6:$S$214,9,FALSE)</f>
        <v>Manukau</v>
      </c>
      <c r="AE52" s="230">
        <f>IF(ISBLANK(VLOOKUP($AC52,'2007-2020 Metadata'!$A$6:$S$214,19,FALSE)),"",VLOOKUP($AC52,'2007-2020 Metadata'!$A$6:$S$214,19,FALSE))</f>
        <v>3</v>
      </c>
      <c r="AF52" s="88" t="str">
        <f>VLOOKUP($B52,'2007-2020 Metadata'!$A$4:$S$214,MATCH("Site type",'2007-2020 Metadata'!$A$4:$S$4,0),FALSE)</f>
        <v>SH</v>
      </c>
      <c r="AG52" s="143">
        <f t="shared" si="8"/>
        <v>18.7</v>
      </c>
      <c r="AH52" s="143">
        <f t="shared" si="9"/>
        <v>40.5</v>
      </c>
      <c r="AI52" s="144">
        <f t="shared" si="10"/>
        <v>22.950216450216452</v>
      </c>
    </row>
    <row r="53" spans="2:35" ht="12" customHeight="1" x14ac:dyDescent="0.15">
      <c r="B53" s="231" t="s">
        <v>88</v>
      </c>
      <c r="C53" s="222">
        <v>15.4</v>
      </c>
      <c r="D53" s="222">
        <v>26.2</v>
      </c>
      <c r="E53" s="222">
        <v>28.9</v>
      </c>
      <c r="F53" s="222">
        <v>27.5</v>
      </c>
      <c r="G53" s="222">
        <v>35.5</v>
      </c>
      <c r="H53" s="222">
        <v>40</v>
      </c>
      <c r="I53" s="222">
        <v>38.9</v>
      </c>
      <c r="J53" s="222">
        <v>34.4</v>
      </c>
      <c r="K53" s="222">
        <v>25</v>
      </c>
      <c r="L53" s="222">
        <v>20.5</v>
      </c>
      <c r="M53" s="222">
        <v>26</v>
      </c>
      <c r="N53" s="222">
        <v>17.2</v>
      </c>
      <c r="O53" s="223">
        <f t="shared" si="0"/>
        <v>27.958333333333332</v>
      </c>
      <c r="P53" s="223">
        <f t="shared" si="1"/>
        <v>27.491956413635048</v>
      </c>
      <c r="Q53" s="224">
        <f t="shared" si="2"/>
        <v>1</v>
      </c>
      <c r="R53" s="225">
        <f t="shared" si="12"/>
        <v>23.5</v>
      </c>
      <c r="S53" s="226">
        <f t="shared" si="3"/>
        <v>1</v>
      </c>
      <c r="T53" s="225">
        <f t="shared" si="13"/>
        <v>32.766666666666666</v>
      </c>
      <c r="U53" s="226">
        <f t="shared" si="4"/>
        <v>1</v>
      </c>
      <c r="V53" s="227">
        <f t="shared" si="14"/>
        <v>27.958333333333332</v>
      </c>
      <c r="W53" s="228">
        <f t="shared" si="5"/>
        <v>1</v>
      </c>
      <c r="X53" s="144">
        <f t="shared" si="6"/>
        <v>19.883333333333333</v>
      </c>
      <c r="Y53" s="144">
        <f t="shared" si="7"/>
        <v>27.633333333333329</v>
      </c>
      <c r="Z53" s="144">
        <f t="shared" si="11"/>
        <v>22.950216450216452</v>
      </c>
      <c r="AA53" s="205"/>
      <c r="AB53" s="357" t="str">
        <f>VLOOKUP($B53,'2007-2020 Metadata'!$A$4:$S$214,MATCH("Urban Area /Monitoring Zone",'2007-2020 Metadata'!$A$4:$S$4,0),FALSE)</f>
        <v xml:space="preserve">Auckland - Southern </v>
      </c>
      <c r="AC53" s="229" t="str">
        <f>VLOOKUP(B53,'2007-2020 Metadata'!$A$6:$A$214,1,FALSE)</f>
        <v>AUC069</v>
      </c>
      <c r="AD53" s="230" t="str">
        <f>VLOOKUP($AC53,'2007-2020 Metadata'!$A$6:$S$214,9,FALSE)</f>
        <v>Manukau</v>
      </c>
      <c r="AE53" s="230">
        <f>IF(ISBLANK(VLOOKUP($AC53,'2007-2020 Metadata'!$A$6:$S$214,19,FALSE)),"",VLOOKUP($AC53,'2007-2020 Metadata'!$A$6:$S$214,19,FALSE))</f>
        <v>3</v>
      </c>
      <c r="AF53" s="88" t="str">
        <f>VLOOKUP($B53,'2007-2020 Metadata'!$A$4:$S$214,MATCH("Site type",'2007-2020 Metadata'!$A$4:$S$4,0),FALSE)</f>
        <v>Local</v>
      </c>
      <c r="AG53" s="143">
        <f t="shared" si="8"/>
        <v>15.4</v>
      </c>
      <c r="AH53" s="143">
        <f t="shared" si="9"/>
        <v>40</v>
      </c>
      <c r="AI53" s="144">
        <f t="shared" si="10"/>
        <v>22.950216450216452</v>
      </c>
    </row>
    <row r="54" spans="2:35" ht="12" customHeight="1" x14ac:dyDescent="0.15">
      <c r="B54" s="231" t="s">
        <v>89</v>
      </c>
      <c r="C54" s="222">
        <v>14.7</v>
      </c>
      <c r="D54" s="222">
        <v>18</v>
      </c>
      <c r="E54" s="222">
        <v>18.399999999999999</v>
      </c>
      <c r="F54" s="222">
        <v>20.3</v>
      </c>
      <c r="G54" s="222">
        <v>22.7</v>
      </c>
      <c r="H54" s="222">
        <v>25.7</v>
      </c>
      <c r="I54" s="222">
        <v>34</v>
      </c>
      <c r="J54" s="222">
        <v>21.6</v>
      </c>
      <c r="K54" s="222">
        <v>21.1</v>
      </c>
      <c r="L54" s="222">
        <v>17.100000000000001</v>
      </c>
      <c r="M54" s="222">
        <v>18.399999999999999</v>
      </c>
      <c r="N54" s="222">
        <v>14</v>
      </c>
      <c r="O54" s="223">
        <f t="shared" si="0"/>
        <v>20.5</v>
      </c>
      <c r="P54" s="223">
        <f t="shared" si="1"/>
        <v>25.121556552271194</v>
      </c>
      <c r="Q54" s="224">
        <f t="shared" si="2"/>
        <v>1</v>
      </c>
      <c r="R54" s="225">
        <f t="shared" si="12"/>
        <v>17.033333333333335</v>
      </c>
      <c r="S54" s="226">
        <f t="shared" si="3"/>
        <v>1</v>
      </c>
      <c r="T54" s="225">
        <f t="shared" si="13"/>
        <v>25.566666666666666</v>
      </c>
      <c r="U54" s="226">
        <f t="shared" si="4"/>
        <v>1</v>
      </c>
      <c r="V54" s="227">
        <f t="shared" si="14"/>
        <v>20.5</v>
      </c>
      <c r="W54" s="228">
        <f t="shared" si="5"/>
        <v>1</v>
      </c>
      <c r="X54" s="144">
        <f t="shared" si="6"/>
        <v>19.883333333333333</v>
      </c>
      <c r="Y54" s="144">
        <f t="shared" si="7"/>
        <v>27.633333333333329</v>
      </c>
      <c r="Z54" s="144">
        <f t="shared" si="11"/>
        <v>22.950216450216452</v>
      </c>
      <c r="AA54" s="205"/>
      <c r="AB54" s="357" t="str">
        <f>VLOOKUP($B54,'2007-2020 Metadata'!$A$4:$S$214,MATCH("Urban Area /Monitoring Zone",'2007-2020 Metadata'!$A$4:$S$4,0),FALSE)</f>
        <v xml:space="preserve">Auckland - Southern </v>
      </c>
      <c r="AC54" s="229" t="str">
        <f>VLOOKUP(B54,'2007-2020 Metadata'!$A$6:$A$214,1,FALSE)</f>
        <v>AUC070</v>
      </c>
      <c r="AD54" s="230" t="str">
        <f>VLOOKUP($AC54,'2007-2020 Metadata'!$A$6:$S$214,9,FALSE)</f>
        <v>Manukau</v>
      </c>
      <c r="AE54" s="230">
        <f>IF(ISBLANK(VLOOKUP($AC54,'2007-2020 Metadata'!$A$6:$S$214,19,FALSE)),"",VLOOKUP($AC54,'2007-2020 Metadata'!$A$6:$S$214,19,FALSE))</f>
        <v>2.5</v>
      </c>
      <c r="AF54" s="88" t="str">
        <f>VLOOKUP($B54,'2007-2020 Metadata'!$A$4:$S$214,MATCH("Site type",'2007-2020 Metadata'!$A$4:$S$4,0),FALSE)</f>
        <v>Local</v>
      </c>
      <c r="AG54" s="143">
        <f t="shared" si="8"/>
        <v>14</v>
      </c>
      <c r="AH54" s="143">
        <f t="shared" si="9"/>
        <v>34</v>
      </c>
      <c r="AI54" s="144">
        <f t="shared" si="10"/>
        <v>22.950216450216452</v>
      </c>
    </row>
    <row r="55" spans="2:35" ht="12" customHeight="1" x14ac:dyDescent="0.15">
      <c r="B55" s="231" t="s">
        <v>1040</v>
      </c>
      <c r="C55" s="222">
        <v>19.600000000000001</v>
      </c>
      <c r="D55" s="222">
        <v>27.1</v>
      </c>
      <c r="E55" s="222">
        <v>25.4</v>
      </c>
      <c r="F55" s="222">
        <v>29.6</v>
      </c>
      <c r="G55" s="222">
        <v>34.299999999999997</v>
      </c>
      <c r="H55" s="222">
        <v>38.6</v>
      </c>
      <c r="I55" s="222">
        <v>40.700000000000003</v>
      </c>
      <c r="J55" s="222">
        <v>30.9</v>
      </c>
      <c r="K55" s="222">
        <v>33.9</v>
      </c>
      <c r="L55" s="222">
        <v>23.5</v>
      </c>
      <c r="M55" s="222">
        <v>21.2</v>
      </c>
      <c r="N55" s="222">
        <v>17.7</v>
      </c>
      <c r="O55" s="223">
        <f t="shared" si="0"/>
        <v>28.541666666666668</v>
      </c>
      <c r="P55" s="223">
        <f t="shared" si="1"/>
        <v>24.904459135277623</v>
      </c>
      <c r="Q55" s="224">
        <f t="shared" si="2"/>
        <v>1</v>
      </c>
      <c r="R55" s="225">
        <f t="shared" si="12"/>
        <v>24.033333333333331</v>
      </c>
      <c r="S55" s="226">
        <f t="shared" si="3"/>
        <v>1</v>
      </c>
      <c r="T55" s="225">
        <f t="shared" si="13"/>
        <v>35.166666666666664</v>
      </c>
      <c r="U55" s="226">
        <f t="shared" si="4"/>
        <v>1</v>
      </c>
      <c r="V55" s="227">
        <f t="shared" si="14"/>
        <v>28.541666666666668</v>
      </c>
      <c r="W55" s="228">
        <f t="shared" si="5"/>
        <v>1</v>
      </c>
      <c r="X55" s="144">
        <f t="shared" si="6"/>
        <v>24.033333333333331</v>
      </c>
      <c r="Y55" s="144">
        <f t="shared" si="7"/>
        <v>35.166666666666664</v>
      </c>
      <c r="Z55" s="144">
        <f t="shared" si="11"/>
        <v>28.541666666666668</v>
      </c>
      <c r="AA55" s="205"/>
      <c r="AB55" s="357">
        <f>VLOOKUP($B55,'2007-2020 Metadata'!$A$4:$S$214,MATCH("Urban Area /Monitoring Zone",'2007-2020 Metadata'!$A$4:$S$4,0),FALSE)</f>
        <v>0</v>
      </c>
      <c r="AC55" s="229" t="str">
        <f>VLOOKUP(B55,'2007-2020 Metadata'!$A$6:$A$214,1,FALSE)</f>
        <v>AUC071a</v>
      </c>
      <c r="AD55" s="230">
        <f>VLOOKUP($AC55,'2007-2020 Metadata'!$A$6:$S$214,9,FALSE)</f>
        <v>0</v>
      </c>
      <c r="AE55" s="230" t="str">
        <f>IF(ISBLANK(VLOOKUP($AC55,'2007-2020 Metadata'!$A$6:$S$214,19,FALSE)),"",VLOOKUP($AC55,'2007-2020 Metadata'!$A$6:$S$214,19,FALSE))</f>
        <v/>
      </c>
      <c r="AF55" s="88" t="str">
        <f>VLOOKUP($B55,'2007-2020 Metadata'!$A$4:$S$214,MATCH("Site type",'2007-2020 Metadata'!$A$4:$S$4,0),FALSE)</f>
        <v>Local</v>
      </c>
      <c r="AG55" s="143">
        <f t="shared" si="8"/>
        <v>17.7</v>
      </c>
      <c r="AH55" s="143">
        <f t="shared" si="9"/>
        <v>40.700000000000003</v>
      </c>
      <c r="AI55" s="144">
        <f t="shared" si="10"/>
        <v>28.541666666666668</v>
      </c>
    </row>
    <row r="56" spans="2:35" ht="12" customHeight="1" x14ac:dyDescent="0.15">
      <c r="B56" s="231" t="s">
        <v>91</v>
      </c>
      <c r="C56" s="222">
        <v>16.2</v>
      </c>
      <c r="D56" s="222">
        <v>22.2</v>
      </c>
      <c r="E56" s="222">
        <v>20.8</v>
      </c>
      <c r="F56" s="222">
        <v>21.3</v>
      </c>
      <c r="G56" s="222">
        <v>28.7</v>
      </c>
      <c r="H56" s="222">
        <v>25.4</v>
      </c>
      <c r="I56" s="222">
        <v>40.200000000000003</v>
      </c>
      <c r="J56" s="222">
        <v>19.8</v>
      </c>
      <c r="K56" s="222">
        <v>21.6</v>
      </c>
      <c r="L56" s="222">
        <v>20.5</v>
      </c>
      <c r="M56" s="222">
        <v>18.3</v>
      </c>
      <c r="N56" s="222">
        <v>14.8</v>
      </c>
      <c r="O56" s="223">
        <f t="shared" si="0"/>
        <v>22.483333333333334</v>
      </c>
      <c r="P56" s="223">
        <f t="shared" si="1"/>
        <v>28.516351808821781</v>
      </c>
      <c r="Q56" s="224">
        <f t="shared" si="2"/>
        <v>1</v>
      </c>
      <c r="R56" s="225">
        <f t="shared" si="12"/>
        <v>19.733333333333334</v>
      </c>
      <c r="S56" s="226">
        <f t="shared" si="3"/>
        <v>1</v>
      </c>
      <c r="T56" s="225">
        <f t="shared" si="13"/>
        <v>27.2</v>
      </c>
      <c r="U56" s="226">
        <f t="shared" si="4"/>
        <v>1</v>
      </c>
      <c r="V56" s="227">
        <f t="shared" si="14"/>
        <v>22.483333333333334</v>
      </c>
      <c r="W56" s="228">
        <f t="shared" si="5"/>
        <v>1</v>
      </c>
      <c r="X56" s="144">
        <f t="shared" si="6"/>
        <v>19.883333333333333</v>
      </c>
      <c r="Y56" s="144">
        <f t="shared" si="7"/>
        <v>27.633333333333329</v>
      </c>
      <c r="Z56" s="144">
        <f t="shared" si="11"/>
        <v>22.950216450216452</v>
      </c>
      <c r="AA56" s="205"/>
      <c r="AB56" s="357" t="str">
        <f>VLOOKUP($B56,'2007-2020 Metadata'!$A$4:$S$214,MATCH("Urban Area /Monitoring Zone",'2007-2020 Metadata'!$A$4:$S$4,0),FALSE)</f>
        <v xml:space="preserve">Auckland - Southern </v>
      </c>
      <c r="AC56" s="229" t="str">
        <f>VLOOKUP(B56,'2007-2020 Metadata'!$A$6:$A$214,1,FALSE)</f>
        <v>AUC072</v>
      </c>
      <c r="AD56" s="230" t="str">
        <f>VLOOKUP($AC56,'2007-2020 Metadata'!$A$6:$S$214,9,FALSE)</f>
        <v>Manukau</v>
      </c>
      <c r="AE56" s="230">
        <f>IF(ISBLANK(VLOOKUP($AC56,'2007-2020 Metadata'!$A$6:$S$214,19,FALSE)),"",VLOOKUP($AC56,'2007-2020 Metadata'!$A$6:$S$214,19,FALSE))</f>
        <v>3</v>
      </c>
      <c r="AF56" s="88" t="str">
        <f>VLOOKUP($B56,'2007-2020 Metadata'!$A$4:$S$214,MATCH("Site type",'2007-2020 Metadata'!$A$4:$S$4,0),FALSE)</f>
        <v>Local</v>
      </c>
      <c r="AG56" s="143">
        <f t="shared" si="8"/>
        <v>14.8</v>
      </c>
      <c r="AH56" s="143">
        <f t="shared" si="9"/>
        <v>40.200000000000003</v>
      </c>
      <c r="AI56" s="144">
        <f t="shared" si="10"/>
        <v>22.950216450216452</v>
      </c>
    </row>
    <row r="57" spans="2:35" ht="12" customHeight="1" x14ac:dyDescent="0.15">
      <c r="B57" s="231" t="s">
        <v>92</v>
      </c>
      <c r="C57" s="222">
        <v>9.1999999999999993</v>
      </c>
      <c r="D57" s="222">
        <v>10.9</v>
      </c>
      <c r="E57" s="222">
        <v>12.2</v>
      </c>
      <c r="F57" s="222">
        <v>13.9</v>
      </c>
      <c r="G57" s="222">
        <v>18.7</v>
      </c>
      <c r="H57" s="222">
        <v>21.3</v>
      </c>
      <c r="I57" s="222">
        <v>21.8</v>
      </c>
      <c r="J57" s="222">
        <v>12.5</v>
      </c>
      <c r="K57" s="222">
        <v>12.8</v>
      </c>
      <c r="L57" s="222">
        <v>8.5</v>
      </c>
      <c r="M57" s="222">
        <v>7</v>
      </c>
      <c r="N57" s="222">
        <v>6.8</v>
      </c>
      <c r="O57" s="223">
        <f t="shared" si="0"/>
        <v>12.966666666666667</v>
      </c>
      <c r="P57" s="223">
        <f t="shared" si="1"/>
        <v>38.178485623372012</v>
      </c>
      <c r="Q57" s="224">
        <f t="shared" si="2"/>
        <v>1</v>
      </c>
      <c r="R57" s="225">
        <f t="shared" si="12"/>
        <v>10.766666666666666</v>
      </c>
      <c r="S57" s="226">
        <f t="shared" si="3"/>
        <v>1</v>
      </c>
      <c r="T57" s="225">
        <f t="shared" si="13"/>
        <v>15.699999999999998</v>
      </c>
      <c r="U57" s="226">
        <f t="shared" si="4"/>
        <v>1</v>
      </c>
      <c r="V57" s="227">
        <f t="shared" si="14"/>
        <v>12.966666666666667</v>
      </c>
      <c r="W57" s="228">
        <f t="shared" si="5"/>
        <v>1</v>
      </c>
      <c r="X57" s="144">
        <f t="shared" si="6"/>
        <v>19.883333333333333</v>
      </c>
      <c r="Y57" s="144">
        <f t="shared" si="7"/>
        <v>27.633333333333329</v>
      </c>
      <c r="Z57" s="144">
        <f t="shared" si="11"/>
        <v>22.950216450216452</v>
      </c>
      <c r="AA57" s="205"/>
      <c r="AB57" s="357" t="str">
        <f>VLOOKUP($B57,'2007-2020 Metadata'!$A$4:$S$214,MATCH("Urban Area /Monitoring Zone",'2007-2020 Metadata'!$A$4:$S$4,0),FALSE)</f>
        <v xml:space="preserve">Auckland - Southern </v>
      </c>
      <c r="AC57" s="229" t="str">
        <f>VLOOKUP(B57,'2007-2020 Metadata'!$A$6:$A$214,1,FALSE)</f>
        <v>AUC073</v>
      </c>
      <c r="AD57" s="230" t="str">
        <f>VLOOKUP($AC57,'2007-2020 Metadata'!$A$6:$S$214,9,FALSE)</f>
        <v>Manukau</v>
      </c>
      <c r="AE57" s="230">
        <f>IF(ISBLANK(VLOOKUP($AC57,'2007-2020 Metadata'!$A$6:$S$214,19,FALSE)),"",VLOOKUP($AC57,'2007-2020 Metadata'!$A$6:$S$214,19,FALSE))</f>
        <v>3</v>
      </c>
      <c r="AF57" s="88" t="str">
        <f>VLOOKUP($B57,'2007-2020 Metadata'!$A$4:$S$214,MATCH("Site type",'2007-2020 Metadata'!$A$4:$S$4,0),FALSE)</f>
        <v>Background</v>
      </c>
      <c r="AG57" s="143">
        <f t="shared" si="8"/>
        <v>6.8</v>
      </c>
      <c r="AH57" s="143">
        <f t="shared" si="9"/>
        <v>21.8</v>
      </c>
      <c r="AI57" s="144">
        <f t="shared" si="10"/>
        <v>22.950216450216452</v>
      </c>
    </row>
    <row r="58" spans="2:35" ht="12" customHeight="1" x14ac:dyDescent="0.15">
      <c r="B58" s="231" t="s">
        <v>499</v>
      </c>
      <c r="C58" s="222">
        <v>10.8</v>
      </c>
      <c r="D58" s="222">
        <v>18</v>
      </c>
      <c r="E58" s="222">
        <v>17.899999999999999</v>
      </c>
      <c r="F58" s="222">
        <v>17.3</v>
      </c>
      <c r="G58" s="222">
        <v>22</v>
      </c>
      <c r="H58" s="222">
        <v>26.1</v>
      </c>
      <c r="I58" s="222">
        <v>27.2</v>
      </c>
      <c r="J58" s="222">
        <v>18.899999999999999</v>
      </c>
      <c r="K58" s="222">
        <v>19.100000000000001</v>
      </c>
      <c r="L58" s="222">
        <v>13.2</v>
      </c>
      <c r="M58" s="222"/>
      <c r="N58" s="222"/>
      <c r="O58" s="223">
        <f t="shared" si="0"/>
        <v>19.049999999999997</v>
      </c>
      <c r="P58" s="223">
        <f t="shared" si="1"/>
        <v>25.318222550880222</v>
      </c>
      <c r="Q58" s="224">
        <f t="shared" si="2"/>
        <v>0.83333333333333337</v>
      </c>
      <c r="R58" s="225">
        <f t="shared" si="12"/>
        <v>15.566666666666668</v>
      </c>
      <c r="S58" s="226">
        <f t="shared" si="3"/>
        <v>1</v>
      </c>
      <c r="T58" s="225">
        <f t="shared" si="13"/>
        <v>21.733333333333331</v>
      </c>
      <c r="U58" s="226">
        <f t="shared" si="4"/>
        <v>1</v>
      </c>
      <c r="V58" s="227">
        <f t="shared" si="14"/>
        <v>19.049999999999997</v>
      </c>
      <c r="W58" s="228">
        <f t="shared" si="5"/>
        <v>0.83333333333333337</v>
      </c>
      <c r="X58" s="144">
        <f t="shared" si="6"/>
        <v>13.804761904761904</v>
      </c>
      <c r="Y58" s="144">
        <f t="shared" si="7"/>
        <v>17.927777777777777</v>
      </c>
      <c r="Z58" s="144">
        <f t="shared" si="11"/>
        <v>16.226388888888888</v>
      </c>
      <c r="AA58" s="205"/>
      <c r="AB58" s="357" t="str">
        <f>VLOOKUP($B58,'2007-2020 Metadata'!$A$4:$S$214,MATCH("Urban Area /Monitoring Zone",'2007-2020 Metadata'!$A$4:$S$4,0),FALSE)</f>
        <v>Auckland - Western</v>
      </c>
      <c r="AC58" s="229" t="str">
        <f>VLOOKUP(B58,'2007-2020 Metadata'!$A$6:$A$214,1,FALSE)</f>
        <v>AUC115</v>
      </c>
      <c r="AD58" s="230" t="str">
        <f>VLOOKUP($AC58,'2007-2020 Metadata'!$A$6:$S$214,9,FALSE)</f>
        <v>Waitakere</v>
      </c>
      <c r="AE58" s="230">
        <f>IF(ISBLANK(VLOOKUP($AC58,'2007-2020 Metadata'!$A$6:$S$214,19,FALSE)),"",VLOOKUP($AC58,'2007-2020 Metadata'!$A$6:$S$214,19,FALSE))</f>
        <v>3</v>
      </c>
      <c r="AF58" s="88" t="str">
        <f>VLOOKUP($B58,'2007-2020 Metadata'!$A$4:$S$214,MATCH("Site type",'2007-2020 Metadata'!$A$4:$S$4,0),FALSE)</f>
        <v>SH</v>
      </c>
      <c r="AG58" s="143">
        <f t="shared" si="8"/>
        <v>10.8</v>
      </c>
      <c r="AH58" s="143">
        <f t="shared" si="9"/>
        <v>27.2</v>
      </c>
      <c r="AI58" s="144">
        <f t="shared" si="10"/>
        <v>16.226388888888888</v>
      </c>
    </row>
    <row r="59" spans="2:35" ht="12" customHeight="1" x14ac:dyDescent="0.15">
      <c r="B59" s="231" t="s">
        <v>93</v>
      </c>
      <c r="C59" s="222">
        <v>24.1</v>
      </c>
      <c r="D59" s="222">
        <v>32.700000000000003</v>
      </c>
      <c r="E59" s="222">
        <v>35.700000000000003</v>
      </c>
      <c r="F59" s="222">
        <v>38.700000000000003</v>
      </c>
      <c r="G59" s="222">
        <v>41.4</v>
      </c>
      <c r="H59" s="222">
        <v>45.9</v>
      </c>
      <c r="I59" s="222">
        <v>52.5</v>
      </c>
      <c r="J59" s="222">
        <v>44.1</v>
      </c>
      <c r="K59" s="222">
        <v>36</v>
      </c>
      <c r="L59" s="222">
        <v>33.200000000000003</v>
      </c>
      <c r="M59" s="222">
        <v>31</v>
      </c>
      <c r="N59" s="222">
        <v>19.8</v>
      </c>
      <c r="O59" s="223">
        <f t="shared" si="0"/>
        <v>36.258333333333333</v>
      </c>
      <c r="P59" s="223">
        <f t="shared" si="1"/>
        <v>24.14077624900148</v>
      </c>
      <c r="Q59" s="224">
        <f t="shared" si="2"/>
        <v>1</v>
      </c>
      <c r="R59" s="225">
        <f t="shared" si="12"/>
        <v>30.833333333333332</v>
      </c>
      <c r="S59" s="226">
        <f t="shared" si="3"/>
        <v>1</v>
      </c>
      <c r="T59" s="225">
        <f t="shared" si="13"/>
        <v>44.199999999999996</v>
      </c>
      <c r="U59" s="226">
        <f t="shared" si="4"/>
        <v>1</v>
      </c>
      <c r="V59" s="227">
        <f t="shared" si="14"/>
        <v>36.258333333333333</v>
      </c>
      <c r="W59" s="228">
        <f t="shared" si="5"/>
        <v>1</v>
      </c>
      <c r="X59" s="144">
        <f t="shared" si="6"/>
        <v>22.27</v>
      </c>
      <c r="Y59" s="144">
        <f t="shared" si="7"/>
        <v>30.875757575757575</v>
      </c>
      <c r="Z59" s="144">
        <f t="shared" si="11"/>
        <v>26.595833333333331</v>
      </c>
      <c r="AA59" s="205"/>
      <c r="AB59" s="357" t="str">
        <f>VLOOKUP($B59,'2007-2020 Metadata'!$A$4:$S$214,MATCH("Urban Area /Monitoring Zone",'2007-2020 Metadata'!$A$4:$S$4,0),FALSE)</f>
        <v>Auckland - Northern</v>
      </c>
      <c r="AC59" s="229" t="str">
        <f>VLOOKUP(B59,'2007-2020 Metadata'!$A$6:$A$214,1,FALSE)</f>
        <v>AUC170</v>
      </c>
      <c r="AD59" s="230" t="str">
        <f>VLOOKUP($AC59,'2007-2020 Metadata'!$A$6:$S$214,9,FALSE)</f>
        <v xml:space="preserve">North Shore </v>
      </c>
      <c r="AE59" s="230">
        <f>IF(ISBLANK(VLOOKUP($AC59,'2007-2020 Metadata'!$A$6:$S$214,19,FALSE)),"",VLOOKUP($AC59,'2007-2020 Metadata'!$A$6:$S$214,19,FALSE))</f>
        <v>3</v>
      </c>
      <c r="AF59" s="88" t="str">
        <f>VLOOKUP($B59,'2007-2020 Metadata'!$A$4:$S$214,MATCH("Site type",'2007-2020 Metadata'!$A$4:$S$4,0),FALSE)</f>
        <v>SH</v>
      </c>
      <c r="AG59" s="143">
        <f t="shared" si="8"/>
        <v>19.8</v>
      </c>
      <c r="AH59" s="143">
        <f t="shared" si="9"/>
        <v>52.5</v>
      </c>
      <c r="AI59" s="144">
        <f t="shared" si="10"/>
        <v>26.595833333333331</v>
      </c>
    </row>
    <row r="60" spans="2:35" ht="12" customHeight="1" x14ac:dyDescent="0.15">
      <c r="B60" s="231" t="s">
        <v>94</v>
      </c>
      <c r="C60" s="222">
        <v>8.6999999999999993</v>
      </c>
      <c r="D60" s="222">
        <v>8.3000000000000007</v>
      </c>
      <c r="E60" s="222">
        <v>10.5</v>
      </c>
      <c r="F60" s="222"/>
      <c r="G60" s="222">
        <v>14.7</v>
      </c>
      <c r="H60" s="222"/>
      <c r="I60" s="222">
        <v>13.6</v>
      </c>
      <c r="J60" s="222">
        <v>11.1</v>
      </c>
      <c r="K60" s="222">
        <v>9.1999999999999993</v>
      </c>
      <c r="L60" s="222"/>
      <c r="M60" s="222">
        <v>8.9</v>
      </c>
      <c r="N60" s="222">
        <v>7.1</v>
      </c>
      <c r="O60" s="223">
        <f t="shared" si="0"/>
        <v>10.233333333333334</v>
      </c>
      <c r="P60" s="223">
        <f t="shared" si="1"/>
        <v>23.230031699902788</v>
      </c>
      <c r="Q60" s="224">
        <f t="shared" si="2"/>
        <v>0.75</v>
      </c>
      <c r="R60" s="225">
        <f t="shared" si="12"/>
        <v>9.1666666666666661</v>
      </c>
      <c r="S60" s="226">
        <f t="shared" si="3"/>
        <v>1</v>
      </c>
      <c r="T60" s="225">
        <f t="shared" si="13"/>
        <v>11.299999999999999</v>
      </c>
      <c r="U60" s="226">
        <f t="shared" si="4"/>
        <v>1</v>
      </c>
      <c r="V60" s="227">
        <f t="shared" si="14"/>
        <v>10.233333333333334</v>
      </c>
      <c r="W60" s="228">
        <f t="shared" si="5"/>
        <v>0.75</v>
      </c>
      <c r="X60" s="144">
        <f t="shared" si="6"/>
        <v>17.683333333333334</v>
      </c>
      <c r="Y60" s="144">
        <f t="shared" si="7"/>
        <v>22.966666666666665</v>
      </c>
      <c r="Z60" s="144">
        <f t="shared" si="11"/>
        <v>19.333333333333336</v>
      </c>
      <c r="AA60" s="205"/>
      <c r="AB60" s="357" t="str">
        <f>VLOOKUP($B60,'2007-2020 Metadata'!$A$4:$S$214,MATCH("Urban Area /Monitoring Zone",'2007-2020 Metadata'!$A$4:$S$4,0),FALSE)</f>
        <v>Whangarei</v>
      </c>
      <c r="AC60" s="229" t="str">
        <f>VLOOKUP(B60,'2007-2020 Metadata'!$A$6:$A$214,1,FALSE)</f>
        <v>AUC171</v>
      </c>
      <c r="AD60" s="230" t="str">
        <f>VLOOKUP($AC60,'2007-2020 Metadata'!$A$6:$S$214,9,FALSE)</f>
        <v>Whangarei</v>
      </c>
      <c r="AE60" s="230">
        <f>IF(ISBLANK(VLOOKUP($AC60,'2007-2020 Metadata'!$A$6:$S$214,19,FALSE)),"",VLOOKUP($AC60,'2007-2020 Metadata'!$A$6:$S$214,19,FALSE))</f>
        <v>3</v>
      </c>
      <c r="AF60" s="88" t="str">
        <f>VLOOKUP($B60,'2007-2020 Metadata'!$A$4:$S$214,MATCH("Site type",'2007-2020 Metadata'!$A$4:$S$4,0),FALSE)</f>
        <v>Background</v>
      </c>
      <c r="AG60" s="143">
        <f t="shared" si="8"/>
        <v>7.1</v>
      </c>
      <c r="AH60" s="143">
        <f t="shared" si="9"/>
        <v>14.7</v>
      </c>
      <c r="AI60" s="144">
        <f t="shared" si="10"/>
        <v>19.333333333333336</v>
      </c>
    </row>
    <row r="61" spans="2:35" ht="12" customHeight="1" x14ac:dyDescent="0.15">
      <c r="B61" s="231" t="s">
        <v>485</v>
      </c>
      <c r="C61" s="222">
        <v>25.8</v>
      </c>
      <c r="D61" s="222">
        <v>25.4</v>
      </c>
      <c r="E61" s="222">
        <v>27.4</v>
      </c>
      <c r="F61" s="222"/>
      <c r="G61" s="222">
        <v>35.200000000000003</v>
      </c>
      <c r="H61" s="222"/>
      <c r="I61" s="222">
        <v>37.700000000000003</v>
      </c>
      <c r="J61" s="222">
        <v>32.799999999999997</v>
      </c>
      <c r="K61" s="222">
        <v>33.4</v>
      </c>
      <c r="L61" s="222"/>
      <c r="M61" s="222">
        <v>23.7</v>
      </c>
      <c r="N61" s="222">
        <v>14.5</v>
      </c>
      <c r="O61" s="223">
        <f t="shared" si="0"/>
        <v>28.433333333333334</v>
      </c>
      <c r="P61" s="223">
        <f t="shared" si="1"/>
        <v>23.71302391236236</v>
      </c>
      <c r="Q61" s="224">
        <f t="shared" si="2"/>
        <v>0.75</v>
      </c>
      <c r="R61" s="225">
        <f t="shared" si="12"/>
        <v>26.2</v>
      </c>
      <c r="S61" s="226">
        <f t="shared" si="3"/>
        <v>1</v>
      </c>
      <c r="T61" s="225">
        <f t="shared" si="13"/>
        <v>34.633333333333333</v>
      </c>
      <c r="U61" s="226">
        <f t="shared" si="4"/>
        <v>1</v>
      </c>
      <c r="V61" s="227">
        <f t="shared" si="14"/>
        <v>28.433333333333334</v>
      </c>
      <c r="W61" s="228">
        <f t="shared" si="5"/>
        <v>0.75</v>
      </c>
      <c r="X61" s="144">
        <f t="shared" si="6"/>
        <v>17.683333333333334</v>
      </c>
      <c r="Y61" s="144">
        <f t="shared" si="7"/>
        <v>22.966666666666665</v>
      </c>
      <c r="Z61" s="144">
        <f t="shared" si="11"/>
        <v>19.333333333333336</v>
      </c>
      <c r="AA61" s="205"/>
      <c r="AB61" s="357" t="str">
        <f>VLOOKUP($B61,'2007-2020 Metadata'!$A$4:$S$214,MATCH("Urban Area /Monitoring Zone",'2007-2020 Metadata'!$A$4:$S$4,0),FALSE)</f>
        <v>Whangarei</v>
      </c>
      <c r="AC61" s="229" t="str">
        <f>VLOOKUP(B61,'2007-2020 Metadata'!$A$6:$A$214,1,FALSE)</f>
        <v>AUC187</v>
      </c>
      <c r="AD61" s="230" t="str">
        <f>VLOOKUP($AC61,'2007-2020 Metadata'!$A$6:$S$214,9,FALSE)</f>
        <v>Whangarei</v>
      </c>
      <c r="AE61" s="230">
        <f>IF(ISBLANK(VLOOKUP($AC61,'2007-2020 Metadata'!$A$6:$S$214,19,FALSE)),"",VLOOKUP($AC61,'2007-2020 Metadata'!$A$6:$S$214,19,FALSE))</f>
        <v>3</v>
      </c>
      <c r="AF61" s="88" t="str">
        <f>VLOOKUP($B61,'2007-2020 Metadata'!$A$4:$S$214,MATCH("Site type",'2007-2020 Metadata'!$A$4:$S$4,0),FALSE)</f>
        <v>SH</v>
      </c>
      <c r="AG61" s="143">
        <f t="shared" si="8"/>
        <v>14.5</v>
      </c>
      <c r="AH61" s="143">
        <f t="shared" si="9"/>
        <v>37.700000000000003</v>
      </c>
      <c r="AI61" s="144">
        <f t="shared" si="10"/>
        <v>19.333333333333336</v>
      </c>
    </row>
    <row r="62" spans="2:35" ht="12" customHeight="1" x14ac:dyDescent="0.15">
      <c r="B62" s="231" t="s">
        <v>501</v>
      </c>
      <c r="C62" s="222">
        <v>19.2</v>
      </c>
      <c r="D62" s="222">
        <v>20.9</v>
      </c>
      <c r="E62" s="222">
        <v>25.7</v>
      </c>
      <c r="F62" s="222"/>
      <c r="G62" s="222"/>
      <c r="H62" s="222">
        <v>35.200000000000003</v>
      </c>
      <c r="I62" s="222"/>
      <c r="J62" s="222">
        <v>26.3</v>
      </c>
      <c r="K62" s="222"/>
      <c r="L62" s="222"/>
      <c r="M62" s="222">
        <v>19.899999999999999</v>
      </c>
      <c r="N62" s="222">
        <v>14.1</v>
      </c>
      <c r="O62" s="223">
        <f t="shared" si="0"/>
        <v>23.042857142857141</v>
      </c>
      <c r="P62" s="223">
        <f t="shared" si="1"/>
        <v>27.184785668291322</v>
      </c>
      <c r="Q62" s="224">
        <f t="shared" si="2"/>
        <v>0.58333333333333337</v>
      </c>
      <c r="R62" s="225">
        <f t="shared" si="12"/>
        <v>21.933333333333334</v>
      </c>
      <c r="S62" s="226">
        <f t="shared" si="3"/>
        <v>1</v>
      </c>
      <c r="T62" s="225" t="str">
        <f t="shared" si="13"/>
        <v>-</v>
      </c>
      <c r="U62" s="226">
        <f t="shared" si="4"/>
        <v>0.33333333333333331</v>
      </c>
      <c r="V62" s="227" t="str">
        <f t="shared" si="14"/>
        <v>-</v>
      </c>
      <c r="W62" s="228">
        <f t="shared" si="5"/>
        <v>0.58333333333333337</v>
      </c>
      <c r="X62" s="144">
        <f t="shared" si="6"/>
        <v>19.883333333333333</v>
      </c>
      <c r="Y62" s="144">
        <f t="shared" si="7"/>
        <v>27.633333333333329</v>
      </c>
      <c r="Z62" s="144">
        <f t="shared" si="11"/>
        <v>22.950216450216452</v>
      </c>
      <c r="AA62" s="205"/>
      <c r="AB62" s="357" t="str">
        <f>VLOOKUP($B62,'2007-2020 Metadata'!$A$4:$S$214,MATCH("Urban Area /Monitoring Zone",'2007-2020 Metadata'!$A$4:$S$4,0),FALSE)</f>
        <v xml:space="preserve">Auckland - Southern </v>
      </c>
      <c r="AC62" s="229" t="str">
        <f>VLOOKUP(B62,'2007-2020 Metadata'!$A$6:$A$214,1,FALSE)</f>
        <v>AUC190</v>
      </c>
      <c r="AD62" s="230" t="str">
        <f>VLOOKUP($AC62,'2007-2020 Metadata'!$A$6:$S$214,9,FALSE)</f>
        <v>Manukau</v>
      </c>
      <c r="AE62" s="230">
        <f>IF(ISBLANK(VLOOKUP($AC62,'2007-2020 Metadata'!$A$6:$S$214,19,FALSE)),"",VLOOKUP($AC62,'2007-2020 Metadata'!$A$6:$S$214,19,FALSE))</f>
        <v>3</v>
      </c>
      <c r="AF62" s="88" t="str">
        <f>VLOOKUP($B62,'2007-2020 Metadata'!$A$4:$S$214,MATCH("Site type",'2007-2020 Metadata'!$A$4:$S$4,0),FALSE)</f>
        <v>SH</v>
      </c>
      <c r="AG62" s="143">
        <f t="shared" si="8"/>
        <v>14.1</v>
      </c>
      <c r="AH62" s="143">
        <f t="shared" si="9"/>
        <v>35.200000000000003</v>
      </c>
      <c r="AI62" s="144" t="str">
        <f t="shared" si="10"/>
        <v xml:space="preserve"> </v>
      </c>
    </row>
    <row r="63" spans="2:35" ht="12" customHeight="1" x14ac:dyDescent="0.15">
      <c r="B63" s="231" t="s">
        <v>32</v>
      </c>
      <c r="C63" s="222">
        <v>22.2</v>
      </c>
      <c r="D63" s="222">
        <v>30.9</v>
      </c>
      <c r="E63" s="222">
        <v>27.2</v>
      </c>
      <c r="F63" s="222">
        <v>29.5</v>
      </c>
      <c r="G63" s="222">
        <v>29</v>
      </c>
      <c r="H63" s="222">
        <v>36.299999999999997</v>
      </c>
      <c r="I63" s="222">
        <v>34.299999999999997</v>
      </c>
      <c r="J63" s="222">
        <v>38</v>
      </c>
      <c r="K63" s="222">
        <v>36.6</v>
      </c>
      <c r="L63" s="222"/>
      <c r="M63" s="222">
        <v>26.9</v>
      </c>
      <c r="N63" s="222">
        <v>21.5</v>
      </c>
      <c r="O63" s="223">
        <f t="shared" si="0"/>
        <v>30.218181818181822</v>
      </c>
      <c r="P63" s="223">
        <f t="shared" si="1"/>
        <v>17.787849840136282</v>
      </c>
      <c r="Q63" s="224">
        <f t="shared" si="2"/>
        <v>0.91666666666666663</v>
      </c>
      <c r="R63" s="225">
        <f t="shared" si="12"/>
        <v>26.766666666666666</v>
      </c>
      <c r="S63" s="226">
        <f t="shared" si="3"/>
        <v>1</v>
      </c>
      <c r="T63" s="225">
        <f t="shared" si="13"/>
        <v>36.300000000000004</v>
      </c>
      <c r="U63" s="226">
        <f t="shared" si="4"/>
        <v>1</v>
      </c>
      <c r="V63" s="227">
        <f t="shared" si="14"/>
        <v>30.218181818181822</v>
      </c>
      <c r="W63" s="228">
        <f t="shared" si="5"/>
        <v>0.91666666666666663</v>
      </c>
      <c r="X63" s="144">
        <f t="shared" si="6"/>
        <v>24.413333333333334</v>
      </c>
      <c r="Y63" s="144">
        <f t="shared" si="7"/>
        <v>34.983333333333327</v>
      </c>
      <c r="Z63" s="144">
        <f t="shared" si="11"/>
        <v>29.424410774410774</v>
      </c>
      <c r="AA63" s="205"/>
      <c r="AB63" s="357" t="str">
        <f>VLOOKUP($B63,'2007-2020 Metadata'!$A$4:$S$214,MATCH("Urban Area /Monitoring Zone",'2007-2020 Metadata'!$A$4:$S$4,0),FALSE)</f>
        <v>Hamilton</v>
      </c>
      <c r="AC63" s="229" t="str">
        <f>VLOOKUP(B63,'2007-2020 Metadata'!$A$6:$A$214,1,FALSE)</f>
        <v>HAM001</v>
      </c>
      <c r="AD63" s="230" t="str">
        <f>VLOOKUP($AC63,'2007-2020 Metadata'!$A$6:$S$214,9,FALSE)</f>
        <v>Hamilton</v>
      </c>
      <c r="AE63" s="230">
        <f>IF(ISBLANK(VLOOKUP($AC63,'2007-2020 Metadata'!$A$6:$S$214,19,FALSE)),"",VLOOKUP($AC63,'2007-2020 Metadata'!$A$6:$S$214,19,FALSE))</f>
        <v>3.8</v>
      </c>
      <c r="AF63" s="88" t="str">
        <f>VLOOKUP($B63,'2007-2020 Metadata'!$A$4:$S$214,MATCH("Site type",'2007-2020 Metadata'!$A$4:$S$4,0),FALSE)</f>
        <v>SH</v>
      </c>
      <c r="AG63" s="143">
        <f t="shared" si="8"/>
        <v>21.5</v>
      </c>
      <c r="AH63" s="143">
        <f t="shared" si="9"/>
        <v>38</v>
      </c>
      <c r="AI63" s="144">
        <f t="shared" si="10"/>
        <v>29.424410774410774</v>
      </c>
    </row>
    <row r="64" spans="2:35" ht="12" customHeight="1" x14ac:dyDescent="0.15">
      <c r="B64" s="231" t="s">
        <v>33</v>
      </c>
      <c r="C64" s="222">
        <v>15.1</v>
      </c>
      <c r="D64" s="222">
        <v>24.9</v>
      </c>
      <c r="E64" s="222">
        <v>22.9</v>
      </c>
      <c r="F64" s="222">
        <v>21.8</v>
      </c>
      <c r="G64" s="222">
        <v>32.200000000000003</v>
      </c>
      <c r="H64" s="222">
        <v>36.1</v>
      </c>
      <c r="I64" s="222">
        <v>34.5</v>
      </c>
      <c r="J64" s="222">
        <v>31.2</v>
      </c>
      <c r="K64" s="222">
        <v>29.9</v>
      </c>
      <c r="L64" s="222">
        <v>23.3</v>
      </c>
      <c r="M64" s="222">
        <v>23.7</v>
      </c>
      <c r="N64" s="222">
        <v>17</v>
      </c>
      <c r="O64" s="223">
        <f t="shared" si="0"/>
        <v>26.049999999999997</v>
      </c>
      <c r="P64" s="223">
        <f t="shared" si="1"/>
        <v>24.67412559087866</v>
      </c>
      <c r="Q64" s="224">
        <f t="shared" si="2"/>
        <v>1</v>
      </c>
      <c r="R64" s="225">
        <f t="shared" si="12"/>
        <v>20.966666666666665</v>
      </c>
      <c r="S64" s="226">
        <f t="shared" si="3"/>
        <v>1</v>
      </c>
      <c r="T64" s="225">
        <f t="shared" si="13"/>
        <v>31.866666666666664</v>
      </c>
      <c r="U64" s="226">
        <f t="shared" si="4"/>
        <v>1</v>
      </c>
      <c r="V64" s="227">
        <f t="shared" si="14"/>
        <v>26.049999999999997</v>
      </c>
      <c r="W64" s="228">
        <f t="shared" si="5"/>
        <v>1</v>
      </c>
      <c r="X64" s="144">
        <f t="shared" si="6"/>
        <v>24.413333333333334</v>
      </c>
      <c r="Y64" s="144">
        <f t="shared" si="7"/>
        <v>34.983333333333327</v>
      </c>
      <c r="Z64" s="144">
        <f t="shared" si="11"/>
        <v>29.424410774410774</v>
      </c>
      <c r="AA64" s="205"/>
      <c r="AB64" s="357" t="str">
        <f>VLOOKUP($B64,'2007-2020 Metadata'!$A$4:$S$214,MATCH("Urban Area /Monitoring Zone",'2007-2020 Metadata'!$A$4:$S$4,0),FALSE)</f>
        <v>Hamilton</v>
      </c>
      <c r="AC64" s="229" t="str">
        <f>VLOOKUP(B64,'2007-2020 Metadata'!$A$6:$A$214,1,FALSE)</f>
        <v>HAM002</v>
      </c>
      <c r="AD64" s="230" t="str">
        <f>VLOOKUP($AC64,'2007-2020 Metadata'!$A$6:$S$214,9,FALSE)</f>
        <v>Hamilton</v>
      </c>
      <c r="AE64" s="230">
        <f>IF(ISBLANK(VLOOKUP($AC64,'2007-2020 Metadata'!$A$6:$S$214,19,FALSE)),"",VLOOKUP($AC64,'2007-2020 Metadata'!$A$6:$S$214,19,FALSE))</f>
        <v>2.6</v>
      </c>
      <c r="AF64" s="88" t="str">
        <f>VLOOKUP($B64,'2007-2020 Metadata'!$A$4:$S$214,MATCH("Site type",'2007-2020 Metadata'!$A$4:$S$4,0),FALSE)</f>
        <v>Local (ex SH)</v>
      </c>
      <c r="AG64" s="143">
        <f t="shared" si="8"/>
        <v>15.1</v>
      </c>
      <c r="AH64" s="143">
        <f t="shared" si="9"/>
        <v>36.1</v>
      </c>
      <c r="AI64" s="144">
        <f t="shared" si="10"/>
        <v>29.424410774410774</v>
      </c>
    </row>
    <row r="65" spans="2:35" ht="12" customHeight="1" x14ac:dyDescent="0.15">
      <c r="B65" s="231" t="s">
        <v>34</v>
      </c>
      <c r="C65" s="222">
        <v>36</v>
      </c>
      <c r="D65" s="222">
        <v>34.799999999999997</v>
      </c>
      <c r="E65" s="222">
        <v>49.2</v>
      </c>
      <c r="F65" s="222">
        <v>38.6</v>
      </c>
      <c r="G65" s="222">
        <v>45.6</v>
      </c>
      <c r="H65" s="222">
        <v>50.6</v>
      </c>
      <c r="I65" s="222">
        <v>49.8</v>
      </c>
      <c r="J65" s="222">
        <v>47.8</v>
      </c>
      <c r="K65" s="222">
        <v>50.1</v>
      </c>
      <c r="L65" s="222">
        <v>40.700000000000003</v>
      </c>
      <c r="M65" s="222">
        <v>36.799999999999997</v>
      </c>
      <c r="N65" s="222">
        <v>35.299999999999997</v>
      </c>
      <c r="O65" s="223">
        <f t="shared" si="0"/>
        <v>42.941666666666663</v>
      </c>
      <c r="P65" s="223">
        <f t="shared" si="1"/>
        <v>14.437395774245637</v>
      </c>
      <c r="Q65" s="224">
        <f t="shared" si="2"/>
        <v>1</v>
      </c>
      <c r="R65" s="225">
        <f t="shared" si="12"/>
        <v>40</v>
      </c>
      <c r="S65" s="226">
        <f t="shared" si="3"/>
        <v>1</v>
      </c>
      <c r="T65" s="225">
        <f t="shared" si="13"/>
        <v>49.233333333333327</v>
      </c>
      <c r="U65" s="226">
        <f t="shared" si="4"/>
        <v>1</v>
      </c>
      <c r="V65" s="227">
        <f t="shared" si="14"/>
        <v>42.941666666666663</v>
      </c>
      <c r="W65" s="228">
        <f t="shared" si="5"/>
        <v>1</v>
      </c>
      <c r="X65" s="144">
        <f t="shared" si="6"/>
        <v>24.413333333333334</v>
      </c>
      <c r="Y65" s="144">
        <f t="shared" si="7"/>
        <v>34.983333333333327</v>
      </c>
      <c r="Z65" s="144">
        <f t="shared" si="11"/>
        <v>29.424410774410774</v>
      </c>
      <c r="AA65" s="205"/>
      <c r="AB65" s="357" t="str">
        <f>VLOOKUP($B65,'2007-2020 Metadata'!$A$4:$S$214,MATCH("Urban Area /Monitoring Zone",'2007-2020 Metadata'!$A$4:$S$4,0),FALSE)</f>
        <v>Hamilton</v>
      </c>
      <c r="AC65" s="229" t="str">
        <f>VLOOKUP(B65,'2007-2020 Metadata'!$A$6:$A$214,1,FALSE)</f>
        <v>HAM003</v>
      </c>
      <c r="AD65" s="230" t="str">
        <f>VLOOKUP($AC65,'2007-2020 Metadata'!$A$6:$S$214,9,FALSE)</f>
        <v>Hamilton</v>
      </c>
      <c r="AE65" s="230">
        <f>IF(ISBLANK(VLOOKUP($AC65,'2007-2020 Metadata'!$A$6:$S$214,19,FALSE)),"",VLOOKUP($AC65,'2007-2020 Metadata'!$A$6:$S$214,19,FALSE))</f>
        <v>2.9</v>
      </c>
      <c r="AF65" s="88" t="str">
        <f>VLOOKUP($B65,'2007-2020 Metadata'!$A$4:$S$214,MATCH("Site type",'2007-2020 Metadata'!$A$4:$S$4,0),FALSE)</f>
        <v>SH</v>
      </c>
      <c r="AG65" s="143">
        <f t="shared" si="8"/>
        <v>34.799999999999997</v>
      </c>
      <c r="AH65" s="143">
        <f t="shared" si="9"/>
        <v>50.6</v>
      </c>
      <c r="AI65" s="144">
        <f t="shared" si="10"/>
        <v>29.424410774410774</v>
      </c>
    </row>
    <row r="66" spans="2:35" ht="12" customHeight="1" x14ac:dyDescent="0.15">
      <c r="B66" s="231" t="s">
        <v>35</v>
      </c>
      <c r="C66" s="222">
        <v>17.899999999999999</v>
      </c>
      <c r="D66" s="222">
        <v>24.8</v>
      </c>
      <c r="E66" s="222">
        <v>21.6</v>
      </c>
      <c r="F66" s="341"/>
      <c r="G66" s="341"/>
      <c r="H66" s="341"/>
      <c r="I66" s="341"/>
      <c r="J66" s="341"/>
      <c r="K66" s="341"/>
      <c r="L66" s="341"/>
      <c r="M66" s="341"/>
      <c r="N66" s="341"/>
      <c r="O66" s="223">
        <f t="shared" si="0"/>
        <v>21.433333333333337</v>
      </c>
      <c r="P66" s="223">
        <f t="shared" si="1"/>
        <v>13.154171355390579</v>
      </c>
      <c r="Q66" s="224">
        <f t="shared" si="2"/>
        <v>0.25</v>
      </c>
      <c r="R66" s="225">
        <f t="shared" si="12"/>
        <v>21.433333333333337</v>
      </c>
      <c r="S66" s="226">
        <f t="shared" si="3"/>
        <v>1</v>
      </c>
      <c r="T66" s="225" t="str">
        <f t="shared" si="13"/>
        <v/>
      </c>
      <c r="U66" s="226">
        <f t="shared" si="4"/>
        <v>0</v>
      </c>
      <c r="V66" s="227" t="str">
        <f t="shared" si="14"/>
        <v>-</v>
      </c>
      <c r="W66" s="228">
        <f t="shared" si="5"/>
        <v>0.25</v>
      </c>
      <c r="X66" s="144">
        <f t="shared" si="6"/>
        <v>24.413333333333334</v>
      </c>
      <c r="Y66" s="144">
        <f t="shared" si="7"/>
        <v>34.983333333333327</v>
      </c>
      <c r="Z66" s="144">
        <f t="shared" si="11"/>
        <v>29.424410774410774</v>
      </c>
      <c r="AA66" s="205"/>
      <c r="AB66" s="357" t="str">
        <f>VLOOKUP($B66,'2007-2020 Metadata'!$A$4:$S$214,MATCH("Urban Area /Monitoring Zone",'2007-2020 Metadata'!$A$4:$S$4,0),FALSE)</f>
        <v>Cambridge</v>
      </c>
      <c r="AC66" s="229" t="str">
        <f>VLOOKUP(B66,'2007-2020 Metadata'!$A$6:$A$214,1,FALSE)</f>
        <v>HAM004</v>
      </c>
      <c r="AD66" s="230" t="str">
        <f>VLOOKUP($AC66,'2007-2020 Metadata'!$A$6:$S$214,9,FALSE)</f>
        <v>Hamilton</v>
      </c>
      <c r="AE66" s="230">
        <f>IF(ISBLANK(VLOOKUP($AC66,'2007-2020 Metadata'!$A$6:$S$214,19,FALSE)),"",VLOOKUP($AC66,'2007-2020 Metadata'!$A$6:$S$214,19,FALSE))</f>
        <v>3</v>
      </c>
      <c r="AF66" s="88" t="str">
        <f>VLOOKUP($B66,'2007-2020 Metadata'!$A$4:$S$214,MATCH("Site type",'2007-2020 Metadata'!$A$4:$S$4,0),FALSE)</f>
        <v>Local (ex SH)</v>
      </c>
      <c r="AG66" s="143">
        <f t="shared" si="8"/>
        <v>17.899999999999999</v>
      </c>
      <c r="AH66" s="143">
        <f t="shared" si="9"/>
        <v>24.8</v>
      </c>
      <c r="AI66" s="144" t="str">
        <f t="shared" si="10"/>
        <v xml:space="preserve"> </v>
      </c>
    </row>
    <row r="67" spans="2:35" ht="12" customHeight="1" x14ac:dyDescent="0.15">
      <c r="B67" s="231" t="s">
        <v>1045</v>
      </c>
      <c r="C67" s="341"/>
      <c r="D67" s="341"/>
      <c r="E67" s="341"/>
      <c r="F67" s="222"/>
      <c r="G67" s="222">
        <v>34.200000000000003</v>
      </c>
      <c r="H67" s="222">
        <v>40.4</v>
      </c>
      <c r="I67" s="222">
        <v>31.2</v>
      </c>
      <c r="J67" s="222">
        <v>28.6</v>
      </c>
      <c r="K67" s="222">
        <v>30.9</v>
      </c>
      <c r="L67" s="222">
        <v>25.5</v>
      </c>
      <c r="M67" s="222">
        <v>30.3</v>
      </c>
      <c r="N67" s="222">
        <v>21.4</v>
      </c>
      <c r="O67" s="223">
        <f t="shared" ref="O67" si="45">(AVERAGE(C67:N67))</f>
        <v>30.312500000000004</v>
      </c>
      <c r="P67" s="223">
        <f t="shared" ref="P67" si="46">IFERROR((STDEVP(C67:N67)/O67)*100,"")</f>
        <v>17.438131378537328</v>
      </c>
      <c r="Q67" s="224">
        <f t="shared" ref="Q67" si="47">COUNT(C67:N67)/COUNT($C$6:$N$6)</f>
        <v>0.66666666666666663</v>
      </c>
      <c r="R67" s="225" t="str">
        <f t="shared" si="12"/>
        <v/>
      </c>
      <c r="S67" s="226">
        <f t="shared" ref="S67" si="48">COUNT(C67:E67)/3</f>
        <v>0</v>
      </c>
      <c r="T67" s="225">
        <f t="shared" si="13"/>
        <v>30.233333333333331</v>
      </c>
      <c r="U67" s="226">
        <f t="shared" ref="U67" si="49">COUNT(I67:K67)/3</f>
        <v>1</v>
      </c>
      <c r="V67" s="227" t="str">
        <f t="shared" si="14"/>
        <v>-</v>
      </c>
      <c r="W67" s="228">
        <f t="shared" ref="W67" si="50">Q67</f>
        <v>0.66666666666666663</v>
      </c>
      <c r="X67" s="144" t="str">
        <f t="shared" si="6"/>
        <v/>
      </c>
      <c r="Y67" s="144">
        <f t="shared" si="7"/>
        <v>30.233333333333331</v>
      </c>
      <c r="Z67" s="144" t="str">
        <f t="shared" si="11"/>
        <v>-</v>
      </c>
      <c r="AA67" s="205"/>
      <c r="AB67" s="357">
        <f>VLOOKUP($B67,'2007-2020 Metadata'!$A$4:$S$214,MATCH("Urban Area /Monitoring Zone",'2007-2020 Metadata'!$A$4:$S$4,0),FALSE)</f>
        <v>0</v>
      </c>
      <c r="AC67" s="229" t="str">
        <f>VLOOKUP(B67,'2007-2020 Metadata'!$A$6:$A$214,1,FALSE)</f>
        <v>HAM004a</v>
      </c>
      <c r="AD67" s="230">
        <f>VLOOKUP($AC67,'2007-2020 Metadata'!$A$6:$S$214,9,FALSE)</f>
        <v>0</v>
      </c>
      <c r="AE67" s="230" t="str">
        <f>IF(ISBLANK(VLOOKUP($AC67,'2007-2020 Metadata'!$A$6:$S$214,19,FALSE)),"",VLOOKUP($AC67,'2007-2020 Metadata'!$A$6:$S$214,19,FALSE))</f>
        <v/>
      </c>
      <c r="AF67" s="88" t="str">
        <f>VLOOKUP($B67,'2007-2020 Metadata'!$A$4:$S$214,MATCH("Site type",'2007-2020 Metadata'!$A$4:$S$4,0),FALSE)</f>
        <v>Local (ex SH)</v>
      </c>
      <c r="AG67" s="143">
        <f t="shared" ref="AG67" si="51">MIN(C67:N67)</f>
        <v>21.4</v>
      </c>
      <c r="AH67" s="143">
        <f t="shared" ref="AH67" si="52">MAX(C67:N67)</f>
        <v>40.4</v>
      </c>
      <c r="AI67" s="144" t="str">
        <f t="shared" ref="AI67" si="53">IF(W67&gt;=75%,Z67," ")</f>
        <v xml:space="preserve"> </v>
      </c>
    </row>
    <row r="68" spans="2:35" ht="12" customHeight="1" x14ac:dyDescent="0.15">
      <c r="B68" s="231" t="s">
        <v>36</v>
      </c>
      <c r="C68" s="222">
        <v>13.2</v>
      </c>
      <c r="D68" s="222">
        <v>14</v>
      </c>
      <c r="E68" s="222">
        <v>17.3</v>
      </c>
      <c r="F68" s="222">
        <v>22.1</v>
      </c>
      <c r="G68" s="222">
        <v>22.6</v>
      </c>
      <c r="H68" s="222">
        <v>21.2</v>
      </c>
      <c r="I68" s="222">
        <v>22.7</v>
      </c>
      <c r="J68" s="222">
        <v>21.2</v>
      </c>
      <c r="K68" s="222">
        <v>16.7</v>
      </c>
      <c r="L68" s="222">
        <v>15.7</v>
      </c>
      <c r="M68" s="222">
        <v>16.3</v>
      </c>
      <c r="N68" s="222">
        <v>14.5</v>
      </c>
      <c r="O68" s="223">
        <f t="shared" si="0"/>
        <v>18.124999999999996</v>
      </c>
      <c r="P68" s="223">
        <f t="shared" si="1"/>
        <v>18.979263565833904</v>
      </c>
      <c r="Q68" s="224">
        <f t="shared" si="2"/>
        <v>1</v>
      </c>
      <c r="R68" s="225">
        <f t="shared" si="12"/>
        <v>14.833333333333334</v>
      </c>
      <c r="S68" s="226">
        <f t="shared" si="3"/>
        <v>1</v>
      </c>
      <c r="T68" s="225">
        <f t="shared" si="13"/>
        <v>20.2</v>
      </c>
      <c r="U68" s="226">
        <f t="shared" si="4"/>
        <v>1</v>
      </c>
      <c r="V68" s="227">
        <f t="shared" si="14"/>
        <v>18.124999999999996</v>
      </c>
      <c r="W68" s="228">
        <f t="shared" si="5"/>
        <v>1</v>
      </c>
      <c r="X68" s="144">
        <f t="shared" si="6"/>
        <v>14.833333333333334</v>
      </c>
      <c r="Y68" s="144">
        <f t="shared" si="7"/>
        <v>20.2</v>
      </c>
      <c r="Z68" s="144">
        <f t="shared" si="11"/>
        <v>18.124999999999996</v>
      </c>
      <c r="AA68" s="205"/>
      <c r="AB68" s="357" t="str">
        <f>VLOOKUP($B68,'2007-2020 Metadata'!$A$4:$S$214,MATCH("Urban Area /Monitoring Zone",'2007-2020 Metadata'!$A$4:$S$4,0),FALSE)</f>
        <v>Taupo</v>
      </c>
      <c r="AC68" s="229" t="str">
        <f>VLOOKUP(B68,'2007-2020 Metadata'!$A$6:$A$214,1,FALSE)</f>
        <v>HAM005</v>
      </c>
      <c r="AD68" s="230" t="str">
        <f>VLOOKUP($AC68,'2007-2020 Metadata'!$A$6:$S$214,9,FALSE)</f>
        <v>Taupo</v>
      </c>
      <c r="AE68" s="230">
        <f>IF(ISBLANK(VLOOKUP($AC68,'2007-2020 Metadata'!$A$6:$S$214,19,FALSE)),"",VLOOKUP($AC68,'2007-2020 Metadata'!$A$6:$S$214,19,FALSE))</f>
        <v>3.5</v>
      </c>
      <c r="AF68" s="88" t="str">
        <f>VLOOKUP($B68,'2007-2020 Metadata'!$A$4:$S$214,MATCH("Site type",'2007-2020 Metadata'!$A$4:$S$4,0),FALSE)</f>
        <v>Local (ex SH)</v>
      </c>
      <c r="AG68" s="143">
        <f t="shared" si="8"/>
        <v>13.2</v>
      </c>
      <c r="AH68" s="143">
        <f t="shared" si="9"/>
        <v>22.7</v>
      </c>
      <c r="AI68" s="144">
        <f t="shared" si="10"/>
        <v>18.124999999999996</v>
      </c>
    </row>
    <row r="69" spans="2:35" ht="12" customHeight="1" x14ac:dyDescent="0.15">
      <c r="B69" s="231" t="s">
        <v>37</v>
      </c>
      <c r="C69" s="222">
        <v>12.7</v>
      </c>
      <c r="D69" s="222">
        <v>16</v>
      </c>
      <c r="E69" s="222">
        <v>19</v>
      </c>
      <c r="F69" s="222">
        <v>22.7</v>
      </c>
      <c r="G69" s="222">
        <v>23.7</v>
      </c>
      <c r="H69" s="222">
        <v>28.4</v>
      </c>
      <c r="I69" s="222">
        <v>27.4</v>
      </c>
      <c r="J69" s="222">
        <v>31.7</v>
      </c>
      <c r="K69" s="222">
        <v>24.7</v>
      </c>
      <c r="L69" s="222">
        <v>18.100000000000001</v>
      </c>
      <c r="M69" s="222">
        <v>17.7</v>
      </c>
      <c r="N69" s="222"/>
      <c r="O69" s="223">
        <f t="shared" si="0"/>
        <v>22.009090909090904</v>
      </c>
      <c r="P69" s="223">
        <f t="shared" si="1"/>
        <v>25.263012290160653</v>
      </c>
      <c r="Q69" s="224">
        <f t="shared" si="2"/>
        <v>0.91666666666666663</v>
      </c>
      <c r="R69" s="225">
        <f t="shared" si="12"/>
        <v>15.9</v>
      </c>
      <c r="S69" s="226">
        <f t="shared" si="3"/>
        <v>1</v>
      </c>
      <c r="T69" s="225">
        <f t="shared" si="13"/>
        <v>27.933333333333334</v>
      </c>
      <c r="U69" s="226">
        <f t="shared" si="4"/>
        <v>1</v>
      </c>
      <c r="V69" s="227">
        <f t="shared" si="14"/>
        <v>22.009090909090904</v>
      </c>
      <c r="W69" s="228">
        <f t="shared" si="5"/>
        <v>0.91666666666666663</v>
      </c>
      <c r="X69" s="144">
        <f t="shared" si="6"/>
        <v>11.7</v>
      </c>
      <c r="Y69" s="144">
        <f t="shared" si="7"/>
        <v>19.483333333333334</v>
      </c>
      <c r="Z69" s="144">
        <f t="shared" si="11"/>
        <v>15.77272727272727</v>
      </c>
      <c r="AA69" s="205"/>
      <c r="AB69" s="357" t="str">
        <f>VLOOKUP($B69,'2007-2020 Metadata'!$A$4:$S$214,MATCH("Urban Area /Monitoring Zone",'2007-2020 Metadata'!$A$4:$S$4,0),FALSE)</f>
        <v>Rotorua</v>
      </c>
      <c r="AC69" s="229" t="str">
        <f>VLOOKUP(B69,'2007-2020 Metadata'!$A$6:$A$214,1,FALSE)</f>
        <v>HAM006</v>
      </c>
      <c r="AD69" s="230" t="str">
        <f>VLOOKUP($AC69,'2007-2020 Metadata'!$A$6:$S$214,9,FALSE)</f>
        <v>Rotorua</v>
      </c>
      <c r="AE69" s="230">
        <f>IF(ISBLANK(VLOOKUP($AC69,'2007-2020 Metadata'!$A$6:$S$214,19,FALSE)),"",VLOOKUP($AC69,'2007-2020 Metadata'!$A$6:$S$214,19,FALSE))</f>
        <v>3</v>
      </c>
      <c r="AF69" s="88" t="str">
        <f>VLOOKUP($B69,'2007-2020 Metadata'!$A$4:$S$214,MATCH("Site type",'2007-2020 Metadata'!$A$4:$S$4,0),FALSE)</f>
        <v>SH</v>
      </c>
      <c r="AG69" s="143">
        <f t="shared" si="8"/>
        <v>12.7</v>
      </c>
      <c r="AH69" s="143">
        <f t="shared" si="9"/>
        <v>31.7</v>
      </c>
      <c r="AI69" s="144">
        <f t="shared" si="10"/>
        <v>15.77272727272727</v>
      </c>
    </row>
    <row r="70" spans="2:35" ht="12" customHeight="1" x14ac:dyDescent="0.15">
      <c r="B70" s="231" t="s">
        <v>39</v>
      </c>
      <c r="C70" s="222">
        <v>26.8</v>
      </c>
      <c r="D70" s="222">
        <v>30.2</v>
      </c>
      <c r="E70" s="222">
        <v>31.4</v>
      </c>
      <c r="F70" s="222">
        <v>33.4</v>
      </c>
      <c r="G70" s="222">
        <v>37.200000000000003</v>
      </c>
      <c r="H70" s="222">
        <v>42.1</v>
      </c>
      <c r="I70" s="222">
        <v>40.9</v>
      </c>
      <c r="J70" s="222">
        <v>40.1</v>
      </c>
      <c r="K70" s="222">
        <v>33</v>
      </c>
      <c r="L70" s="222">
        <v>26.2</v>
      </c>
      <c r="M70" s="222"/>
      <c r="N70" s="222"/>
      <c r="O70" s="223">
        <f t="shared" si="0"/>
        <v>34.130000000000003</v>
      </c>
      <c r="P70" s="223">
        <f t="shared" si="1"/>
        <v>15.933804351731384</v>
      </c>
      <c r="Q70" s="224">
        <f t="shared" si="2"/>
        <v>0.83333333333333337</v>
      </c>
      <c r="R70" s="225">
        <f t="shared" si="12"/>
        <v>29.466666666666669</v>
      </c>
      <c r="S70" s="226">
        <f t="shared" si="3"/>
        <v>1</v>
      </c>
      <c r="T70" s="225">
        <f t="shared" si="13"/>
        <v>38</v>
      </c>
      <c r="U70" s="226">
        <f t="shared" si="4"/>
        <v>1</v>
      </c>
      <c r="V70" s="227">
        <f t="shared" si="14"/>
        <v>34.130000000000003</v>
      </c>
      <c r="W70" s="228">
        <f t="shared" si="5"/>
        <v>0.83333333333333337</v>
      </c>
      <c r="X70" s="144">
        <f t="shared" si="6"/>
        <v>21.654761904761905</v>
      </c>
      <c r="Y70" s="144">
        <f t="shared" si="7"/>
        <v>30.121428571428574</v>
      </c>
      <c r="Z70" s="144">
        <f t="shared" si="11"/>
        <v>25.922272727272723</v>
      </c>
      <c r="AA70" s="205"/>
      <c r="AB70" s="357" t="str">
        <f>VLOOKUP($B70,'2007-2020 Metadata'!$A$4:$S$214,MATCH("Urban Area /Monitoring Zone",'2007-2020 Metadata'!$A$4:$S$4,0),FALSE)</f>
        <v>Tauranga</v>
      </c>
      <c r="AC70" s="229" t="str">
        <f>VLOOKUP(B70,'2007-2020 Metadata'!$A$6:$A$214,1,FALSE)</f>
        <v>HAM007</v>
      </c>
      <c r="AD70" s="230" t="str">
        <f>VLOOKUP($AC70,'2007-2020 Metadata'!$A$6:$S$214,9,FALSE)</f>
        <v>Tauranga</v>
      </c>
      <c r="AE70" s="230">
        <f>IF(ISBLANK(VLOOKUP($AC70,'2007-2020 Metadata'!$A$6:$S$214,19,FALSE)),"",VLOOKUP($AC70,'2007-2020 Metadata'!$A$6:$S$214,19,FALSE))</f>
        <v>2.9</v>
      </c>
      <c r="AF70" s="88" t="str">
        <f>VLOOKUP($B70,'2007-2020 Metadata'!$A$4:$S$214,MATCH("Site type",'2007-2020 Metadata'!$A$4:$S$4,0),FALSE)</f>
        <v>SH</v>
      </c>
      <c r="AG70" s="143">
        <f t="shared" si="8"/>
        <v>26.2</v>
      </c>
      <c r="AH70" s="143">
        <f t="shared" si="9"/>
        <v>42.1</v>
      </c>
      <c r="AI70" s="144">
        <f t="shared" si="10"/>
        <v>25.922272727272723</v>
      </c>
    </row>
    <row r="71" spans="2:35" ht="12" customHeight="1" x14ac:dyDescent="0.15">
      <c r="B71" s="231" t="s">
        <v>40</v>
      </c>
      <c r="C71" s="222">
        <v>24.5</v>
      </c>
      <c r="D71" s="222"/>
      <c r="E71" s="222">
        <v>30.2</v>
      </c>
      <c r="F71" s="222">
        <v>37.4</v>
      </c>
      <c r="G71" s="222">
        <v>39.200000000000003</v>
      </c>
      <c r="H71" s="222">
        <v>41.4</v>
      </c>
      <c r="I71" s="222">
        <v>40.1</v>
      </c>
      <c r="J71" s="222">
        <v>38.200000000000003</v>
      </c>
      <c r="K71" s="222">
        <v>38.5</v>
      </c>
      <c r="L71" s="222">
        <v>28.8</v>
      </c>
      <c r="M71" s="222">
        <v>24.7</v>
      </c>
      <c r="N71" s="222"/>
      <c r="O71" s="223">
        <f t="shared" si="0"/>
        <v>34.299999999999997</v>
      </c>
      <c r="P71" s="223">
        <f t="shared" si="1"/>
        <v>18.108218839101056</v>
      </c>
      <c r="Q71" s="224">
        <f t="shared" si="2"/>
        <v>0.83333333333333337</v>
      </c>
      <c r="R71" s="225">
        <f t="shared" si="12"/>
        <v>27.35</v>
      </c>
      <c r="S71" s="226">
        <f t="shared" si="3"/>
        <v>0.66666666666666663</v>
      </c>
      <c r="T71" s="225">
        <f t="shared" si="13"/>
        <v>38.933333333333337</v>
      </c>
      <c r="U71" s="226">
        <f t="shared" si="4"/>
        <v>1</v>
      </c>
      <c r="V71" s="227">
        <f t="shared" si="14"/>
        <v>34.299999999999997</v>
      </c>
      <c r="W71" s="228">
        <f t="shared" si="5"/>
        <v>0.83333333333333337</v>
      </c>
      <c r="X71" s="144">
        <f t="shared" si="6"/>
        <v>21.654761904761905</v>
      </c>
      <c r="Y71" s="144">
        <f t="shared" si="7"/>
        <v>30.121428571428574</v>
      </c>
      <c r="Z71" s="144">
        <f t="shared" si="11"/>
        <v>25.922272727272723</v>
      </c>
      <c r="AA71" s="205"/>
      <c r="AB71" s="357" t="str">
        <f>VLOOKUP($B71,'2007-2020 Metadata'!$A$4:$S$214,MATCH("Urban Area /Monitoring Zone",'2007-2020 Metadata'!$A$4:$S$4,0),FALSE)</f>
        <v>Tauranga</v>
      </c>
      <c r="AC71" s="229" t="str">
        <f>VLOOKUP(B71,'2007-2020 Metadata'!$A$6:$A$214,1,FALSE)</f>
        <v>HAM008</v>
      </c>
      <c r="AD71" s="230" t="str">
        <f>VLOOKUP($AC71,'2007-2020 Metadata'!$A$6:$S$214,9,FALSE)</f>
        <v>Tauranga</v>
      </c>
      <c r="AE71" s="230">
        <f>IF(ISBLANK(VLOOKUP($AC71,'2007-2020 Metadata'!$A$6:$S$214,19,FALSE)),"",VLOOKUP($AC71,'2007-2020 Metadata'!$A$6:$S$214,19,FALSE))</f>
        <v>2.9</v>
      </c>
      <c r="AF71" s="88" t="str">
        <f>VLOOKUP($B71,'2007-2020 Metadata'!$A$4:$S$214,MATCH("Site type",'2007-2020 Metadata'!$A$4:$S$4,0),FALSE)</f>
        <v>SH</v>
      </c>
      <c r="AG71" s="143">
        <f t="shared" si="8"/>
        <v>24.5</v>
      </c>
      <c r="AH71" s="143">
        <f t="shared" si="9"/>
        <v>41.4</v>
      </c>
      <c r="AI71" s="144">
        <f t="shared" si="10"/>
        <v>25.922272727272723</v>
      </c>
    </row>
    <row r="72" spans="2:35" ht="12" customHeight="1" x14ac:dyDescent="0.15">
      <c r="B72" s="231" t="s">
        <v>41</v>
      </c>
      <c r="C72" s="222">
        <v>22.5</v>
      </c>
      <c r="D72" s="222">
        <v>28.7</v>
      </c>
      <c r="E72" s="222">
        <v>30.5</v>
      </c>
      <c r="F72" s="222">
        <v>34.299999999999997</v>
      </c>
      <c r="G72" s="222">
        <v>36.299999999999997</v>
      </c>
      <c r="H72" s="222">
        <v>37.1</v>
      </c>
      <c r="I72" s="222">
        <v>38.4</v>
      </c>
      <c r="J72" s="222">
        <v>37.4</v>
      </c>
      <c r="K72" s="222">
        <v>34.4</v>
      </c>
      <c r="L72" s="222">
        <v>27.7</v>
      </c>
      <c r="M72" s="222">
        <v>29.2</v>
      </c>
      <c r="N72" s="222">
        <v>25.5</v>
      </c>
      <c r="O72" s="223">
        <f t="shared" si="0"/>
        <v>31.833333333333329</v>
      </c>
      <c r="P72" s="223">
        <f t="shared" si="1"/>
        <v>15.636141213112783</v>
      </c>
      <c r="Q72" s="224">
        <f t="shared" si="2"/>
        <v>1</v>
      </c>
      <c r="R72" s="225">
        <f t="shared" si="12"/>
        <v>27.233333333333334</v>
      </c>
      <c r="S72" s="226">
        <f t="shared" si="3"/>
        <v>1</v>
      </c>
      <c r="T72" s="225">
        <f t="shared" si="13"/>
        <v>36.733333333333327</v>
      </c>
      <c r="U72" s="226">
        <f t="shared" si="4"/>
        <v>1</v>
      </c>
      <c r="V72" s="227">
        <f t="shared" si="14"/>
        <v>31.833333333333329</v>
      </c>
      <c r="W72" s="228">
        <f t="shared" si="5"/>
        <v>1</v>
      </c>
      <c r="X72" s="144">
        <f t="shared" si="6"/>
        <v>21.654761904761905</v>
      </c>
      <c r="Y72" s="144">
        <f t="shared" si="7"/>
        <v>30.121428571428574</v>
      </c>
      <c r="Z72" s="144">
        <f t="shared" si="11"/>
        <v>25.922272727272723</v>
      </c>
      <c r="AA72" s="205"/>
      <c r="AB72" s="357" t="str">
        <f>VLOOKUP($B72,'2007-2020 Metadata'!$A$4:$S$214,MATCH("Urban Area /Monitoring Zone",'2007-2020 Metadata'!$A$4:$S$4,0),FALSE)</f>
        <v>Tauranga</v>
      </c>
      <c r="AC72" s="229" t="str">
        <f>VLOOKUP(B72,'2007-2020 Metadata'!$A$6:$A$214,1,FALSE)</f>
        <v>HAM010</v>
      </c>
      <c r="AD72" s="230" t="str">
        <f>VLOOKUP($AC72,'2007-2020 Metadata'!$A$6:$S$214,9,FALSE)</f>
        <v>Tauranga</v>
      </c>
      <c r="AE72" s="230">
        <f>IF(ISBLANK(VLOOKUP($AC72,'2007-2020 Metadata'!$A$6:$S$214,19,FALSE)),"",VLOOKUP($AC72,'2007-2020 Metadata'!$A$6:$S$214,19,FALSE))</f>
        <v>2.7</v>
      </c>
      <c r="AF72" s="88" t="str">
        <f>VLOOKUP($B72,'2007-2020 Metadata'!$A$4:$S$214,MATCH("Site type",'2007-2020 Metadata'!$A$4:$S$4,0),FALSE)</f>
        <v>SH</v>
      </c>
      <c r="AG72" s="143">
        <f t="shared" si="8"/>
        <v>22.5</v>
      </c>
      <c r="AH72" s="143">
        <f t="shared" si="9"/>
        <v>38.4</v>
      </c>
      <c r="AI72" s="144">
        <f t="shared" si="10"/>
        <v>25.922272727272723</v>
      </c>
    </row>
    <row r="73" spans="2:35" ht="12" customHeight="1" x14ac:dyDescent="0.15">
      <c r="B73" s="231" t="s">
        <v>95</v>
      </c>
      <c r="C73" s="222">
        <v>12.1</v>
      </c>
      <c r="D73" s="222">
        <v>19.2</v>
      </c>
      <c r="E73" s="222">
        <v>19.8</v>
      </c>
      <c r="F73" s="222">
        <v>24.8</v>
      </c>
      <c r="G73" s="222">
        <v>29.6</v>
      </c>
      <c r="H73" s="222">
        <v>33</v>
      </c>
      <c r="I73" s="222">
        <v>32.1</v>
      </c>
      <c r="J73" s="222">
        <v>26</v>
      </c>
      <c r="K73" s="222">
        <v>20.399999999999999</v>
      </c>
      <c r="L73" s="222"/>
      <c r="M73" s="222">
        <v>21.7</v>
      </c>
      <c r="N73" s="222">
        <v>13.4</v>
      </c>
      <c r="O73" s="223">
        <f t="shared" si="0"/>
        <v>22.918181818181818</v>
      </c>
      <c r="P73" s="223">
        <f t="shared" si="1"/>
        <v>28.902374029269151</v>
      </c>
      <c r="Q73" s="224">
        <f t="shared" si="2"/>
        <v>0.91666666666666663</v>
      </c>
      <c r="R73" s="225">
        <f t="shared" si="12"/>
        <v>17.033333333333331</v>
      </c>
      <c r="S73" s="226">
        <f t="shared" si="3"/>
        <v>1</v>
      </c>
      <c r="T73" s="225">
        <f t="shared" si="13"/>
        <v>26.166666666666668</v>
      </c>
      <c r="U73" s="226">
        <f t="shared" si="4"/>
        <v>1</v>
      </c>
      <c r="V73" s="227">
        <f t="shared" si="14"/>
        <v>22.918181818181818</v>
      </c>
      <c r="W73" s="228">
        <f t="shared" si="5"/>
        <v>0.91666666666666663</v>
      </c>
      <c r="X73" s="144">
        <f t="shared" si="6"/>
        <v>24.413333333333334</v>
      </c>
      <c r="Y73" s="144">
        <f t="shared" si="7"/>
        <v>34.983333333333327</v>
      </c>
      <c r="Z73" s="144">
        <f t="shared" si="11"/>
        <v>29.424410774410774</v>
      </c>
      <c r="AA73" s="205"/>
      <c r="AB73" s="357" t="str">
        <f>VLOOKUP($B73,'2007-2020 Metadata'!$A$4:$S$214,MATCH("Urban Area /Monitoring Zone",'2007-2020 Metadata'!$A$4:$S$4,0),FALSE)</f>
        <v>Hamilton</v>
      </c>
      <c r="AC73" s="229" t="str">
        <f>VLOOKUP(B73,'2007-2020 Metadata'!$A$6:$A$214,1,FALSE)</f>
        <v>HAM012</v>
      </c>
      <c r="AD73" s="230" t="str">
        <f>VLOOKUP($AC73,'2007-2020 Metadata'!$A$6:$S$214,9,FALSE)</f>
        <v>Hamilton</v>
      </c>
      <c r="AE73" s="230">
        <f>IF(ISBLANK(VLOOKUP($AC73,'2007-2020 Metadata'!$A$6:$S$214,19,FALSE)),"",VLOOKUP($AC73,'2007-2020 Metadata'!$A$6:$S$214,19,FALSE))</f>
        <v>2.8</v>
      </c>
      <c r="AF73" s="88" t="str">
        <f>VLOOKUP($B73,'2007-2020 Metadata'!$A$4:$S$214,MATCH("Site type",'2007-2020 Metadata'!$A$4:$S$4,0),FALSE)</f>
        <v>Local (ex SH)</v>
      </c>
      <c r="AG73" s="143">
        <f t="shared" si="8"/>
        <v>12.1</v>
      </c>
      <c r="AH73" s="143">
        <f t="shared" si="9"/>
        <v>33</v>
      </c>
      <c r="AI73" s="144">
        <f t="shared" si="10"/>
        <v>29.424410774410774</v>
      </c>
    </row>
    <row r="74" spans="2:35" ht="12" customHeight="1" x14ac:dyDescent="0.15">
      <c r="B74" s="231" t="s">
        <v>96</v>
      </c>
      <c r="C74" s="222">
        <v>28.8</v>
      </c>
      <c r="D74" s="222">
        <v>33.6</v>
      </c>
      <c r="E74" s="222">
        <v>39.200000000000003</v>
      </c>
      <c r="F74" s="222">
        <v>41.4</v>
      </c>
      <c r="G74" s="222">
        <v>45.3</v>
      </c>
      <c r="H74" s="222">
        <v>52.9</v>
      </c>
      <c r="I74" s="222">
        <v>52.8</v>
      </c>
      <c r="J74" s="222">
        <v>48.1</v>
      </c>
      <c r="K74" s="222">
        <v>46.6</v>
      </c>
      <c r="L74" s="222">
        <v>38.4</v>
      </c>
      <c r="M74" s="222">
        <v>38.5</v>
      </c>
      <c r="N74" s="222">
        <v>31.3</v>
      </c>
      <c r="O74" s="223">
        <f t="shared" si="0"/>
        <v>41.408333333333339</v>
      </c>
      <c r="P74" s="223">
        <f t="shared" si="1"/>
        <v>18.354974046974533</v>
      </c>
      <c r="Q74" s="224">
        <f t="shared" si="2"/>
        <v>1</v>
      </c>
      <c r="R74" s="225">
        <f t="shared" si="12"/>
        <v>33.866666666666667</v>
      </c>
      <c r="S74" s="226">
        <f t="shared" si="3"/>
        <v>1</v>
      </c>
      <c r="T74" s="225">
        <f t="shared" si="13"/>
        <v>49.166666666666664</v>
      </c>
      <c r="U74" s="226">
        <f t="shared" si="4"/>
        <v>1</v>
      </c>
      <c r="V74" s="227">
        <f t="shared" si="14"/>
        <v>41.408333333333339</v>
      </c>
      <c r="W74" s="228">
        <f t="shared" si="5"/>
        <v>1</v>
      </c>
      <c r="X74" s="144">
        <f t="shared" si="6"/>
        <v>24.413333333333334</v>
      </c>
      <c r="Y74" s="144">
        <f t="shared" si="7"/>
        <v>34.983333333333327</v>
      </c>
      <c r="Z74" s="144">
        <f t="shared" si="11"/>
        <v>29.424410774410774</v>
      </c>
      <c r="AA74" s="205"/>
      <c r="AB74" s="357" t="str">
        <f>VLOOKUP($B74,'2007-2020 Metadata'!$A$4:$S$214,MATCH("Urban Area /Monitoring Zone",'2007-2020 Metadata'!$A$4:$S$4,0),FALSE)</f>
        <v>Hamilton</v>
      </c>
      <c r="AC74" s="229" t="str">
        <f>VLOOKUP(B74,'2007-2020 Metadata'!$A$6:$A$214,1,FALSE)</f>
        <v>HAM013</v>
      </c>
      <c r="AD74" s="230" t="str">
        <f>VLOOKUP($AC74,'2007-2020 Metadata'!$A$6:$S$214,9,FALSE)</f>
        <v>Hamilton</v>
      </c>
      <c r="AE74" s="230">
        <f>IF(ISBLANK(VLOOKUP($AC74,'2007-2020 Metadata'!$A$6:$S$214,19,FALSE)),"",VLOOKUP($AC74,'2007-2020 Metadata'!$A$6:$S$214,19,FALSE))</f>
        <v>2.8</v>
      </c>
      <c r="AF74" s="88" t="str">
        <f>VLOOKUP($B74,'2007-2020 Metadata'!$A$4:$S$214,MATCH("Site type",'2007-2020 Metadata'!$A$4:$S$4,0),FALSE)</f>
        <v>SH</v>
      </c>
      <c r="AG74" s="143">
        <f t="shared" si="8"/>
        <v>28.8</v>
      </c>
      <c r="AH74" s="143">
        <f t="shared" si="9"/>
        <v>52.9</v>
      </c>
      <c r="AI74" s="144">
        <f t="shared" si="10"/>
        <v>29.424410774410774</v>
      </c>
    </row>
    <row r="75" spans="2:35" ht="12" customHeight="1" x14ac:dyDescent="0.15">
      <c r="B75" s="231" t="s">
        <v>97</v>
      </c>
      <c r="C75" s="222">
        <v>23.7</v>
      </c>
      <c r="D75" s="222">
        <v>34.5</v>
      </c>
      <c r="E75" s="222">
        <v>31.6</v>
      </c>
      <c r="F75" s="222">
        <v>37.4</v>
      </c>
      <c r="G75" s="222">
        <v>40.6</v>
      </c>
      <c r="H75" s="222">
        <v>47.5</v>
      </c>
      <c r="I75" s="222">
        <v>45.7</v>
      </c>
      <c r="J75" s="222">
        <v>44.8</v>
      </c>
      <c r="K75" s="222"/>
      <c r="L75" s="222"/>
      <c r="M75" s="222">
        <v>32.6</v>
      </c>
      <c r="N75" s="222">
        <v>24.1</v>
      </c>
      <c r="O75" s="223">
        <f t="shared" si="0"/>
        <v>36.250000000000007</v>
      </c>
      <c r="P75" s="223">
        <f t="shared" si="1"/>
        <v>22.280793731872116</v>
      </c>
      <c r="Q75" s="224">
        <f t="shared" si="2"/>
        <v>0.83333333333333337</v>
      </c>
      <c r="R75" s="225">
        <f t="shared" si="12"/>
        <v>29.933333333333337</v>
      </c>
      <c r="S75" s="226">
        <f t="shared" si="3"/>
        <v>1</v>
      </c>
      <c r="T75" s="225">
        <f t="shared" si="13"/>
        <v>45.25</v>
      </c>
      <c r="U75" s="226">
        <f t="shared" si="4"/>
        <v>0.66666666666666663</v>
      </c>
      <c r="V75" s="227">
        <f t="shared" si="14"/>
        <v>36.250000000000007</v>
      </c>
      <c r="W75" s="228">
        <f t="shared" si="5"/>
        <v>0.83333333333333337</v>
      </c>
      <c r="X75" s="144">
        <f t="shared" si="6"/>
        <v>24.413333333333334</v>
      </c>
      <c r="Y75" s="144">
        <f t="shared" si="7"/>
        <v>34.983333333333327</v>
      </c>
      <c r="Z75" s="144">
        <f t="shared" si="11"/>
        <v>29.424410774410774</v>
      </c>
      <c r="AA75" s="205"/>
      <c r="AB75" s="357" t="str">
        <f>VLOOKUP($B75,'2007-2020 Metadata'!$A$4:$S$214,MATCH("Urban Area /Monitoring Zone",'2007-2020 Metadata'!$A$4:$S$4,0),FALSE)</f>
        <v>Hamilton</v>
      </c>
      <c r="AC75" s="229" t="str">
        <f>VLOOKUP(B75,'2007-2020 Metadata'!$A$6:$A$214,1,FALSE)</f>
        <v>HAM014</v>
      </c>
      <c r="AD75" s="230" t="str">
        <f>VLOOKUP($AC75,'2007-2020 Metadata'!$A$6:$S$214,9,FALSE)</f>
        <v>Hamilton</v>
      </c>
      <c r="AE75" s="230">
        <f>IF(ISBLANK(VLOOKUP($AC75,'2007-2020 Metadata'!$A$6:$S$214,19,FALSE)),"",VLOOKUP($AC75,'2007-2020 Metadata'!$A$6:$S$214,19,FALSE))</f>
        <v>2.2000000000000002</v>
      </c>
      <c r="AF75" s="88" t="str">
        <f>VLOOKUP($B75,'2007-2020 Metadata'!$A$4:$S$214,MATCH("Site type",'2007-2020 Metadata'!$A$4:$S$4,0),FALSE)</f>
        <v>Local</v>
      </c>
      <c r="AG75" s="143">
        <f t="shared" si="8"/>
        <v>23.7</v>
      </c>
      <c r="AH75" s="143">
        <f t="shared" si="9"/>
        <v>47.5</v>
      </c>
      <c r="AI75" s="144">
        <f t="shared" si="10"/>
        <v>29.424410774410774</v>
      </c>
    </row>
    <row r="76" spans="2:35" ht="12" customHeight="1" x14ac:dyDescent="0.15">
      <c r="B76" s="231" t="s">
        <v>98</v>
      </c>
      <c r="C76" s="222">
        <v>17.5</v>
      </c>
      <c r="D76" s="222">
        <v>27.9</v>
      </c>
      <c r="E76" s="222">
        <v>25</v>
      </c>
      <c r="F76" s="222">
        <v>29.8</v>
      </c>
      <c r="G76" s="222">
        <v>31.2</v>
      </c>
      <c r="H76" s="222">
        <v>36.6</v>
      </c>
      <c r="I76" s="222">
        <v>35.700000000000003</v>
      </c>
      <c r="J76" s="222">
        <v>36.1</v>
      </c>
      <c r="K76" s="222">
        <v>31.1</v>
      </c>
      <c r="L76" s="222">
        <v>24.4</v>
      </c>
      <c r="M76" s="222">
        <v>18.3</v>
      </c>
      <c r="N76" s="222">
        <v>17.8</v>
      </c>
      <c r="O76" s="223">
        <f t="shared" ref="O76:O139" si="54">(AVERAGE(C76:N76))</f>
        <v>27.616666666666664</v>
      </c>
      <c r="P76" s="223">
        <f t="shared" ref="P76:P139" si="55">IFERROR((STDEVP(C76:N76)/O76)*100,"")</f>
        <v>24.526255233107786</v>
      </c>
      <c r="Q76" s="224">
        <f t="shared" ref="Q76:Q139" si="56">COUNT(C76:N76)/COUNT($C$6:$N$6)</f>
        <v>1</v>
      </c>
      <c r="R76" s="225">
        <f t="shared" si="12"/>
        <v>23.466666666666669</v>
      </c>
      <c r="S76" s="226">
        <f t="shared" ref="S76:S139" si="57">COUNT(C76:E76)/3</f>
        <v>1</v>
      </c>
      <c r="T76" s="225">
        <f t="shared" si="13"/>
        <v>34.300000000000004</v>
      </c>
      <c r="U76" s="226">
        <f t="shared" ref="U76:U139" si="58">COUNT(I76:K76)/3</f>
        <v>1</v>
      </c>
      <c r="V76" s="227">
        <f t="shared" si="14"/>
        <v>27.616666666666664</v>
      </c>
      <c r="W76" s="228">
        <f t="shared" ref="W76:W139" si="59">Q76</f>
        <v>1</v>
      </c>
      <c r="X76" s="144">
        <f t="shared" ref="X76:X139" si="60">IF(VLOOKUP($B76,$AC$6:$AI$162,3,FALSE)="",$R76,IF(ISERROR(AVERAGEIF($AD$6:$AD$162,VLOOKUP($B76,$AC$6:$AI$162,2,FALSE),$R$6:$R$162)),"",AVERAGEIF($AD$6:$AD$162,VLOOKUP($B76,$AC$6:$AI$162,2,FALSE),$R$6:$R$162)))</f>
        <v>24.413333333333334</v>
      </c>
      <c r="Y76" s="144">
        <f t="shared" ref="Y76:Y139" si="61">IF(VLOOKUP($B76,$AC$6:$AI$162,3,FALSE)="",$T76,IF(ISERROR(AVERAGEIF($AD$6:$AD$162,VLOOKUP($B76,$AC$6:$AI$162,2,FALSE),$T$6:$T$162)),"",AVERAGEIF($AD$6:$AD$162,VLOOKUP($B76,$AC$6:$AI$162,2,FALSE),$T$6:$T$162)))</f>
        <v>34.983333333333327</v>
      </c>
      <c r="Z76" s="144">
        <f t="shared" ref="Z76:Z139" si="62">IF(VLOOKUP($B76,$AC$6:$AI$162,3,FALSE)="",$V76,IF(ISERROR(AVERAGEIF($AD$6:$AD$162,VLOOKUP($B76,$AC$6:$AI$162,2,FALSE),$V$6:$V$162)),"",AVERAGEIF($AD$6:$AD$162,VLOOKUP($B76,$AC$6:$AI$162,2,FALSE),$V$6:$V$162)))</f>
        <v>29.424410774410774</v>
      </c>
      <c r="AA76" s="205"/>
      <c r="AB76" s="357" t="str">
        <f>VLOOKUP($B76,'2007-2020 Metadata'!$A$4:$S$214,MATCH("Urban Area /Monitoring Zone",'2007-2020 Metadata'!$A$4:$S$4,0),FALSE)</f>
        <v>Hamilton</v>
      </c>
      <c r="AC76" s="229" t="str">
        <f>VLOOKUP(B76,'2007-2020 Metadata'!$A$6:$A$214,1,FALSE)</f>
        <v>HAM015</v>
      </c>
      <c r="AD76" s="230" t="str">
        <f>VLOOKUP($AC76,'2007-2020 Metadata'!$A$6:$S$214,9,FALSE)</f>
        <v>Hamilton</v>
      </c>
      <c r="AE76" s="230">
        <f>IF(ISBLANK(VLOOKUP($AC76,'2007-2020 Metadata'!$A$6:$S$214,19,FALSE)),"",VLOOKUP($AC76,'2007-2020 Metadata'!$A$6:$S$214,19,FALSE))</f>
        <v>2.7</v>
      </c>
      <c r="AF76" s="88" t="str">
        <f>VLOOKUP($B76,'2007-2020 Metadata'!$A$4:$S$214,MATCH("Site type",'2007-2020 Metadata'!$A$4:$S$4,0),FALSE)</f>
        <v>Local</v>
      </c>
      <c r="AG76" s="143">
        <f t="shared" ref="AG76:AG139" si="63">MIN(C76:N76)</f>
        <v>17.5</v>
      </c>
      <c r="AH76" s="143">
        <f t="shared" ref="AH76:AH139" si="64">MAX(C76:N76)</f>
        <v>36.6</v>
      </c>
      <c r="AI76" s="144">
        <f t="shared" ref="AI76:AI139" si="65">IF(W76&gt;=75%,Z76," ")</f>
        <v>29.424410774410774</v>
      </c>
    </row>
    <row r="77" spans="2:35" ht="12" customHeight="1" x14ac:dyDescent="0.15">
      <c r="B77" s="231" t="s">
        <v>99</v>
      </c>
      <c r="C77" s="222">
        <v>16.899999999999999</v>
      </c>
      <c r="D77" s="222">
        <v>24.2</v>
      </c>
      <c r="E77" s="222">
        <v>19.5</v>
      </c>
      <c r="F77" s="222">
        <v>27.6</v>
      </c>
      <c r="G77" s="222">
        <v>32.6</v>
      </c>
      <c r="H77" s="222">
        <v>33.4</v>
      </c>
      <c r="I77" s="222">
        <v>31.7</v>
      </c>
      <c r="J77" s="222">
        <v>31.5</v>
      </c>
      <c r="K77" s="222">
        <v>21</v>
      </c>
      <c r="L77" s="222">
        <v>18.8</v>
      </c>
      <c r="M77" s="222">
        <v>31.1</v>
      </c>
      <c r="N77" s="222">
        <v>14.7</v>
      </c>
      <c r="O77" s="223">
        <f t="shared" si="54"/>
        <v>25.25</v>
      </c>
      <c r="P77" s="223">
        <f t="shared" si="55"/>
        <v>25.96275474956753</v>
      </c>
      <c r="Q77" s="224">
        <f t="shared" si="56"/>
        <v>1</v>
      </c>
      <c r="R77" s="225">
        <f t="shared" si="12"/>
        <v>20.2</v>
      </c>
      <c r="S77" s="226">
        <f t="shared" si="57"/>
        <v>1</v>
      </c>
      <c r="T77" s="225">
        <f t="shared" si="13"/>
        <v>28.066666666666666</v>
      </c>
      <c r="U77" s="226">
        <f t="shared" si="58"/>
        <v>1</v>
      </c>
      <c r="V77" s="227">
        <f t="shared" si="14"/>
        <v>25.25</v>
      </c>
      <c r="W77" s="228">
        <f t="shared" si="59"/>
        <v>1</v>
      </c>
      <c r="X77" s="144">
        <f t="shared" si="60"/>
        <v>24.413333333333334</v>
      </c>
      <c r="Y77" s="144">
        <f t="shared" si="61"/>
        <v>34.983333333333327</v>
      </c>
      <c r="Z77" s="144">
        <f t="shared" si="62"/>
        <v>29.424410774410774</v>
      </c>
      <c r="AA77" s="205"/>
      <c r="AB77" s="357" t="str">
        <f>VLOOKUP($B77,'2007-2020 Metadata'!$A$4:$S$214,MATCH("Urban Area /Monitoring Zone",'2007-2020 Metadata'!$A$4:$S$4,0),FALSE)</f>
        <v>Hamilton</v>
      </c>
      <c r="AC77" s="229" t="str">
        <f>VLOOKUP(B77,'2007-2020 Metadata'!$A$6:$A$214,1,FALSE)</f>
        <v>HAM016</v>
      </c>
      <c r="AD77" s="230" t="str">
        <f>VLOOKUP($AC77,'2007-2020 Metadata'!$A$6:$S$214,9,FALSE)</f>
        <v>Hamilton</v>
      </c>
      <c r="AE77" s="230">
        <f>IF(ISBLANK(VLOOKUP($AC77,'2007-2020 Metadata'!$A$6:$S$214,19,FALSE)),"",VLOOKUP($AC77,'2007-2020 Metadata'!$A$6:$S$214,19,FALSE))</f>
        <v>2.6</v>
      </c>
      <c r="AF77" s="88" t="str">
        <f>VLOOKUP($B77,'2007-2020 Metadata'!$A$4:$S$214,MATCH("Site type",'2007-2020 Metadata'!$A$4:$S$4,0),FALSE)</f>
        <v>Local</v>
      </c>
      <c r="AG77" s="143">
        <f t="shared" si="63"/>
        <v>14.7</v>
      </c>
      <c r="AH77" s="143">
        <f t="shared" si="64"/>
        <v>33.4</v>
      </c>
      <c r="AI77" s="144">
        <f t="shared" si="65"/>
        <v>29.424410774410774</v>
      </c>
    </row>
    <row r="78" spans="2:35" ht="12" customHeight="1" x14ac:dyDescent="0.15">
      <c r="B78" s="231" t="s">
        <v>100</v>
      </c>
      <c r="C78" s="222">
        <v>7.9</v>
      </c>
      <c r="D78" s="222">
        <v>12.2</v>
      </c>
      <c r="E78" s="222">
        <v>11.3</v>
      </c>
      <c r="F78" s="222">
        <v>12.6</v>
      </c>
      <c r="G78" s="222">
        <v>17.7</v>
      </c>
      <c r="H78" s="222">
        <v>18.8</v>
      </c>
      <c r="I78" s="222">
        <v>17.100000000000001</v>
      </c>
      <c r="J78" s="222">
        <v>14.6</v>
      </c>
      <c r="K78" s="222">
        <v>11.8</v>
      </c>
      <c r="L78" s="222">
        <v>8</v>
      </c>
      <c r="M78" s="222">
        <v>8.6</v>
      </c>
      <c r="N78" s="222">
        <v>5.4</v>
      </c>
      <c r="O78" s="223">
        <f t="shared" si="54"/>
        <v>12.166666666666666</v>
      </c>
      <c r="P78" s="223">
        <f t="shared" si="55"/>
        <v>33.556890913101611</v>
      </c>
      <c r="Q78" s="224">
        <f t="shared" si="56"/>
        <v>1</v>
      </c>
      <c r="R78" s="225">
        <f t="shared" ref="R78:R141" si="66">IF($S78=0%,"",IF($S78&gt;66%,AVERAGE($C78:$E78),"-"))</f>
        <v>10.466666666666667</v>
      </c>
      <c r="S78" s="226">
        <f t="shared" si="57"/>
        <v>1</v>
      </c>
      <c r="T78" s="225">
        <f t="shared" ref="T78:T141" si="67">IF($U78=0%,"",IF($U78&gt;66%,AVERAGE($I78:$K78),"-"))</f>
        <v>14.5</v>
      </c>
      <c r="U78" s="226">
        <f t="shared" si="58"/>
        <v>1</v>
      </c>
      <c r="V78" s="227">
        <f t="shared" ref="V78:V141" si="68">IF(AND(($S78&gt;33%),($U78&gt;33%),($W78&gt;=75%)),AVERAGE($C78:$N78),"-")</f>
        <v>12.166666666666666</v>
      </c>
      <c r="W78" s="228">
        <f t="shared" si="59"/>
        <v>1</v>
      </c>
      <c r="X78" s="144">
        <f t="shared" si="60"/>
        <v>24.413333333333334</v>
      </c>
      <c r="Y78" s="144">
        <f t="shared" si="61"/>
        <v>34.983333333333327</v>
      </c>
      <c r="Z78" s="144">
        <f t="shared" si="62"/>
        <v>29.424410774410774</v>
      </c>
      <c r="AA78" s="205"/>
      <c r="AB78" s="357" t="str">
        <f>VLOOKUP($B78,'2007-2020 Metadata'!$A$4:$S$214,MATCH("Urban Area /Monitoring Zone",'2007-2020 Metadata'!$A$4:$S$4,0),FALSE)</f>
        <v>Hamilton</v>
      </c>
      <c r="AC78" s="229" t="str">
        <f>VLOOKUP(B78,'2007-2020 Metadata'!$A$6:$A$214,1,FALSE)</f>
        <v>HAM017</v>
      </c>
      <c r="AD78" s="230" t="str">
        <f>VLOOKUP($AC78,'2007-2020 Metadata'!$A$6:$S$214,9,FALSE)</f>
        <v>Hamilton</v>
      </c>
      <c r="AE78" s="230">
        <f>IF(ISBLANK(VLOOKUP($AC78,'2007-2020 Metadata'!$A$6:$S$214,19,FALSE)),"",VLOOKUP($AC78,'2007-2020 Metadata'!$A$6:$S$214,19,FALSE))</f>
        <v>5</v>
      </c>
      <c r="AF78" s="88" t="str">
        <f>VLOOKUP($B78,'2007-2020 Metadata'!$A$4:$S$214,MATCH("Site type",'2007-2020 Metadata'!$A$4:$S$4,0),FALSE)</f>
        <v>Background</v>
      </c>
      <c r="AG78" s="143">
        <f t="shared" si="63"/>
        <v>5.4</v>
      </c>
      <c r="AH78" s="143">
        <f t="shared" si="64"/>
        <v>18.8</v>
      </c>
      <c r="AI78" s="144">
        <f t="shared" si="65"/>
        <v>29.424410774410774</v>
      </c>
    </row>
    <row r="79" spans="2:35" ht="12" customHeight="1" x14ac:dyDescent="0.15">
      <c r="B79" s="231" t="s">
        <v>101</v>
      </c>
      <c r="C79" s="222">
        <v>23</v>
      </c>
      <c r="D79" s="222">
        <v>22.6</v>
      </c>
      <c r="E79" s="222">
        <v>27</v>
      </c>
      <c r="F79" s="222">
        <v>32.6</v>
      </c>
      <c r="G79" s="222">
        <v>31.6</v>
      </c>
      <c r="H79" s="222">
        <v>34.4</v>
      </c>
      <c r="I79" s="222">
        <v>35.799999999999997</v>
      </c>
      <c r="J79" s="222">
        <v>39.1</v>
      </c>
      <c r="K79" s="222">
        <v>34.200000000000003</v>
      </c>
      <c r="L79" s="222">
        <v>27.6</v>
      </c>
      <c r="M79" s="222">
        <v>26.4</v>
      </c>
      <c r="N79" s="222"/>
      <c r="O79" s="223">
        <f t="shared" si="54"/>
        <v>30.390909090909091</v>
      </c>
      <c r="P79" s="223">
        <f t="shared" si="55"/>
        <v>16.969700876226558</v>
      </c>
      <c r="Q79" s="224">
        <f t="shared" si="56"/>
        <v>0.91666666666666663</v>
      </c>
      <c r="R79" s="225">
        <f t="shared" si="66"/>
        <v>24.2</v>
      </c>
      <c r="S79" s="226">
        <f t="shared" si="57"/>
        <v>1</v>
      </c>
      <c r="T79" s="225">
        <f t="shared" si="67"/>
        <v>36.366666666666667</v>
      </c>
      <c r="U79" s="226">
        <f t="shared" si="58"/>
        <v>1</v>
      </c>
      <c r="V79" s="227">
        <f t="shared" si="68"/>
        <v>30.390909090909091</v>
      </c>
      <c r="W79" s="228">
        <f t="shared" si="59"/>
        <v>0.91666666666666663</v>
      </c>
      <c r="X79" s="144">
        <f t="shared" si="60"/>
        <v>21.654761904761905</v>
      </c>
      <c r="Y79" s="144">
        <f t="shared" si="61"/>
        <v>30.121428571428574</v>
      </c>
      <c r="Z79" s="144">
        <f t="shared" si="62"/>
        <v>25.922272727272723</v>
      </c>
      <c r="AA79" s="205"/>
      <c r="AB79" s="357" t="str">
        <f>VLOOKUP($B79,'2007-2020 Metadata'!$A$4:$S$214,MATCH("Urban Area /Monitoring Zone",'2007-2020 Metadata'!$A$4:$S$4,0),FALSE)</f>
        <v>Tauranga</v>
      </c>
      <c r="AC79" s="229" t="str">
        <f>VLOOKUP(B79,'2007-2020 Metadata'!$A$6:$A$214,1,FALSE)</f>
        <v>HAM018</v>
      </c>
      <c r="AD79" s="230" t="str">
        <f>VLOOKUP($AC79,'2007-2020 Metadata'!$A$6:$S$214,9,FALSE)</f>
        <v>Tauranga</v>
      </c>
      <c r="AE79" s="230">
        <f>IF(ISBLANK(VLOOKUP($AC79,'2007-2020 Metadata'!$A$6:$S$214,19,FALSE)),"",VLOOKUP($AC79,'2007-2020 Metadata'!$A$6:$S$214,19,FALSE))</f>
        <v>2.5</v>
      </c>
      <c r="AF79" s="88" t="str">
        <f>VLOOKUP($B79,'2007-2020 Metadata'!$A$4:$S$214,MATCH("Site type",'2007-2020 Metadata'!$A$4:$S$4,0),FALSE)</f>
        <v>SH</v>
      </c>
      <c r="AG79" s="143">
        <f t="shared" si="63"/>
        <v>22.6</v>
      </c>
      <c r="AH79" s="143">
        <f t="shared" si="64"/>
        <v>39.1</v>
      </c>
      <c r="AI79" s="144">
        <f t="shared" si="65"/>
        <v>25.922272727272723</v>
      </c>
    </row>
    <row r="80" spans="2:35" ht="12" customHeight="1" x14ac:dyDescent="0.15">
      <c r="B80" s="231" t="s">
        <v>102</v>
      </c>
      <c r="C80" s="222">
        <v>12.9</v>
      </c>
      <c r="D80" s="222">
        <v>18.399999999999999</v>
      </c>
      <c r="E80" s="222">
        <v>16.899999999999999</v>
      </c>
      <c r="F80" s="222">
        <v>21.8</v>
      </c>
      <c r="G80" s="222">
        <v>24.7</v>
      </c>
      <c r="H80" s="222">
        <v>27.2</v>
      </c>
      <c r="I80" s="222">
        <v>23.2</v>
      </c>
      <c r="J80" s="222">
        <v>28.2</v>
      </c>
      <c r="K80" s="222">
        <v>21.9</v>
      </c>
      <c r="L80" s="222">
        <v>15</v>
      </c>
      <c r="M80" s="222">
        <v>16.3</v>
      </c>
      <c r="N80" s="222">
        <v>12.5</v>
      </c>
      <c r="O80" s="223">
        <f t="shared" si="54"/>
        <v>19.916666666666668</v>
      </c>
      <c r="P80" s="223">
        <f t="shared" si="55"/>
        <v>25.752993619776383</v>
      </c>
      <c r="Q80" s="224">
        <f t="shared" si="56"/>
        <v>1</v>
      </c>
      <c r="R80" s="225">
        <f t="shared" si="66"/>
        <v>16.066666666666666</v>
      </c>
      <c r="S80" s="226">
        <f t="shared" si="57"/>
        <v>1</v>
      </c>
      <c r="T80" s="225">
        <f t="shared" si="67"/>
        <v>24.433333333333334</v>
      </c>
      <c r="U80" s="226">
        <f t="shared" si="58"/>
        <v>1</v>
      </c>
      <c r="V80" s="227">
        <f t="shared" si="68"/>
        <v>19.916666666666668</v>
      </c>
      <c r="W80" s="228">
        <f t="shared" si="59"/>
        <v>1</v>
      </c>
      <c r="X80" s="144">
        <f t="shared" si="60"/>
        <v>21.654761904761905</v>
      </c>
      <c r="Y80" s="144">
        <f t="shared" si="61"/>
        <v>30.121428571428574</v>
      </c>
      <c r="Z80" s="144">
        <f t="shared" si="62"/>
        <v>25.922272727272723</v>
      </c>
      <c r="AA80" s="205"/>
      <c r="AB80" s="357" t="str">
        <f>VLOOKUP($B80,'2007-2020 Metadata'!$A$4:$S$214,MATCH("Urban Area /Monitoring Zone",'2007-2020 Metadata'!$A$4:$S$4,0),FALSE)</f>
        <v>Tauranga</v>
      </c>
      <c r="AC80" s="229" t="str">
        <f>VLOOKUP(B80,'2007-2020 Metadata'!$A$6:$A$214,1,FALSE)</f>
        <v>HAM019</v>
      </c>
      <c r="AD80" s="230" t="str">
        <f>VLOOKUP($AC80,'2007-2020 Metadata'!$A$6:$S$214,9,FALSE)</f>
        <v>Tauranga</v>
      </c>
      <c r="AE80" s="230">
        <f>IF(ISBLANK(VLOOKUP($AC80,'2007-2020 Metadata'!$A$6:$S$214,19,FALSE)),"",VLOOKUP($AC80,'2007-2020 Metadata'!$A$6:$S$214,19,FALSE))</f>
        <v>2.7</v>
      </c>
      <c r="AF80" s="88" t="str">
        <f>VLOOKUP($B80,'2007-2020 Metadata'!$A$4:$S$214,MATCH("Site type",'2007-2020 Metadata'!$A$4:$S$4,0),FALSE)</f>
        <v>Local</v>
      </c>
      <c r="AG80" s="143">
        <f t="shared" si="63"/>
        <v>12.5</v>
      </c>
      <c r="AH80" s="143">
        <f t="shared" si="64"/>
        <v>28.2</v>
      </c>
      <c r="AI80" s="144">
        <f t="shared" si="65"/>
        <v>25.922272727272723</v>
      </c>
    </row>
    <row r="81" spans="2:35" ht="12" customHeight="1" x14ac:dyDescent="0.15">
      <c r="B81" s="231" t="s">
        <v>103</v>
      </c>
      <c r="C81" s="222">
        <v>12.8</v>
      </c>
      <c r="D81" s="222">
        <v>18.899999999999999</v>
      </c>
      <c r="E81" s="222">
        <v>19.399999999999999</v>
      </c>
      <c r="F81" s="222"/>
      <c r="G81" s="222">
        <v>25.3</v>
      </c>
      <c r="H81" s="222">
        <v>22.7</v>
      </c>
      <c r="I81" s="222">
        <v>26.8</v>
      </c>
      <c r="J81" s="222"/>
      <c r="K81" s="222">
        <v>18.3</v>
      </c>
      <c r="L81" s="222">
        <v>16</v>
      </c>
      <c r="M81" s="222">
        <v>15.8</v>
      </c>
      <c r="N81" s="222">
        <v>14.1</v>
      </c>
      <c r="O81" s="223">
        <f t="shared" si="54"/>
        <v>19.009999999999998</v>
      </c>
      <c r="P81" s="223">
        <f t="shared" si="55"/>
        <v>23.322515870803372</v>
      </c>
      <c r="Q81" s="224">
        <f t="shared" si="56"/>
        <v>0.83333333333333337</v>
      </c>
      <c r="R81" s="225">
        <f t="shared" si="66"/>
        <v>17.033333333333331</v>
      </c>
      <c r="S81" s="226">
        <f t="shared" si="57"/>
        <v>1</v>
      </c>
      <c r="T81" s="225">
        <f t="shared" si="67"/>
        <v>22.55</v>
      </c>
      <c r="U81" s="226">
        <f t="shared" si="58"/>
        <v>0.66666666666666663</v>
      </c>
      <c r="V81" s="227">
        <f t="shared" si="68"/>
        <v>19.009999999999998</v>
      </c>
      <c r="W81" s="228">
        <f t="shared" si="59"/>
        <v>0.83333333333333337</v>
      </c>
      <c r="X81" s="144">
        <f t="shared" si="60"/>
        <v>21.654761904761905</v>
      </c>
      <c r="Y81" s="144">
        <f t="shared" si="61"/>
        <v>30.121428571428574</v>
      </c>
      <c r="Z81" s="144">
        <f t="shared" si="62"/>
        <v>25.922272727272723</v>
      </c>
      <c r="AA81" s="205"/>
      <c r="AB81" s="357" t="str">
        <f>VLOOKUP($B81,'2007-2020 Metadata'!$A$4:$S$214,MATCH("Urban Area /Monitoring Zone",'2007-2020 Metadata'!$A$4:$S$4,0),FALSE)</f>
        <v>Tauranga</v>
      </c>
      <c r="AC81" s="229" t="str">
        <f>VLOOKUP(B81,'2007-2020 Metadata'!$A$6:$A$214,1,FALSE)</f>
        <v>HAM020</v>
      </c>
      <c r="AD81" s="230" t="str">
        <f>VLOOKUP($AC81,'2007-2020 Metadata'!$A$6:$S$214,9,FALSE)</f>
        <v>Tauranga</v>
      </c>
      <c r="AE81" s="230">
        <f>IF(ISBLANK(VLOOKUP($AC81,'2007-2020 Metadata'!$A$6:$S$214,19,FALSE)),"",VLOOKUP($AC81,'2007-2020 Metadata'!$A$6:$S$214,19,FALSE))</f>
        <v>2.8</v>
      </c>
      <c r="AF81" s="88" t="str">
        <f>VLOOKUP($B81,'2007-2020 Metadata'!$A$4:$S$214,MATCH("Site type",'2007-2020 Metadata'!$A$4:$S$4,0),FALSE)</f>
        <v>Local</v>
      </c>
      <c r="AG81" s="143">
        <f t="shared" si="63"/>
        <v>12.8</v>
      </c>
      <c r="AH81" s="143">
        <f t="shared" si="64"/>
        <v>26.8</v>
      </c>
      <c r="AI81" s="144">
        <f t="shared" si="65"/>
        <v>25.922272727272723</v>
      </c>
    </row>
    <row r="82" spans="2:35" ht="12" customHeight="1" x14ac:dyDescent="0.15">
      <c r="B82" s="231" t="s">
        <v>104</v>
      </c>
      <c r="C82" s="222">
        <v>9.1</v>
      </c>
      <c r="D82" s="222">
        <v>10.9</v>
      </c>
      <c r="E82" s="222">
        <v>10.7</v>
      </c>
      <c r="F82" s="222">
        <v>12.6</v>
      </c>
      <c r="G82" s="222">
        <v>15.6</v>
      </c>
      <c r="H82" s="222">
        <v>15.8</v>
      </c>
      <c r="I82" s="222">
        <v>14.7</v>
      </c>
      <c r="J82" s="222">
        <v>14.6</v>
      </c>
      <c r="K82" s="222">
        <v>12.2</v>
      </c>
      <c r="L82" s="222">
        <v>8.3000000000000007</v>
      </c>
      <c r="M82" s="222">
        <v>9.6</v>
      </c>
      <c r="N82" s="222">
        <v>8.4</v>
      </c>
      <c r="O82" s="223">
        <f t="shared" si="54"/>
        <v>11.875</v>
      </c>
      <c r="P82" s="223">
        <f t="shared" si="55"/>
        <v>22.462608717534284</v>
      </c>
      <c r="Q82" s="224">
        <f t="shared" si="56"/>
        <v>1</v>
      </c>
      <c r="R82" s="225">
        <f t="shared" si="66"/>
        <v>10.233333333333333</v>
      </c>
      <c r="S82" s="226">
        <f t="shared" si="57"/>
        <v>1</v>
      </c>
      <c r="T82" s="225">
        <f t="shared" si="67"/>
        <v>13.833333333333334</v>
      </c>
      <c r="U82" s="226">
        <f t="shared" si="58"/>
        <v>1</v>
      </c>
      <c r="V82" s="227">
        <f t="shared" si="68"/>
        <v>11.875</v>
      </c>
      <c r="W82" s="228">
        <f t="shared" si="59"/>
        <v>1</v>
      </c>
      <c r="X82" s="144">
        <f t="shared" si="60"/>
        <v>21.654761904761905</v>
      </c>
      <c r="Y82" s="144">
        <f t="shared" si="61"/>
        <v>30.121428571428574</v>
      </c>
      <c r="Z82" s="144">
        <f t="shared" si="62"/>
        <v>25.922272727272723</v>
      </c>
      <c r="AA82" s="205"/>
      <c r="AB82" s="357" t="str">
        <f>VLOOKUP($B82,'2007-2020 Metadata'!$A$4:$S$214,MATCH("Urban Area /Monitoring Zone",'2007-2020 Metadata'!$A$4:$S$4,0),FALSE)</f>
        <v>Tauranga</v>
      </c>
      <c r="AC82" s="229" t="str">
        <f>VLOOKUP(B82,'2007-2020 Metadata'!$A$6:$A$214,1,FALSE)</f>
        <v>HAM021</v>
      </c>
      <c r="AD82" s="230" t="str">
        <f>VLOOKUP($AC82,'2007-2020 Metadata'!$A$6:$S$214,9,FALSE)</f>
        <v>Tauranga</v>
      </c>
      <c r="AE82" s="230">
        <f>IF(ISBLANK(VLOOKUP($AC82,'2007-2020 Metadata'!$A$6:$S$214,19,FALSE)),"",VLOOKUP($AC82,'2007-2020 Metadata'!$A$6:$S$214,19,FALSE))</f>
        <v>3</v>
      </c>
      <c r="AF82" s="88" t="str">
        <f>VLOOKUP($B82,'2007-2020 Metadata'!$A$4:$S$214,MATCH("Site type",'2007-2020 Metadata'!$A$4:$S$4,0),FALSE)</f>
        <v>Background</v>
      </c>
      <c r="AG82" s="143">
        <f t="shared" si="63"/>
        <v>8.3000000000000007</v>
      </c>
      <c r="AH82" s="143">
        <f t="shared" si="64"/>
        <v>15.8</v>
      </c>
      <c r="AI82" s="144">
        <f t="shared" si="65"/>
        <v>25.922272727272723</v>
      </c>
    </row>
    <row r="83" spans="2:35" ht="12" customHeight="1" x14ac:dyDescent="0.15">
      <c r="B83" s="231" t="s">
        <v>105</v>
      </c>
      <c r="C83" s="222">
        <v>13.5</v>
      </c>
      <c r="D83" s="222">
        <v>17.600000000000001</v>
      </c>
      <c r="E83" s="222">
        <v>20.100000000000001</v>
      </c>
      <c r="F83" s="222">
        <v>6.2</v>
      </c>
      <c r="G83" s="222">
        <v>23.2</v>
      </c>
      <c r="H83" s="222">
        <v>23.9</v>
      </c>
      <c r="I83" s="222">
        <v>23.9</v>
      </c>
      <c r="J83" s="222">
        <v>22</v>
      </c>
      <c r="K83" s="222">
        <v>18.5</v>
      </c>
      <c r="L83" s="222">
        <v>18</v>
      </c>
      <c r="M83" s="222">
        <v>17.100000000000001</v>
      </c>
      <c r="N83" s="222"/>
      <c r="O83" s="223">
        <f t="shared" si="54"/>
        <v>18.545454545454547</v>
      </c>
      <c r="P83" s="223">
        <f t="shared" si="55"/>
        <v>26.936620187259003</v>
      </c>
      <c r="Q83" s="224">
        <f t="shared" si="56"/>
        <v>0.91666666666666663</v>
      </c>
      <c r="R83" s="225">
        <f t="shared" si="66"/>
        <v>17.066666666666666</v>
      </c>
      <c r="S83" s="226">
        <f t="shared" si="57"/>
        <v>1</v>
      </c>
      <c r="T83" s="225">
        <f t="shared" si="67"/>
        <v>21.466666666666669</v>
      </c>
      <c r="U83" s="226">
        <f t="shared" si="58"/>
        <v>1</v>
      </c>
      <c r="V83" s="227">
        <f t="shared" si="68"/>
        <v>18.545454545454547</v>
      </c>
      <c r="W83" s="228">
        <f t="shared" si="59"/>
        <v>0.91666666666666663</v>
      </c>
      <c r="X83" s="144">
        <f t="shared" si="60"/>
        <v>17.066666666666666</v>
      </c>
      <c r="Y83" s="144">
        <f t="shared" si="61"/>
        <v>21.466666666666669</v>
      </c>
      <c r="Z83" s="144">
        <f t="shared" si="62"/>
        <v>18.545454545454547</v>
      </c>
      <c r="AA83" s="205"/>
      <c r="AB83" s="357" t="str">
        <f>VLOOKUP($B83,'2007-2020 Metadata'!$A$4:$S$214,MATCH("Urban Area /Monitoring Zone",'2007-2020 Metadata'!$A$4:$S$4,0),FALSE)</f>
        <v>Te Awamutu</v>
      </c>
      <c r="AC83" s="229" t="str">
        <f>VLOOKUP(B83,'2007-2020 Metadata'!$A$6:$A$214,1,FALSE)</f>
        <v>HAM022</v>
      </c>
      <c r="AD83" s="230" t="str">
        <f>VLOOKUP($AC83,'2007-2020 Metadata'!$A$6:$S$214,9,FALSE)</f>
        <v>Te Awamutu</v>
      </c>
      <c r="AE83" s="230">
        <f>IF(ISBLANK(VLOOKUP($AC83,'2007-2020 Metadata'!$A$6:$S$214,19,FALSE)),"",VLOOKUP($AC83,'2007-2020 Metadata'!$A$6:$S$214,19,FALSE))</f>
        <v>3</v>
      </c>
      <c r="AF83" s="88" t="str">
        <f>VLOOKUP($B83,'2007-2020 Metadata'!$A$4:$S$214,MATCH("Site type",'2007-2020 Metadata'!$A$4:$S$4,0),FALSE)</f>
        <v>SH</v>
      </c>
      <c r="AG83" s="143">
        <f t="shared" si="63"/>
        <v>6.2</v>
      </c>
      <c r="AH83" s="143">
        <f t="shared" si="64"/>
        <v>23.9</v>
      </c>
      <c r="AI83" s="144">
        <f t="shared" si="65"/>
        <v>18.545454545454547</v>
      </c>
    </row>
    <row r="84" spans="2:35" ht="12" customHeight="1" x14ac:dyDescent="0.15">
      <c r="B84" s="231" t="s">
        <v>106</v>
      </c>
      <c r="C84" s="222">
        <v>6.4</v>
      </c>
      <c r="D84" s="222">
        <v>6.9</v>
      </c>
      <c r="E84" s="222">
        <v>9.1999999999999993</v>
      </c>
      <c r="F84" s="222">
        <v>11</v>
      </c>
      <c r="G84" s="222">
        <v>11.7</v>
      </c>
      <c r="H84" s="222">
        <v>13.3</v>
      </c>
      <c r="I84" s="222">
        <v>13.1</v>
      </c>
      <c r="J84" s="222">
        <v>11.4</v>
      </c>
      <c r="K84" s="222">
        <v>8.6</v>
      </c>
      <c r="L84" s="222">
        <v>7.2</v>
      </c>
      <c r="M84" s="222">
        <v>6.1</v>
      </c>
      <c r="N84" s="222"/>
      <c r="O84" s="223">
        <f t="shared" si="54"/>
        <v>9.5363636363636353</v>
      </c>
      <c r="P84" s="223">
        <f t="shared" si="55"/>
        <v>26.866176126746755</v>
      </c>
      <c r="Q84" s="224">
        <f t="shared" si="56"/>
        <v>0.91666666666666663</v>
      </c>
      <c r="R84" s="225">
        <f t="shared" si="66"/>
        <v>7.5</v>
      </c>
      <c r="S84" s="226">
        <f t="shared" si="57"/>
        <v>1</v>
      </c>
      <c r="T84" s="225">
        <f t="shared" si="67"/>
        <v>11.033333333333333</v>
      </c>
      <c r="U84" s="226">
        <f t="shared" si="58"/>
        <v>1</v>
      </c>
      <c r="V84" s="227">
        <f t="shared" si="68"/>
        <v>9.5363636363636353</v>
      </c>
      <c r="W84" s="228">
        <f t="shared" si="59"/>
        <v>0.91666666666666663</v>
      </c>
      <c r="X84" s="144">
        <f t="shared" si="60"/>
        <v>11.7</v>
      </c>
      <c r="Y84" s="144">
        <f t="shared" si="61"/>
        <v>19.483333333333334</v>
      </c>
      <c r="Z84" s="144">
        <f t="shared" si="62"/>
        <v>15.77272727272727</v>
      </c>
      <c r="AA84" s="205"/>
      <c r="AB84" s="357" t="str">
        <f>VLOOKUP($B84,'2007-2020 Metadata'!$A$4:$S$214,MATCH("Urban Area /Monitoring Zone",'2007-2020 Metadata'!$A$4:$S$4,0),FALSE)</f>
        <v>Rotorua</v>
      </c>
      <c r="AC84" s="229" t="str">
        <f>VLOOKUP(B84,'2007-2020 Metadata'!$A$6:$A$214,1,FALSE)</f>
        <v>HAM023</v>
      </c>
      <c r="AD84" s="230" t="str">
        <f>VLOOKUP($AC84,'2007-2020 Metadata'!$A$6:$S$214,9,FALSE)</f>
        <v>Rotorua</v>
      </c>
      <c r="AE84" s="230">
        <f>IF(ISBLANK(VLOOKUP($AC84,'2007-2020 Metadata'!$A$6:$S$214,19,FALSE)),"",VLOOKUP($AC84,'2007-2020 Metadata'!$A$6:$S$214,19,FALSE))</f>
        <v>2.5</v>
      </c>
      <c r="AF84" s="88" t="str">
        <f>VLOOKUP($B84,'2007-2020 Metadata'!$A$4:$S$214,MATCH("Site type",'2007-2020 Metadata'!$A$4:$S$4,0),FALSE)</f>
        <v>Background</v>
      </c>
      <c r="AG84" s="143">
        <f t="shared" si="63"/>
        <v>6.1</v>
      </c>
      <c r="AH84" s="143">
        <f t="shared" si="64"/>
        <v>13.3</v>
      </c>
      <c r="AI84" s="144">
        <f t="shared" si="65"/>
        <v>15.77272727272727</v>
      </c>
    </row>
    <row r="85" spans="2:35" ht="12" customHeight="1" x14ac:dyDescent="0.15">
      <c r="B85" s="231" t="s">
        <v>42</v>
      </c>
      <c r="C85" s="222">
        <v>14.1</v>
      </c>
      <c r="D85" s="222"/>
      <c r="E85" s="222">
        <v>14.6</v>
      </c>
      <c r="F85" s="222">
        <v>17.7</v>
      </c>
      <c r="G85" s="222">
        <v>20.100000000000001</v>
      </c>
      <c r="H85" s="222">
        <v>22.6</v>
      </c>
      <c r="I85" s="222">
        <v>18.399999999999999</v>
      </c>
      <c r="J85" s="222">
        <v>20.8</v>
      </c>
      <c r="K85" s="222">
        <v>17.100000000000001</v>
      </c>
      <c r="L85" s="222">
        <v>15.6</v>
      </c>
      <c r="M85" s="222"/>
      <c r="N85" s="222">
        <v>10.8</v>
      </c>
      <c r="O85" s="223">
        <f t="shared" si="54"/>
        <v>17.18</v>
      </c>
      <c r="P85" s="223">
        <f t="shared" si="55"/>
        <v>19.489946094922868</v>
      </c>
      <c r="Q85" s="224">
        <f t="shared" si="56"/>
        <v>0.83333333333333337</v>
      </c>
      <c r="R85" s="225">
        <f t="shared" si="66"/>
        <v>14.35</v>
      </c>
      <c r="S85" s="226">
        <f t="shared" si="57"/>
        <v>0.66666666666666663</v>
      </c>
      <c r="T85" s="225">
        <f t="shared" si="67"/>
        <v>18.766666666666669</v>
      </c>
      <c r="U85" s="226">
        <f t="shared" si="58"/>
        <v>1</v>
      </c>
      <c r="V85" s="227">
        <f t="shared" si="68"/>
        <v>17.18</v>
      </c>
      <c r="W85" s="228">
        <f t="shared" si="59"/>
        <v>0.83333333333333337</v>
      </c>
      <c r="X85" s="144">
        <f t="shared" si="60"/>
        <v>14.35</v>
      </c>
      <c r="Y85" s="144">
        <f t="shared" si="61"/>
        <v>18.766666666666669</v>
      </c>
      <c r="Z85" s="144">
        <f t="shared" si="62"/>
        <v>17.18</v>
      </c>
      <c r="AA85" s="205"/>
      <c r="AB85" s="357" t="str">
        <f>VLOOKUP($B85,'2007-2020 Metadata'!$A$4:$S$214,MATCH("Urban Area /Monitoring Zone",'2007-2020 Metadata'!$A$4:$S$4,0),FALSE)</f>
        <v>Gisborne</v>
      </c>
      <c r="AC85" s="229" t="str">
        <f>VLOOKUP(B85,'2007-2020 Metadata'!$A$6:$A$214,1,FALSE)</f>
        <v>NAP001</v>
      </c>
      <c r="AD85" s="230" t="str">
        <f>VLOOKUP($AC85,'2007-2020 Metadata'!$A$6:$S$214,9,FALSE)</f>
        <v>Gisborne</v>
      </c>
      <c r="AE85" s="230">
        <f>IF(ISBLANK(VLOOKUP($AC85,'2007-2020 Metadata'!$A$6:$S$214,19,FALSE)),"",VLOOKUP($AC85,'2007-2020 Metadata'!$A$6:$S$214,19,FALSE))</f>
        <v>3</v>
      </c>
      <c r="AF85" s="88" t="str">
        <f>VLOOKUP($B85,'2007-2020 Metadata'!$A$4:$S$214,MATCH("Site type",'2007-2020 Metadata'!$A$4:$S$4,0),FALSE)</f>
        <v>SH</v>
      </c>
      <c r="AG85" s="143">
        <f t="shared" si="63"/>
        <v>10.8</v>
      </c>
      <c r="AH85" s="143">
        <f t="shared" si="64"/>
        <v>22.6</v>
      </c>
      <c r="AI85" s="144">
        <f t="shared" si="65"/>
        <v>17.18</v>
      </c>
    </row>
    <row r="86" spans="2:35" ht="12" customHeight="1" x14ac:dyDescent="0.15">
      <c r="B86" s="231" t="s">
        <v>43</v>
      </c>
      <c r="C86" s="222">
        <v>14.1</v>
      </c>
      <c r="D86" s="222">
        <v>17.7</v>
      </c>
      <c r="E86" s="222">
        <v>21.7</v>
      </c>
      <c r="F86" s="222">
        <v>23.4</v>
      </c>
      <c r="G86" s="222">
        <v>25.3</v>
      </c>
      <c r="H86" s="222">
        <v>29.6</v>
      </c>
      <c r="I86" s="222">
        <v>30.1</v>
      </c>
      <c r="J86" s="222">
        <v>26.3</v>
      </c>
      <c r="K86" s="222">
        <v>19.5</v>
      </c>
      <c r="L86" s="222">
        <v>17.100000000000001</v>
      </c>
      <c r="M86" s="222">
        <v>15.6</v>
      </c>
      <c r="N86" s="222">
        <v>14</v>
      </c>
      <c r="O86" s="223">
        <f t="shared" si="54"/>
        <v>21.2</v>
      </c>
      <c r="P86" s="223">
        <f t="shared" si="55"/>
        <v>25.95197113863944</v>
      </c>
      <c r="Q86" s="224">
        <f t="shared" si="56"/>
        <v>1</v>
      </c>
      <c r="R86" s="225">
        <f t="shared" si="66"/>
        <v>17.833333333333332</v>
      </c>
      <c r="S86" s="226">
        <f t="shared" si="57"/>
        <v>1</v>
      </c>
      <c r="T86" s="225">
        <f t="shared" si="67"/>
        <v>25.3</v>
      </c>
      <c r="U86" s="226">
        <f t="shared" si="58"/>
        <v>1</v>
      </c>
      <c r="V86" s="227">
        <f t="shared" si="68"/>
        <v>21.2</v>
      </c>
      <c r="W86" s="228">
        <f t="shared" si="59"/>
        <v>1</v>
      </c>
      <c r="X86" s="144">
        <f t="shared" si="60"/>
        <v>17.522222222222222</v>
      </c>
      <c r="Y86" s="144">
        <f t="shared" si="61"/>
        <v>22.011111111111109</v>
      </c>
      <c r="Z86" s="144">
        <f t="shared" si="62"/>
        <v>19.752777777777776</v>
      </c>
      <c r="AA86" s="205"/>
      <c r="AB86" s="357" t="str">
        <f>VLOOKUP($B86,'2007-2020 Metadata'!$A$4:$S$214,MATCH("Urban Area /Monitoring Zone",'2007-2020 Metadata'!$A$4:$S$4,0),FALSE)</f>
        <v>Napier</v>
      </c>
      <c r="AC86" s="229" t="str">
        <f>VLOOKUP(B86,'2007-2020 Metadata'!$A$6:$A$214,1,FALSE)</f>
        <v>NAP002</v>
      </c>
      <c r="AD86" s="230" t="str">
        <f>VLOOKUP($AC86,'2007-2020 Metadata'!$A$6:$S$214,9,FALSE)</f>
        <v>Napier</v>
      </c>
      <c r="AE86" s="230">
        <f>IF(ISBLANK(VLOOKUP($AC86,'2007-2020 Metadata'!$A$6:$S$214,19,FALSE)),"",VLOOKUP($AC86,'2007-2020 Metadata'!$A$6:$S$214,19,FALSE))</f>
        <v>3</v>
      </c>
      <c r="AF86" s="88" t="str">
        <f>VLOOKUP($B86,'2007-2020 Metadata'!$A$4:$S$214,MATCH("Site type",'2007-2020 Metadata'!$A$4:$S$4,0),FALSE)</f>
        <v>SH</v>
      </c>
      <c r="AG86" s="143">
        <f t="shared" si="63"/>
        <v>14</v>
      </c>
      <c r="AH86" s="143">
        <f t="shared" si="64"/>
        <v>30.1</v>
      </c>
      <c r="AI86" s="144">
        <f t="shared" si="65"/>
        <v>19.752777777777776</v>
      </c>
    </row>
    <row r="87" spans="2:35" ht="12" customHeight="1" x14ac:dyDescent="0.15">
      <c r="B87" s="231" t="s">
        <v>44</v>
      </c>
      <c r="C87" s="222">
        <v>19.600000000000001</v>
      </c>
      <c r="D87" s="222">
        <v>28.1</v>
      </c>
      <c r="E87" s="222">
        <v>29.9</v>
      </c>
      <c r="F87" s="222">
        <v>29</v>
      </c>
      <c r="G87" s="222">
        <v>30.1</v>
      </c>
      <c r="H87" s="222">
        <v>31.6</v>
      </c>
      <c r="I87" s="222">
        <v>31.3</v>
      </c>
      <c r="J87" s="222">
        <v>29.8</v>
      </c>
      <c r="K87" s="222">
        <v>26.4</v>
      </c>
      <c r="L87" s="222">
        <v>27.8</v>
      </c>
      <c r="M87" s="222">
        <v>27.7</v>
      </c>
      <c r="N87" s="222">
        <v>24</v>
      </c>
      <c r="O87" s="223">
        <f t="shared" si="54"/>
        <v>27.941666666666666</v>
      </c>
      <c r="P87" s="223">
        <f t="shared" si="55"/>
        <v>11.565998871367158</v>
      </c>
      <c r="Q87" s="224">
        <f t="shared" si="56"/>
        <v>1</v>
      </c>
      <c r="R87" s="225">
        <f t="shared" si="66"/>
        <v>25.866666666666664</v>
      </c>
      <c r="S87" s="226">
        <f t="shared" si="57"/>
        <v>1</v>
      </c>
      <c r="T87" s="225">
        <f t="shared" si="67"/>
        <v>29.166666666666668</v>
      </c>
      <c r="U87" s="226">
        <f t="shared" si="58"/>
        <v>1</v>
      </c>
      <c r="V87" s="227">
        <f t="shared" si="68"/>
        <v>27.941666666666666</v>
      </c>
      <c r="W87" s="228">
        <f t="shared" si="59"/>
        <v>1</v>
      </c>
      <c r="X87" s="144">
        <f t="shared" si="60"/>
        <v>17.522222222222222</v>
      </c>
      <c r="Y87" s="144">
        <f t="shared" si="61"/>
        <v>22.011111111111109</v>
      </c>
      <c r="Z87" s="144">
        <f t="shared" si="62"/>
        <v>19.752777777777776</v>
      </c>
      <c r="AA87" s="205"/>
      <c r="AB87" s="357" t="str">
        <f>VLOOKUP($B87,'2007-2020 Metadata'!$A$4:$S$214,MATCH("Urban Area /Monitoring Zone",'2007-2020 Metadata'!$A$4:$S$4,0),FALSE)</f>
        <v>Napier</v>
      </c>
      <c r="AC87" s="229" t="str">
        <f>VLOOKUP(B87,'2007-2020 Metadata'!$A$6:$A$214,1,FALSE)</f>
        <v>NAP003</v>
      </c>
      <c r="AD87" s="230" t="str">
        <f>VLOOKUP($AC87,'2007-2020 Metadata'!$A$6:$S$214,9,FALSE)</f>
        <v>Napier</v>
      </c>
      <c r="AE87" s="230">
        <f>IF(ISBLANK(VLOOKUP($AC87,'2007-2020 Metadata'!$A$6:$S$214,19,FALSE)),"",VLOOKUP($AC87,'2007-2020 Metadata'!$A$6:$S$214,19,FALSE))</f>
        <v>3</v>
      </c>
      <c r="AF87" s="88" t="str">
        <f>VLOOKUP($B87,'2007-2020 Metadata'!$A$4:$S$214,MATCH("Site type",'2007-2020 Metadata'!$A$4:$S$4,0),FALSE)</f>
        <v>SH</v>
      </c>
      <c r="AG87" s="143">
        <f t="shared" si="63"/>
        <v>19.600000000000001</v>
      </c>
      <c r="AH87" s="143">
        <f t="shared" si="64"/>
        <v>31.6</v>
      </c>
      <c r="AI87" s="144">
        <f t="shared" si="65"/>
        <v>19.752777777777776</v>
      </c>
    </row>
    <row r="88" spans="2:35" ht="12" customHeight="1" x14ac:dyDescent="0.15">
      <c r="B88" s="231" t="s">
        <v>45</v>
      </c>
      <c r="C88" s="222">
        <v>24.1</v>
      </c>
      <c r="D88" s="222">
        <v>23.1</v>
      </c>
      <c r="E88" s="222">
        <v>27.3</v>
      </c>
      <c r="F88" s="222">
        <v>27.9</v>
      </c>
      <c r="G88" s="222">
        <v>30.6</v>
      </c>
      <c r="H88" s="222">
        <v>34.6</v>
      </c>
      <c r="I88" s="222">
        <v>34.1</v>
      </c>
      <c r="J88" s="222">
        <v>29.3</v>
      </c>
      <c r="K88" s="222">
        <v>22.2</v>
      </c>
      <c r="L88" s="222">
        <v>19.399999999999999</v>
      </c>
      <c r="M88" s="222">
        <v>25.8</v>
      </c>
      <c r="N88" s="222">
        <v>21.9</v>
      </c>
      <c r="O88" s="223">
        <f t="shared" si="54"/>
        <v>26.691666666666663</v>
      </c>
      <c r="P88" s="223">
        <f t="shared" si="55"/>
        <v>17.373403839658657</v>
      </c>
      <c r="Q88" s="224">
        <f t="shared" si="56"/>
        <v>1</v>
      </c>
      <c r="R88" s="225">
        <f t="shared" si="66"/>
        <v>24.833333333333332</v>
      </c>
      <c r="S88" s="226">
        <f t="shared" si="57"/>
        <v>1</v>
      </c>
      <c r="T88" s="225">
        <f t="shared" si="67"/>
        <v>28.533333333333335</v>
      </c>
      <c r="U88" s="226">
        <f t="shared" si="58"/>
        <v>1</v>
      </c>
      <c r="V88" s="227">
        <f t="shared" si="68"/>
        <v>26.691666666666663</v>
      </c>
      <c r="W88" s="228">
        <f t="shared" si="59"/>
        <v>1</v>
      </c>
      <c r="X88" s="144">
        <f t="shared" si="60"/>
        <v>17.333333333333332</v>
      </c>
      <c r="Y88" s="144">
        <f t="shared" si="61"/>
        <v>21.516666666666666</v>
      </c>
      <c r="Z88" s="144">
        <f t="shared" si="62"/>
        <v>19.362499999999997</v>
      </c>
      <c r="AA88" s="205"/>
      <c r="AB88" s="357" t="str">
        <f>VLOOKUP($B88,'2007-2020 Metadata'!$A$4:$S$214,MATCH("Urban Area /Monitoring Zone",'2007-2020 Metadata'!$A$4:$S$4,0),FALSE)</f>
        <v>Hastings</v>
      </c>
      <c r="AC88" s="229" t="str">
        <f>VLOOKUP(B88,'2007-2020 Metadata'!$A$6:$A$214,1,FALSE)</f>
        <v>NAP004</v>
      </c>
      <c r="AD88" s="230" t="str">
        <f>VLOOKUP($AC88,'2007-2020 Metadata'!$A$6:$S$214,9,FALSE)</f>
        <v>Hastings</v>
      </c>
      <c r="AE88" s="230">
        <f>IF(ISBLANK(VLOOKUP($AC88,'2007-2020 Metadata'!$A$6:$S$214,19,FALSE)),"",VLOOKUP($AC88,'2007-2020 Metadata'!$A$6:$S$214,19,FALSE))</f>
        <v>3</v>
      </c>
      <c r="AF88" s="88" t="str">
        <f>VLOOKUP($B88,'2007-2020 Metadata'!$A$4:$S$214,MATCH("Site type",'2007-2020 Metadata'!$A$4:$S$4,0),FALSE)</f>
        <v>SH</v>
      </c>
      <c r="AG88" s="143">
        <f t="shared" si="63"/>
        <v>19.399999999999999</v>
      </c>
      <c r="AH88" s="143">
        <f t="shared" si="64"/>
        <v>34.6</v>
      </c>
      <c r="AI88" s="144">
        <f t="shared" si="65"/>
        <v>19.362499999999997</v>
      </c>
    </row>
    <row r="89" spans="2:35" ht="12" customHeight="1" x14ac:dyDescent="0.15">
      <c r="B89" s="231" t="s">
        <v>107</v>
      </c>
      <c r="C89" s="222">
        <v>9.3000000000000007</v>
      </c>
      <c r="D89" s="222">
        <v>9.3000000000000007</v>
      </c>
      <c r="E89" s="222">
        <v>10.9</v>
      </c>
      <c r="F89" s="222">
        <v>12.4</v>
      </c>
      <c r="G89" s="222">
        <v>16.2</v>
      </c>
      <c r="H89" s="222">
        <v>18.7</v>
      </c>
      <c r="I89" s="222">
        <v>16.899999999999999</v>
      </c>
      <c r="J89" s="222">
        <v>13.5</v>
      </c>
      <c r="K89" s="222">
        <v>13.1</v>
      </c>
      <c r="L89" s="222">
        <v>8.8000000000000007</v>
      </c>
      <c r="M89" s="222">
        <v>8.3000000000000007</v>
      </c>
      <c r="N89" s="222">
        <v>7</v>
      </c>
      <c r="O89" s="223">
        <f t="shared" si="54"/>
        <v>12.033333333333333</v>
      </c>
      <c r="P89" s="223">
        <f t="shared" si="55"/>
        <v>29.853991522850958</v>
      </c>
      <c r="Q89" s="224">
        <f t="shared" si="56"/>
        <v>1</v>
      </c>
      <c r="R89" s="225">
        <f t="shared" si="66"/>
        <v>9.8333333333333339</v>
      </c>
      <c r="S89" s="226">
        <f t="shared" si="57"/>
        <v>1</v>
      </c>
      <c r="T89" s="225">
        <f t="shared" si="67"/>
        <v>14.5</v>
      </c>
      <c r="U89" s="226">
        <f t="shared" si="58"/>
        <v>1</v>
      </c>
      <c r="V89" s="227">
        <f t="shared" si="68"/>
        <v>12.033333333333333</v>
      </c>
      <c r="W89" s="228">
        <f t="shared" si="59"/>
        <v>1</v>
      </c>
      <c r="X89" s="144">
        <f t="shared" si="60"/>
        <v>17.333333333333332</v>
      </c>
      <c r="Y89" s="144">
        <f t="shared" si="61"/>
        <v>21.516666666666666</v>
      </c>
      <c r="Z89" s="144">
        <f t="shared" si="62"/>
        <v>19.362499999999997</v>
      </c>
      <c r="AA89" s="205"/>
      <c r="AB89" s="357" t="str">
        <f>VLOOKUP($B89,'2007-2020 Metadata'!$A$4:$S$214,MATCH("Urban Area /Monitoring Zone",'2007-2020 Metadata'!$A$4:$S$4,0),FALSE)</f>
        <v>Hastings</v>
      </c>
      <c r="AC89" s="229" t="str">
        <f>VLOOKUP(B89,'2007-2020 Metadata'!$A$6:$A$214,1,FALSE)</f>
        <v>NAP005</v>
      </c>
      <c r="AD89" s="230" t="str">
        <f>VLOOKUP($AC89,'2007-2020 Metadata'!$A$6:$S$214,9,FALSE)</f>
        <v>Hastings</v>
      </c>
      <c r="AE89" s="230">
        <f>IF(ISBLANK(VLOOKUP($AC89,'2007-2020 Metadata'!$A$6:$S$214,19,FALSE)),"",VLOOKUP($AC89,'2007-2020 Metadata'!$A$6:$S$214,19,FALSE))</f>
        <v>2.7</v>
      </c>
      <c r="AF89" s="88" t="str">
        <f>VLOOKUP($B89,'2007-2020 Metadata'!$A$4:$S$214,MATCH("Site type",'2007-2020 Metadata'!$A$4:$S$4,0),FALSE)</f>
        <v>Background</v>
      </c>
      <c r="AG89" s="143">
        <f t="shared" si="63"/>
        <v>7</v>
      </c>
      <c r="AH89" s="143">
        <f t="shared" si="64"/>
        <v>18.7</v>
      </c>
      <c r="AI89" s="144">
        <f t="shared" si="65"/>
        <v>19.362499999999997</v>
      </c>
    </row>
    <row r="90" spans="2:35" ht="12" customHeight="1" x14ac:dyDescent="0.15">
      <c r="B90" s="231" t="s">
        <v>108</v>
      </c>
      <c r="C90" s="222">
        <v>7</v>
      </c>
      <c r="D90" s="222">
        <v>8.9</v>
      </c>
      <c r="E90" s="222">
        <v>10.7</v>
      </c>
      <c r="F90" s="222">
        <v>10.8</v>
      </c>
      <c r="G90" s="222">
        <v>14</v>
      </c>
      <c r="H90" s="222">
        <v>16.2</v>
      </c>
      <c r="I90" s="222">
        <v>14.8</v>
      </c>
      <c r="J90" s="222">
        <v>11.1</v>
      </c>
      <c r="K90" s="222">
        <v>8.8000000000000007</v>
      </c>
      <c r="L90" s="222">
        <v>6.9</v>
      </c>
      <c r="M90" s="222">
        <v>7</v>
      </c>
      <c r="N90" s="222">
        <v>5.2</v>
      </c>
      <c r="O90" s="223">
        <f t="shared" si="54"/>
        <v>10.116666666666667</v>
      </c>
      <c r="P90" s="223">
        <f t="shared" si="55"/>
        <v>32.902355881723302</v>
      </c>
      <c r="Q90" s="224">
        <f t="shared" si="56"/>
        <v>1</v>
      </c>
      <c r="R90" s="225">
        <f t="shared" si="66"/>
        <v>8.8666666666666671</v>
      </c>
      <c r="S90" s="226">
        <f t="shared" si="57"/>
        <v>1</v>
      </c>
      <c r="T90" s="225">
        <f t="shared" si="67"/>
        <v>11.566666666666668</v>
      </c>
      <c r="U90" s="226">
        <f t="shared" si="58"/>
        <v>1</v>
      </c>
      <c r="V90" s="227">
        <f t="shared" si="68"/>
        <v>10.116666666666667</v>
      </c>
      <c r="W90" s="228">
        <f t="shared" si="59"/>
        <v>1</v>
      </c>
      <c r="X90" s="144">
        <f t="shared" si="60"/>
        <v>17.522222222222222</v>
      </c>
      <c r="Y90" s="144">
        <f t="shared" si="61"/>
        <v>22.011111111111109</v>
      </c>
      <c r="Z90" s="144">
        <f t="shared" si="62"/>
        <v>19.752777777777776</v>
      </c>
      <c r="AA90" s="205"/>
      <c r="AB90" s="357" t="str">
        <f>VLOOKUP($B90,'2007-2020 Metadata'!$A$4:$S$214,MATCH("Urban Area /Monitoring Zone",'2007-2020 Metadata'!$A$4:$S$4,0),FALSE)</f>
        <v>Napier</v>
      </c>
      <c r="AC90" s="229" t="str">
        <f>VLOOKUP(B90,'2007-2020 Metadata'!$A$6:$A$214,1,FALSE)</f>
        <v>NAP006</v>
      </c>
      <c r="AD90" s="230" t="str">
        <f>VLOOKUP($AC90,'2007-2020 Metadata'!$A$6:$S$214,9,FALSE)</f>
        <v>Napier</v>
      </c>
      <c r="AE90" s="230">
        <f>IF(ISBLANK(VLOOKUP($AC90,'2007-2020 Metadata'!$A$6:$S$214,19,FALSE)),"",VLOOKUP($AC90,'2007-2020 Metadata'!$A$6:$S$214,19,FALSE))</f>
        <v>3</v>
      </c>
      <c r="AF90" s="88" t="str">
        <f>VLOOKUP($B90,'2007-2020 Metadata'!$A$4:$S$214,MATCH("Site type",'2007-2020 Metadata'!$A$4:$S$4,0),FALSE)</f>
        <v>Background</v>
      </c>
      <c r="AG90" s="143">
        <f t="shared" si="63"/>
        <v>5.2</v>
      </c>
      <c r="AH90" s="143">
        <f t="shared" si="64"/>
        <v>16.2</v>
      </c>
      <c r="AI90" s="144">
        <f t="shared" si="65"/>
        <v>19.752777777777776</v>
      </c>
    </row>
    <row r="91" spans="2:35" ht="12" customHeight="1" x14ac:dyDescent="0.15">
      <c r="B91" s="231" t="s">
        <v>48</v>
      </c>
      <c r="C91" s="222">
        <v>13.4</v>
      </c>
      <c r="D91" s="222">
        <v>17.7</v>
      </c>
      <c r="E91" s="222">
        <v>23.6</v>
      </c>
      <c r="F91" s="222">
        <v>26.6</v>
      </c>
      <c r="G91" s="222">
        <v>30.8</v>
      </c>
      <c r="H91" s="222">
        <v>31.6</v>
      </c>
      <c r="I91" s="222">
        <v>32.799999999999997</v>
      </c>
      <c r="J91" s="222"/>
      <c r="K91" s="222">
        <v>25.6</v>
      </c>
      <c r="L91" s="222">
        <v>16.8</v>
      </c>
      <c r="M91" s="222">
        <v>22.5</v>
      </c>
      <c r="N91" s="222">
        <v>16.7</v>
      </c>
      <c r="O91" s="223">
        <f t="shared" si="54"/>
        <v>23.463636363636365</v>
      </c>
      <c r="P91" s="223">
        <f t="shared" si="55"/>
        <v>27.17391249196891</v>
      </c>
      <c r="Q91" s="224">
        <f t="shared" si="56"/>
        <v>0.91666666666666663</v>
      </c>
      <c r="R91" s="225">
        <f t="shared" si="66"/>
        <v>18.233333333333334</v>
      </c>
      <c r="S91" s="226">
        <f t="shared" si="57"/>
        <v>1</v>
      </c>
      <c r="T91" s="225">
        <f t="shared" si="67"/>
        <v>29.2</v>
      </c>
      <c r="U91" s="226">
        <f t="shared" si="58"/>
        <v>0.66666666666666663</v>
      </c>
      <c r="V91" s="227">
        <f t="shared" si="68"/>
        <v>23.463636363636365</v>
      </c>
      <c r="W91" s="228">
        <f t="shared" si="59"/>
        <v>0.91666666666666663</v>
      </c>
      <c r="X91" s="144">
        <f t="shared" si="60"/>
        <v>14.566666666666666</v>
      </c>
      <c r="Y91" s="144">
        <f t="shared" si="61"/>
        <v>22.24</v>
      </c>
      <c r="Z91" s="144">
        <f t="shared" si="62"/>
        <v>18.277818181818184</v>
      </c>
      <c r="AA91" s="205"/>
      <c r="AB91" s="357" t="str">
        <f>VLOOKUP($B91,'2007-2020 Metadata'!$A$4:$S$214,MATCH("Urban Area /Monitoring Zone",'2007-2020 Metadata'!$A$4:$S$4,0),FALSE)</f>
        <v>Palmerston North</v>
      </c>
      <c r="AC91" s="229" t="str">
        <f>VLOOKUP(B91,'2007-2020 Metadata'!$A$6:$A$214,1,FALSE)</f>
        <v>WAN004</v>
      </c>
      <c r="AD91" s="230" t="str">
        <f>VLOOKUP($AC91,'2007-2020 Metadata'!$A$6:$S$214,9,FALSE)</f>
        <v>Palmerston North</v>
      </c>
      <c r="AE91" s="230">
        <f>IF(ISBLANK(VLOOKUP($AC91,'2007-2020 Metadata'!$A$6:$S$214,19,FALSE)),"",VLOOKUP($AC91,'2007-2020 Metadata'!$A$6:$S$214,19,FALSE))</f>
        <v>3</v>
      </c>
      <c r="AF91" s="88" t="str">
        <f>VLOOKUP($B91,'2007-2020 Metadata'!$A$4:$S$214,MATCH("Site type",'2007-2020 Metadata'!$A$4:$S$4,0),FALSE)</f>
        <v>SH</v>
      </c>
      <c r="AG91" s="143">
        <f t="shared" si="63"/>
        <v>13.4</v>
      </c>
      <c r="AH91" s="143">
        <f t="shared" si="64"/>
        <v>32.799999999999997</v>
      </c>
      <c r="AI91" s="144">
        <f t="shared" si="65"/>
        <v>18.277818181818184</v>
      </c>
    </row>
    <row r="92" spans="2:35" ht="12" customHeight="1" x14ac:dyDescent="0.15">
      <c r="B92" s="231" t="s">
        <v>109</v>
      </c>
      <c r="C92" s="222">
        <v>5.8</v>
      </c>
      <c r="D92" s="222">
        <v>9.1</v>
      </c>
      <c r="E92" s="222">
        <v>13.3</v>
      </c>
      <c r="F92" s="222">
        <v>14.2</v>
      </c>
      <c r="G92" s="222">
        <v>19.2</v>
      </c>
      <c r="H92" s="222">
        <v>20.6</v>
      </c>
      <c r="I92" s="222">
        <v>16.3</v>
      </c>
      <c r="J92" s="222"/>
      <c r="K92" s="222">
        <v>11.8</v>
      </c>
      <c r="L92" s="222">
        <v>7.8</v>
      </c>
      <c r="M92" s="222"/>
      <c r="N92" s="222">
        <v>8.6999999999999993</v>
      </c>
      <c r="O92" s="223">
        <f t="shared" si="54"/>
        <v>12.679999999999998</v>
      </c>
      <c r="P92" s="223">
        <f t="shared" si="55"/>
        <v>37.126268604289699</v>
      </c>
      <c r="Q92" s="224">
        <f t="shared" si="56"/>
        <v>0.83333333333333337</v>
      </c>
      <c r="R92" s="225">
        <f t="shared" si="66"/>
        <v>9.4</v>
      </c>
      <c r="S92" s="226">
        <f t="shared" si="57"/>
        <v>1</v>
      </c>
      <c r="T92" s="225">
        <f t="shared" si="67"/>
        <v>14.05</v>
      </c>
      <c r="U92" s="226">
        <f t="shared" si="58"/>
        <v>0.66666666666666663</v>
      </c>
      <c r="V92" s="227">
        <f t="shared" si="68"/>
        <v>12.679999999999998</v>
      </c>
      <c r="W92" s="228">
        <f t="shared" si="59"/>
        <v>0.83333333333333337</v>
      </c>
      <c r="X92" s="144">
        <f t="shared" si="60"/>
        <v>14.566666666666666</v>
      </c>
      <c r="Y92" s="144">
        <f t="shared" si="61"/>
        <v>22.24</v>
      </c>
      <c r="Z92" s="144">
        <f t="shared" si="62"/>
        <v>18.277818181818184</v>
      </c>
      <c r="AA92" s="205"/>
      <c r="AB92" s="357" t="str">
        <f>VLOOKUP($B92,'2007-2020 Metadata'!$A$4:$S$214,MATCH("Urban Area /Monitoring Zone",'2007-2020 Metadata'!$A$4:$S$4,0),FALSE)</f>
        <v>Palmerston North</v>
      </c>
      <c r="AC92" s="229" t="str">
        <f>VLOOKUP(B92,'2007-2020 Metadata'!$A$6:$A$214,1,FALSE)</f>
        <v>WAN005</v>
      </c>
      <c r="AD92" s="230" t="str">
        <f>VLOOKUP($AC92,'2007-2020 Metadata'!$A$6:$S$214,9,FALSE)</f>
        <v>Palmerston North</v>
      </c>
      <c r="AE92" s="230">
        <f>IF(ISBLANK(VLOOKUP($AC92,'2007-2020 Metadata'!$A$6:$S$214,19,FALSE)),"",VLOOKUP($AC92,'2007-2020 Metadata'!$A$6:$S$214,19,FALSE))</f>
        <v>2.5</v>
      </c>
      <c r="AF92" s="88" t="str">
        <f>VLOOKUP($B92,'2007-2020 Metadata'!$A$4:$S$214,MATCH("Site type",'2007-2020 Metadata'!$A$4:$S$4,0),FALSE)</f>
        <v>SH</v>
      </c>
      <c r="AG92" s="143">
        <f t="shared" si="63"/>
        <v>5.8</v>
      </c>
      <c r="AH92" s="143">
        <f t="shared" si="64"/>
        <v>20.6</v>
      </c>
      <c r="AI92" s="144">
        <f t="shared" si="65"/>
        <v>18.277818181818184</v>
      </c>
    </row>
    <row r="93" spans="2:35" ht="12" customHeight="1" x14ac:dyDescent="0.15">
      <c r="B93" s="231" t="s">
        <v>110</v>
      </c>
      <c r="C93" s="222">
        <v>13.6</v>
      </c>
      <c r="D93" s="222">
        <v>22.3</v>
      </c>
      <c r="E93" s="222">
        <v>27.4</v>
      </c>
      <c r="F93" s="222">
        <v>28.4</v>
      </c>
      <c r="G93" s="222">
        <v>33.5</v>
      </c>
      <c r="H93" s="222">
        <v>34</v>
      </c>
      <c r="I93" s="222">
        <v>33.200000000000003</v>
      </c>
      <c r="J93" s="222"/>
      <c r="K93" s="222">
        <v>25.4</v>
      </c>
      <c r="L93" s="222">
        <v>18.899999999999999</v>
      </c>
      <c r="M93" s="222">
        <v>25.3</v>
      </c>
      <c r="N93" s="222">
        <v>14.9</v>
      </c>
      <c r="O93" s="223">
        <f t="shared" si="54"/>
        <v>25.172727272727272</v>
      </c>
      <c r="P93" s="223">
        <f t="shared" si="55"/>
        <v>27.16065198101974</v>
      </c>
      <c r="Q93" s="224">
        <f t="shared" si="56"/>
        <v>0.91666666666666663</v>
      </c>
      <c r="R93" s="225">
        <f t="shared" si="66"/>
        <v>21.099999999999998</v>
      </c>
      <c r="S93" s="226">
        <f t="shared" si="57"/>
        <v>1</v>
      </c>
      <c r="T93" s="225">
        <f t="shared" si="67"/>
        <v>29.3</v>
      </c>
      <c r="U93" s="226">
        <f t="shared" si="58"/>
        <v>0.66666666666666663</v>
      </c>
      <c r="V93" s="227">
        <f t="shared" si="68"/>
        <v>25.172727272727272</v>
      </c>
      <c r="W93" s="228">
        <f t="shared" si="59"/>
        <v>0.91666666666666663</v>
      </c>
      <c r="X93" s="144">
        <f t="shared" si="60"/>
        <v>14.566666666666666</v>
      </c>
      <c r="Y93" s="144">
        <f t="shared" si="61"/>
        <v>22.24</v>
      </c>
      <c r="Z93" s="144">
        <f t="shared" si="62"/>
        <v>18.277818181818184</v>
      </c>
      <c r="AA93" s="205"/>
      <c r="AB93" s="357" t="str">
        <f>VLOOKUP($B93,'2007-2020 Metadata'!$A$4:$S$214,MATCH("Urban Area /Monitoring Zone",'2007-2020 Metadata'!$A$4:$S$4,0),FALSE)</f>
        <v>Palmerston North</v>
      </c>
      <c r="AC93" s="229" t="str">
        <f>VLOOKUP(B93,'2007-2020 Metadata'!$A$6:$A$214,1,FALSE)</f>
        <v>WAN006</v>
      </c>
      <c r="AD93" s="230" t="str">
        <f>VLOOKUP($AC93,'2007-2020 Metadata'!$A$6:$S$214,9,FALSE)</f>
        <v>Palmerston North</v>
      </c>
      <c r="AE93" s="230">
        <f>IF(ISBLANK(VLOOKUP($AC93,'2007-2020 Metadata'!$A$6:$S$214,19,FALSE)),"",VLOOKUP($AC93,'2007-2020 Metadata'!$A$6:$S$214,19,FALSE))</f>
        <v>2.5</v>
      </c>
      <c r="AF93" s="88" t="str">
        <f>VLOOKUP($B93,'2007-2020 Metadata'!$A$4:$S$214,MATCH("Site type",'2007-2020 Metadata'!$A$4:$S$4,0),FALSE)</f>
        <v>SH</v>
      </c>
      <c r="AG93" s="143">
        <f t="shared" si="63"/>
        <v>13.6</v>
      </c>
      <c r="AH93" s="143">
        <f t="shared" si="64"/>
        <v>34</v>
      </c>
      <c r="AI93" s="144">
        <f t="shared" si="65"/>
        <v>18.277818181818184</v>
      </c>
    </row>
    <row r="94" spans="2:35" ht="12" customHeight="1" x14ac:dyDescent="0.15">
      <c r="B94" s="231" t="s">
        <v>111</v>
      </c>
      <c r="C94" s="222">
        <v>9.3000000000000007</v>
      </c>
      <c r="D94" s="222">
        <v>12.7</v>
      </c>
      <c r="E94" s="222">
        <v>15.2</v>
      </c>
      <c r="F94" s="222">
        <v>18.100000000000001</v>
      </c>
      <c r="G94" s="222">
        <v>23.3</v>
      </c>
      <c r="H94" s="222">
        <v>23.7</v>
      </c>
      <c r="I94" s="222">
        <v>26</v>
      </c>
      <c r="J94" s="222"/>
      <c r="K94" s="222">
        <v>19.3</v>
      </c>
      <c r="L94" s="222">
        <v>12.8</v>
      </c>
      <c r="M94" s="222">
        <v>14</v>
      </c>
      <c r="N94" s="222">
        <v>9.6999999999999993</v>
      </c>
      <c r="O94" s="223">
        <f t="shared" si="54"/>
        <v>16.736363636363638</v>
      </c>
      <c r="P94" s="223">
        <f t="shared" si="55"/>
        <v>32.838638981778004</v>
      </c>
      <c r="Q94" s="224">
        <f t="shared" si="56"/>
        <v>0.91666666666666663</v>
      </c>
      <c r="R94" s="225">
        <f t="shared" si="66"/>
        <v>12.4</v>
      </c>
      <c r="S94" s="226">
        <f t="shared" si="57"/>
        <v>1</v>
      </c>
      <c r="T94" s="225">
        <f t="shared" si="67"/>
        <v>22.65</v>
      </c>
      <c r="U94" s="226">
        <f t="shared" si="58"/>
        <v>0.66666666666666663</v>
      </c>
      <c r="V94" s="227">
        <f t="shared" si="68"/>
        <v>16.736363636363638</v>
      </c>
      <c r="W94" s="228">
        <f t="shared" si="59"/>
        <v>0.91666666666666663</v>
      </c>
      <c r="X94" s="144">
        <f t="shared" si="60"/>
        <v>14.566666666666666</v>
      </c>
      <c r="Y94" s="144">
        <f t="shared" si="61"/>
        <v>22.24</v>
      </c>
      <c r="Z94" s="144">
        <f t="shared" si="62"/>
        <v>18.277818181818184</v>
      </c>
      <c r="AA94" s="205"/>
      <c r="AB94" s="357" t="str">
        <f>VLOOKUP($B94,'2007-2020 Metadata'!$A$4:$S$214,MATCH("Urban Area /Monitoring Zone",'2007-2020 Metadata'!$A$4:$S$4,0),FALSE)</f>
        <v>Palmerston North</v>
      </c>
      <c r="AC94" s="229" t="str">
        <f>VLOOKUP(B94,'2007-2020 Metadata'!$A$6:$A$214,1,FALSE)</f>
        <v>WAN007</v>
      </c>
      <c r="AD94" s="230" t="str">
        <f>VLOOKUP($AC94,'2007-2020 Metadata'!$A$6:$S$214,9,FALSE)</f>
        <v>Palmerston North</v>
      </c>
      <c r="AE94" s="230">
        <f>IF(ISBLANK(VLOOKUP($AC94,'2007-2020 Metadata'!$A$6:$S$214,19,FALSE)),"",VLOOKUP($AC94,'2007-2020 Metadata'!$A$6:$S$214,19,FALSE))</f>
        <v>2.5</v>
      </c>
      <c r="AF94" s="88" t="str">
        <f>VLOOKUP($B94,'2007-2020 Metadata'!$A$4:$S$214,MATCH("Site type",'2007-2020 Metadata'!$A$4:$S$4,0),FALSE)</f>
        <v>Local</v>
      </c>
      <c r="AG94" s="143">
        <f t="shared" si="63"/>
        <v>9.3000000000000007</v>
      </c>
      <c r="AH94" s="143">
        <f t="shared" si="64"/>
        <v>26</v>
      </c>
      <c r="AI94" s="144">
        <f t="shared" si="65"/>
        <v>18.277818181818184</v>
      </c>
    </row>
    <row r="95" spans="2:35" ht="12" customHeight="1" x14ac:dyDescent="0.15">
      <c r="B95" s="231" t="s">
        <v>112</v>
      </c>
      <c r="C95" s="222">
        <v>11.6</v>
      </c>
      <c r="D95" s="222">
        <v>11.7</v>
      </c>
      <c r="E95" s="222">
        <v>11.8</v>
      </c>
      <c r="F95" s="222">
        <v>14.2</v>
      </c>
      <c r="G95" s="222">
        <v>15</v>
      </c>
      <c r="H95" s="222">
        <v>19.5</v>
      </c>
      <c r="I95" s="222">
        <v>19.2</v>
      </c>
      <c r="J95" s="222"/>
      <c r="K95" s="222">
        <v>12.8</v>
      </c>
      <c r="L95" s="222">
        <v>12</v>
      </c>
      <c r="M95" s="222">
        <v>11.1</v>
      </c>
      <c r="N95" s="222">
        <v>7.8</v>
      </c>
      <c r="O95" s="223">
        <f t="shared" si="54"/>
        <v>13.336363636363638</v>
      </c>
      <c r="P95" s="223">
        <f t="shared" si="55"/>
        <v>24.937325281020385</v>
      </c>
      <c r="Q95" s="224">
        <f t="shared" si="56"/>
        <v>0.91666666666666663</v>
      </c>
      <c r="R95" s="225">
        <f t="shared" si="66"/>
        <v>11.699999999999998</v>
      </c>
      <c r="S95" s="226">
        <f t="shared" si="57"/>
        <v>1</v>
      </c>
      <c r="T95" s="225">
        <f t="shared" si="67"/>
        <v>16</v>
      </c>
      <c r="U95" s="226">
        <f t="shared" si="58"/>
        <v>0.66666666666666663</v>
      </c>
      <c r="V95" s="227">
        <f t="shared" si="68"/>
        <v>13.336363636363638</v>
      </c>
      <c r="W95" s="228">
        <f t="shared" si="59"/>
        <v>0.91666666666666663</v>
      </c>
      <c r="X95" s="144">
        <f t="shared" si="60"/>
        <v>14.566666666666666</v>
      </c>
      <c r="Y95" s="144">
        <f t="shared" si="61"/>
        <v>22.24</v>
      </c>
      <c r="Z95" s="144">
        <f t="shared" si="62"/>
        <v>18.277818181818184</v>
      </c>
      <c r="AA95" s="205"/>
      <c r="AB95" s="357" t="str">
        <f>VLOOKUP($B95,'2007-2020 Metadata'!$A$4:$S$214,MATCH("Urban Area /Monitoring Zone",'2007-2020 Metadata'!$A$4:$S$4,0),FALSE)</f>
        <v>Palmerston North</v>
      </c>
      <c r="AC95" s="229" t="str">
        <f>VLOOKUP(B95,'2007-2020 Metadata'!$A$6:$A$214,1,FALSE)</f>
        <v>WAN008</v>
      </c>
      <c r="AD95" s="230" t="str">
        <f>VLOOKUP($AC95,'2007-2020 Metadata'!$A$6:$S$214,9,FALSE)</f>
        <v>Palmerston North</v>
      </c>
      <c r="AE95" s="230">
        <f>IF(ISBLANK(VLOOKUP($AC95,'2007-2020 Metadata'!$A$6:$S$214,19,FALSE)),"",VLOOKUP($AC95,'2007-2020 Metadata'!$A$6:$S$214,19,FALSE))</f>
        <v>2.5</v>
      </c>
      <c r="AF95" s="88" t="str">
        <f>VLOOKUP($B95,'2007-2020 Metadata'!$A$4:$S$214,MATCH("Site type",'2007-2020 Metadata'!$A$4:$S$4,0),FALSE)</f>
        <v>Background</v>
      </c>
      <c r="AG95" s="143">
        <f t="shared" si="63"/>
        <v>7.8</v>
      </c>
      <c r="AH95" s="143">
        <f t="shared" si="64"/>
        <v>19.5</v>
      </c>
      <c r="AI95" s="144">
        <f t="shared" si="65"/>
        <v>18.277818181818184</v>
      </c>
    </row>
    <row r="96" spans="2:35" ht="12" customHeight="1" x14ac:dyDescent="0.15">
      <c r="B96" s="231" t="s">
        <v>113</v>
      </c>
      <c r="C96" s="222">
        <v>4.9000000000000004</v>
      </c>
      <c r="D96" s="222">
        <v>7.7</v>
      </c>
      <c r="E96" s="222">
        <v>9.1999999999999993</v>
      </c>
      <c r="F96" s="222">
        <v>9.4</v>
      </c>
      <c r="G96" s="222">
        <v>10.7</v>
      </c>
      <c r="H96" s="222">
        <v>10.6</v>
      </c>
      <c r="I96" s="222">
        <v>10.5</v>
      </c>
      <c r="J96" s="222">
        <v>10</v>
      </c>
      <c r="K96" s="222">
        <v>8.1</v>
      </c>
      <c r="L96" s="222">
        <v>6.7</v>
      </c>
      <c r="M96" s="222">
        <v>7.2</v>
      </c>
      <c r="N96" s="222">
        <v>6</v>
      </c>
      <c r="O96" s="223">
        <f t="shared" si="54"/>
        <v>8.4166666666666661</v>
      </c>
      <c r="P96" s="223">
        <f t="shared" si="55"/>
        <v>22.136630032087826</v>
      </c>
      <c r="Q96" s="224">
        <f t="shared" si="56"/>
        <v>1</v>
      </c>
      <c r="R96" s="225">
        <f t="shared" si="66"/>
        <v>7.2666666666666666</v>
      </c>
      <c r="S96" s="226">
        <f t="shared" si="57"/>
        <v>1</v>
      </c>
      <c r="T96" s="225">
        <f t="shared" si="67"/>
        <v>9.5333333333333332</v>
      </c>
      <c r="U96" s="226">
        <f t="shared" si="58"/>
        <v>1</v>
      </c>
      <c r="V96" s="227">
        <f t="shared" si="68"/>
        <v>8.4166666666666661</v>
      </c>
      <c r="W96" s="228">
        <f t="shared" si="59"/>
        <v>1</v>
      </c>
      <c r="X96" s="144">
        <f t="shared" si="60"/>
        <v>8.6666666666666679</v>
      </c>
      <c r="Y96" s="144">
        <f t="shared" si="61"/>
        <v>10.399999999999999</v>
      </c>
      <c r="Z96" s="144">
        <f t="shared" si="62"/>
        <v>9.4750000000000014</v>
      </c>
      <c r="AA96" s="205"/>
      <c r="AB96" s="357" t="str">
        <f>VLOOKUP($B96,'2007-2020 Metadata'!$A$4:$S$214,MATCH("Urban Area /Monitoring Zone",'2007-2020 Metadata'!$A$4:$S$4,0),FALSE)</f>
        <v>New Plymouth</v>
      </c>
      <c r="AC96" s="229" t="str">
        <f>VLOOKUP(B96,'2007-2020 Metadata'!$A$6:$A$214,1,FALSE)</f>
        <v>WAN009</v>
      </c>
      <c r="AD96" s="230" t="str">
        <f>VLOOKUP($AC96,'2007-2020 Metadata'!$A$6:$S$214,9,FALSE)</f>
        <v>New Plymouth</v>
      </c>
      <c r="AE96" s="230">
        <f>IF(ISBLANK(VLOOKUP($AC96,'2007-2020 Metadata'!$A$6:$S$214,19,FALSE)),"",VLOOKUP($AC96,'2007-2020 Metadata'!$A$6:$S$214,19,FALSE))</f>
        <v>2.5</v>
      </c>
      <c r="AF96" s="88" t="str">
        <f>VLOOKUP($B96,'2007-2020 Metadata'!$A$4:$S$214,MATCH("Site type",'2007-2020 Metadata'!$A$4:$S$4,0),FALSE)</f>
        <v>Background</v>
      </c>
      <c r="AG96" s="143">
        <f t="shared" si="63"/>
        <v>4.9000000000000004</v>
      </c>
      <c r="AH96" s="143">
        <f t="shared" si="64"/>
        <v>10.7</v>
      </c>
      <c r="AI96" s="144">
        <f t="shared" si="65"/>
        <v>9.4750000000000014</v>
      </c>
    </row>
    <row r="97" spans="2:35" ht="12" customHeight="1" x14ac:dyDescent="0.15">
      <c r="B97" s="231" t="s">
        <v>114</v>
      </c>
      <c r="C97" s="222">
        <v>16.3</v>
      </c>
      <c r="D97" s="222">
        <v>22.8</v>
      </c>
      <c r="E97" s="222">
        <v>23.3</v>
      </c>
      <c r="F97" s="222">
        <v>26</v>
      </c>
      <c r="G97" s="222">
        <v>28.2</v>
      </c>
      <c r="H97" s="222">
        <v>27.4</v>
      </c>
      <c r="I97" s="222">
        <v>32.6</v>
      </c>
      <c r="J97" s="222"/>
      <c r="K97" s="222">
        <v>21.1</v>
      </c>
      <c r="L97" s="222">
        <v>21.5</v>
      </c>
      <c r="M97" s="222">
        <v>24.6</v>
      </c>
      <c r="N97" s="222">
        <v>19.2</v>
      </c>
      <c r="O97" s="223">
        <f t="shared" si="54"/>
        <v>23.90909090909091</v>
      </c>
      <c r="P97" s="223">
        <f t="shared" si="55"/>
        <v>18.115147477861964</v>
      </c>
      <c r="Q97" s="224">
        <f t="shared" si="56"/>
        <v>0.91666666666666663</v>
      </c>
      <c r="R97" s="225">
        <f t="shared" si="66"/>
        <v>20.8</v>
      </c>
      <c r="S97" s="226">
        <f t="shared" si="57"/>
        <v>1</v>
      </c>
      <c r="T97" s="225">
        <f t="shared" si="67"/>
        <v>26.85</v>
      </c>
      <c r="U97" s="226">
        <f t="shared" si="58"/>
        <v>0.66666666666666663</v>
      </c>
      <c r="V97" s="227">
        <f t="shared" si="68"/>
        <v>23.90909090909091</v>
      </c>
      <c r="W97" s="228">
        <f t="shared" si="59"/>
        <v>0.91666666666666663</v>
      </c>
      <c r="X97" s="144">
        <f t="shared" si="60"/>
        <v>20.8</v>
      </c>
      <c r="Y97" s="144">
        <f t="shared" si="61"/>
        <v>26.85</v>
      </c>
      <c r="Z97" s="144">
        <f t="shared" si="62"/>
        <v>23.90909090909091</v>
      </c>
      <c r="AA97" s="205"/>
      <c r="AB97" s="357" t="str">
        <f>VLOOKUP($B97,'2007-2020 Metadata'!$A$4:$S$214,MATCH("Urban Area /Monitoring Zone",'2007-2020 Metadata'!$A$4:$S$4,0),FALSE)</f>
        <v>Whanganui</v>
      </c>
      <c r="AC97" s="229" t="str">
        <f>VLOOKUP(B97,'2007-2020 Metadata'!$A$6:$A$214,1,FALSE)</f>
        <v>WAN010</v>
      </c>
      <c r="AD97" s="230" t="str">
        <f>VLOOKUP($AC97,'2007-2020 Metadata'!$A$6:$S$214,9,FALSE)</f>
        <v>Whanganui</v>
      </c>
      <c r="AE97" s="230">
        <f>IF(ISBLANK(VLOOKUP($AC97,'2007-2020 Metadata'!$A$6:$S$214,19,FALSE)),"",VLOOKUP($AC97,'2007-2020 Metadata'!$A$6:$S$214,19,FALSE))</f>
        <v>3</v>
      </c>
      <c r="AF97" s="88" t="str">
        <f>VLOOKUP($B97,'2007-2020 Metadata'!$A$4:$S$214,MATCH("Site type",'2007-2020 Metadata'!$A$4:$S$4,0),FALSE)</f>
        <v>SH</v>
      </c>
      <c r="AG97" s="143">
        <f t="shared" si="63"/>
        <v>16.3</v>
      </c>
      <c r="AH97" s="143">
        <f t="shared" si="64"/>
        <v>32.6</v>
      </c>
      <c r="AI97" s="144">
        <f t="shared" si="65"/>
        <v>23.90909090909091</v>
      </c>
    </row>
    <row r="98" spans="2:35" ht="12" customHeight="1" x14ac:dyDescent="0.15">
      <c r="B98" s="231" t="s">
        <v>486</v>
      </c>
      <c r="C98" s="222">
        <v>8.5</v>
      </c>
      <c r="D98" s="222">
        <v>10.6</v>
      </c>
      <c r="E98" s="222">
        <v>11.1</v>
      </c>
      <c r="F98" s="222">
        <v>10.4</v>
      </c>
      <c r="G98" s="222">
        <v>11.7</v>
      </c>
      <c r="H98" s="222">
        <v>12.2</v>
      </c>
      <c r="I98" s="222">
        <v>10.9</v>
      </c>
      <c r="J98" s="222">
        <v>11.2</v>
      </c>
      <c r="K98" s="222">
        <v>11.7</v>
      </c>
      <c r="L98" s="222">
        <v>9.6999999999999993</v>
      </c>
      <c r="M98" s="222">
        <v>10.4</v>
      </c>
      <c r="N98" s="222">
        <v>8</v>
      </c>
      <c r="O98" s="223">
        <f t="shared" si="54"/>
        <v>10.533333333333335</v>
      </c>
      <c r="P98" s="223">
        <f t="shared" si="55"/>
        <v>11.525679652831688</v>
      </c>
      <c r="Q98" s="224">
        <f t="shared" si="56"/>
        <v>1</v>
      </c>
      <c r="R98" s="225">
        <f t="shared" si="66"/>
        <v>10.066666666666668</v>
      </c>
      <c r="S98" s="226">
        <f t="shared" si="57"/>
        <v>1</v>
      </c>
      <c r="T98" s="225">
        <f t="shared" si="67"/>
        <v>11.266666666666666</v>
      </c>
      <c r="U98" s="226">
        <f t="shared" si="58"/>
        <v>1</v>
      </c>
      <c r="V98" s="227">
        <f t="shared" si="68"/>
        <v>10.533333333333335</v>
      </c>
      <c r="W98" s="228">
        <f t="shared" si="59"/>
        <v>1</v>
      </c>
      <c r="X98" s="144">
        <f t="shared" si="60"/>
        <v>8.6666666666666679</v>
      </c>
      <c r="Y98" s="144">
        <f t="shared" si="61"/>
        <v>10.399999999999999</v>
      </c>
      <c r="Z98" s="144">
        <f t="shared" si="62"/>
        <v>9.4750000000000014</v>
      </c>
      <c r="AA98" s="205"/>
      <c r="AB98" s="357" t="str">
        <f>VLOOKUP($B98,'2007-2020 Metadata'!$A$4:$S$214,MATCH("Urban Area /Monitoring Zone",'2007-2020 Metadata'!$A$4:$S$4,0),FALSE)</f>
        <v>New Plymouth</v>
      </c>
      <c r="AC98" s="229" t="str">
        <f>VLOOKUP(B98,'2007-2020 Metadata'!$A$6:$A$214,1,FALSE)</f>
        <v>WAN011</v>
      </c>
      <c r="AD98" s="230" t="str">
        <f>VLOOKUP($AC98,'2007-2020 Metadata'!$A$6:$S$214,9,FALSE)</f>
        <v>New Plymouth</v>
      </c>
      <c r="AE98" s="230">
        <f>IF(ISBLANK(VLOOKUP($AC98,'2007-2020 Metadata'!$A$6:$S$214,19,FALSE)),"",VLOOKUP($AC98,'2007-2020 Metadata'!$A$6:$S$214,19,FALSE))</f>
        <v>2</v>
      </c>
      <c r="AF98" s="88" t="str">
        <f>VLOOKUP($B98,'2007-2020 Metadata'!$A$4:$S$214,MATCH("Site type",'2007-2020 Metadata'!$A$4:$S$4,0),FALSE)</f>
        <v>SH</v>
      </c>
      <c r="AG98" s="143">
        <f t="shared" si="63"/>
        <v>8</v>
      </c>
      <c r="AH98" s="143">
        <f t="shared" si="64"/>
        <v>12.2</v>
      </c>
      <c r="AI98" s="144">
        <f t="shared" si="65"/>
        <v>9.4750000000000014</v>
      </c>
    </row>
    <row r="99" spans="2:35" ht="12" customHeight="1" x14ac:dyDescent="0.15">
      <c r="B99" s="231" t="s">
        <v>50</v>
      </c>
      <c r="C99" s="222">
        <v>9.5</v>
      </c>
      <c r="D99" s="222">
        <v>14</v>
      </c>
      <c r="E99" s="222">
        <v>16.399999999999999</v>
      </c>
      <c r="F99" s="222">
        <v>18</v>
      </c>
      <c r="G99" s="222">
        <v>22.6</v>
      </c>
      <c r="H99" s="222">
        <v>27.7</v>
      </c>
      <c r="I99" s="222">
        <v>18</v>
      </c>
      <c r="J99" s="222">
        <v>16.7</v>
      </c>
      <c r="K99" s="222">
        <v>16</v>
      </c>
      <c r="L99" s="222">
        <v>13.1</v>
      </c>
      <c r="M99" s="222">
        <v>12.8</v>
      </c>
      <c r="N99" s="222"/>
      <c r="O99" s="223">
        <f t="shared" si="54"/>
        <v>16.8</v>
      </c>
      <c r="P99" s="223">
        <f t="shared" si="55"/>
        <v>28.203803740888333</v>
      </c>
      <c r="Q99" s="224">
        <f t="shared" si="56"/>
        <v>0.91666666666666663</v>
      </c>
      <c r="R99" s="225">
        <f t="shared" si="66"/>
        <v>13.299999999999999</v>
      </c>
      <c r="S99" s="226">
        <f t="shared" si="57"/>
        <v>1</v>
      </c>
      <c r="T99" s="225">
        <f t="shared" si="67"/>
        <v>16.900000000000002</v>
      </c>
      <c r="U99" s="226">
        <f t="shared" si="58"/>
        <v>1</v>
      </c>
      <c r="V99" s="227">
        <f t="shared" si="68"/>
        <v>16.8</v>
      </c>
      <c r="W99" s="228">
        <f t="shared" si="59"/>
        <v>0.91666666666666663</v>
      </c>
      <c r="X99" s="144">
        <f t="shared" si="60"/>
        <v>14.653333333333332</v>
      </c>
      <c r="Y99" s="144">
        <f t="shared" si="61"/>
        <v>17.861111111111114</v>
      </c>
      <c r="Z99" s="144">
        <f t="shared" si="62"/>
        <v>17.796666666666667</v>
      </c>
      <c r="AA99" s="205"/>
      <c r="AB99" s="357" t="str">
        <f>VLOOKUP($B99,'2007-2020 Metadata'!$A$4:$S$214,MATCH("Urban Area /Monitoring Zone",'2007-2020 Metadata'!$A$4:$S$4,0),FALSE)</f>
        <v>Lower Hutt</v>
      </c>
      <c r="AC99" s="229" t="str">
        <f>VLOOKUP(B99,'2007-2020 Metadata'!$A$6:$A$214,1,FALSE)</f>
        <v>WEL003</v>
      </c>
      <c r="AD99" s="230" t="str">
        <f>VLOOKUP($AC99,'2007-2020 Metadata'!$A$6:$S$214,9,FALSE)</f>
        <v>Lower Hutt</v>
      </c>
      <c r="AE99" s="230">
        <f>IF(ISBLANK(VLOOKUP($AC99,'2007-2020 Metadata'!$A$6:$S$214,19,FALSE)),"",VLOOKUP($AC99,'2007-2020 Metadata'!$A$6:$S$214,19,FALSE))</f>
        <v>3.3</v>
      </c>
      <c r="AF99" s="88" t="str">
        <f>VLOOKUP($B99,'2007-2020 Metadata'!$A$4:$S$214,MATCH("Site type",'2007-2020 Metadata'!$A$4:$S$4,0),FALSE)</f>
        <v>SH</v>
      </c>
      <c r="AG99" s="143">
        <f t="shared" si="63"/>
        <v>9.5</v>
      </c>
      <c r="AH99" s="143">
        <f t="shared" si="64"/>
        <v>27.7</v>
      </c>
      <c r="AI99" s="144">
        <f t="shared" si="65"/>
        <v>17.796666666666667</v>
      </c>
    </row>
    <row r="100" spans="2:35" ht="12" customHeight="1" x14ac:dyDescent="0.15">
      <c r="B100" s="231" t="s">
        <v>52</v>
      </c>
      <c r="C100" s="222">
        <v>13.1</v>
      </c>
      <c r="D100" s="222">
        <v>16</v>
      </c>
      <c r="E100" s="222">
        <v>14.8</v>
      </c>
      <c r="F100" s="222">
        <v>24.1</v>
      </c>
      <c r="G100" s="222">
        <v>26.3</v>
      </c>
      <c r="H100" s="222">
        <v>27.1</v>
      </c>
      <c r="I100" s="222">
        <v>21.7</v>
      </c>
      <c r="J100" s="222">
        <v>23.6</v>
      </c>
      <c r="K100" s="222">
        <v>23.2</v>
      </c>
      <c r="L100" s="222"/>
      <c r="M100" s="222">
        <v>16.7</v>
      </c>
      <c r="N100" s="222"/>
      <c r="O100" s="223">
        <f t="shared" si="54"/>
        <v>20.659999999999997</v>
      </c>
      <c r="P100" s="223">
        <f t="shared" si="55"/>
        <v>23.222407901301743</v>
      </c>
      <c r="Q100" s="224">
        <f t="shared" si="56"/>
        <v>0.83333333333333337</v>
      </c>
      <c r="R100" s="225">
        <f t="shared" si="66"/>
        <v>14.633333333333335</v>
      </c>
      <c r="S100" s="226">
        <f t="shared" si="57"/>
        <v>1</v>
      </c>
      <c r="T100" s="225">
        <f t="shared" si="67"/>
        <v>22.833333333333332</v>
      </c>
      <c r="U100" s="226">
        <f t="shared" si="58"/>
        <v>1</v>
      </c>
      <c r="V100" s="227">
        <f t="shared" si="68"/>
        <v>20.659999999999997</v>
      </c>
      <c r="W100" s="228">
        <f t="shared" si="59"/>
        <v>0.83333333333333337</v>
      </c>
      <c r="X100" s="144">
        <f t="shared" si="60"/>
        <v>16.858333333333334</v>
      </c>
      <c r="Y100" s="144">
        <f t="shared" si="61"/>
        <v>22.658333333333331</v>
      </c>
      <c r="Z100" s="144">
        <f t="shared" si="62"/>
        <v>20.817840909090908</v>
      </c>
      <c r="AA100" s="205"/>
      <c r="AB100" s="357" t="str">
        <f>VLOOKUP($B100,'2007-2020 Metadata'!$A$4:$S$214,MATCH("Urban Area /Monitoring Zone",'2007-2020 Metadata'!$A$4:$S$4,0),FALSE)</f>
        <v>Porirua</v>
      </c>
      <c r="AC100" s="229" t="str">
        <f>VLOOKUP(B100,'2007-2020 Metadata'!$A$6:$A$214,1,FALSE)</f>
        <v>WEL005</v>
      </c>
      <c r="AD100" s="230" t="str">
        <f>VLOOKUP($AC100,'2007-2020 Metadata'!$A$6:$S$214,9,FALSE)</f>
        <v>Porirua</v>
      </c>
      <c r="AE100" s="230">
        <f>IF(ISBLANK(VLOOKUP($AC100,'2007-2020 Metadata'!$A$6:$S$214,19,FALSE)),"",VLOOKUP($AC100,'2007-2020 Metadata'!$A$6:$S$214,19,FALSE))</f>
        <v>3.2</v>
      </c>
      <c r="AF100" s="88" t="str">
        <f>VLOOKUP($B100,'2007-2020 Metadata'!$A$4:$S$214,MATCH("Site type",'2007-2020 Metadata'!$A$4:$S$4,0),FALSE)</f>
        <v>SH</v>
      </c>
      <c r="AG100" s="143">
        <f t="shared" si="63"/>
        <v>13.1</v>
      </c>
      <c r="AH100" s="143">
        <f t="shared" si="64"/>
        <v>27.1</v>
      </c>
      <c r="AI100" s="144">
        <f t="shared" si="65"/>
        <v>20.817840909090908</v>
      </c>
    </row>
    <row r="101" spans="2:35" ht="12" customHeight="1" x14ac:dyDescent="0.15">
      <c r="B101" s="231" t="s">
        <v>53</v>
      </c>
      <c r="C101" s="222"/>
      <c r="D101" s="222">
        <v>19.2</v>
      </c>
      <c r="E101" s="222">
        <v>19</v>
      </c>
      <c r="F101" s="222">
        <v>17.399999999999999</v>
      </c>
      <c r="G101" s="222">
        <v>22.8</v>
      </c>
      <c r="H101" s="222">
        <v>26.8</v>
      </c>
      <c r="I101" s="222">
        <v>19.100000000000001</v>
      </c>
      <c r="J101" s="222">
        <v>16.600000000000001</v>
      </c>
      <c r="K101" s="222">
        <v>17.8</v>
      </c>
      <c r="L101" s="222">
        <v>14.5</v>
      </c>
      <c r="M101" s="222">
        <v>18.2</v>
      </c>
      <c r="N101" s="222">
        <v>9.9</v>
      </c>
      <c r="O101" s="223">
        <f t="shared" si="54"/>
        <v>18.3</v>
      </c>
      <c r="P101" s="223">
        <f t="shared" si="55"/>
        <v>22.312705501589395</v>
      </c>
      <c r="Q101" s="224">
        <f t="shared" si="56"/>
        <v>0.91666666666666663</v>
      </c>
      <c r="R101" s="225">
        <f t="shared" si="66"/>
        <v>19.100000000000001</v>
      </c>
      <c r="S101" s="226">
        <f t="shared" si="57"/>
        <v>0.66666666666666663</v>
      </c>
      <c r="T101" s="225">
        <f t="shared" si="67"/>
        <v>17.833333333333332</v>
      </c>
      <c r="U101" s="226">
        <f t="shared" si="58"/>
        <v>1</v>
      </c>
      <c r="V101" s="227">
        <f t="shared" si="68"/>
        <v>18.3</v>
      </c>
      <c r="W101" s="228">
        <f t="shared" si="59"/>
        <v>0.91666666666666663</v>
      </c>
      <c r="X101" s="144">
        <f t="shared" si="60"/>
        <v>19.633333333333336</v>
      </c>
      <c r="Y101" s="144">
        <f t="shared" si="61"/>
        <v>20.595833333333331</v>
      </c>
      <c r="Z101" s="144">
        <f t="shared" si="62"/>
        <v>21.400413223140497</v>
      </c>
      <c r="AA101" s="205"/>
      <c r="AB101" s="357" t="str">
        <f>VLOOKUP($B101,'2007-2020 Metadata'!$A$4:$S$214,MATCH("Urban Area /Monitoring Zone",'2007-2020 Metadata'!$A$4:$S$4,0),FALSE)</f>
        <v>Wellington</v>
      </c>
      <c r="AC101" s="229" t="str">
        <f>VLOOKUP(B101,'2007-2020 Metadata'!$A$6:$A$214,1,FALSE)</f>
        <v>WEL007</v>
      </c>
      <c r="AD101" s="230" t="str">
        <f>VLOOKUP($AC101,'2007-2020 Metadata'!$A$6:$S$214,9,FALSE)</f>
        <v>Wellington</v>
      </c>
      <c r="AE101" s="230">
        <f>IF(ISBLANK(VLOOKUP($AC101,'2007-2020 Metadata'!$A$6:$S$214,19,FALSE)),"",VLOOKUP($AC101,'2007-2020 Metadata'!$A$6:$S$214,19,FALSE))</f>
        <v>1</v>
      </c>
      <c r="AF101" s="88" t="str">
        <f>VLOOKUP($B101,'2007-2020 Metadata'!$A$4:$S$214,MATCH("Site type",'2007-2020 Metadata'!$A$4:$S$4,0),FALSE)</f>
        <v>SH</v>
      </c>
      <c r="AG101" s="143">
        <f t="shared" si="63"/>
        <v>9.9</v>
      </c>
      <c r="AH101" s="143">
        <f t="shared" si="64"/>
        <v>26.8</v>
      </c>
      <c r="AI101" s="144">
        <f t="shared" si="65"/>
        <v>21.400413223140497</v>
      </c>
    </row>
    <row r="102" spans="2:35" ht="12" customHeight="1" x14ac:dyDescent="0.15">
      <c r="B102" s="231" t="s">
        <v>54</v>
      </c>
      <c r="C102" s="222">
        <v>31.8</v>
      </c>
      <c r="D102" s="222">
        <v>42.5</v>
      </c>
      <c r="E102" s="222">
        <v>40</v>
      </c>
      <c r="F102" s="222">
        <v>41.6</v>
      </c>
      <c r="G102" s="222">
        <v>47.4</v>
      </c>
      <c r="H102" s="222">
        <v>49.8</v>
      </c>
      <c r="I102" s="222"/>
      <c r="J102" s="222">
        <v>40.6</v>
      </c>
      <c r="K102" s="222">
        <v>39.200000000000003</v>
      </c>
      <c r="L102" s="222">
        <v>41</v>
      </c>
      <c r="M102" s="222">
        <v>29.1</v>
      </c>
      <c r="N102" s="222"/>
      <c r="O102" s="223">
        <f t="shared" si="54"/>
        <v>40.300000000000004</v>
      </c>
      <c r="P102" s="223">
        <f t="shared" si="55"/>
        <v>14.611992848970884</v>
      </c>
      <c r="Q102" s="224">
        <f t="shared" si="56"/>
        <v>0.83333333333333337</v>
      </c>
      <c r="R102" s="225">
        <f t="shared" si="66"/>
        <v>38.1</v>
      </c>
      <c r="S102" s="226">
        <f t="shared" si="57"/>
        <v>1</v>
      </c>
      <c r="T102" s="225">
        <f t="shared" si="67"/>
        <v>39.900000000000006</v>
      </c>
      <c r="U102" s="226">
        <f t="shared" si="58"/>
        <v>0.66666666666666663</v>
      </c>
      <c r="V102" s="227">
        <f t="shared" si="68"/>
        <v>40.300000000000004</v>
      </c>
      <c r="W102" s="228">
        <f t="shared" si="59"/>
        <v>0.83333333333333337</v>
      </c>
      <c r="X102" s="144">
        <f t="shared" si="60"/>
        <v>19.633333333333336</v>
      </c>
      <c r="Y102" s="144">
        <f t="shared" si="61"/>
        <v>20.595833333333331</v>
      </c>
      <c r="Z102" s="144">
        <f t="shared" si="62"/>
        <v>21.400413223140497</v>
      </c>
      <c r="AA102" s="205"/>
      <c r="AB102" s="357" t="str">
        <f>VLOOKUP($B102,'2007-2020 Metadata'!$A$4:$S$214,MATCH("Urban Area /Monitoring Zone",'2007-2020 Metadata'!$A$4:$S$4,0),FALSE)</f>
        <v>Wellington</v>
      </c>
      <c r="AC102" s="229" t="str">
        <f>VLOOKUP(B102,'2007-2020 Metadata'!$A$6:$A$214,1,FALSE)</f>
        <v>WEL008</v>
      </c>
      <c r="AD102" s="230" t="str">
        <f>VLOOKUP($AC102,'2007-2020 Metadata'!$A$6:$S$214,9,FALSE)</f>
        <v>Wellington</v>
      </c>
      <c r="AE102" s="230">
        <f>IF(ISBLANK(VLOOKUP($AC102,'2007-2020 Metadata'!$A$6:$S$214,19,FALSE)),"",VLOOKUP($AC102,'2007-2020 Metadata'!$A$6:$S$214,19,FALSE))</f>
        <v>3.1</v>
      </c>
      <c r="AF102" s="88" t="str">
        <f>VLOOKUP($B102,'2007-2020 Metadata'!$A$4:$S$214,MATCH("Site type",'2007-2020 Metadata'!$A$4:$S$4,0),FALSE)</f>
        <v>SH</v>
      </c>
      <c r="AG102" s="143">
        <f t="shared" si="63"/>
        <v>29.1</v>
      </c>
      <c r="AH102" s="143">
        <f t="shared" si="64"/>
        <v>49.8</v>
      </c>
      <c r="AI102" s="144">
        <f t="shared" si="65"/>
        <v>21.400413223140497</v>
      </c>
    </row>
    <row r="103" spans="2:35" ht="12" customHeight="1" x14ac:dyDescent="0.15">
      <c r="B103" s="231" t="s">
        <v>55</v>
      </c>
      <c r="C103" s="222">
        <v>17.600000000000001</v>
      </c>
      <c r="D103" s="222">
        <v>21.1</v>
      </c>
      <c r="E103" s="222">
        <v>22.7</v>
      </c>
      <c r="F103" s="222"/>
      <c r="G103" s="222">
        <v>28.4</v>
      </c>
      <c r="H103" s="222">
        <v>27.4</v>
      </c>
      <c r="I103" s="222">
        <v>31.4</v>
      </c>
      <c r="J103" s="222">
        <v>30.6</v>
      </c>
      <c r="K103" s="222">
        <v>29.7</v>
      </c>
      <c r="L103" s="222">
        <v>24.9</v>
      </c>
      <c r="M103" s="222">
        <v>23.2</v>
      </c>
      <c r="N103" s="222">
        <v>21.2</v>
      </c>
      <c r="O103" s="223">
        <f t="shared" si="54"/>
        <v>25.290909090909089</v>
      </c>
      <c r="P103" s="223">
        <f t="shared" si="55"/>
        <v>17.017159001910699</v>
      </c>
      <c r="Q103" s="224">
        <f t="shared" si="56"/>
        <v>0.91666666666666663</v>
      </c>
      <c r="R103" s="225">
        <f t="shared" si="66"/>
        <v>20.466666666666669</v>
      </c>
      <c r="S103" s="226">
        <f t="shared" si="57"/>
        <v>1</v>
      </c>
      <c r="T103" s="225">
        <f t="shared" si="67"/>
        <v>30.566666666666666</v>
      </c>
      <c r="U103" s="226">
        <f t="shared" si="58"/>
        <v>1</v>
      </c>
      <c r="V103" s="227">
        <f t="shared" si="68"/>
        <v>25.290909090909089</v>
      </c>
      <c r="W103" s="228">
        <f t="shared" si="59"/>
        <v>0.91666666666666663</v>
      </c>
      <c r="X103" s="144">
        <f t="shared" si="60"/>
        <v>16.8</v>
      </c>
      <c r="Y103" s="144">
        <f t="shared" si="61"/>
        <v>23.627777777777776</v>
      </c>
      <c r="Z103" s="144">
        <f t="shared" si="62"/>
        <v>19.627272727272725</v>
      </c>
      <c r="AA103" s="205"/>
      <c r="AB103" s="357" t="str">
        <f>VLOOKUP($B103,'2007-2020 Metadata'!$A$4:$S$214,MATCH("Urban Area /Monitoring Zone",'2007-2020 Metadata'!$A$4:$S$4,0),FALSE)</f>
        <v>Nelson</v>
      </c>
      <c r="AC103" s="229" t="str">
        <f>VLOOKUP(B103,'2007-2020 Metadata'!$A$6:$A$214,1,FALSE)</f>
        <v>WEL009</v>
      </c>
      <c r="AD103" s="230" t="str">
        <f>VLOOKUP($AC103,'2007-2020 Metadata'!$A$6:$S$214,9,FALSE)</f>
        <v>Nelson</v>
      </c>
      <c r="AE103" s="230">
        <f>IF(ISBLANK(VLOOKUP($AC103,'2007-2020 Metadata'!$A$6:$S$214,19,FALSE)),"",VLOOKUP($AC103,'2007-2020 Metadata'!$A$6:$S$214,19,FALSE))</f>
        <v>3</v>
      </c>
      <c r="AF103" s="88" t="str">
        <f>VLOOKUP($B103,'2007-2020 Metadata'!$A$4:$S$214,MATCH("Site type",'2007-2020 Metadata'!$A$4:$S$4,0),FALSE)</f>
        <v>SH</v>
      </c>
      <c r="AG103" s="143">
        <f t="shared" si="63"/>
        <v>17.600000000000001</v>
      </c>
      <c r="AH103" s="143">
        <f t="shared" si="64"/>
        <v>31.4</v>
      </c>
      <c r="AI103" s="144">
        <f t="shared" si="65"/>
        <v>19.627272727272725</v>
      </c>
    </row>
    <row r="104" spans="2:35" ht="12" customHeight="1" x14ac:dyDescent="0.15">
      <c r="B104" s="231" t="s">
        <v>56</v>
      </c>
      <c r="C104" s="222"/>
      <c r="D104" s="222">
        <v>18.7</v>
      </c>
      <c r="E104" s="222">
        <v>20.7</v>
      </c>
      <c r="F104" s="222">
        <v>19.100000000000001</v>
      </c>
      <c r="G104" s="222">
        <v>24.8</v>
      </c>
      <c r="H104" s="222">
        <v>26.3</v>
      </c>
      <c r="I104" s="222">
        <v>28.4</v>
      </c>
      <c r="J104" s="222">
        <v>26.2</v>
      </c>
      <c r="K104" s="222">
        <v>21.2</v>
      </c>
      <c r="L104" s="222">
        <v>20.100000000000001</v>
      </c>
      <c r="M104" s="222">
        <v>18.7</v>
      </c>
      <c r="N104" s="222">
        <v>15.2</v>
      </c>
      <c r="O104" s="223">
        <f t="shared" si="54"/>
        <v>21.763636363636358</v>
      </c>
      <c r="P104" s="223">
        <f t="shared" si="55"/>
        <v>17.886322141855551</v>
      </c>
      <c r="Q104" s="224">
        <f t="shared" si="56"/>
        <v>0.91666666666666663</v>
      </c>
      <c r="R104" s="225">
        <f t="shared" si="66"/>
        <v>19.7</v>
      </c>
      <c r="S104" s="226">
        <f t="shared" si="57"/>
        <v>0.66666666666666663</v>
      </c>
      <c r="T104" s="225">
        <f t="shared" si="67"/>
        <v>25.266666666666666</v>
      </c>
      <c r="U104" s="226">
        <f t="shared" si="58"/>
        <v>1</v>
      </c>
      <c r="V104" s="227">
        <f t="shared" si="68"/>
        <v>21.763636363636358</v>
      </c>
      <c r="W104" s="228">
        <f t="shared" si="59"/>
        <v>0.91666666666666663</v>
      </c>
      <c r="X104" s="144">
        <f t="shared" si="60"/>
        <v>16.8</v>
      </c>
      <c r="Y104" s="144">
        <f t="shared" si="61"/>
        <v>23.627777777777776</v>
      </c>
      <c r="Z104" s="144">
        <f t="shared" si="62"/>
        <v>19.627272727272725</v>
      </c>
      <c r="AA104" s="205"/>
      <c r="AB104" s="357" t="str">
        <f>VLOOKUP($B104,'2007-2020 Metadata'!$A$4:$S$214,MATCH("Urban Area /Monitoring Zone",'2007-2020 Metadata'!$A$4:$S$4,0),FALSE)</f>
        <v>Nelson</v>
      </c>
      <c r="AC104" s="229" t="str">
        <f>VLOOKUP(B104,'2007-2020 Metadata'!$A$6:$A$214,1,FALSE)</f>
        <v>WEL010</v>
      </c>
      <c r="AD104" s="230" t="str">
        <f>VLOOKUP($AC104,'2007-2020 Metadata'!$A$6:$S$214,9,FALSE)</f>
        <v>Nelson</v>
      </c>
      <c r="AE104" s="230">
        <f>IF(ISBLANK(VLOOKUP($AC104,'2007-2020 Metadata'!$A$6:$S$214,19,FALSE)),"",VLOOKUP($AC104,'2007-2020 Metadata'!$A$6:$S$214,19,FALSE))</f>
        <v>2.4</v>
      </c>
      <c r="AF104" s="88" t="str">
        <f>VLOOKUP($B104,'2007-2020 Metadata'!$A$4:$S$214,MATCH("Site type",'2007-2020 Metadata'!$A$4:$S$4,0),FALSE)</f>
        <v>SH</v>
      </c>
      <c r="AG104" s="143">
        <f t="shared" si="63"/>
        <v>15.2</v>
      </c>
      <c r="AH104" s="143">
        <f t="shared" si="64"/>
        <v>28.4</v>
      </c>
      <c r="AI104" s="144">
        <f t="shared" si="65"/>
        <v>19.627272727272725</v>
      </c>
    </row>
    <row r="105" spans="2:35" ht="12" customHeight="1" x14ac:dyDescent="0.15">
      <c r="B105" s="231" t="s">
        <v>57</v>
      </c>
      <c r="C105" s="222">
        <v>11.3</v>
      </c>
      <c r="D105" s="222">
        <v>14.1</v>
      </c>
      <c r="E105" s="222">
        <v>15.6</v>
      </c>
      <c r="F105" s="222">
        <v>17.5</v>
      </c>
      <c r="G105" s="222">
        <v>20.3</v>
      </c>
      <c r="H105" s="222">
        <v>19.5</v>
      </c>
      <c r="I105" s="222">
        <v>23.4</v>
      </c>
      <c r="J105" s="222"/>
      <c r="K105" s="222">
        <v>15.5</v>
      </c>
      <c r="L105" s="222">
        <v>13.3</v>
      </c>
      <c r="M105" s="222">
        <v>13.6</v>
      </c>
      <c r="N105" s="222">
        <v>11.4</v>
      </c>
      <c r="O105" s="223">
        <f t="shared" si="54"/>
        <v>15.954545454545455</v>
      </c>
      <c r="P105" s="223">
        <f t="shared" si="55"/>
        <v>22.994259458660711</v>
      </c>
      <c r="Q105" s="224">
        <f t="shared" si="56"/>
        <v>0.91666666666666663</v>
      </c>
      <c r="R105" s="225">
        <f t="shared" si="66"/>
        <v>13.666666666666666</v>
      </c>
      <c r="S105" s="226">
        <f t="shared" si="57"/>
        <v>1</v>
      </c>
      <c r="T105" s="225">
        <f t="shared" si="67"/>
        <v>19.45</v>
      </c>
      <c r="U105" s="226">
        <f t="shared" si="58"/>
        <v>0.66666666666666663</v>
      </c>
      <c r="V105" s="227">
        <f t="shared" si="68"/>
        <v>15.954545454545455</v>
      </c>
      <c r="W105" s="228">
        <f t="shared" si="59"/>
        <v>0.91666666666666663</v>
      </c>
      <c r="X105" s="144">
        <f t="shared" si="60"/>
        <v>13.666666666666666</v>
      </c>
      <c r="Y105" s="144">
        <f t="shared" si="61"/>
        <v>19.45</v>
      </c>
      <c r="Z105" s="144">
        <f t="shared" si="62"/>
        <v>15.954545454545455</v>
      </c>
      <c r="AA105" s="205"/>
      <c r="AB105" s="357" t="str">
        <f>VLOOKUP($B105,'2007-2020 Metadata'!$A$4:$S$214,MATCH("Urban Area /Monitoring Zone",'2007-2020 Metadata'!$A$4:$S$4,0),FALSE)</f>
        <v>Nelson</v>
      </c>
      <c r="AC105" s="229" t="str">
        <f>VLOOKUP(B105,'2007-2020 Metadata'!$A$6:$A$214,1,FALSE)</f>
        <v>WEL011</v>
      </c>
      <c r="AD105" s="230" t="str">
        <f>VLOOKUP($AC105,'2007-2020 Metadata'!$A$6:$S$214,9,FALSE)</f>
        <v>Tasman</v>
      </c>
      <c r="AE105" s="230">
        <f>IF(ISBLANK(VLOOKUP($AC105,'2007-2020 Metadata'!$A$6:$S$214,19,FALSE)),"",VLOOKUP($AC105,'2007-2020 Metadata'!$A$6:$S$214,19,FALSE))</f>
        <v>2.4</v>
      </c>
      <c r="AF105" s="88" t="str">
        <f>VLOOKUP($B105,'2007-2020 Metadata'!$A$4:$S$214,MATCH("Site type",'2007-2020 Metadata'!$A$4:$S$4,0),FALSE)</f>
        <v>SH</v>
      </c>
      <c r="AG105" s="143">
        <f t="shared" si="63"/>
        <v>11.3</v>
      </c>
      <c r="AH105" s="143">
        <f t="shared" si="64"/>
        <v>23.4</v>
      </c>
      <c r="AI105" s="144">
        <f t="shared" si="65"/>
        <v>15.954545454545455</v>
      </c>
    </row>
    <row r="106" spans="2:35" ht="12" customHeight="1" x14ac:dyDescent="0.15">
      <c r="B106" s="231" t="s">
        <v>58</v>
      </c>
      <c r="C106" s="222">
        <v>8.6</v>
      </c>
      <c r="D106" s="222">
        <v>14</v>
      </c>
      <c r="E106" s="222">
        <v>16.8</v>
      </c>
      <c r="F106" s="222">
        <v>19.8</v>
      </c>
      <c r="G106" s="222">
        <v>21.5</v>
      </c>
      <c r="H106" s="222">
        <v>21.5</v>
      </c>
      <c r="I106" s="222">
        <v>18.2</v>
      </c>
      <c r="J106" s="222">
        <v>17.399999999999999</v>
      </c>
      <c r="K106" s="222"/>
      <c r="L106" s="222"/>
      <c r="M106" s="222"/>
      <c r="N106" s="222"/>
      <c r="O106" s="223">
        <f t="shared" si="54"/>
        <v>17.225000000000001</v>
      </c>
      <c r="P106" s="223">
        <f t="shared" si="55"/>
        <v>23.324790913399216</v>
      </c>
      <c r="Q106" s="224">
        <f t="shared" si="56"/>
        <v>0.66666666666666663</v>
      </c>
      <c r="R106" s="225">
        <f t="shared" si="66"/>
        <v>13.133333333333335</v>
      </c>
      <c r="S106" s="226">
        <f t="shared" si="57"/>
        <v>1</v>
      </c>
      <c r="T106" s="225">
        <f t="shared" si="67"/>
        <v>17.799999999999997</v>
      </c>
      <c r="U106" s="226">
        <f t="shared" si="58"/>
        <v>0.66666666666666663</v>
      </c>
      <c r="V106" s="227" t="str">
        <f t="shared" si="68"/>
        <v>-</v>
      </c>
      <c r="W106" s="228">
        <f t="shared" si="59"/>
        <v>0.66666666666666663</v>
      </c>
      <c r="X106" s="144">
        <f t="shared" si="60"/>
        <v>13.133333333333335</v>
      </c>
      <c r="Y106" s="144">
        <f t="shared" si="61"/>
        <v>17.799999999999997</v>
      </c>
      <c r="Z106" s="144" t="str">
        <f t="shared" si="62"/>
        <v/>
      </c>
      <c r="AA106" s="205"/>
      <c r="AB106" s="357" t="str">
        <f>VLOOKUP($B106,'2007-2020 Metadata'!$A$4:$S$214,MATCH("Urban Area /Monitoring Zone",'2007-2020 Metadata'!$A$4:$S$4,0),FALSE)</f>
        <v>Blenheim</v>
      </c>
      <c r="AC106" s="229" t="str">
        <f>VLOOKUP(B106,'2007-2020 Metadata'!$A$6:$A$214,1,FALSE)</f>
        <v>WEL012</v>
      </c>
      <c r="AD106" s="230" t="str">
        <f>VLOOKUP($AC106,'2007-2020 Metadata'!$A$6:$S$214,9,FALSE)</f>
        <v>Blenheim</v>
      </c>
      <c r="AE106" s="230">
        <f>IF(ISBLANK(VLOOKUP($AC106,'2007-2020 Metadata'!$A$6:$S$214,19,FALSE)),"",VLOOKUP($AC106,'2007-2020 Metadata'!$A$6:$S$214,19,FALSE))</f>
        <v>4.2</v>
      </c>
      <c r="AF106" s="88" t="str">
        <f>VLOOKUP($B106,'2007-2020 Metadata'!$A$4:$S$214,MATCH("Site type",'2007-2020 Metadata'!$A$4:$S$4,0),FALSE)</f>
        <v>SH</v>
      </c>
      <c r="AG106" s="143">
        <f t="shared" si="63"/>
        <v>8.6</v>
      </c>
      <c r="AH106" s="143">
        <f t="shared" si="64"/>
        <v>21.5</v>
      </c>
      <c r="AI106" s="144" t="str">
        <f t="shared" si="65"/>
        <v xml:space="preserve"> </v>
      </c>
    </row>
    <row r="107" spans="2:35" ht="12" customHeight="1" x14ac:dyDescent="0.15">
      <c r="B107" s="231" t="s">
        <v>125</v>
      </c>
      <c r="C107" s="222">
        <v>7.6</v>
      </c>
      <c r="D107" s="222">
        <v>10.199999999999999</v>
      </c>
      <c r="E107" s="222">
        <v>9.6999999999999993</v>
      </c>
      <c r="F107" s="222">
        <v>12.3</v>
      </c>
      <c r="G107" s="222">
        <v>12.5</v>
      </c>
      <c r="H107" s="222">
        <v>15.4</v>
      </c>
      <c r="I107" s="222">
        <v>10.1</v>
      </c>
      <c r="J107" s="222">
        <v>11.8</v>
      </c>
      <c r="K107" s="222">
        <v>10</v>
      </c>
      <c r="L107" s="222">
        <v>11</v>
      </c>
      <c r="M107" s="222">
        <v>8.3000000000000007</v>
      </c>
      <c r="N107" s="222">
        <v>7.7</v>
      </c>
      <c r="O107" s="223">
        <f t="shared" si="54"/>
        <v>10.549999999999999</v>
      </c>
      <c r="P107" s="223">
        <f t="shared" si="55"/>
        <v>20.36444599999286</v>
      </c>
      <c r="Q107" s="224">
        <f t="shared" si="56"/>
        <v>1</v>
      </c>
      <c r="R107" s="225">
        <f t="shared" si="66"/>
        <v>9.1666666666666661</v>
      </c>
      <c r="S107" s="226">
        <f t="shared" si="57"/>
        <v>1</v>
      </c>
      <c r="T107" s="225">
        <f t="shared" si="67"/>
        <v>10.633333333333333</v>
      </c>
      <c r="U107" s="226">
        <f t="shared" si="58"/>
        <v>1</v>
      </c>
      <c r="V107" s="227">
        <f t="shared" si="68"/>
        <v>10.549999999999999</v>
      </c>
      <c r="W107" s="228">
        <f t="shared" si="59"/>
        <v>1</v>
      </c>
      <c r="X107" s="144">
        <f t="shared" si="60"/>
        <v>19.633333333333336</v>
      </c>
      <c r="Y107" s="144">
        <f t="shared" si="61"/>
        <v>20.595833333333331</v>
      </c>
      <c r="Z107" s="144">
        <f t="shared" si="62"/>
        <v>21.400413223140497</v>
      </c>
      <c r="AA107" s="205"/>
      <c r="AB107" s="357" t="str">
        <f>VLOOKUP($B107,'2007-2020 Metadata'!$A$4:$S$214,MATCH("Urban Area /Monitoring Zone",'2007-2020 Metadata'!$A$4:$S$4,0),FALSE)</f>
        <v>Wellington</v>
      </c>
      <c r="AC107" s="229" t="str">
        <f>VLOOKUP(B107,'2007-2020 Metadata'!$A$6:$A$214,1,FALSE)</f>
        <v>WEL047</v>
      </c>
      <c r="AD107" s="230" t="str">
        <f>VLOOKUP($AC107,'2007-2020 Metadata'!$A$6:$S$214,9,FALSE)</f>
        <v>Wellington</v>
      </c>
      <c r="AE107" s="230">
        <f>IF(ISBLANK(VLOOKUP($AC107,'2007-2020 Metadata'!$A$6:$S$214,19,FALSE)),"",VLOOKUP($AC107,'2007-2020 Metadata'!$A$6:$S$214,19,FALSE))</f>
        <v>3.5</v>
      </c>
      <c r="AF107" s="88" t="str">
        <f>VLOOKUP($B107,'2007-2020 Metadata'!$A$4:$S$214,MATCH("Site type",'2007-2020 Metadata'!$A$4:$S$4,0),FALSE)</f>
        <v>Local</v>
      </c>
      <c r="AG107" s="143">
        <f t="shared" si="63"/>
        <v>7.6</v>
      </c>
      <c r="AH107" s="143">
        <f t="shared" si="64"/>
        <v>15.4</v>
      </c>
      <c r="AI107" s="144">
        <f t="shared" si="65"/>
        <v>21.400413223140497</v>
      </c>
    </row>
    <row r="108" spans="2:35" ht="12" customHeight="1" x14ac:dyDescent="0.15">
      <c r="B108" s="231" t="s">
        <v>126</v>
      </c>
      <c r="C108" s="222">
        <v>5.7</v>
      </c>
      <c r="D108" s="222">
        <v>7.9</v>
      </c>
      <c r="E108" s="222">
        <v>7.9</v>
      </c>
      <c r="F108" s="222">
        <v>8.9</v>
      </c>
      <c r="G108" s="222">
        <v>11.2</v>
      </c>
      <c r="H108" s="222">
        <v>13.1</v>
      </c>
      <c r="I108" s="222">
        <v>10.3</v>
      </c>
      <c r="J108" s="222">
        <v>9.1999999999999993</v>
      </c>
      <c r="K108" s="222"/>
      <c r="L108" s="222">
        <v>6.3</v>
      </c>
      <c r="M108" s="222">
        <v>6.4</v>
      </c>
      <c r="N108" s="222">
        <v>6</v>
      </c>
      <c r="O108" s="223">
        <f t="shared" si="54"/>
        <v>8.4454545454545453</v>
      </c>
      <c r="P108" s="223">
        <f t="shared" si="55"/>
        <v>26.803662435254701</v>
      </c>
      <c r="Q108" s="224">
        <f t="shared" si="56"/>
        <v>0.91666666666666663</v>
      </c>
      <c r="R108" s="225">
        <f t="shared" si="66"/>
        <v>7.166666666666667</v>
      </c>
      <c r="S108" s="226">
        <f t="shared" si="57"/>
        <v>1</v>
      </c>
      <c r="T108" s="225">
        <f t="shared" si="67"/>
        <v>9.75</v>
      </c>
      <c r="U108" s="226">
        <f t="shared" si="58"/>
        <v>0.66666666666666663</v>
      </c>
      <c r="V108" s="227">
        <f t="shared" si="68"/>
        <v>8.4454545454545453</v>
      </c>
      <c r="W108" s="228">
        <f t="shared" si="59"/>
        <v>0.91666666666666663</v>
      </c>
      <c r="X108" s="144">
        <f t="shared" si="60"/>
        <v>19.633333333333336</v>
      </c>
      <c r="Y108" s="144">
        <f t="shared" si="61"/>
        <v>20.595833333333331</v>
      </c>
      <c r="Z108" s="144">
        <f t="shared" si="62"/>
        <v>21.400413223140497</v>
      </c>
      <c r="AA108" s="205"/>
      <c r="AB108" s="357" t="str">
        <f>VLOOKUP($B108,'2007-2020 Metadata'!$A$4:$S$214,MATCH("Urban Area /Monitoring Zone",'2007-2020 Metadata'!$A$4:$S$4,0),FALSE)</f>
        <v>Wellington</v>
      </c>
      <c r="AC108" s="229" t="str">
        <f>VLOOKUP(B108,'2007-2020 Metadata'!$A$6:$A$214,1,FALSE)</f>
        <v>WEL048</v>
      </c>
      <c r="AD108" s="230" t="str">
        <f>VLOOKUP($AC108,'2007-2020 Metadata'!$A$6:$S$214,9,FALSE)</f>
        <v>Wellington</v>
      </c>
      <c r="AE108" s="230">
        <f>IF(ISBLANK(VLOOKUP($AC108,'2007-2020 Metadata'!$A$6:$S$214,19,FALSE)),"",VLOOKUP($AC108,'2007-2020 Metadata'!$A$6:$S$214,19,FALSE))</f>
        <v>4</v>
      </c>
      <c r="AF108" s="88" t="str">
        <f>VLOOKUP($B108,'2007-2020 Metadata'!$A$4:$S$214,MATCH("Site type",'2007-2020 Metadata'!$A$4:$S$4,0),FALSE)</f>
        <v>Background</v>
      </c>
      <c r="AG108" s="143">
        <f t="shared" si="63"/>
        <v>5.7</v>
      </c>
      <c r="AH108" s="143">
        <f t="shared" si="64"/>
        <v>13.1</v>
      </c>
      <c r="AI108" s="144">
        <f t="shared" si="65"/>
        <v>21.400413223140497</v>
      </c>
    </row>
    <row r="109" spans="2:35" ht="12" customHeight="1" x14ac:dyDescent="0.15">
      <c r="B109" s="231" t="s">
        <v>127</v>
      </c>
      <c r="C109" s="222">
        <v>26.6</v>
      </c>
      <c r="D109" s="222">
        <v>37.6</v>
      </c>
      <c r="E109" s="222">
        <v>42.9</v>
      </c>
      <c r="F109" s="222">
        <v>42.2</v>
      </c>
      <c r="G109" s="222">
        <v>48.1</v>
      </c>
      <c r="H109" s="222">
        <v>51.4</v>
      </c>
      <c r="I109" s="222">
        <v>45.2</v>
      </c>
      <c r="J109" s="222">
        <v>39.799999999999997</v>
      </c>
      <c r="K109" s="222">
        <v>22.7</v>
      </c>
      <c r="L109" s="222">
        <v>36.4</v>
      </c>
      <c r="M109" s="222">
        <v>40.6</v>
      </c>
      <c r="N109" s="222">
        <v>23.1</v>
      </c>
      <c r="O109" s="223">
        <f t="shared" si="54"/>
        <v>38.050000000000004</v>
      </c>
      <c r="P109" s="223">
        <f t="shared" si="55"/>
        <v>23.675100478966598</v>
      </c>
      <c r="Q109" s="224">
        <f t="shared" si="56"/>
        <v>1</v>
      </c>
      <c r="R109" s="225">
        <f t="shared" si="66"/>
        <v>35.699999999999996</v>
      </c>
      <c r="S109" s="226">
        <f t="shared" si="57"/>
        <v>1</v>
      </c>
      <c r="T109" s="225">
        <f t="shared" si="67"/>
        <v>35.9</v>
      </c>
      <c r="U109" s="226">
        <f t="shared" si="58"/>
        <v>1</v>
      </c>
      <c r="V109" s="227">
        <f t="shared" si="68"/>
        <v>38.050000000000004</v>
      </c>
      <c r="W109" s="228">
        <f t="shared" si="59"/>
        <v>1</v>
      </c>
      <c r="X109" s="144">
        <f t="shared" si="60"/>
        <v>19.633333333333336</v>
      </c>
      <c r="Y109" s="144">
        <f t="shared" si="61"/>
        <v>20.595833333333331</v>
      </c>
      <c r="Z109" s="144">
        <f t="shared" si="62"/>
        <v>21.400413223140497</v>
      </c>
      <c r="AA109" s="205"/>
      <c r="AB109" s="357" t="str">
        <f>VLOOKUP($B109,'2007-2020 Metadata'!$A$4:$S$214,MATCH("Urban Area /Monitoring Zone",'2007-2020 Metadata'!$A$4:$S$4,0),FALSE)</f>
        <v>Wellington</v>
      </c>
      <c r="AC109" s="229" t="str">
        <f>VLOOKUP(B109,'2007-2020 Metadata'!$A$6:$A$214,1,FALSE)</f>
        <v>WEL049</v>
      </c>
      <c r="AD109" s="230" t="str">
        <f>VLOOKUP($AC109,'2007-2020 Metadata'!$A$6:$S$214,9,FALSE)</f>
        <v>Wellington</v>
      </c>
      <c r="AE109" s="230">
        <f>IF(ISBLANK(VLOOKUP($AC109,'2007-2020 Metadata'!$A$6:$S$214,19,FALSE)),"",VLOOKUP($AC109,'2007-2020 Metadata'!$A$6:$S$214,19,FALSE))</f>
        <v>4</v>
      </c>
      <c r="AF109" s="88" t="str">
        <f>VLOOKUP($B109,'2007-2020 Metadata'!$A$4:$S$214,MATCH("Site type",'2007-2020 Metadata'!$A$4:$S$4,0),FALSE)</f>
        <v>Local</v>
      </c>
      <c r="AG109" s="143">
        <f t="shared" si="63"/>
        <v>22.7</v>
      </c>
      <c r="AH109" s="143">
        <f t="shared" si="64"/>
        <v>51.4</v>
      </c>
      <c r="AI109" s="144">
        <f t="shared" si="65"/>
        <v>21.400413223140497</v>
      </c>
    </row>
    <row r="110" spans="2:35" ht="12" customHeight="1" x14ac:dyDescent="0.15">
      <c r="B110" s="231" t="s">
        <v>128</v>
      </c>
      <c r="C110" s="222">
        <v>13.1</v>
      </c>
      <c r="D110" s="222">
        <v>20.100000000000001</v>
      </c>
      <c r="E110" s="222">
        <v>17</v>
      </c>
      <c r="F110" s="222">
        <v>20.5</v>
      </c>
      <c r="G110" s="222">
        <v>25.2</v>
      </c>
      <c r="H110" s="222">
        <v>27.4</v>
      </c>
      <c r="I110" s="222">
        <v>20.399999999999999</v>
      </c>
      <c r="J110" s="222">
        <v>19.899999999999999</v>
      </c>
      <c r="K110" s="222">
        <v>12.5</v>
      </c>
      <c r="L110" s="222">
        <v>17</v>
      </c>
      <c r="M110" s="222">
        <v>20</v>
      </c>
      <c r="N110" s="222">
        <v>13.8</v>
      </c>
      <c r="O110" s="223">
        <f t="shared" si="54"/>
        <v>18.908333333333335</v>
      </c>
      <c r="P110" s="223">
        <f t="shared" si="55"/>
        <v>23.064375469316353</v>
      </c>
      <c r="Q110" s="224">
        <f t="shared" si="56"/>
        <v>1</v>
      </c>
      <c r="R110" s="225">
        <f t="shared" si="66"/>
        <v>16.733333333333334</v>
      </c>
      <c r="S110" s="226">
        <f t="shared" si="57"/>
        <v>1</v>
      </c>
      <c r="T110" s="225">
        <f t="shared" si="67"/>
        <v>17.599999999999998</v>
      </c>
      <c r="U110" s="226">
        <f t="shared" si="58"/>
        <v>1</v>
      </c>
      <c r="V110" s="227">
        <f t="shared" si="68"/>
        <v>18.908333333333335</v>
      </c>
      <c r="W110" s="228">
        <f t="shared" si="59"/>
        <v>1</v>
      </c>
      <c r="X110" s="144">
        <f t="shared" si="60"/>
        <v>19.633333333333336</v>
      </c>
      <c r="Y110" s="144">
        <f t="shared" si="61"/>
        <v>20.595833333333331</v>
      </c>
      <c r="Z110" s="144">
        <f t="shared" si="62"/>
        <v>21.400413223140497</v>
      </c>
      <c r="AA110" s="205"/>
      <c r="AB110" s="357" t="str">
        <f>VLOOKUP($B110,'2007-2020 Metadata'!$A$4:$S$214,MATCH("Urban Area /Monitoring Zone",'2007-2020 Metadata'!$A$4:$S$4,0),FALSE)</f>
        <v>Wellington</v>
      </c>
      <c r="AC110" s="229" t="str">
        <f>VLOOKUP(B110,'2007-2020 Metadata'!$A$6:$A$214,1,FALSE)</f>
        <v>WEL050</v>
      </c>
      <c r="AD110" s="230" t="str">
        <f>VLOOKUP($AC110,'2007-2020 Metadata'!$A$6:$S$214,9,FALSE)</f>
        <v>Wellington</v>
      </c>
      <c r="AE110" s="230">
        <f>IF(ISBLANK(VLOOKUP($AC110,'2007-2020 Metadata'!$A$6:$S$214,19,FALSE)),"",VLOOKUP($AC110,'2007-2020 Metadata'!$A$6:$S$214,19,FALSE))</f>
        <v>4</v>
      </c>
      <c r="AF110" s="88" t="str">
        <f>VLOOKUP($B110,'2007-2020 Metadata'!$A$4:$S$214,MATCH("Site type",'2007-2020 Metadata'!$A$4:$S$4,0),FALSE)</f>
        <v>SH</v>
      </c>
      <c r="AG110" s="143">
        <f t="shared" si="63"/>
        <v>12.5</v>
      </c>
      <c r="AH110" s="143">
        <f t="shared" si="64"/>
        <v>27.4</v>
      </c>
      <c r="AI110" s="144">
        <f t="shared" si="65"/>
        <v>21.400413223140497</v>
      </c>
    </row>
    <row r="111" spans="2:35" ht="12" customHeight="1" x14ac:dyDescent="0.15">
      <c r="B111" s="231" t="s">
        <v>129</v>
      </c>
      <c r="C111" s="222">
        <v>7.3</v>
      </c>
      <c r="D111" s="222">
        <v>12.5</v>
      </c>
      <c r="E111" s="222">
        <v>12</v>
      </c>
      <c r="F111" s="222">
        <v>12.4</v>
      </c>
      <c r="G111" s="222">
        <v>14.8</v>
      </c>
      <c r="H111" s="222">
        <v>16.7</v>
      </c>
      <c r="I111" s="222"/>
      <c r="J111" s="222">
        <v>12.4</v>
      </c>
      <c r="K111" s="222">
        <v>21.9</v>
      </c>
      <c r="L111" s="222">
        <v>13</v>
      </c>
      <c r="M111" s="222">
        <v>7.7</v>
      </c>
      <c r="N111" s="222">
        <v>10.199999999999999</v>
      </c>
      <c r="O111" s="223">
        <f t="shared" si="54"/>
        <v>12.809090909090907</v>
      </c>
      <c r="P111" s="223">
        <f t="shared" si="55"/>
        <v>30.339484244743442</v>
      </c>
      <c r="Q111" s="224">
        <f t="shared" si="56"/>
        <v>0.91666666666666663</v>
      </c>
      <c r="R111" s="225">
        <f t="shared" si="66"/>
        <v>10.6</v>
      </c>
      <c r="S111" s="226">
        <f t="shared" si="57"/>
        <v>1</v>
      </c>
      <c r="T111" s="225">
        <f t="shared" si="67"/>
        <v>17.149999999999999</v>
      </c>
      <c r="U111" s="226">
        <f t="shared" si="58"/>
        <v>0.66666666666666663</v>
      </c>
      <c r="V111" s="227">
        <f t="shared" si="68"/>
        <v>12.809090909090907</v>
      </c>
      <c r="W111" s="228">
        <f t="shared" si="59"/>
        <v>0.91666666666666663</v>
      </c>
      <c r="X111" s="144">
        <f t="shared" si="60"/>
        <v>19.633333333333336</v>
      </c>
      <c r="Y111" s="144">
        <f t="shared" si="61"/>
        <v>20.595833333333331</v>
      </c>
      <c r="Z111" s="144">
        <f t="shared" si="62"/>
        <v>21.400413223140497</v>
      </c>
      <c r="AA111" s="205"/>
      <c r="AB111" s="357" t="str">
        <f>VLOOKUP($B111,'2007-2020 Metadata'!$A$4:$S$214,MATCH("Urban Area /Monitoring Zone",'2007-2020 Metadata'!$A$4:$S$4,0),FALSE)</f>
        <v>Wellington</v>
      </c>
      <c r="AC111" s="229" t="str">
        <f>VLOOKUP(B111,'2007-2020 Metadata'!$A$6:$A$214,1,FALSE)</f>
        <v>WEL051</v>
      </c>
      <c r="AD111" s="230" t="str">
        <f>VLOOKUP($AC111,'2007-2020 Metadata'!$A$6:$S$214,9,FALSE)</f>
        <v>Wellington</v>
      </c>
      <c r="AE111" s="230">
        <f>IF(ISBLANK(VLOOKUP($AC111,'2007-2020 Metadata'!$A$6:$S$214,19,FALSE)),"",VLOOKUP($AC111,'2007-2020 Metadata'!$A$6:$S$214,19,FALSE))</f>
        <v>4</v>
      </c>
      <c r="AF111" s="88" t="str">
        <f>VLOOKUP($B111,'2007-2020 Metadata'!$A$4:$S$214,MATCH("Site type",'2007-2020 Metadata'!$A$4:$S$4,0),FALSE)</f>
        <v>Local</v>
      </c>
      <c r="AG111" s="143">
        <f t="shared" si="63"/>
        <v>7.3</v>
      </c>
      <c r="AH111" s="143">
        <f t="shared" si="64"/>
        <v>21.9</v>
      </c>
      <c r="AI111" s="144">
        <f t="shared" si="65"/>
        <v>21.400413223140497</v>
      </c>
    </row>
    <row r="112" spans="2:35" ht="12" customHeight="1" x14ac:dyDescent="0.15">
      <c r="B112" s="231" t="s">
        <v>130</v>
      </c>
      <c r="C112" s="222">
        <v>12</v>
      </c>
      <c r="D112" s="222">
        <v>16.7</v>
      </c>
      <c r="E112" s="222">
        <v>25.3</v>
      </c>
      <c r="F112" s="222">
        <v>26.6</v>
      </c>
      <c r="G112" s="222">
        <v>29</v>
      </c>
      <c r="H112" s="222">
        <v>37.5</v>
      </c>
      <c r="I112" s="222">
        <v>24.8</v>
      </c>
      <c r="J112" s="222">
        <v>25.4</v>
      </c>
      <c r="K112" s="222">
        <v>23</v>
      </c>
      <c r="L112" s="222">
        <v>18.2</v>
      </c>
      <c r="M112" s="222">
        <v>17.5</v>
      </c>
      <c r="N112" s="222">
        <v>14.6</v>
      </c>
      <c r="O112" s="223">
        <f t="shared" si="54"/>
        <v>22.55</v>
      </c>
      <c r="P112" s="223">
        <f t="shared" si="55"/>
        <v>30.175040217296157</v>
      </c>
      <c r="Q112" s="224">
        <f t="shared" si="56"/>
        <v>1</v>
      </c>
      <c r="R112" s="225">
        <f t="shared" si="66"/>
        <v>18</v>
      </c>
      <c r="S112" s="226">
        <f t="shared" si="57"/>
        <v>1</v>
      </c>
      <c r="T112" s="225">
        <f t="shared" si="67"/>
        <v>24.400000000000002</v>
      </c>
      <c r="U112" s="226">
        <f t="shared" si="58"/>
        <v>1</v>
      </c>
      <c r="V112" s="227">
        <f t="shared" si="68"/>
        <v>22.55</v>
      </c>
      <c r="W112" s="228">
        <f t="shared" si="59"/>
        <v>1</v>
      </c>
      <c r="X112" s="144">
        <f t="shared" si="60"/>
        <v>14.653333333333332</v>
      </c>
      <c r="Y112" s="144">
        <f t="shared" si="61"/>
        <v>17.861111111111114</v>
      </c>
      <c r="Z112" s="144">
        <f t="shared" si="62"/>
        <v>17.796666666666667</v>
      </c>
      <c r="AA112" s="205"/>
      <c r="AB112" s="357" t="str">
        <f>VLOOKUP($B112,'2007-2020 Metadata'!$A$4:$S$214,MATCH("Urban Area /Monitoring Zone",'2007-2020 Metadata'!$A$4:$S$4,0),FALSE)</f>
        <v>Lower Hutt</v>
      </c>
      <c r="AC112" s="229" t="str">
        <f>VLOOKUP(B112,'2007-2020 Metadata'!$A$6:$A$214,1,FALSE)</f>
        <v>WEL052</v>
      </c>
      <c r="AD112" s="230" t="str">
        <f>VLOOKUP($AC112,'2007-2020 Metadata'!$A$6:$S$214,9,FALSE)</f>
        <v>Lower Hutt</v>
      </c>
      <c r="AE112" s="230">
        <f>IF(ISBLANK(VLOOKUP($AC112,'2007-2020 Metadata'!$A$6:$S$214,19,FALSE)),"",VLOOKUP($AC112,'2007-2020 Metadata'!$A$6:$S$214,19,FALSE))</f>
        <v>4</v>
      </c>
      <c r="AF112" s="88" t="str">
        <f>VLOOKUP($B112,'2007-2020 Metadata'!$A$4:$S$214,MATCH("Site type",'2007-2020 Metadata'!$A$4:$S$4,0),FALSE)</f>
        <v>SH</v>
      </c>
      <c r="AG112" s="143">
        <f t="shared" si="63"/>
        <v>12</v>
      </c>
      <c r="AH112" s="143">
        <f t="shared" si="64"/>
        <v>37.5</v>
      </c>
      <c r="AI112" s="144">
        <f t="shared" si="65"/>
        <v>17.796666666666667</v>
      </c>
    </row>
    <row r="113" spans="2:35" ht="12" customHeight="1" x14ac:dyDescent="0.15">
      <c r="B113" s="231" t="s">
        <v>131</v>
      </c>
      <c r="C113" s="222">
        <v>19.100000000000001</v>
      </c>
      <c r="D113" s="222">
        <v>20.100000000000001</v>
      </c>
      <c r="E113" s="222">
        <v>20.9</v>
      </c>
      <c r="F113" s="222">
        <v>23.4</v>
      </c>
      <c r="G113" s="222">
        <v>30.8</v>
      </c>
      <c r="H113" s="222">
        <v>32.1</v>
      </c>
      <c r="I113" s="222">
        <v>23.8</v>
      </c>
      <c r="J113" s="222">
        <v>27.4</v>
      </c>
      <c r="K113" s="222">
        <v>24.6</v>
      </c>
      <c r="L113" s="222">
        <v>22.2</v>
      </c>
      <c r="M113" s="222">
        <v>18</v>
      </c>
      <c r="N113" s="222">
        <v>13.1</v>
      </c>
      <c r="O113" s="223">
        <f t="shared" si="54"/>
        <v>22.958333333333332</v>
      </c>
      <c r="P113" s="223">
        <f t="shared" si="55"/>
        <v>22.423453247936635</v>
      </c>
      <c r="Q113" s="224">
        <f t="shared" si="56"/>
        <v>1</v>
      </c>
      <c r="R113" s="225">
        <f t="shared" si="66"/>
        <v>20.033333333333335</v>
      </c>
      <c r="S113" s="226">
        <f t="shared" si="57"/>
        <v>1</v>
      </c>
      <c r="T113" s="225">
        <f t="shared" si="67"/>
        <v>25.266666666666669</v>
      </c>
      <c r="U113" s="226">
        <f t="shared" si="58"/>
        <v>1</v>
      </c>
      <c r="V113" s="227">
        <f t="shared" si="68"/>
        <v>22.958333333333332</v>
      </c>
      <c r="W113" s="228">
        <f t="shared" si="59"/>
        <v>1</v>
      </c>
      <c r="X113" s="144">
        <f t="shared" si="60"/>
        <v>14.653333333333332</v>
      </c>
      <c r="Y113" s="144">
        <f t="shared" si="61"/>
        <v>17.861111111111114</v>
      </c>
      <c r="Z113" s="144">
        <f t="shared" si="62"/>
        <v>17.796666666666667</v>
      </c>
      <c r="AA113" s="205"/>
      <c r="AB113" s="357" t="str">
        <f>VLOOKUP($B113,'2007-2020 Metadata'!$A$4:$S$214,MATCH("Urban Area /Monitoring Zone",'2007-2020 Metadata'!$A$4:$S$4,0),FALSE)</f>
        <v>Lower Hutt</v>
      </c>
      <c r="AC113" s="229" t="str">
        <f>VLOOKUP(B113,'2007-2020 Metadata'!$A$6:$A$214,1,FALSE)</f>
        <v>WEL053</v>
      </c>
      <c r="AD113" s="230" t="str">
        <f>VLOOKUP($AC113,'2007-2020 Metadata'!$A$6:$S$214,9,FALSE)</f>
        <v>Lower Hutt</v>
      </c>
      <c r="AE113" s="230">
        <f>IF(ISBLANK(VLOOKUP($AC113,'2007-2020 Metadata'!$A$6:$S$214,19,FALSE)),"",VLOOKUP($AC113,'2007-2020 Metadata'!$A$6:$S$214,19,FALSE))</f>
        <v>4</v>
      </c>
      <c r="AF113" s="88" t="str">
        <f>VLOOKUP($B113,'2007-2020 Metadata'!$A$4:$S$214,MATCH("Site type",'2007-2020 Metadata'!$A$4:$S$4,0),FALSE)</f>
        <v>Local</v>
      </c>
      <c r="AG113" s="143">
        <f t="shared" si="63"/>
        <v>13.1</v>
      </c>
      <c r="AH113" s="143">
        <f t="shared" si="64"/>
        <v>32.1</v>
      </c>
      <c r="AI113" s="144">
        <f t="shared" si="65"/>
        <v>17.796666666666667</v>
      </c>
    </row>
    <row r="114" spans="2:35" ht="12" customHeight="1" x14ac:dyDescent="0.15">
      <c r="B114" s="231" t="s">
        <v>132</v>
      </c>
      <c r="C114" s="222">
        <v>6.7</v>
      </c>
      <c r="D114" s="222">
        <v>7.7</v>
      </c>
      <c r="E114" s="222">
        <v>13.3</v>
      </c>
      <c r="F114" s="222">
        <v>13.1</v>
      </c>
      <c r="G114" s="222">
        <v>19.3</v>
      </c>
      <c r="H114" s="222">
        <v>20.3</v>
      </c>
      <c r="I114" s="222">
        <v>15.5</v>
      </c>
      <c r="J114" s="222">
        <v>13.3</v>
      </c>
      <c r="K114" s="222">
        <v>11.7</v>
      </c>
      <c r="L114" s="222">
        <v>6</v>
      </c>
      <c r="M114" s="222">
        <v>9.1</v>
      </c>
      <c r="N114" s="222">
        <v>7.4</v>
      </c>
      <c r="O114" s="223">
        <f t="shared" si="54"/>
        <v>11.950000000000001</v>
      </c>
      <c r="P114" s="223">
        <f t="shared" si="55"/>
        <v>38.289281852313543</v>
      </c>
      <c r="Q114" s="224">
        <f t="shared" si="56"/>
        <v>1</v>
      </c>
      <c r="R114" s="225">
        <f t="shared" si="66"/>
        <v>9.2333333333333343</v>
      </c>
      <c r="S114" s="226">
        <f t="shared" si="57"/>
        <v>1</v>
      </c>
      <c r="T114" s="225">
        <f t="shared" si="67"/>
        <v>13.5</v>
      </c>
      <c r="U114" s="226">
        <f t="shared" si="58"/>
        <v>1</v>
      </c>
      <c r="V114" s="227">
        <f t="shared" si="68"/>
        <v>11.950000000000001</v>
      </c>
      <c r="W114" s="228">
        <f t="shared" si="59"/>
        <v>1</v>
      </c>
      <c r="X114" s="144">
        <f t="shared" si="60"/>
        <v>14.653333333333332</v>
      </c>
      <c r="Y114" s="144">
        <f t="shared" si="61"/>
        <v>17.861111111111114</v>
      </c>
      <c r="Z114" s="144">
        <f t="shared" si="62"/>
        <v>17.796666666666667</v>
      </c>
      <c r="AA114" s="205"/>
      <c r="AB114" s="357" t="str">
        <f>VLOOKUP($B114,'2007-2020 Metadata'!$A$4:$S$214,MATCH("Urban Area /Monitoring Zone",'2007-2020 Metadata'!$A$4:$S$4,0),FALSE)</f>
        <v>Lower Hutt</v>
      </c>
      <c r="AC114" s="229" t="str">
        <f>VLOOKUP(B114,'2007-2020 Metadata'!$A$6:$A$214,1,FALSE)</f>
        <v>WEL054</v>
      </c>
      <c r="AD114" s="230" t="str">
        <f>VLOOKUP($AC114,'2007-2020 Metadata'!$A$6:$S$214,9,FALSE)</f>
        <v>Lower Hutt</v>
      </c>
      <c r="AE114" s="230">
        <f>IF(ISBLANK(VLOOKUP($AC114,'2007-2020 Metadata'!$A$6:$S$214,19,FALSE)),"",VLOOKUP($AC114,'2007-2020 Metadata'!$A$6:$S$214,19,FALSE))</f>
        <v>3.5</v>
      </c>
      <c r="AF114" s="88" t="str">
        <f>VLOOKUP($B114,'2007-2020 Metadata'!$A$4:$S$214,MATCH("Site type",'2007-2020 Metadata'!$A$4:$S$4,0),FALSE)</f>
        <v>Background</v>
      </c>
      <c r="AG114" s="143">
        <f t="shared" si="63"/>
        <v>6</v>
      </c>
      <c r="AH114" s="143">
        <f t="shared" si="64"/>
        <v>20.3</v>
      </c>
      <c r="AI114" s="144">
        <f t="shared" si="65"/>
        <v>17.796666666666667</v>
      </c>
    </row>
    <row r="115" spans="2:35" ht="12" customHeight="1" x14ac:dyDescent="0.15">
      <c r="B115" s="231" t="s">
        <v>135</v>
      </c>
      <c r="C115" s="222">
        <v>16.899999999999999</v>
      </c>
      <c r="D115" s="222">
        <v>17.399999999999999</v>
      </c>
      <c r="E115" s="222">
        <v>23.8</v>
      </c>
      <c r="F115" s="222">
        <v>25.6</v>
      </c>
      <c r="G115" s="222">
        <v>26.3</v>
      </c>
      <c r="H115" s="222">
        <v>24.7</v>
      </c>
      <c r="I115" s="222">
        <v>23.5</v>
      </c>
      <c r="J115" s="222">
        <v>27.5</v>
      </c>
      <c r="K115" s="222">
        <v>19.100000000000001</v>
      </c>
      <c r="L115" s="222"/>
      <c r="M115" s="222"/>
      <c r="N115" s="222">
        <v>15.1</v>
      </c>
      <c r="O115" s="223">
        <f t="shared" si="54"/>
        <v>21.99</v>
      </c>
      <c r="P115" s="223">
        <f t="shared" si="55"/>
        <v>19.168167669003488</v>
      </c>
      <c r="Q115" s="224">
        <f t="shared" si="56"/>
        <v>0.83333333333333337</v>
      </c>
      <c r="R115" s="225">
        <f t="shared" si="66"/>
        <v>19.366666666666664</v>
      </c>
      <c r="S115" s="226">
        <f t="shared" si="57"/>
        <v>1</v>
      </c>
      <c r="T115" s="225">
        <f t="shared" si="67"/>
        <v>23.366666666666664</v>
      </c>
      <c r="U115" s="226">
        <f t="shared" si="58"/>
        <v>1</v>
      </c>
      <c r="V115" s="227">
        <f t="shared" si="68"/>
        <v>21.99</v>
      </c>
      <c r="W115" s="228">
        <f t="shared" si="59"/>
        <v>0.83333333333333337</v>
      </c>
      <c r="X115" s="144">
        <f t="shared" si="60"/>
        <v>19.366666666666664</v>
      </c>
      <c r="Y115" s="144">
        <f t="shared" si="61"/>
        <v>23.366666666666664</v>
      </c>
      <c r="Z115" s="144">
        <f t="shared" si="62"/>
        <v>21.99</v>
      </c>
      <c r="AA115" s="205"/>
      <c r="AB115" s="357" t="str">
        <f>VLOOKUP($B115,'2007-2020 Metadata'!$A$4:$S$214,MATCH("Urban Area /Monitoring Zone",'2007-2020 Metadata'!$A$4:$S$4,0),FALSE)</f>
        <v>Upper Hutt</v>
      </c>
      <c r="AC115" s="229" t="str">
        <f>VLOOKUP(B115,'2007-2020 Metadata'!$A$6:$A$214,1,FALSE)</f>
        <v>WEL057</v>
      </c>
      <c r="AD115" s="230" t="str">
        <f>VLOOKUP($AC115,'2007-2020 Metadata'!$A$6:$S$214,9,FALSE)</f>
        <v>Upper Hutt</v>
      </c>
      <c r="AE115" s="230">
        <f>IF(ISBLANK(VLOOKUP($AC115,'2007-2020 Metadata'!$A$6:$S$214,19,FALSE)),"",VLOOKUP($AC115,'2007-2020 Metadata'!$A$6:$S$214,19,FALSE))</f>
        <v>4</v>
      </c>
      <c r="AF115" s="88" t="str">
        <f>VLOOKUP($B115,'2007-2020 Metadata'!$A$4:$S$214,MATCH("Site type",'2007-2020 Metadata'!$A$4:$S$4,0),FALSE)</f>
        <v>SH</v>
      </c>
      <c r="AG115" s="143">
        <f t="shared" si="63"/>
        <v>15.1</v>
      </c>
      <c r="AH115" s="143">
        <f t="shared" si="64"/>
        <v>27.5</v>
      </c>
      <c r="AI115" s="144">
        <f t="shared" si="65"/>
        <v>21.99</v>
      </c>
    </row>
    <row r="116" spans="2:35" ht="12" customHeight="1" x14ac:dyDescent="0.15">
      <c r="B116" s="231" t="s">
        <v>139</v>
      </c>
      <c r="C116" s="222">
        <v>11.9</v>
      </c>
      <c r="D116" s="222">
        <v>14.2</v>
      </c>
      <c r="E116" s="222">
        <v>18.899999999999999</v>
      </c>
      <c r="F116" s="222">
        <v>21.8</v>
      </c>
      <c r="G116" s="222">
        <v>22.4</v>
      </c>
      <c r="H116" s="222">
        <v>23.4</v>
      </c>
      <c r="I116" s="222">
        <v>21.9</v>
      </c>
      <c r="J116" s="222">
        <v>20.2</v>
      </c>
      <c r="K116" s="222">
        <v>8.3000000000000007</v>
      </c>
      <c r="L116" s="222">
        <v>10.7</v>
      </c>
      <c r="M116" s="222">
        <v>14.5</v>
      </c>
      <c r="N116" s="222">
        <v>10.4</v>
      </c>
      <c r="O116" s="223">
        <f t="shared" si="54"/>
        <v>16.55</v>
      </c>
      <c r="P116" s="223">
        <f t="shared" si="55"/>
        <v>31.572081104270026</v>
      </c>
      <c r="Q116" s="224">
        <f t="shared" si="56"/>
        <v>1</v>
      </c>
      <c r="R116" s="225">
        <f t="shared" si="66"/>
        <v>15</v>
      </c>
      <c r="S116" s="226">
        <f t="shared" si="57"/>
        <v>1</v>
      </c>
      <c r="T116" s="225">
        <f t="shared" si="67"/>
        <v>16.799999999999997</v>
      </c>
      <c r="U116" s="226">
        <f t="shared" si="58"/>
        <v>1</v>
      </c>
      <c r="V116" s="227">
        <f t="shared" si="68"/>
        <v>16.55</v>
      </c>
      <c r="W116" s="228">
        <f t="shared" si="59"/>
        <v>1</v>
      </c>
      <c r="X116" s="144">
        <f t="shared" si="60"/>
        <v>15.511111111111111</v>
      </c>
      <c r="Y116" s="144">
        <f t="shared" si="61"/>
        <v>17.399999999999999</v>
      </c>
      <c r="Z116" s="144">
        <f t="shared" si="62"/>
        <v>16.595555555555556</v>
      </c>
      <c r="AA116" s="205"/>
      <c r="AB116" s="357" t="str">
        <f>VLOOKUP($B116,'2007-2020 Metadata'!$A$4:$S$214,MATCH("Urban Area /Monitoring Zone",'2007-2020 Metadata'!$A$4:$S$4,0),FALSE)</f>
        <v>Otaki</v>
      </c>
      <c r="AC116" s="229" t="str">
        <f>VLOOKUP(B116,'2007-2020 Metadata'!$A$6:$A$214,1,FALSE)</f>
        <v>WEL061</v>
      </c>
      <c r="AD116" s="230" t="str">
        <f>VLOOKUP($AC116,'2007-2020 Metadata'!$A$6:$S$214,9,FALSE)</f>
        <v>Kapiti Coast</v>
      </c>
      <c r="AE116" s="230">
        <f>IF(ISBLANK(VLOOKUP($AC116,'2007-2020 Metadata'!$A$6:$S$214,19,FALSE)),"",VLOOKUP($AC116,'2007-2020 Metadata'!$A$6:$S$214,19,FALSE))</f>
        <v>4</v>
      </c>
      <c r="AF116" s="88" t="str">
        <f>VLOOKUP($B116,'2007-2020 Metadata'!$A$4:$S$214,MATCH("Site type",'2007-2020 Metadata'!$A$4:$S$4,0),FALSE)</f>
        <v>SH</v>
      </c>
      <c r="AG116" s="143">
        <f t="shared" si="63"/>
        <v>8.3000000000000007</v>
      </c>
      <c r="AH116" s="143">
        <f t="shared" si="64"/>
        <v>23.4</v>
      </c>
      <c r="AI116" s="144">
        <f t="shared" si="65"/>
        <v>16.595555555555556</v>
      </c>
    </row>
    <row r="117" spans="2:35" ht="12" customHeight="1" x14ac:dyDescent="0.15">
      <c r="B117" s="231" t="s">
        <v>140</v>
      </c>
      <c r="C117" s="222">
        <v>7.6</v>
      </c>
      <c r="D117" s="222">
        <v>10.4</v>
      </c>
      <c r="E117" s="222">
        <v>12.7</v>
      </c>
      <c r="F117" s="222">
        <v>11.6</v>
      </c>
      <c r="G117" s="222">
        <v>19</v>
      </c>
      <c r="H117" s="222">
        <v>14.4</v>
      </c>
      <c r="I117" s="222">
        <v>19.399999999999999</v>
      </c>
      <c r="J117" s="222"/>
      <c r="K117" s="222">
        <v>10.7</v>
      </c>
      <c r="L117" s="222">
        <v>8.3000000000000007</v>
      </c>
      <c r="M117" s="222">
        <v>8.9</v>
      </c>
      <c r="N117" s="222">
        <v>7.1</v>
      </c>
      <c r="O117" s="223">
        <f t="shared" si="54"/>
        <v>11.827272727272726</v>
      </c>
      <c r="P117" s="223">
        <f t="shared" si="55"/>
        <v>34.274600113749791</v>
      </c>
      <c r="Q117" s="224">
        <f t="shared" si="56"/>
        <v>0.91666666666666663</v>
      </c>
      <c r="R117" s="225">
        <f t="shared" si="66"/>
        <v>10.233333333333333</v>
      </c>
      <c r="S117" s="226">
        <f t="shared" si="57"/>
        <v>1</v>
      </c>
      <c r="T117" s="225">
        <f t="shared" si="67"/>
        <v>15.049999999999999</v>
      </c>
      <c r="U117" s="226">
        <f t="shared" si="58"/>
        <v>0.66666666666666663</v>
      </c>
      <c r="V117" s="227">
        <f t="shared" si="68"/>
        <v>11.827272727272726</v>
      </c>
      <c r="W117" s="228">
        <f t="shared" si="59"/>
        <v>0.91666666666666663</v>
      </c>
      <c r="X117" s="144">
        <f t="shared" si="60"/>
        <v>16.8</v>
      </c>
      <c r="Y117" s="144">
        <f t="shared" si="61"/>
        <v>23.627777777777776</v>
      </c>
      <c r="Z117" s="144">
        <f t="shared" si="62"/>
        <v>19.627272727272725</v>
      </c>
      <c r="AA117" s="205"/>
      <c r="AB117" s="357" t="str">
        <f>VLOOKUP($B117,'2007-2020 Metadata'!$A$4:$S$214,MATCH("Urban Area /Monitoring Zone",'2007-2020 Metadata'!$A$4:$S$4,0),FALSE)</f>
        <v>Nelson</v>
      </c>
      <c r="AC117" s="229" t="str">
        <f>VLOOKUP(B117,'2007-2020 Metadata'!$A$6:$A$214,1,FALSE)</f>
        <v>WEL062</v>
      </c>
      <c r="AD117" s="230" t="str">
        <f>VLOOKUP($AC117,'2007-2020 Metadata'!$A$6:$S$214,9,FALSE)</f>
        <v>Nelson</v>
      </c>
      <c r="AE117" s="230">
        <f>IF(ISBLANK(VLOOKUP($AC117,'2007-2020 Metadata'!$A$6:$S$214,19,FALSE)),"",VLOOKUP($AC117,'2007-2020 Metadata'!$A$6:$S$214,19,FALSE))</f>
        <v>2.2000000000000002</v>
      </c>
      <c r="AF117" s="88" t="str">
        <f>VLOOKUP($B117,'2007-2020 Metadata'!$A$4:$S$214,MATCH("Site type",'2007-2020 Metadata'!$A$4:$S$4,0),FALSE)</f>
        <v>Background</v>
      </c>
      <c r="AG117" s="143">
        <f t="shared" si="63"/>
        <v>7.1</v>
      </c>
      <c r="AH117" s="143">
        <f t="shared" si="64"/>
        <v>19.399999999999999</v>
      </c>
      <c r="AI117" s="144">
        <f t="shared" si="65"/>
        <v>19.627272727272725</v>
      </c>
    </row>
    <row r="118" spans="2:35" ht="12" customHeight="1" x14ac:dyDescent="0.15">
      <c r="B118" s="231" t="s">
        <v>141</v>
      </c>
      <c r="C118" s="222">
        <v>13.4</v>
      </c>
      <c r="D118" s="222">
        <v>10.7</v>
      </c>
      <c r="E118" s="222">
        <v>8.8000000000000007</v>
      </c>
      <c r="F118" s="222"/>
      <c r="G118" s="222">
        <v>13.1</v>
      </c>
      <c r="H118" s="222">
        <v>13.7</v>
      </c>
      <c r="I118" s="222">
        <v>9.5</v>
      </c>
      <c r="J118" s="222">
        <v>9</v>
      </c>
      <c r="K118" s="222">
        <v>8.1</v>
      </c>
      <c r="L118" s="222"/>
      <c r="M118" s="222">
        <v>7.9</v>
      </c>
      <c r="N118" s="222">
        <v>5.5</v>
      </c>
      <c r="O118" s="223">
        <f t="shared" si="54"/>
        <v>9.9700000000000006</v>
      </c>
      <c r="P118" s="223">
        <f t="shared" si="55"/>
        <v>25.826459942171081</v>
      </c>
      <c r="Q118" s="224">
        <f t="shared" si="56"/>
        <v>0.83333333333333337</v>
      </c>
      <c r="R118" s="225">
        <f t="shared" si="66"/>
        <v>10.966666666666669</v>
      </c>
      <c r="S118" s="226">
        <f t="shared" si="57"/>
        <v>1</v>
      </c>
      <c r="T118" s="225">
        <f t="shared" si="67"/>
        <v>8.8666666666666671</v>
      </c>
      <c r="U118" s="226">
        <f t="shared" si="58"/>
        <v>1</v>
      </c>
      <c r="V118" s="227">
        <f t="shared" si="68"/>
        <v>9.9700000000000006</v>
      </c>
      <c r="W118" s="228">
        <f t="shared" si="59"/>
        <v>0.83333333333333337</v>
      </c>
      <c r="X118" s="144">
        <f t="shared" si="60"/>
        <v>15.511111111111111</v>
      </c>
      <c r="Y118" s="144">
        <f t="shared" si="61"/>
        <v>17.399999999999999</v>
      </c>
      <c r="Z118" s="144">
        <f t="shared" si="62"/>
        <v>16.595555555555556</v>
      </c>
      <c r="AA118" s="205"/>
      <c r="AB118" s="357" t="str">
        <f>VLOOKUP($B118,'2007-2020 Metadata'!$A$4:$S$214,MATCH("Urban Area /Monitoring Zone",'2007-2020 Metadata'!$A$4:$S$4,0),FALSE)</f>
        <v xml:space="preserve">Kapiti </v>
      </c>
      <c r="AC118" s="229" t="str">
        <f>VLOOKUP(B118,'2007-2020 Metadata'!$A$6:$A$214,1,FALSE)</f>
        <v>WEL063</v>
      </c>
      <c r="AD118" s="230" t="str">
        <f>VLOOKUP($AC118,'2007-2020 Metadata'!$A$6:$S$214,9,FALSE)</f>
        <v>Kapiti Coast</v>
      </c>
      <c r="AE118" s="230">
        <f>IF(ISBLANK(VLOOKUP($AC118,'2007-2020 Metadata'!$A$6:$S$214,19,FALSE)),"",VLOOKUP($AC118,'2007-2020 Metadata'!$A$6:$S$214,19,FALSE))</f>
        <v>3.5</v>
      </c>
      <c r="AF118" s="88" t="str">
        <f>VLOOKUP($B118,'2007-2020 Metadata'!$A$4:$S$214,MATCH("Site type",'2007-2020 Metadata'!$A$4:$S$4,0),FALSE)</f>
        <v>Local (ex SH)</v>
      </c>
      <c r="AG118" s="143">
        <f t="shared" si="63"/>
        <v>5.5</v>
      </c>
      <c r="AH118" s="143">
        <f t="shared" si="64"/>
        <v>13.7</v>
      </c>
      <c r="AI118" s="144">
        <f t="shared" si="65"/>
        <v>16.595555555555556</v>
      </c>
    </row>
    <row r="119" spans="2:35" ht="12" customHeight="1" x14ac:dyDescent="0.15">
      <c r="B119" s="231" t="s">
        <v>142</v>
      </c>
      <c r="C119" s="222">
        <v>14.3</v>
      </c>
      <c r="D119" s="222">
        <v>24.8</v>
      </c>
      <c r="E119" s="222">
        <v>25.1</v>
      </c>
      <c r="F119" s="222">
        <v>27.2</v>
      </c>
      <c r="G119" s="222">
        <v>32.4</v>
      </c>
      <c r="H119" s="222">
        <v>36</v>
      </c>
      <c r="I119" s="222">
        <v>26</v>
      </c>
      <c r="J119" s="222">
        <v>22.7</v>
      </c>
      <c r="K119" s="222">
        <v>26.6</v>
      </c>
      <c r="L119" s="222">
        <v>20.2</v>
      </c>
      <c r="M119" s="222">
        <v>13.5</v>
      </c>
      <c r="N119" s="222">
        <v>18.8</v>
      </c>
      <c r="O119" s="223">
        <f t="shared" si="54"/>
        <v>23.966666666666665</v>
      </c>
      <c r="P119" s="223">
        <f t="shared" si="55"/>
        <v>26.523499173430327</v>
      </c>
      <c r="Q119" s="224">
        <f t="shared" si="56"/>
        <v>1</v>
      </c>
      <c r="R119" s="225">
        <f t="shared" si="66"/>
        <v>21.400000000000002</v>
      </c>
      <c r="S119" s="226">
        <f t="shared" si="57"/>
        <v>1</v>
      </c>
      <c r="T119" s="225">
        <f t="shared" si="67"/>
        <v>25.100000000000005</v>
      </c>
      <c r="U119" s="226">
        <f t="shared" si="58"/>
        <v>1</v>
      </c>
      <c r="V119" s="227">
        <f t="shared" si="68"/>
        <v>23.966666666666665</v>
      </c>
      <c r="W119" s="228">
        <f t="shared" si="59"/>
        <v>1</v>
      </c>
      <c r="X119" s="144">
        <f t="shared" si="60"/>
        <v>19.633333333333336</v>
      </c>
      <c r="Y119" s="144">
        <f t="shared" si="61"/>
        <v>20.595833333333331</v>
      </c>
      <c r="Z119" s="144">
        <f t="shared" si="62"/>
        <v>21.400413223140497</v>
      </c>
      <c r="AA119" s="205"/>
      <c r="AB119" s="357" t="str">
        <f>VLOOKUP($B119,'2007-2020 Metadata'!$A$4:$S$214,MATCH("Urban Area /Monitoring Zone",'2007-2020 Metadata'!$A$4:$S$4,0),FALSE)</f>
        <v>Wellington</v>
      </c>
      <c r="AC119" s="229" t="str">
        <f>VLOOKUP(B119,'2007-2020 Metadata'!$A$6:$A$214,1,FALSE)</f>
        <v>WEL064</v>
      </c>
      <c r="AD119" s="230" t="str">
        <f>VLOOKUP($AC119,'2007-2020 Metadata'!$A$6:$S$214,9,FALSE)</f>
        <v>Wellington</v>
      </c>
      <c r="AE119" s="230">
        <f>IF(ISBLANK(VLOOKUP($AC119,'2007-2020 Metadata'!$A$6:$S$214,19,FALSE)),"",VLOOKUP($AC119,'2007-2020 Metadata'!$A$6:$S$214,19,FALSE))</f>
        <v>4</v>
      </c>
      <c r="AF119" s="88" t="str">
        <f>VLOOKUP($B119,'2007-2020 Metadata'!$A$4:$S$214,MATCH("Site type",'2007-2020 Metadata'!$A$4:$S$4,0),FALSE)</f>
        <v>SH</v>
      </c>
      <c r="AG119" s="143">
        <f t="shared" si="63"/>
        <v>13.5</v>
      </c>
      <c r="AH119" s="143">
        <f t="shared" si="64"/>
        <v>36</v>
      </c>
      <c r="AI119" s="144">
        <f t="shared" si="65"/>
        <v>21.400413223140497</v>
      </c>
    </row>
    <row r="120" spans="2:35" ht="12" customHeight="1" x14ac:dyDescent="0.15">
      <c r="B120" s="231" t="s">
        <v>479</v>
      </c>
      <c r="C120" s="222">
        <v>5.0999999999999996</v>
      </c>
      <c r="D120" s="222">
        <v>7.1</v>
      </c>
      <c r="E120" s="222">
        <v>7.3</v>
      </c>
      <c r="F120" s="222">
        <v>8</v>
      </c>
      <c r="G120" s="222">
        <v>10</v>
      </c>
      <c r="H120" s="222">
        <v>11.3</v>
      </c>
      <c r="I120" s="222">
        <v>8.9</v>
      </c>
      <c r="J120" s="222">
        <v>7</v>
      </c>
      <c r="K120" s="222">
        <v>7.6</v>
      </c>
      <c r="L120" s="222">
        <v>5.4</v>
      </c>
      <c r="M120" s="222">
        <v>5.7</v>
      </c>
      <c r="N120" s="222">
        <v>5.6</v>
      </c>
      <c r="O120" s="223">
        <f t="shared" si="54"/>
        <v>7.4166666666666652</v>
      </c>
      <c r="P120" s="223">
        <f t="shared" si="55"/>
        <v>24.707862613751839</v>
      </c>
      <c r="Q120" s="224">
        <f t="shared" si="56"/>
        <v>1</v>
      </c>
      <c r="R120" s="225">
        <f t="shared" si="66"/>
        <v>6.5</v>
      </c>
      <c r="S120" s="226">
        <f t="shared" si="57"/>
        <v>1</v>
      </c>
      <c r="T120" s="225">
        <f t="shared" si="67"/>
        <v>7.833333333333333</v>
      </c>
      <c r="U120" s="226">
        <f t="shared" si="58"/>
        <v>1</v>
      </c>
      <c r="V120" s="227">
        <f t="shared" si="68"/>
        <v>7.4166666666666652</v>
      </c>
      <c r="W120" s="228">
        <f t="shared" si="59"/>
        <v>1</v>
      </c>
      <c r="X120" s="144">
        <f t="shared" si="60"/>
        <v>16.858333333333334</v>
      </c>
      <c r="Y120" s="144">
        <f t="shared" si="61"/>
        <v>22.658333333333331</v>
      </c>
      <c r="Z120" s="144">
        <f t="shared" si="62"/>
        <v>20.817840909090908</v>
      </c>
      <c r="AA120" s="205"/>
      <c r="AB120" s="357" t="str">
        <f>VLOOKUP($B120,'2007-2020 Metadata'!$A$4:$S$214,MATCH("Urban Area /Monitoring Zone",'2007-2020 Metadata'!$A$4:$S$4,0),FALSE)</f>
        <v>Porirua</v>
      </c>
      <c r="AC120" s="229" t="str">
        <f>VLOOKUP(B120,'2007-2020 Metadata'!$A$6:$A$214,1,FALSE)</f>
        <v>WEL072</v>
      </c>
      <c r="AD120" s="230" t="str">
        <f>VLOOKUP($AC120,'2007-2020 Metadata'!$A$6:$S$214,9,FALSE)</f>
        <v>Porirua</v>
      </c>
      <c r="AE120" s="230">
        <f>IF(ISBLANK(VLOOKUP($AC120,'2007-2020 Metadata'!$A$6:$S$214,19,FALSE)),"",VLOOKUP($AC120,'2007-2020 Metadata'!$A$6:$S$214,19,FALSE))</f>
        <v>3</v>
      </c>
      <c r="AF120" s="88" t="str">
        <f>VLOOKUP($B120,'2007-2020 Metadata'!$A$4:$S$214,MATCH("Site type",'2007-2020 Metadata'!$A$4:$S$4,0),FALSE)</f>
        <v>Background</v>
      </c>
      <c r="AG120" s="143">
        <f t="shared" si="63"/>
        <v>5.0999999999999996</v>
      </c>
      <c r="AH120" s="143">
        <f t="shared" si="64"/>
        <v>11.3</v>
      </c>
      <c r="AI120" s="144">
        <f t="shared" si="65"/>
        <v>20.817840909090908</v>
      </c>
    </row>
    <row r="121" spans="2:35" ht="12" customHeight="1" x14ac:dyDescent="0.15">
      <c r="B121" s="231" t="s">
        <v>503</v>
      </c>
      <c r="C121" s="222">
        <v>15.2</v>
      </c>
      <c r="D121" s="222">
        <v>20.7</v>
      </c>
      <c r="E121" s="222">
        <v>23.8</v>
      </c>
      <c r="F121" s="222">
        <v>23</v>
      </c>
      <c r="G121" s="222">
        <v>26.3</v>
      </c>
      <c r="H121" s="222">
        <v>31</v>
      </c>
      <c r="I121" s="222">
        <v>24.8</v>
      </c>
      <c r="J121" s="222">
        <v>19.7</v>
      </c>
      <c r="K121" s="222">
        <v>20.6</v>
      </c>
      <c r="L121" s="222">
        <v>19.7</v>
      </c>
      <c r="M121" s="222">
        <v>16.3</v>
      </c>
      <c r="N121" s="222">
        <v>14.1</v>
      </c>
      <c r="O121" s="223">
        <f t="shared" si="54"/>
        <v>21.266666666666666</v>
      </c>
      <c r="P121" s="223">
        <f t="shared" si="55"/>
        <v>21.907998480047347</v>
      </c>
      <c r="Q121" s="224">
        <f t="shared" si="56"/>
        <v>1</v>
      </c>
      <c r="R121" s="251">
        <f t="shared" si="66"/>
        <v>19.900000000000002</v>
      </c>
      <c r="S121" s="252">
        <f t="shared" si="57"/>
        <v>1</v>
      </c>
      <c r="T121" s="251">
        <f t="shared" si="67"/>
        <v>21.7</v>
      </c>
      <c r="U121" s="252">
        <f t="shared" si="58"/>
        <v>1</v>
      </c>
      <c r="V121" s="253">
        <f t="shared" si="68"/>
        <v>21.266666666666666</v>
      </c>
      <c r="W121" s="252">
        <f t="shared" si="59"/>
        <v>1</v>
      </c>
      <c r="X121" s="177">
        <f t="shared" si="60"/>
        <v>19.633333333333336</v>
      </c>
      <c r="Y121" s="177">
        <f t="shared" si="61"/>
        <v>20.595833333333331</v>
      </c>
      <c r="Z121" s="177">
        <f t="shared" si="62"/>
        <v>21.400413223140497</v>
      </c>
      <c r="AA121" s="205"/>
      <c r="AB121" s="357" t="str">
        <f>VLOOKUP($B121,'2007-2020 Metadata'!$A$4:$S$214,MATCH("Urban Area /Monitoring Zone",'2007-2020 Metadata'!$A$4:$S$4,0),FALSE)</f>
        <v>Wellington</v>
      </c>
      <c r="AC121" s="255" t="str">
        <f>VLOOKUP(B121,'2007-2020 Metadata'!$A$6:$A$214,1,FALSE)</f>
        <v>WEL073</v>
      </c>
      <c r="AD121" s="256" t="str">
        <f>VLOOKUP($AC121,'2007-2020 Metadata'!$A$6:$S$214,9,FALSE)</f>
        <v>Wellington</v>
      </c>
      <c r="AE121" s="256">
        <f>IF(ISBLANK(VLOOKUP($AC121,'2007-2020 Metadata'!$A$6:$S$214,19,FALSE)),"",VLOOKUP($AC121,'2007-2020 Metadata'!$A$6:$S$214,19,FALSE))</f>
        <v>4</v>
      </c>
      <c r="AF121" s="257" t="str">
        <f>VLOOKUP($B121,'2007-2020 Metadata'!$A$4:$S$214,MATCH("Site type",'2007-2020 Metadata'!$A$4:$S$4,0),FALSE)</f>
        <v>SH</v>
      </c>
      <c r="AG121" s="258">
        <f>MIN(AVERAGE($C$121:$C$123),AVERAGE($D$121:$D$123),AVERAGE($E$121:$E$123),AVERAGE($F$121:$F$123),AVERAGE($G$121:$G$123),AVERAGE($H$121:$H$123),AVERAGE($I$121:$I$123),AVERAGE($J$121:$J$123),AVERAGE($K$121:$K$123),AVERAGE($L$121:$L$123),AVERAGE($M$121:$M$123),AVERAGE($N$121:$N$123))</f>
        <v>14.4</v>
      </c>
      <c r="AH121" s="258">
        <f>MAX(AVERAGE($C$121:$C$123),AVERAGE($D$121:$D$123),AVERAGE($E$121:$E$123),AVERAGE($F$121:$F$123),AVERAGE($G$121:$G$123),AVERAGE($H$121:$H$123),AVERAGE($I$121:$I$123),AVERAGE($J$121:$J$123),AVERAGE($K$121:$K$123),AVERAGE($L$121:$L$123),AVERAGE($M$121:$M$123),AVERAGE($N$121:$N$123))</f>
        <v>29.833333333333332</v>
      </c>
      <c r="AI121" s="177">
        <f t="shared" si="65"/>
        <v>21.400413223140497</v>
      </c>
    </row>
    <row r="122" spans="2:35" ht="12" customHeight="1" x14ac:dyDescent="0.15">
      <c r="B122" s="231" t="s">
        <v>505</v>
      </c>
      <c r="C122" s="222">
        <v>16.5</v>
      </c>
      <c r="D122" s="222">
        <v>20.5</v>
      </c>
      <c r="E122" s="222">
        <v>20.3</v>
      </c>
      <c r="F122" s="222">
        <v>23.3</v>
      </c>
      <c r="G122" s="222">
        <v>33.1</v>
      </c>
      <c r="H122" s="222">
        <v>30.1</v>
      </c>
      <c r="I122" s="222">
        <v>23.1</v>
      </c>
      <c r="J122" s="222">
        <v>22.6</v>
      </c>
      <c r="K122" s="222">
        <v>21.4</v>
      </c>
      <c r="L122" s="222">
        <v>20</v>
      </c>
      <c r="M122" s="222">
        <v>16.600000000000001</v>
      </c>
      <c r="N122" s="222">
        <v>14.8</v>
      </c>
      <c r="O122" s="223">
        <f t="shared" si="54"/>
        <v>21.858333333333331</v>
      </c>
      <c r="P122" s="223">
        <f t="shared" si="55"/>
        <v>23.349591864231776</v>
      </c>
      <c r="Q122" s="224">
        <f t="shared" si="56"/>
        <v>1</v>
      </c>
      <c r="R122" s="251">
        <f t="shared" si="66"/>
        <v>19.099999999999998</v>
      </c>
      <c r="S122" s="252">
        <f t="shared" si="57"/>
        <v>1</v>
      </c>
      <c r="T122" s="251">
        <f t="shared" si="67"/>
        <v>22.366666666666664</v>
      </c>
      <c r="U122" s="252">
        <f t="shared" si="58"/>
        <v>1</v>
      </c>
      <c r="V122" s="253">
        <f t="shared" si="68"/>
        <v>21.858333333333331</v>
      </c>
      <c r="W122" s="252">
        <f t="shared" si="59"/>
        <v>1</v>
      </c>
      <c r="X122" s="177">
        <f t="shared" si="60"/>
        <v>19.633333333333336</v>
      </c>
      <c r="Y122" s="177">
        <f t="shared" si="61"/>
        <v>20.595833333333331</v>
      </c>
      <c r="Z122" s="177">
        <f t="shared" si="62"/>
        <v>21.400413223140497</v>
      </c>
      <c r="AA122" s="205"/>
      <c r="AB122" s="357" t="str">
        <f>VLOOKUP($B122,'2007-2020 Metadata'!$A$4:$S$214,MATCH("Urban Area /Monitoring Zone",'2007-2020 Metadata'!$A$4:$S$4,0),FALSE)</f>
        <v>Wellington</v>
      </c>
      <c r="AC122" s="255" t="str">
        <f>VLOOKUP(B122,'2007-2020 Metadata'!$A$6:$A$214,1,FALSE)</f>
        <v>WEL074</v>
      </c>
      <c r="AD122" s="256" t="str">
        <f>VLOOKUP($AC122,'2007-2020 Metadata'!$A$6:$S$214,9,FALSE)</f>
        <v>Wellington</v>
      </c>
      <c r="AE122" s="256">
        <f>IF(ISBLANK(VLOOKUP($AC122,'2007-2020 Metadata'!$A$6:$S$214,19,FALSE)),"",VLOOKUP($AC122,'2007-2020 Metadata'!$A$6:$S$214,19,FALSE))</f>
        <v>4</v>
      </c>
      <c r="AF122" s="257" t="str">
        <f>VLOOKUP($B122,'2007-2020 Metadata'!$A$4:$S$214,MATCH("Site type",'2007-2020 Metadata'!$A$4:$S$4,0),FALSE)</f>
        <v>SH</v>
      </c>
      <c r="AG122" s="258">
        <f>MIN(AVERAGE($C$121:$C$123),AVERAGE($D$121:$D$123),AVERAGE($E$121:$E$123),AVERAGE($F$121:$F$123),AVERAGE($G$121:$G$123),AVERAGE($H$121:$H$123),AVERAGE($I$121:$I$123),AVERAGE($J$121:$J$123),AVERAGE($K$121:$K$123),AVERAGE($L$121:$L$123),AVERAGE($M$121:$M$123),AVERAGE($N$121:$N$123))</f>
        <v>14.4</v>
      </c>
      <c r="AH122" s="258">
        <f>MAX(AVERAGE($C$121:$C$123),AVERAGE($D$121:$D$123),AVERAGE($E$121:$E$123),AVERAGE($F$121:$F$123),AVERAGE($G$121:$G$123),AVERAGE($H$121:$H$123),AVERAGE($I$121:$I$123),AVERAGE($J$121:$J$123),AVERAGE($K$121:$K$123),AVERAGE($L$121:$L$123),AVERAGE($M$121:$M$123),AVERAGE($N$121:$N$123))</f>
        <v>29.833333333333332</v>
      </c>
      <c r="AI122" s="177">
        <f t="shared" si="65"/>
        <v>21.400413223140497</v>
      </c>
    </row>
    <row r="123" spans="2:35" ht="12" customHeight="1" x14ac:dyDescent="0.15">
      <c r="B123" s="231" t="s">
        <v>506</v>
      </c>
      <c r="C123" s="222">
        <v>15.8</v>
      </c>
      <c r="D123" s="222">
        <v>19.2</v>
      </c>
      <c r="E123" s="222">
        <v>22</v>
      </c>
      <c r="F123" s="222">
        <v>20.8</v>
      </c>
      <c r="G123" s="222">
        <v>26.3</v>
      </c>
      <c r="H123" s="222">
        <v>28.4</v>
      </c>
      <c r="I123" s="222">
        <v>25.5</v>
      </c>
      <c r="J123" s="222">
        <v>23.6</v>
      </c>
      <c r="K123" s="222">
        <v>20.7</v>
      </c>
      <c r="L123" s="222">
        <v>20.9</v>
      </c>
      <c r="M123" s="222">
        <v>13.9</v>
      </c>
      <c r="N123" s="222">
        <v>14.3</v>
      </c>
      <c r="O123" s="223">
        <f t="shared" si="54"/>
        <v>20.95</v>
      </c>
      <c r="P123" s="223">
        <f t="shared" si="55"/>
        <v>21.192726130778329</v>
      </c>
      <c r="Q123" s="224">
        <f t="shared" si="56"/>
        <v>1</v>
      </c>
      <c r="R123" s="251">
        <f t="shared" si="66"/>
        <v>19</v>
      </c>
      <c r="S123" s="252">
        <f t="shared" si="57"/>
        <v>1</v>
      </c>
      <c r="T123" s="251">
        <f t="shared" si="67"/>
        <v>23.266666666666666</v>
      </c>
      <c r="U123" s="252">
        <f t="shared" si="58"/>
        <v>1</v>
      </c>
      <c r="V123" s="253">
        <f t="shared" si="68"/>
        <v>20.95</v>
      </c>
      <c r="W123" s="252">
        <f t="shared" si="59"/>
        <v>1</v>
      </c>
      <c r="X123" s="177">
        <f t="shared" si="60"/>
        <v>19.633333333333336</v>
      </c>
      <c r="Y123" s="177">
        <f t="shared" si="61"/>
        <v>20.595833333333331</v>
      </c>
      <c r="Z123" s="177">
        <f t="shared" si="62"/>
        <v>21.400413223140497</v>
      </c>
      <c r="AA123" s="205"/>
      <c r="AB123" s="357" t="str">
        <f>VLOOKUP($B123,'2007-2020 Metadata'!$A$4:$S$214,MATCH("Urban Area /Monitoring Zone",'2007-2020 Metadata'!$A$4:$S$4,0),FALSE)</f>
        <v>Wellington</v>
      </c>
      <c r="AC123" s="255" t="str">
        <f>VLOOKUP(B123,'2007-2020 Metadata'!$A$6:$A$214,1,FALSE)</f>
        <v>WEL075</v>
      </c>
      <c r="AD123" s="256" t="str">
        <f>VLOOKUP($AC123,'2007-2020 Metadata'!$A$6:$S$214,9,FALSE)</f>
        <v>Wellington</v>
      </c>
      <c r="AE123" s="256">
        <f>IF(ISBLANK(VLOOKUP($AC123,'2007-2020 Metadata'!$A$6:$S$214,19,FALSE)),"",VLOOKUP($AC123,'2007-2020 Metadata'!$A$6:$S$214,19,FALSE))</f>
        <v>4</v>
      </c>
      <c r="AF123" s="257" t="str">
        <f>VLOOKUP($B123,'2007-2020 Metadata'!$A$4:$S$214,MATCH("Site type",'2007-2020 Metadata'!$A$4:$S$4,0),FALSE)</f>
        <v>SH</v>
      </c>
      <c r="AG123" s="258">
        <f>MIN(AVERAGE($C$121:$C$123),AVERAGE($D$121:$D$123),AVERAGE($E$121:$E$123),AVERAGE($F$121:$F$123),AVERAGE($G$121:$G$123),AVERAGE($H$121:$H$123),AVERAGE($I$121:$I$123),AVERAGE($J$121:$J$123),AVERAGE($K$121:$K$123),AVERAGE($L$121:$L$123),AVERAGE($M$121:$M$123),AVERAGE($N$121:$N$123))</f>
        <v>14.4</v>
      </c>
      <c r="AH123" s="258">
        <f>MAX(AVERAGE($C$121:$C$123),AVERAGE($D$121:$D$123),AVERAGE($E$121:$E$123),AVERAGE($F$121:$F$123),AVERAGE($G$121:$G$123),AVERAGE($H$121:$H$123),AVERAGE($I$121:$I$123),AVERAGE($J$121:$J$123),AVERAGE($K$121:$K$123),AVERAGE($L$121:$L$123),AVERAGE($M$121:$M$123),AVERAGE($N$121:$N$123))</f>
        <v>29.833333333333332</v>
      </c>
      <c r="AI123" s="177">
        <f t="shared" si="65"/>
        <v>21.400413223140497</v>
      </c>
    </row>
    <row r="124" spans="2:35" ht="12" customHeight="1" x14ac:dyDescent="0.15">
      <c r="B124" s="231" t="s">
        <v>513</v>
      </c>
      <c r="C124" s="222">
        <v>8.9</v>
      </c>
      <c r="D124" s="222">
        <v>13.6</v>
      </c>
      <c r="E124" s="222">
        <v>15.6</v>
      </c>
      <c r="F124" s="222">
        <v>15.3</v>
      </c>
      <c r="G124" s="222">
        <v>22.5</v>
      </c>
      <c r="H124" s="222">
        <v>25.3</v>
      </c>
      <c r="I124" s="222">
        <v>16.8</v>
      </c>
      <c r="J124" s="222">
        <v>16.2</v>
      </c>
      <c r="K124" s="222">
        <v>13.3</v>
      </c>
      <c r="L124" s="222">
        <v>10</v>
      </c>
      <c r="M124" s="222">
        <v>10.6</v>
      </c>
      <c r="N124" s="222">
        <v>8.6</v>
      </c>
      <c r="O124" s="223">
        <f t="shared" si="54"/>
        <v>14.725</v>
      </c>
      <c r="P124" s="223">
        <f t="shared" si="55"/>
        <v>33.6112965243424</v>
      </c>
      <c r="Q124" s="224">
        <f t="shared" si="56"/>
        <v>1</v>
      </c>
      <c r="R124" s="225">
        <f t="shared" si="66"/>
        <v>12.700000000000001</v>
      </c>
      <c r="S124" s="226">
        <f t="shared" si="57"/>
        <v>1</v>
      </c>
      <c r="T124" s="225">
        <f t="shared" si="67"/>
        <v>15.433333333333332</v>
      </c>
      <c r="U124" s="226">
        <f t="shared" si="58"/>
        <v>1</v>
      </c>
      <c r="V124" s="227">
        <f t="shared" si="68"/>
        <v>14.725</v>
      </c>
      <c r="W124" s="228">
        <f t="shared" si="59"/>
        <v>1</v>
      </c>
      <c r="X124" s="144">
        <f t="shared" si="60"/>
        <v>14.653333333333332</v>
      </c>
      <c r="Y124" s="144">
        <f t="shared" si="61"/>
        <v>17.861111111111114</v>
      </c>
      <c r="Z124" s="144">
        <f t="shared" si="62"/>
        <v>17.796666666666667</v>
      </c>
      <c r="AA124" s="205"/>
      <c r="AB124" s="357" t="str">
        <f>VLOOKUP($B124,'2007-2020 Metadata'!$A$4:$S$214,MATCH("Urban Area /Monitoring Zone",'2007-2020 Metadata'!$A$4:$S$4,0),FALSE)</f>
        <v>Lower Hutt</v>
      </c>
      <c r="AC124" s="229" t="str">
        <f>VLOOKUP(B124,'2007-2020 Metadata'!$A$6:$A$214,1,FALSE)</f>
        <v>WEL078</v>
      </c>
      <c r="AD124" s="230" t="str">
        <f>VLOOKUP($AC124,'2007-2020 Metadata'!$A$6:$S$214,9,FALSE)</f>
        <v>Lower Hutt</v>
      </c>
      <c r="AE124" s="230">
        <f>IF(ISBLANK(VLOOKUP($AC124,'2007-2020 Metadata'!$A$6:$S$214,19,FALSE)),"",VLOOKUP($AC124,'2007-2020 Metadata'!$A$6:$S$214,19,FALSE))</f>
        <v>3</v>
      </c>
      <c r="AF124" s="88" t="str">
        <f>VLOOKUP($B124,'2007-2020 Metadata'!$A$4:$S$214,MATCH("Site type",'2007-2020 Metadata'!$A$4:$S$4,0),FALSE)</f>
        <v>SH</v>
      </c>
      <c r="AG124" s="143">
        <f t="shared" si="63"/>
        <v>8.6</v>
      </c>
      <c r="AH124" s="143">
        <f t="shared" si="64"/>
        <v>25.3</v>
      </c>
      <c r="AI124" s="144">
        <f t="shared" si="65"/>
        <v>17.796666666666667</v>
      </c>
    </row>
    <row r="125" spans="2:35" ht="12" customHeight="1" x14ac:dyDescent="0.15">
      <c r="B125" s="231" t="s">
        <v>519</v>
      </c>
      <c r="C125" s="222">
        <v>12.2</v>
      </c>
      <c r="D125" s="222">
        <v>20.399999999999999</v>
      </c>
      <c r="E125" s="222">
        <v>24.7</v>
      </c>
      <c r="F125" s="222">
        <v>24.9</v>
      </c>
      <c r="G125" s="222">
        <v>28</v>
      </c>
      <c r="H125" s="222">
        <v>30.2</v>
      </c>
      <c r="I125" s="222">
        <v>23.2</v>
      </c>
      <c r="J125" s="222">
        <v>25.3</v>
      </c>
      <c r="K125" s="222">
        <v>22.9</v>
      </c>
      <c r="L125" s="222">
        <v>19.2</v>
      </c>
      <c r="M125" s="222">
        <v>15.8</v>
      </c>
      <c r="N125" s="222">
        <v>14.3</v>
      </c>
      <c r="O125" s="223">
        <f t="shared" si="54"/>
        <v>21.758333333333329</v>
      </c>
      <c r="P125" s="223">
        <f t="shared" si="55"/>
        <v>24.30310893160561</v>
      </c>
      <c r="Q125" s="224">
        <f t="shared" si="56"/>
        <v>1</v>
      </c>
      <c r="R125" s="225">
        <f t="shared" si="66"/>
        <v>19.099999999999998</v>
      </c>
      <c r="S125" s="226">
        <f t="shared" si="57"/>
        <v>1</v>
      </c>
      <c r="T125" s="225">
        <f t="shared" si="67"/>
        <v>23.8</v>
      </c>
      <c r="U125" s="226">
        <f t="shared" si="58"/>
        <v>1</v>
      </c>
      <c r="V125" s="227">
        <f t="shared" si="68"/>
        <v>21.758333333333329</v>
      </c>
      <c r="W125" s="228">
        <f t="shared" si="59"/>
        <v>1</v>
      </c>
      <c r="X125" s="144">
        <f t="shared" si="60"/>
        <v>16.858333333333334</v>
      </c>
      <c r="Y125" s="144">
        <f t="shared" si="61"/>
        <v>22.658333333333331</v>
      </c>
      <c r="Z125" s="144">
        <f t="shared" si="62"/>
        <v>20.817840909090908</v>
      </c>
      <c r="AA125" s="249"/>
      <c r="AB125" s="357" t="str">
        <f>VLOOKUP($B125,'2007-2020 Metadata'!$A$4:$S$214,MATCH("Urban Area /Monitoring Zone",'2007-2020 Metadata'!$A$4:$S$4,0),FALSE)</f>
        <v>Porirua</v>
      </c>
      <c r="AC125" s="229" t="str">
        <f>VLOOKUP(B125,'2007-2020 Metadata'!$A$6:$A$214,1,FALSE)</f>
        <v>WEL080</v>
      </c>
      <c r="AD125" s="230" t="str">
        <f>VLOOKUP($AC125,'2007-2020 Metadata'!$A$6:$S$214,9,FALSE)</f>
        <v>Porirua</v>
      </c>
      <c r="AE125" s="230">
        <f>IF(ISBLANK(VLOOKUP($AC125,'2007-2020 Metadata'!$A$6:$S$214,19,FALSE)),"",VLOOKUP($AC125,'2007-2020 Metadata'!$A$6:$S$214,19,FALSE))</f>
        <v>3.1</v>
      </c>
      <c r="AF125" s="88" t="str">
        <f>VLOOKUP($B125,'2007-2020 Metadata'!$A$4:$S$214,MATCH("Site type",'2007-2020 Metadata'!$A$4:$S$4,0),FALSE)</f>
        <v>Local</v>
      </c>
      <c r="AG125" s="143">
        <f t="shared" si="63"/>
        <v>12.2</v>
      </c>
      <c r="AH125" s="143">
        <f t="shared" si="64"/>
        <v>30.2</v>
      </c>
      <c r="AI125" s="144">
        <f t="shared" si="65"/>
        <v>20.817840909090908</v>
      </c>
    </row>
    <row r="126" spans="2:35" ht="12" customHeight="1" x14ac:dyDescent="0.15">
      <c r="B126" s="231" t="s">
        <v>521</v>
      </c>
      <c r="C126" s="222">
        <v>19</v>
      </c>
      <c r="D126" s="222">
        <v>20.100000000000001</v>
      </c>
      <c r="E126" s="222">
        <v>22.6</v>
      </c>
      <c r="F126" s="222">
        <v>24.5</v>
      </c>
      <c r="G126" s="222">
        <v>25.4</v>
      </c>
      <c r="H126" s="222">
        <v>24.3</v>
      </c>
      <c r="I126" s="222">
        <v>26.7</v>
      </c>
      <c r="J126" s="222">
        <v>26.7</v>
      </c>
      <c r="K126" s="222">
        <v>26.2</v>
      </c>
      <c r="L126" s="222">
        <v>26</v>
      </c>
      <c r="M126" s="222">
        <v>15.7</v>
      </c>
      <c r="N126" s="222">
        <v>22</v>
      </c>
      <c r="O126" s="223">
        <f t="shared" si="54"/>
        <v>23.266666666666666</v>
      </c>
      <c r="P126" s="223">
        <f t="shared" si="55"/>
        <v>14.379915299586562</v>
      </c>
      <c r="Q126" s="224">
        <f t="shared" si="56"/>
        <v>1</v>
      </c>
      <c r="R126" s="225">
        <f t="shared" si="66"/>
        <v>20.566666666666666</v>
      </c>
      <c r="S126" s="226">
        <f t="shared" si="57"/>
        <v>1</v>
      </c>
      <c r="T126" s="225">
        <f t="shared" si="67"/>
        <v>26.533333333333331</v>
      </c>
      <c r="U126" s="226">
        <f t="shared" si="58"/>
        <v>1</v>
      </c>
      <c r="V126" s="227">
        <f t="shared" si="68"/>
        <v>23.266666666666666</v>
      </c>
      <c r="W126" s="228">
        <f t="shared" si="59"/>
        <v>1</v>
      </c>
      <c r="X126" s="144">
        <f t="shared" si="60"/>
        <v>15.511111111111111</v>
      </c>
      <c r="Y126" s="144">
        <f t="shared" si="61"/>
        <v>17.399999999999999</v>
      </c>
      <c r="Z126" s="144">
        <f t="shared" si="62"/>
        <v>16.595555555555556</v>
      </c>
      <c r="AA126" s="249"/>
      <c r="AB126" s="357" t="str">
        <f>VLOOKUP($B126,'2007-2020 Metadata'!$A$4:$S$214,MATCH("Urban Area /Monitoring Zone",'2007-2020 Metadata'!$A$4:$S$4,0),FALSE)</f>
        <v>Otaki</v>
      </c>
      <c r="AC126" s="229" t="str">
        <f>VLOOKUP(B126,'2007-2020 Metadata'!$A$6:$A$214,1,FALSE)</f>
        <v>WEL087</v>
      </c>
      <c r="AD126" s="230" t="str">
        <f>VLOOKUP($AC126,'2007-2020 Metadata'!$A$6:$S$214,9,FALSE)</f>
        <v>Kapiti Coast</v>
      </c>
      <c r="AE126" s="230">
        <f>IF(ISBLANK(VLOOKUP($AC126,'2007-2020 Metadata'!$A$6:$S$214,19,FALSE)),"",VLOOKUP($AC126,'2007-2020 Metadata'!$A$6:$S$214,19,FALSE))</f>
        <v>3</v>
      </c>
      <c r="AF126" s="88" t="str">
        <f>VLOOKUP($B126,'2007-2020 Metadata'!$A$4:$S$214,MATCH("Site type",'2007-2020 Metadata'!$A$4:$S$4,0),FALSE)</f>
        <v>SH</v>
      </c>
      <c r="AG126" s="143">
        <f t="shared" si="63"/>
        <v>15.7</v>
      </c>
      <c r="AH126" s="143">
        <f t="shared" si="64"/>
        <v>26.7</v>
      </c>
      <c r="AI126" s="144">
        <f t="shared" si="65"/>
        <v>16.595555555555556</v>
      </c>
    </row>
    <row r="127" spans="2:35" ht="12" customHeight="1" x14ac:dyDescent="0.15">
      <c r="B127" s="231" t="s">
        <v>523</v>
      </c>
      <c r="C127" s="222">
        <v>21.6</v>
      </c>
      <c r="D127" s="222"/>
      <c r="E127" s="222">
        <v>32.799999999999997</v>
      </c>
      <c r="F127" s="222">
        <v>35.799999999999997</v>
      </c>
      <c r="G127" s="222">
        <v>38.700000000000003</v>
      </c>
      <c r="H127" s="222">
        <v>39.5</v>
      </c>
      <c r="I127" s="222">
        <v>37.799999999999997</v>
      </c>
      <c r="J127" s="222">
        <v>35.799999999999997</v>
      </c>
      <c r="K127" s="222">
        <v>34.9</v>
      </c>
      <c r="L127" s="222">
        <v>30.7</v>
      </c>
      <c r="M127" s="222">
        <v>34.1</v>
      </c>
      <c r="N127" s="222">
        <v>26.1</v>
      </c>
      <c r="O127" s="223">
        <f t="shared" si="54"/>
        <v>33.436363636363637</v>
      </c>
      <c r="P127" s="223">
        <f t="shared" si="55"/>
        <v>15.594888137678767</v>
      </c>
      <c r="Q127" s="224">
        <f t="shared" si="56"/>
        <v>0.91666666666666663</v>
      </c>
      <c r="R127" s="225">
        <f t="shared" si="66"/>
        <v>27.2</v>
      </c>
      <c r="S127" s="226">
        <f t="shared" si="57"/>
        <v>0.66666666666666663</v>
      </c>
      <c r="T127" s="225">
        <f t="shared" si="67"/>
        <v>36.166666666666664</v>
      </c>
      <c r="U127" s="226">
        <f t="shared" si="58"/>
        <v>1</v>
      </c>
      <c r="V127" s="227">
        <f t="shared" si="68"/>
        <v>33.436363636363637</v>
      </c>
      <c r="W127" s="228">
        <f t="shared" si="59"/>
        <v>0.91666666666666663</v>
      </c>
      <c r="X127" s="144">
        <f t="shared" si="60"/>
        <v>16.858333333333334</v>
      </c>
      <c r="Y127" s="144">
        <f t="shared" si="61"/>
        <v>22.658333333333331</v>
      </c>
      <c r="Z127" s="144">
        <f t="shared" si="62"/>
        <v>20.817840909090908</v>
      </c>
      <c r="AA127" s="249"/>
      <c r="AB127" s="357" t="str">
        <f>VLOOKUP($B127,'2007-2020 Metadata'!$A$4:$S$214,MATCH("Urban Area /Monitoring Zone",'2007-2020 Metadata'!$A$4:$S$4,0),FALSE)</f>
        <v>Porirua</v>
      </c>
      <c r="AC127" s="229" t="str">
        <f>VLOOKUP(B127,'2007-2020 Metadata'!$A$6:$A$214,1,FALSE)</f>
        <v>WEL088</v>
      </c>
      <c r="AD127" s="230" t="str">
        <f>VLOOKUP($AC127,'2007-2020 Metadata'!$A$6:$S$214,9,FALSE)</f>
        <v>Porirua</v>
      </c>
      <c r="AE127" s="230">
        <f>IF(ISBLANK(VLOOKUP($AC127,'2007-2020 Metadata'!$A$6:$S$214,19,FALSE)),"",VLOOKUP($AC127,'2007-2020 Metadata'!$A$6:$S$214,19,FALSE))</f>
        <v>3</v>
      </c>
      <c r="AF127" s="88" t="str">
        <f>VLOOKUP($B127,'2007-2020 Metadata'!$A$4:$S$214,MATCH("Site type",'2007-2020 Metadata'!$A$4:$S$4,0),FALSE)</f>
        <v>SH</v>
      </c>
      <c r="AG127" s="143">
        <f t="shared" si="63"/>
        <v>21.6</v>
      </c>
      <c r="AH127" s="143">
        <f t="shared" si="64"/>
        <v>39.5</v>
      </c>
      <c r="AI127" s="144">
        <f t="shared" si="65"/>
        <v>20.817840909090908</v>
      </c>
    </row>
    <row r="128" spans="2:35" ht="12" customHeight="1" x14ac:dyDescent="0.15">
      <c r="B128" s="231" t="s">
        <v>526</v>
      </c>
      <c r="C128" s="222">
        <v>7.9</v>
      </c>
      <c r="D128" s="222">
        <v>14</v>
      </c>
      <c r="E128" s="222">
        <v>17.2</v>
      </c>
      <c r="F128" s="222">
        <v>16.8</v>
      </c>
      <c r="G128" s="222">
        <v>20.9</v>
      </c>
      <c r="H128" s="222">
        <v>26</v>
      </c>
      <c r="I128" s="222">
        <v>20.3</v>
      </c>
      <c r="J128" s="222">
        <v>19.5</v>
      </c>
      <c r="K128" s="222">
        <v>13.9</v>
      </c>
      <c r="L128" s="222">
        <v>13.8</v>
      </c>
      <c r="M128" s="222">
        <v>13.7</v>
      </c>
      <c r="N128" s="222">
        <v>10.1</v>
      </c>
      <c r="O128" s="223">
        <f t="shared" si="54"/>
        <v>16.174999999999997</v>
      </c>
      <c r="P128" s="223">
        <f t="shared" si="55"/>
        <v>29.618618348658337</v>
      </c>
      <c r="Q128" s="224">
        <f t="shared" si="56"/>
        <v>1</v>
      </c>
      <c r="R128" s="225">
        <f t="shared" si="66"/>
        <v>13.033333333333331</v>
      </c>
      <c r="S128" s="226">
        <f t="shared" si="57"/>
        <v>1</v>
      </c>
      <c r="T128" s="225">
        <f t="shared" si="67"/>
        <v>17.899999999999999</v>
      </c>
      <c r="U128" s="226">
        <f t="shared" si="58"/>
        <v>1</v>
      </c>
      <c r="V128" s="227">
        <f t="shared" si="68"/>
        <v>16.174999999999997</v>
      </c>
      <c r="W128" s="228">
        <f t="shared" si="59"/>
        <v>1</v>
      </c>
      <c r="X128" s="144">
        <f t="shared" si="60"/>
        <v>13.033333333333331</v>
      </c>
      <c r="Y128" s="144">
        <f t="shared" si="61"/>
        <v>13.049999999999999</v>
      </c>
      <c r="Z128" s="144">
        <f t="shared" si="62"/>
        <v>16.174999999999997</v>
      </c>
      <c r="AA128" s="249"/>
      <c r="AB128" s="357" t="str">
        <f>VLOOKUP($B128,'2007-2020 Metadata'!$A$4:$S$214,MATCH("Urban Area /Monitoring Zone",'2007-2020 Metadata'!$A$4:$S$4,0),FALSE)</f>
        <v xml:space="preserve">Masterton </v>
      </c>
      <c r="AC128" s="229" t="str">
        <f>VLOOKUP(B128,'2007-2020 Metadata'!$A$6:$A$214,1,FALSE)</f>
        <v>WEL089</v>
      </c>
      <c r="AD128" s="230" t="str">
        <f>VLOOKUP($AC128,'2007-2020 Metadata'!$A$6:$S$214,9,FALSE)</f>
        <v xml:space="preserve">Masterton </v>
      </c>
      <c r="AE128" s="230">
        <f>IF(ISBLANK(VLOOKUP($AC128,'2007-2020 Metadata'!$A$6:$S$214,19,FALSE)),"",VLOOKUP($AC128,'2007-2020 Metadata'!$A$6:$S$214,19,FALSE))</f>
        <v>3</v>
      </c>
      <c r="AF128" s="88" t="str">
        <f>VLOOKUP($B128,'2007-2020 Metadata'!$A$4:$S$214,MATCH("Site type",'2007-2020 Metadata'!$A$4:$S$4,0),FALSE)</f>
        <v>SH</v>
      </c>
      <c r="AG128" s="143">
        <f t="shared" si="63"/>
        <v>7.9</v>
      </c>
      <c r="AH128" s="143">
        <f t="shared" si="64"/>
        <v>26</v>
      </c>
      <c r="AI128" s="144">
        <f t="shared" si="65"/>
        <v>16.174999999999997</v>
      </c>
    </row>
    <row r="129" spans="2:35" ht="12" customHeight="1" x14ac:dyDescent="0.15">
      <c r="B129" s="231" t="s">
        <v>529</v>
      </c>
      <c r="C129" s="232"/>
      <c r="D129" s="232"/>
      <c r="E129" s="232"/>
      <c r="F129" s="232"/>
      <c r="G129" s="232"/>
      <c r="H129" s="232"/>
      <c r="I129" s="222">
        <v>14.9</v>
      </c>
      <c r="J129" s="222">
        <v>11.1</v>
      </c>
      <c r="K129" s="222">
        <v>9</v>
      </c>
      <c r="L129" s="222">
        <v>8.4</v>
      </c>
      <c r="M129" s="222">
        <v>8.8000000000000007</v>
      </c>
      <c r="N129" s="222">
        <v>6.8</v>
      </c>
      <c r="O129" s="223">
        <f t="shared" si="54"/>
        <v>9.8333333333333339</v>
      </c>
      <c r="P129" s="223">
        <f t="shared" si="55"/>
        <v>26.353615899087213</v>
      </c>
      <c r="Q129" s="224">
        <f t="shared" si="56"/>
        <v>0.5</v>
      </c>
      <c r="R129" s="225" t="str">
        <f t="shared" si="66"/>
        <v/>
      </c>
      <c r="S129" s="226">
        <f t="shared" si="57"/>
        <v>0</v>
      </c>
      <c r="T129" s="225">
        <f t="shared" si="67"/>
        <v>11.666666666666666</v>
      </c>
      <c r="U129" s="226">
        <f t="shared" si="58"/>
        <v>1</v>
      </c>
      <c r="V129" s="227" t="str">
        <f t="shared" si="68"/>
        <v>-</v>
      </c>
      <c r="W129" s="228">
        <f t="shared" si="59"/>
        <v>0.5</v>
      </c>
      <c r="X129" s="144">
        <f t="shared" si="60"/>
        <v>14.653333333333332</v>
      </c>
      <c r="Y129" s="144">
        <f t="shared" si="61"/>
        <v>17.861111111111114</v>
      </c>
      <c r="Z129" s="144">
        <f t="shared" si="62"/>
        <v>17.796666666666667</v>
      </c>
      <c r="AA129" s="249"/>
      <c r="AB129" s="357" t="str">
        <f>VLOOKUP($B129,'2007-2020 Metadata'!$A$4:$S$214,MATCH("Urban Area /Monitoring Zone",'2007-2020 Metadata'!$A$4:$S$4,0),FALSE)</f>
        <v>Lower Hutt</v>
      </c>
      <c r="AC129" s="229" t="str">
        <f>VLOOKUP(B129,'2007-2020 Metadata'!$A$6:$A$214,1,FALSE)</f>
        <v>WEL091</v>
      </c>
      <c r="AD129" s="230" t="str">
        <f>VLOOKUP($AC129,'2007-2020 Metadata'!$A$6:$S$214,9,FALSE)</f>
        <v>Lower Hutt</v>
      </c>
      <c r="AE129" s="230">
        <f>IF(ISBLANK(VLOOKUP($AC129,'2007-2020 Metadata'!$A$6:$S$214,19,FALSE)),"",VLOOKUP($AC129,'2007-2020 Metadata'!$A$6:$S$214,19,FALSE))</f>
        <v>3</v>
      </c>
      <c r="AF129" s="88" t="str">
        <f>VLOOKUP($B129,'2007-2020 Metadata'!$A$4:$S$214,MATCH("Site type",'2007-2020 Metadata'!$A$4:$S$4,0),FALSE)</f>
        <v>Background</v>
      </c>
      <c r="AG129" s="143">
        <f t="shared" si="63"/>
        <v>6.8</v>
      </c>
      <c r="AH129" s="143">
        <f t="shared" si="64"/>
        <v>14.9</v>
      </c>
      <c r="AI129" s="144" t="str">
        <f t="shared" si="65"/>
        <v xml:space="preserve"> </v>
      </c>
    </row>
    <row r="130" spans="2:35" ht="12" customHeight="1" x14ac:dyDescent="0.15">
      <c r="B130" s="231" t="s">
        <v>531</v>
      </c>
      <c r="C130" s="232"/>
      <c r="D130" s="232"/>
      <c r="E130" s="232"/>
      <c r="F130" s="232"/>
      <c r="G130" s="232"/>
      <c r="H130" s="232"/>
      <c r="I130" s="222">
        <v>10.3</v>
      </c>
      <c r="J130" s="222">
        <v>9</v>
      </c>
      <c r="K130" s="222">
        <v>7.2</v>
      </c>
      <c r="L130" s="222">
        <v>4.8</v>
      </c>
      <c r="M130" s="222">
        <v>6.4</v>
      </c>
      <c r="N130" s="222">
        <v>4.7</v>
      </c>
      <c r="O130" s="223">
        <f t="shared" si="54"/>
        <v>7.0666666666666673</v>
      </c>
      <c r="P130" s="223">
        <f t="shared" si="55"/>
        <v>29.111837970206562</v>
      </c>
      <c r="Q130" s="224">
        <f t="shared" si="56"/>
        <v>0.5</v>
      </c>
      <c r="R130" s="225" t="str">
        <f t="shared" si="66"/>
        <v/>
      </c>
      <c r="S130" s="226">
        <f t="shared" si="57"/>
        <v>0</v>
      </c>
      <c r="T130" s="225">
        <f t="shared" si="67"/>
        <v>8.8333333333333339</v>
      </c>
      <c r="U130" s="226">
        <f t="shared" si="58"/>
        <v>1</v>
      </c>
      <c r="V130" s="227" t="str">
        <f t="shared" si="68"/>
        <v>-</v>
      </c>
      <c r="W130" s="228">
        <f t="shared" si="59"/>
        <v>0.5</v>
      </c>
      <c r="X130" s="144" t="str">
        <f t="shared" si="60"/>
        <v/>
      </c>
      <c r="Y130" s="144">
        <f t="shared" si="61"/>
        <v>8.8333333333333339</v>
      </c>
      <c r="Z130" s="144" t="str">
        <f t="shared" si="62"/>
        <v/>
      </c>
      <c r="AA130" s="250"/>
      <c r="AB130" s="357" t="str">
        <f>VLOOKUP($B130,'2007-2020 Metadata'!$A$4:$S$214,MATCH("Urban Area /Monitoring Zone",'2007-2020 Metadata'!$A$4:$S$4,0),FALSE)</f>
        <v xml:space="preserve">Upper Hutt </v>
      </c>
      <c r="AC130" s="229" t="str">
        <f>VLOOKUP(B130,'2007-2020 Metadata'!$A$6:$A$214,1,FALSE)</f>
        <v>WEL092</v>
      </c>
      <c r="AD130" s="230" t="str">
        <f>VLOOKUP($AC130,'2007-2020 Metadata'!$A$6:$S$214,9,FALSE)</f>
        <v xml:space="preserve">Upper Hutt </v>
      </c>
      <c r="AE130" s="230">
        <f>IF(ISBLANK(VLOOKUP($AC130,'2007-2020 Metadata'!$A$6:$S$214,19,FALSE)),"",VLOOKUP($AC130,'2007-2020 Metadata'!$A$6:$S$214,19,FALSE))</f>
        <v>3</v>
      </c>
      <c r="AF130" s="88" t="str">
        <f>VLOOKUP($B130,'2007-2020 Metadata'!$A$4:$S$214,MATCH("Site type",'2007-2020 Metadata'!$A$4:$S$4,0),FALSE)</f>
        <v>Background</v>
      </c>
      <c r="AG130" s="143">
        <f t="shared" si="63"/>
        <v>4.7</v>
      </c>
      <c r="AH130" s="143">
        <f t="shared" si="64"/>
        <v>10.3</v>
      </c>
      <c r="AI130" s="144" t="str">
        <f t="shared" si="65"/>
        <v xml:space="preserve"> </v>
      </c>
    </row>
    <row r="131" spans="2:35" ht="12" customHeight="1" x14ac:dyDescent="0.15">
      <c r="B131" s="231" t="s">
        <v>534</v>
      </c>
      <c r="C131" s="232"/>
      <c r="D131" s="232"/>
      <c r="E131" s="232"/>
      <c r="F131" s="232"/>
      <c r="G131" s="232"/>
      <c r="H131" s="232"/>
      <c r="I131" s="232"/>
      <c r="J131" s="222">
        <v>6.5</v>
      </c>
      <c r="K131" s="222">
        <v>5.4</v>
      </c>
      <c r="L131" s="222">
        <v>5.5</v>
      </c>
      <c r="M131" s="222">
        <v>6.6</v>
      </c>
      <c r="N131" s="222">
        <v>5.6</v>
      </c>
      <c r="O131" s="223">
        <f t="shared" si="54"/>
        <v>5.92</v>
      </c>
      <c r="P131" s="223">
        <f t="shared" si="55"/>
        <v>8.7707803957751125</v>
      </c>
      <c r="Q131" s="224">
        <f t="shared" si="56"/>
        <v>0.41666666666666669</v>
      </c>
      <c r="R131" s="225" t="str">
        <f t="shared" si="66"/>
        <v/>
      </c>
      <c r="S131" s="226">
        <f t="shared" si="57"/>
        <v>0</v>
      </c>
      <c r="T131" s="225">
        <f t="shared" si="67"/>
        <v>5.95</v>
      </c>
      <c r="U131" s="226">
        <f t="shared" si="58"/>
        <v>0.66666666666666663</v>
      </c>
      <c r="V131" s="227" t="str">
        <f t="shared" si="68"/>
        <v>-</v>
      </c>
      <c r="W131" s="228">
        <f t="shared" si="59"/>
        <v>0.41666666666666669</v>
      </c>
      <c r="X131" s="144">
        <f t="shared" si="60"/>
        <v>19.633333333333336</v>
      </c>
      <c r="Y131" s="144">
        <f t="shared" si="61"/>
        <v>20.595833333333331</v>
      </c>
      <c r="Z131" s="144">
        <f t="shared" si="62"/>
        <v>21.400413223140497</v>
      </c>
      <c r="AA131" s="250"/>
      <c r="AB131" s="357" t="str">
        <f>VLOOKUP($B131,'2007-2020 Metadata'!$A$4:$S$214,MATCH("Urban Area /Monitoring Zone",'2007-2020 Metadata'!$A$4:$S$4,0),FALSE)</f>
        <v>Wellington</v>
      </c>
      <c r="AC131" s="229" t="str">
        <f>VLOOKUP(B131,'2007-2020 Metadata'!$A$6:$A$214,1,FALSE)</f>
        <v>WEL094</v>
      </c>
      <c r="AD131" s="230" t="str">
        <f>VLOOKUP($AC131,'2007-2020 Metadata'!$A$6:$S$214,9,FALSE)</f>
        <v>Wellington</v>
      </c>
      <c r="AE131" s="230">
        <f>IF(ISBLANK(VLOOKUP($AC131,'2007-2020 Metadata'!$A$6:$S$214,19,FALSE)),"",VLOOKUP($AC131,'2007-2020 Metadata'!$A$6:$S$214,19,FALSE))</f>
        <v>3</v>
      </c>
      <c r="AF131" s="88" t="str">
        <f>VLOOKUP($B131,'2007-2020 Metadata'!$A$4:$S$214,MATCH("Site type",'2007-2020 Metadata'!$A$4:$S$4,0),FALSE)</f>
        <v>Background</v>
      </c>
      <c r="AG131" s="143">
        <f t="shared" si="63"/>
        <v>5.4</v>
      </c>
      <c r="AH131" s="143">
        <f t="shared" si="64"/>
        <v>6.6</v>
      </c>
      <c r="AI131" s="144" t="str">
        <f t="shared" si="65"/>
        <v xml:space="preserve"> </v>
      </c>
    </row>
    <row r="132" spans="2:35" ht="12" customHeight="1" x14ac:dyDescent="0.15">
      <c r="B132" s="231" t="s">
        <v>536</v>
      </c>
      <c r="C132" s="232"/>
      <c r="D132" s="232"/>
      <c r="E132" s="232"/>
      <c r="F132" s="232"/>
      <c r="G132" s="232"/>
      <c r="H132" s="232"/>
      <c r="I132" s="232"/>
      <c r="J132" s="222">
        <v>9.6</v>
      </c>
      <c r="K132" s="222">
        <v>6.8</v>
      </c>
      <c r="L132" s="222">
        <v>7</v>
      </c>
      <c r="M132" s="222"/>
      <c r="N132" s="222">
        <v>12.8</v>
      </c>
      <c r="O132" s="223">
        <f t="shared" si="54"/>
        <v>9.0500000000000007</v>
      </c>
      <c r="P132" s="223">
        <f t="shared" si="55"/>
        <v>26.856739453561584</v>
      </c>
      <c r="Q132" s="224">
        <f t="shared" si="56"/>
        <v>0.33333333333333331</v>
      </c>
      <c r="R132" s="225" t="str">
        <f t="shared" si="66"/>
        <v/>
      </c>
      <c r="S132" s="226">
        <f t="shared" si="57"/>
        <v>0</v>
      </c>
      <c r="T132" s="225">
        <f t="shared" si="67"/>
        <v>8.1999999999999993</v>
      </c>
      <c r="U132" s="226">
        <f t="shared" si="58"/>
        <v>0.66666666666666663</v>
      </c>
      <c r="V132" s="227" t="str">
        <f t="shared" si="68"/>
        <v>-</v>
      </c>
      <c r="W132" s="228">
        <f t="shared" si="59"/>
        <v>0.33333333333333331</v>
      </c>
      <c r="X132" s="144">
        <f t="shared" si="60"/>
        <v>13.033333333333331</v>
      </c>
      <c r="Y132" s="144">
        <f t="shared" si="61"/>
        <v>13.049999999999999</v>
      </c>
      <c r="Z132" s="144">
        <f t="shared" si="62"/>
        <v>16.174999999999997</v>
      </c>
      <c r="AA132" s="250"/>
      <c r="AB132" s="357" t="str">
        <f>VLOOKUP($B132,'2007-2020 Metadata'!$A$4:$S$214,MATCH("Urban Area /Monitoring Zone",'2007-2020 Metadata'!$A$4:$S$4,0),FALSE)</f>
        <v xml:space="preserve">Masterton </v>
      </c>
      <c r="AC132" s="229" t="str">
        <f>VLOOKUP(B132,'2007-2020 Metadata'!$A$6:$A$214,1,FALSE)</f>
        <v>WEL096</v>
      </c>
      <c r="AD132" s="230" t="str">
        <f>VLOOKUP($AC132,'2007-2020 Metadata'!$A$6:$S$214,9,FALSE)</f>
        <v xml:space="preserve">Masterton </v>
      </c>
      <c r="AE132" s="230">
        <f>IF(ISBLANK(VLOOKUP($AC132,'2007-2020 Metadata'!$A$6:$S$214,19,FALSE)),"",VLOOKUP($AC132,'2007-2020 Metadata'!$A$6:$S$214,19,FALSE))</f>
        <v>3</v>
      </c>
      <c r="AF132" s="88" t="str">
        <f>VLOOKUP($B132,'2007-2020 Metadata'!$A$4:$S$214,MATCH("Site type",'2007-2020 Metadata'!$A$4:$S$4,0),FALSE)</f>
        <v>Background</v>
      </c>
      <c r="AG132" s="143">
        <f t="shared" si="63"/>
        <v>6.8</v>
      </c>
      <c r="AH132" s="143">
        <f t="shared" si="64"/>
        <v>12.8</v>
      </c>
      <c r="AI132" s="144" t="str">
        <f t="shared" si="65"/>
        <v xml:space="preserve"> </v>
      </c>
    </row>
    <row r="133" spans="2:35" ht="12" customHeight="1" x14ac:dyDescent="0.15">
      <c r="B133" s="231" t="s">
        <v>21</v>
      </c>
      <c r="C133" s="222">
        <v>7.6</v>
      </c>
      <c r="D133" s="222">
        <v>9.1</v>
      </c>
      <c r="E133" s="222">
        <v>9.6999999999999993</v>
      </c>
      <c r="F133" s="222">
        <v>13.4</v>
      </c>
      <c r="G133" s="222">
        <v>12.6</v>
      </c>
      <c r="H133" s="222">
        <v>15.4</v>
      </c>
      <c r="I133" s="222">
        <v>11.7</v>
      </c>
      <c r="J133" s="222">
        <v>11.9</v>
      </c>
      <c r="K133" s="222">
        <v>11.4</v>
      </c>
      <c r="L133" s="222">
        <v>9.3000000000000007</v>
      </c>
      <c r="M133" s="222"/>
      <c r="N133" s="222">
        <v>8.6999999999999993</v>
      </c>
      <c r="O133" s="223">
        <f t="shared" si="54"/>
        <v>10.981818181818182</v>
      </c>
      <c r="P133" s="223">
        <f t="shared" si="55"/>
        <v>20.208511881339124</v>
      </c>
      <c r="Q133" s="224">
        <f t="shared" si="56"/>
        <v>0.91666666666666663</v>
      </c>
      <c r="R133" s="225">
        <f t="shared" si="66"/>
        <v>8.7999999999999989</v>
      </c>
      <c r="S133" s="226">
        <f t="shared" si="57"/>
        <v>1</v>
      </c>
      <c r="T133" s="225">
        <f t="shared" si="67"/>
        <v>11.666666666666666</v>
      </c>
      <c r="U133" s="226">
        <f t="shared" si="58"/>
        <v>1</v>
      </c>
      <c r="V133" s="227">
        <f t="shared" si="68"/>
        <v>10.981818181818182</v>
      </c>
      <c r="W133" s="228">
        <f t="shared" si="59"/>
        <v>0.91666666666666663</v>
      </c>
      <c r="X133" s="144">
        <f t="shared" si="60"/>
        <v>8.7999999999999989</v>
      </c>
      <c r="Y133" s="144">
        <f t="shared" si="61"/>
        <v>11.666666666666666</v>
      </c>
      <c r="Z133" s="144">
        <f t="shared" si="62"/>
        <v>10.981818181818182</v>
      </c>
      <c r="AA133" s="249"/>
      <c r="AB133" s="357" t="str">
        <f>VLOOKUP($B133,'2007-2020 Metadata'!$A$4:$S$214,MATCH("Urban Area /Monitoring Zone",'2007-2020 Metadata'!$A$4:$S$4,0),FALSE)</f>
        <v>Greymouth</v>
      </c>
      <c r="AC133" s="229" t="str">
        <f>VLOOKUP(B133,'2007-2020 Metadata'!$A$6:$A$214,1,FALSE)</f>
        <v>CHR001</v>
      </c>
      <c r="AD133" s="230" t="str">
        <f>VLOOKUP($AC133,'2007-2020 Metadata'!$A$6:$S$214,9,FALSE)</f>
        <v>Greymouth</v>
      </c>
      <c r="AE133" s="230">
        <f>IF(ISBLANK(VLOOKUP($AC133,'2007-2020 Metadata'!$A$6:$S$214,19,FALSE)),"",VLOOKUP($AC133,'2007-2020 Metadata'!$A$6:$S$214,19,FALSE))</f>
        <v>2.2999999999999998</v>
      </c>
      <c r="AF133" s="88" t="str">
        <f>VLOOKUP($B133,'2007-2020 Metadata'!$A$4:$S$214,MATCH("Site type",'2007-2020 Metadata'!$A$4:$S$4,0),FALSE)</f>
        <v>SH</v>
      </c>
      <c r="AG133" s="143">
        <f t="shared" si="63"/>
        <v>7.6</v>
      </c>
      <c r="AH133" s="143">
        <f t="shared" si="64"/>
        <v>15.4</v>
      </c>
      <c r="AI133" s="144">
        <f t="shared" si="65"/>
        <v>10.981818181818182</v>
      </c>
    </row>
    <row r="134" spans="2:35" ht="12" customHeight="1" x14ac:dyDescent="0.15">
      <c r="B134" s="231" t="s">
        <v>22</v>
      </c>
      <c r="C134" s="222">
        <v>20.9</v>
      </c>
      <c r="D134" s="222">
        <v>24.7</v>
      </c>
      <c r="E134" s="222">
        <v>32.6</v>
      </c>
      <c r="F134" s="222">
        <v>29.2</v>
      </c>
      <c r="G134" s="222">
        <v>36.5</v>
      </c>
      <c r="H134" s="222">
        <v>39.700000000000003</v>
      </c>
      <c r="I134" s="222">
        <v>39.6</v>
      </c>
      <c r="J134" s="222">
        <v>36.700000000000003</v>
      </c>
      <c r="K134" s="222">
        <v>31</v>
      </c>
      <c r="L134" s="222">
        <v>27</v>
      </c>
      <c r="M134" s="222">
        <v>24.5</v>
      </c>
      <c r="N134" s="222">
        <v>17.8</v>
      </c>
      <c r="O134" s="223">
        <f t="shared" si="54"/>
        <v>30.016666666666666</v>
      </c>
      <c r="P134" s="223">
        <f t="shared" si="55"/>
        <v>23.17669440482404</v>
      </c>
      <c r="Q134" s="224">
        <f t="shared" si="56"/>
        <v>1</v>
      </c>
      <c r="R134" s="225">
        <f t="shared" si="66"/>
        <v>26.066666666666663</v>
      </c>
      <c r="S134" s="226">
        <f t="shared" si="57"/>
        <v>1</v>
      </c>
      <c r="T134" s="225">
        <f t="shared" si="67"/>
        <v>35.766666666666673</v>
      </c>
      <c r="U134" s="226">
        <f t="shared" si="58"/>
        <v>1</v>
      </c>
      <c r="V134" s="227">
        <f t="shared" si="68"/>
        <v>30.016666666666666</v>
      </c>
      <c r="W134" s="228">
        <f t="shared" si="59"/>
        <v>1</v>
      </c>
      <c r="X134" s="144">
        <f t="shared" si="60"/>
        <v>24.677083333333336</v>
      </c>
      <c r="Y134" s="144">
        <f t="shared" si="61"/>
        <v>32.919791666666669</v>
      </c>
      <c r="Z134" s="144">
        <f t="shared" si="62"/>
        <v>28.348418560606063</v>
      </c>
      <c r="AA134" s="249"/>
      <c r="AB134" s="357" t="str">
        <f>VLOOKUP($B134,'2007-2020 Metadata'!$A$4:$S$214,MATCH("Urban Area /Monitoring Zone",'2007-2020 Metadata'!$A$4:$S$4,0),FALSE)</f>
        <v>Christchurch</v>
      </c>
      <c r="AC134" s="229" t="str">
        <f>VLOOKUP(B134,'2007-2020 Metadata'!$A$6:$A$214,1,FALSE)</f>
        <v>CHR002</v>
      </c>
      <c r="AD134" s="230" t="str">
        <f>VLOOKUP($AC134,'2007-2020 Metadata'!$A$6:$S$214,9,FALSE)</f>
        <v>Christchurch</v>
      </c>
      <c r="AE134" s="230">
        <f>IF(ISBLANK(VLOOKUP($AC134,'2007-2020 Metadata'!$A$6:$S$214,19,FALSE)),"",VLOOKUP($AC134,'2007-2020 Metadata'!$A$6:$S$214,19,FALSE))</f>
        <v>3.2</v>
      </c>
      <c r="AF134" s="88" t="str">
        <f>VLOOKUP($B134,'2007-2020 Metadata'!$A$4:$S$214,MATCH("Site type",'2007-2020 Metadata'!$A$4:$S$4,0),FALSE)</f>
        <v>SH</v>
      </c>
      <c r="AG134" s="143">
        <f t="shared" si="63"/>
        <v>17.8</v>
      </c>
      <c r="AH134" s="143">
        <f t="shared" si="64"/>
        <v>39.700000000000003</v>
      </c>
      <c r="AI134" s="144">
        <f t="shared" si="65"/>
        <v>28.348418560606063</v>
      </c>
    </row>
    <row r="135" spans="2:35" ht="12" customHeight="1" x14ac:dyDescent="0.15">
      <c r="B135" s="231" t="s">
        <v>23</v>
      </c>
      <c r="C135" s="222">
        <v>16.600000000000001</v>
      </c>
      <c r="D135" s="222">
        <v>19.2</v>
      </c>
      <c r="E135" s="222">
        <v>32.799999999999997</v>
      </c>
      <c r="F135" s="222">
        <v>31.6</v>
      </c>
      <c r="G135" s="222">
        <v>33.9</v>
      </c>
      <c r="H135" s="222">
        <v>43.6</v>
      </c>
      <c r="I135" s="222">
        <v>39.9</v>
      </c>
      <c r="J135" s="222">
        <v>36.9</v>
      </c>
      <c r="K135" s="222">
        <v>27.1</v>
      </c>
      <c r="L135" s="222">
        <v>21.5</v>
      </c>
      <c r="M135" s="222">
        <v>20.399999999999999</v>
      </c>
      <c r="N135" s="222">
        <v>19.3</v>
      </c>
      <c r="O135" s="223">
        <f t="shared" si="54"/>
        <v>28.566666666666666</v>
      </c>
      <c r="P135" s="223">
        <f t="shared" si="55"/>
        <v>30.568310172382731</v>
      </c>
      <c r="Q135" s="224">
        <f t="shared" si="56"/>
        <v>1</v>
      </c>
      <c r="R135" s="225">
        <f t="shared" si="66"/>
        <v>22.866666666666664</v>
      </c>
      <c r="S135" s="226">
        <f t="shared" si="57"/>
        <v>1</v>
      </c>
      <c r="T135" s="225">
        <f t="shared" si="67"/>
        <v>34.633333333333333</v>
      </c>
      <c r="U135" s="226">
        <f t="shared" si="58"/>
        <v>1</v>
      </c>
      <c r="V135" s="227">
        <f t="shared" si="68"/>
        <v>28.566666666666666</v>
      </c>
      <c r="W135" s="228">
        <f t="shared" si="59"/>
        <v>1</v>
      </c>
      <c r="X135" s="144">
        <f t="shared" si="60"/>
        <v>24.677083333333336</v>
      </c>
      <c r="Y135" s="144">
        <f t="shared" si="61"/>
        <v>32.919791666666669</v>
      </c>
      <c r="Z135" s="144">
        <f t="shared" si="62"/>
        <v>28.348418560606063</v>
      </c>
      <c r="AA135" s="249"/>
      <c r="AB135" s="357" t="str">
        <f>VLOOKUP($B135,'2007-2020 Metadata'!$A$4:$S$214,MATCH("Urban Area /Monitoring Zone",'2007-2020 Metadata'!$A$4:$S$4,0),FALSE)</f>
        <v>Christchurch</v>
      </c>
      <c r="AC135" s="229" t="str">
        <f>VLOOKUP(B135,'2007-2020 Metadata'!$A$6:$A$214,1,FALSE)</f>
        <v>CHR003</v>
      </c>
      <c r="AD135" s="230" t="str">
        <f>VLOOKUP($AC135,'2007-2020 Metadata'!$A$6:$S$214,9,FALSE)</f>
        <v>Christchurch</v>
      </c>
      <c r="AE135" s="230">
        <f>IF(ISBLANK(VLOOKUP($AC135,'2007-2020 Metadata'!$A$6:$S$214,19,FALSE)),"",VLOOKUP($AC135,'2007-2020 Metadata'!$A$6:$S$214,19,FALSE))</f>
        <v>3.3</v>
      </c>
      <c r="AF135" s="88" t="str">
        <f>VLOOKUP($B135,'2007-2020 Metadata'!$A$4:$S$214,MATCH("Site type",'2007-2020 Metadata'!$A$4:$S$4,0),FALSE)</f>
        <v>SH</v>
      </c>
      <c r="AG135" s="143">
        <f t="shared" si="63"/>
        <v>16.600000000000001</v>
      </c>
      <c r="AH135" s="143">
        <f t="shared" si="64"/>
        <v>43.6</v>
      </c>
      <c r="AI135" s="144">
        <f t="shared" si="65"/>
        <v>28.348418560606063</v>
      </c>
    </row>
    <row r="136" spans="2:35" ht="12" customHeight="1" x14ac:dyDescent="0.15">
      <c r="B136" s="231" t="s">
        <v>24</v>
      </c>
      <c r="C136" s="222">
        <v>10</v>
      </c>
      <c r="D136" s="222">
        <v>12.3</v>
      </c>
      <c r="E136" s="222">
        <v>16.2</v>
      </c>
      <c r="F136" s="222">
        <v>18.2</v>
      </c>
      <c r="G136" s="222">
        <v>13.6</v>
      </c>
      <c r="H136" s="222">
        <v>24</v>
      </c>
      <c r="I136" s="222">
        <v>16.899999999999999</v>
      </c>
      <c r="J136" s="222">
        <v>20.3</v>
      </c>
      <c r="K136" s="222">
        <v>12.3</v>
      </c>
      <c r="L136" s="222">
        <v>11.3</v>
      </c>
      <c r="M136" s="222">
        <v>9.1</v>
      </c>
      <c r="N136" s="222">
        <v>8.1</v>
      </c>
      <c r="O136" s="223">
        <f t="shared" si="54"/>
        <v>14.358333333333334</v>
      </c>
      <c r="P136" s="223">
        <f t="shared" si="55"/>
        <v>32.236451798822237</v>
      </c>
      <c r="Q136" s="224">
        <f t="shared" si="56"/>
        <v>1</v>
      </c>
      <c r="R136" s="225">
        <f t="shared" si="66"/>
        <v>12.833333333333334</v>
      </c>
      <c r="S136" s="226">
        <f t="shared" si="57"/>
        <v>1</v>
      </c>
      <c r="T136" s="225">
        <f t="shared" si="67"/>
        <v>16.5</v>
      </c>
      <c r="U136" s="226">
        <f t="shared" si="58"/>
        <v>1</v>
      </c>
      <c r="V136" s="227">
        <f t="shared" si="68"/>
        <v>14.358333333333334</v>
      </c>
      <c r="W136" s="228">
        <f t="shared" si="59"/>
        <v>1</v>
      </c>
      <c r="X136" s="144">
        <f t="shared" si="60"/>
        <v>24.677083333333336</v>
      </c>
      <c r="Y136" s="144">
        <f t="shared" si="61"/>
        <v>32.919791666666669</v>
      </c>
      <c r="Z136" s="144">
        <f t="shared" si="62"/>
        <v>28.348418560606063</v>
      </c>
      <c r="AA136" s="249"/>
      <c r="AB136" s="357" t="str">
        <f>VLOOKUP($B136,'2007-2020 Metadata'!$A$4:$S$214,MATCH("Urban Area /Monitoring Zone",'2007-2020 Metadata'!$A$4:$S$4,0),FALSE)</f>
        <v>Christchurch</v>
      </c>
      <c r="AC136" s="229" t="str">
        <f>VLOOKUP(B136,'2007-2020 Metadata'!$A$6:$A$214,1,FALSE)</f>
        <v>CHR004</v>
      </c>
      <c r="AD136" s="230" t="str">
        <f>VLOOKUP($AC136,'2007-2020 Metadata'!$A$6:$S$214,9,FALSE)</f>
        <v>Christchurch</v>
      </c>
      <c r="AE136" s="230">
        <f>IF(ISBLANK(VLOOKUP($AC136,'2007-2020 Metadata'!$A$6:$S$214,19,FALSE)),"",VLOOKUP($AC136,'2007-2020 Metadata'!$A$6:$S$214,19,FALSE))</f>
        <v>3.1</v>
      </c>
      <c r="AF136" s="88" t="str">
        <f>VLOOKUP($B136,'2007-2020 Metadata'!$A$4:$S$214,MATCH("Site type",'2007-2020 Metadata'!$A$4:$S$4,0),FALSE)</f>
        <v>Background</v>
      </c>
      <c r="AG136" s="143">
        <f t="shared" si="63"/>
        <v>8.1</v>
      </c>
      <c r="AH136" s="143">
        <f t="shared" si="64"/>
        <v>24</v>
      </c>
      <c r="AI136" s="144">
        <f t="shared" si="65"/>
        <v>28.348418560606063</v>
      </c>
    </row>
    <row r="137" spans="2:35" ht="12" customHeight="1" x14ac:dyDescent="0.15">
      <c r="B137" s="231" t="s">
        <v>25</v>
      </c>
      <c r="C137" s="222">
        <v>22.7</v>
      </c>
      <c r="D137" s="222">
        <v>27.8</v>
      </c>
      <c r="E137" s="222">
        <v>38.799999999999997</v>
      </c>
      <c r="F137" s="222">
        <v>36.1</v>
      </c>
      <c r="G137" s="222"/>
      <c r="H137" s="222">
        <v>39.9</v>
      </c>
      <c r="I137" s="222">
        <v>32.6</v>
      </c>
      <c r="J137" s="222">
        <v>32.4</v>
      </c>
      <c r="K137" s="222">
        <v>35.200000000000003</v>
      </c>
      <c r="L137" s="222">
        <v>33.200000000000003</v>
      </c>
      <c r="M137" s="222">
        <v>23.8</v>
      </c>
      <c r="N137" s="222">
        <v>14.5</v>
      </c>
      <c r="O137" s="223">
        <f t="shared" si="54"/>
        <v>30.636363636363637</v>
      </c>
      <c r="P137" s="223">
        <f t="shared" si="55"/>
        <v>24.002761745022575</v>
      </c>
      <c r="Q137" s="224">
        <f t="shared" si="56"/>
        <v>0.91666666666666663</v>
      </c>
      <c r="R137" s="225">
        <f t="shared" si="66"/>
        <v>29.766666666666666</v>
      </c>
      <c r="S137" s="226">
        <f t="shared" si="57"/>
        <v>1</v>
      </c>
      <c r="T137" s="225">
        <f t="shared" si="67"/>
        <v>33.4</v>
      </c>
      <c r="U137" s="226">
        <f t="shared" si="58"/>
        <v>1</v>
      </c>
      <c r="V137" s="227">
        <f t="shared" si="68"/>
        <v>30.636363636363637</v>
      </c>
      <c r="W137" s="228">
        <f t="shared" si="59"/>
        <v>0.91666666666666663</v>
      </c>
      <c r="X137" s="144">
        <f t="shared" si="60"/>
        <v>24.677083333333336</v>
      </c>
      <c r="Y137" s="144">
        <f t="shared" si="61"/>
        <v>32.919791666666669</v>
      </c>
      <c r="Z137" s="144">
        <f t="shared" si="62"/>
        <v>28.348418560606063</v>
      </c>
      <c r="AA137" s="249"/>
      <c r="AB137" s="357" t="str">
        <f>VLOOKUP($B137,'2007-2020 Metadata'!$A$4:$S$214,MATCH("Urban Area /Monitoring Zone",'2007-2020 Metadata'!$A$4:$S$4,0),FALSE)</f>
        <v>Christchurch</v>
      </c>
      <c r="AC137" s="229" t="str">
        <f>VLOOKUP(B137,'2007-2020 Metadata'!$A$6:$A$214,1,FALSE)</f>
        <v>CHR006</v>
      </c>
      <c r="AD137" s="230" t="str">
        <f>VLOOKUP($AC137,'2007-2020 Metadata'!$A$6:$S$214,9,FALSE)</f>
        <v>Christchurch</v>
      </c>
      <c r="AE137" s="230">
        <f>IF(ISBLANK(VLOOKUP($AC137,'2007-2020 Metadata'!$A$6:$S$214,19,FALSE)),"",VLOOKUP($AC137,'2007-2020 Metadata'!$A$6:$S$214,19,FALSE))</f>
        <v>3.4</v>
      </c>
      <c r="AF137" s="88" t="str">
        <f>VLOOKUP($B137,'2007-2020 Metadata'!$A$4:$S$214,MATCH("Site type",'2007-2020 Metadata'!$A$4:$S$4,0),FALSE)</f>
        <v>SH</v>
      </c>
      <c r="AG137" s="143">
        <f t="shared" si="63"/>
        <v>14.5</v>
      </c>
      <c r="AH137" s="143">
        <f t="shared" si="64"/>
        <v>39.9</v>
      </c>
      <c r="AI137" s="144">
        <f t="shared" si="65"/>
        <v>28.348418560606063</v>
      </c>
    </row>
    <row r="138" spans="2:35" ht="12" customHeight="1" x14ac:dyDescent="0.15">
      <c r="B138" s="231" t="s">
        <v>143</v>
      </c>
      <c r="C138" s="222">
        <v>16.2</v>
      </c>
      <c r="D138" s="222">
        <v>20.7</v>
      </c>
      <c r="E138" s="222">
        <v>30.7</v>
      </c>
      <c r="F138" s="222">
        <v>30.2</v>
      </c>
      <c r="G138" s="222">
        <v>34.799999999999997</v>
      </c>
      <c r="H138" s="222">
        <v>39.9</v>
      </c>
      <c r="I138" s="222"/>
      <c r="J138" s="222">
        <v>33.700000000000003</v>
      </c>
      <c r="K138" s="222">
        <v>28.3</v>
      </c>
      <c r="L138" s="222"/>
      <c r="M138" s="222">
        <v>20.9</v>
      </c>
      <c r="N138" s="222">
        <v>18.3</v>
      </c>
      <c r="O138" s="223">
        <f t="shared" si="54"/>
        <v>27.369999999999997</v>
      </c>
      <c r="P138" s="223">
        <f t="shared" si="55"/>
        <v>27.478180070510987</v>
      </c>
      <c r="Q138" s="224">
        <f t="shared" si="56"/>
        <v>0.83333333333333337</v>
      </c>
      <c r="R138" s="225">
        <f t="shared" si="66"/>
        <v>22.533333333333331</v>
      </c>
      <c r="S138" s="226">
        <f t="shared" si="57"/>
        <v>1</v>
      </c>
      <c r="T138" s="225">
        <f t="shared" si="67"/>
        <v>31</v>
      </c>
      <c r="U138" s="226">
        <f t="shared" si="58"/>
        <v>0.66666666666666663</v>
      </c>
      <c r="V138" s="227">
        <f t="shared" si="68"/>
        <v>27.369999999999997</v>
      </c>
      <c r="W138" s="228">
        <f t="shared" si="59"/>
        <v>0.83333333333333337</v>
      </c>
      <c r="X138" s="144">
        <f t="shared" si="60"/>
        <v>24.677083333333336</v>
      </c>
      <c r="Y138" s="144">
        <f t="shared" si="61"/>
        <v>32.919791666666669</v>
      </c>
      <c r="Z138" s="144">
        <f t="shared" si="62"/>
        <v>28.348418560606063</v>
      </c>
      <c r="AA138" s="249"/>
      <c r="AB138" s="357" t="str">
        <f>VLOOKUP($B138,'2007-2020 Metadata'!$A$4:$S$214,MATCH("Urban Area /Monitoring Zone",'2007-2020 Metadata'!$A$4:$S$4,0),FALSE)</f>
        <v>Christchurch</v>
      </c>
      <c r="AC138" s="229" t="str">
        <f>VLOOKUP(B138,'2007-2020 Metadata'!$A$6:$A$214,1,FALSE)</f>
        <v>CHR011</v>
      </c>
      <c r="AD138" s="230" t="str">
        <f>VLOOKUP($AC138,'2007-2020 Metadata'!$A$6:$S$214,9,FALSE)</f>
        <v>Christchurch</v>
      </c>
      <c r="AE138" s="230">
        <f>IF(ISBLANK(VLOOKUP($AC138,'2007-2020 Metadata'!$A$6:$S$214,19,FALSE)),"",VLOOKUP($AC138,'2007-2020 Metadata'!$A$6:$S$214,19,FALSE))</f>
        <v>2.85</v>
      </c>
      <c r="AF138" s="88" t="str">
        <f>VLOOKUP($B138,'2007-2020 Metadata'!$A$4:$S$214,MATCH("Site type",'2007-2020 Metadata'!$A$4:$S$4,0),FALSE)</f>
        <v>SH</v>
      </c>
      <c r="AG138" s="143">
        <f t="shared" si="63"/>
        <v>16.2</v>
      </c>
      <c r="AH138" s="143">
        <f t="shared" si="64"/>
        <v>39.9</v>
      </c>
      <c r="AI138" s="144">
        <f t="shared" si="65"/>
        <v>28.348418560606063</v>
      </c>
    </row>
    <row r="139" spans="2:35" ht="12" customHeight="1" x14ac:dyDescent="0.15">
      <c r="B139" s="231" t="s">
        <v>144</v>
      </c>
      <c r="C139" s="222">
        <v>22.6</v>
      </c>
      <c r="D139" s="222">
        <v>26.6</v>
      </c>
      <c r="E139" s="222">
        <v>34</v>
      </c>
      <c r="F139" s="222">
        <v>34.700000000000003</v>
      </c>
      <c r="G139" s="222">
        <v>38.9</v>
      </c>
      <c r="H139" s="222">
        <v>40.4</v>
      </c>
      <c r="I139" s="222">
        <v>35.799999999999997</v>
      </c>
      <c r="J139" s="222">
        <v>37.6</v>
      </c>
      <c r="K139" s="222">
        <v>34</v>
      </c>
      <c r="L139" s="222">
        <v>29.8</v>
      </c>
      <c r="M139" s="222"/>
      <c r="N139" s="222">
        <v>22.6</v>
      </c>
      <c r="O139" s="223">
        <f t="shared" si="54"/>
        <v>32.45454545454546</v>
      </c>
      <c r="P139" s="223">
        <f t="shared" si="55"/>
        <v>18.292796384900758</v>
      </c>
      <c r="Q139" s="224">
        <f t="shared" si="56"/>
        <v>0.91666666666666663</v>
      </c>
      <c r="R139" s="225">
        <f t="shared" si="66"/>
        <v>27.733333333333334</v>
      </c>
      <c r="S139" s="226">
        <f t="shared" si="57"/>
        <v>1</v>
      </c>
      <c r="T139" s="225">
        <f t="shared" si="67"/>
        <v>35.800000000000004</v>
      </c>
      <c r="U139" s="226">
        <f t="shared" si="58"/>
        <v>1</v>
      </c>
      <c r="V139" s="227">
        <f t="shared" si="68"/>
        <v>32.45454545454546</v>
      </c>
      <c r="W139" s="228">
        <f t="shared" si="59"/>
        <v>0.91666666666666663</v>
      </c>
      <c r="X139" s="144">
        <f t="shared" si="60"/>
        <v>24.677083333333336</v>
      </c>
      <c r="Y139" s="144">
        <f t="shared" si="61"/>
        <v>32.919791666666669</v>
      </c>
      <c r="Z139" s="144">
        <f t="shared" si="62"/>
        <v>28.348418560606063</v>
      </c>
      <c r="AA139" s="249"/>
      <c r="AB139" s="357" t="str">
        <f>VLOOKUP($B139,'2007-2020 Metadata'!$A$4:$S$214,MATCH("Urban Area /Monitoring Zone",'2007-2020 Metadata'!$A$4:$S$4,0),FALSE)</f>
        <v>Christchurch</v>
      </c>
      <c r="AC139" s="229" t="str">
        <f>VLOOKUP(B139,'2007-2020 Metadata'!$A$6:$A$214,1,FALSE)</f>
        <v>CHR012</v>
      </c>
      <c r="AD139" s="230" t="str">
        <f>VLOOKUP($AC139,'2007-2020 Metadata'!$A$6:$S$214,9,FALSE)</f>
        <v>Christchurch</v>
      </c>
      <c r="AE139" s="230">
        <f>IF(ISBLANK(VLOOKUP($AC139,'2007-2020 Metadata'!$A$6:$S$214,19,FALSE)),"",VLOOKUP($AC139,'2007-2020 Metadata'!$A$6:$S$214,19,FALSE))</f>
        <v>3</v>
      </c>
      <c r="AF139" s="88" t="str">
        <f>VLOOKUP($B139,'2007-2020 Metadata'!$A$4:$S$214,MATCH("Site type",'2007-2020 Metadata'!$A$4:$S$4,0),FALSE)</f>
        <v>Local</v>
      </c>
      <c r="AG139" s="143">
        <f t="shared" si="63"/>
        <v>22.6</v>
      </c>
      <c r="AH139" s="143">
        <f t="shared" si="64"/>
        <v>40.4</v>
      </c>
      <c r="AI139" s="144">
        <f t="shared" si="65"/>
        <v>28.348418560606063</v>
      </c>
    </row>
    <row r="140" spans="2:35" ht="12" customHeight="1" x14ac:dyDescent="0.15">
      <c r="B140" s="231" t="s">
        <v>145</v>
      </c>
      <c r="C140" s="222">
        <v>24.2</v>
      </c>
      <c r="D140" s="222">
        <v>25.5</v>
      </c>
      <c r="E140" s="222">
        <v>30.7</v>
      </c>
      <c r="F140" s="222">
        <v>36.200000000000003</v>
      </c>
      <c r="G140" s="222">
        <v>41.3</v>
      </c>
      <c r="H140" s="222">
        <v>49.1</v>
      </c>
      <c r="I140" s="222">
        <v>49</v>
      </c>
      <c r="J140" s="222">
        <v>40.700000000000003</v>
      </c>
      <c r="K140" s="222">
        <v>32.1</v>
      </c>
      <c r="L140" s="222">
        <v>25.9</v>
      </c>
      <c r="M140" s="222">
        <v>17.399999999999999</v>
      </c>
      <c r="N140" s="222">
        <v>15.3</v>
      </c>
      <c r="O140" s="223">
        <f t="shared" ref="O140:O162" si="69">(AVERAGE(C140:N140))</f>
        <v>32.283333333333331</v>
      </c>
      <c r="P140" s="223">
        <f t="shared" ref="P140:P162" si="70">IFERROR((STDEVP(C140:N140)/O140)*100,"")</f>
        <v>33.38963841273673</v>
      </c>
      <c r="Q140" s="224">
        <f t="shared" ref="Q140:Q162" si="71">COUNT(C140:N140)/COUNT($C$6:$N$6)</f>
        <v>1</v>
      </c>
      <c r="R140" s="225">
        <f t="shared" si="66"/>
        <v>26.8</v>
      </c>
      <c r="S140" s="226">
        <f t="shared" ref="S140:S162" si="72">COUNT(C140:E140)/3</f>
        <v>1</v>
      </c>
      <c r="T140" s="225">
        <f t="shared" si="67"/>
        <v>40.6</v>
      </c>
      <c r="U140" s="226">
        <f t="shared" ref="U140:U162" si="73">COUNT(I140:K140)/3</f>
        <v>1</v>
      </c>
      <c r="V140" s="227">
        <f t="shared" si="68"/>
        <v>32.283333333333331</v>
      </c>
      <c r="W140" s="228">
        <f t="shared" ref="W140:W162" si="74">Q140</f>
        <v>1</v>
      </c>
      <c r="X140" s="144">
        <f t="shared" ref="X140:X162" si="75">IF(VLOOKUP($B140,$AC$6:$AI$162,3,FALSE)="",$R140,IF(ISERROR(AVERAGEIF($AD$6:$AD$162,VLOOKUP($B140,$AC$6:$AI$162,2,FALSE),$R$6:$R$162)),"",AVERAGEIF($AD$6:$AD$162,VLOOKUP($B140,$AC$6:$AI$162,2,FALSE),$R$6:$R$162)))</f>
        <v>24.677083333333336</v>
      </c>
      <c r="Y140" s="144">
        <f t="shared" ref="Y140:Y162" si="76">IF(VLOOKUP($B140,$AC$6:$AI$162,3,FALSE)="",$T140,IF(ISERROR(AVERAGEIF($AD$6:$AD$162,VLOOKUP($B140,$AC$6:$AI$162,2,FALSE),$T$6:$T$162)),"",AVERAGEIF($AD$6:$AD$162,VLOOKUP($B140,$AC$6:$AI$162,2,FALSE),$T$6:$T$162)))</f>
        <v>32.919791666666669</v>
      </c>
      <c r="Z140" s="144">
        <f t="shared" ref="Z140:Z162" si="77">IF(VLOOKUP($B140,$AC$6:$AI$162,3,FALSE)="",$V140,IF(ISERROR(AVERAGEIF($AD$6:$AD$162,VLOOKUP($B140,$AC$6:$AI$162,2,FALSE),$V$6:$V$162)),"",AVERAGEIF($AD$6:$AD$162,VLOOKUP($B140,$AC$6:$AI$162,2,FALSE),$V$6:$V$162)))</f>
        <v>28.348418560606063</v>
      </c>
      <c r="AA140" s="249"/>
      <c r="AB140" s="357" t="str">
        <f>VLOOKUP($B140,'2007-2020 Metadata'!$A$4:$S$214,MATCH("Urban Area /Monitoring Zone",'2007-2020 Metadata'!$A$4:$S$4,0),FALSE)</f>
        <v>Christchurch</v>
      </c>
      <c r="AC140" s="229" t="str">
        <f>VLOOKUP(B140,'2007-2020 Metadata'!$A$6:$A$214,1,FALSE)</f>
        <v>CHR013</v>
      </c>
      <c r="AD140" s="230" t="str">
        <f>VLOOKUP($AC140,'2007-2020 Metadata'!$A$6:$S$214,9,FALSE)</f>
        <v>Christchurch</v>
      </c>
      <c r="AE140" s="230">
        <f>IF(ISBLANK(VLOOKUP($AC140,'2007-2020 Metadata'!$A$6:$S$214,19,FALSE)),"",VLOOKUP($AC140,'2007-2020 Metadata'!$A$6:$S$214,19,FALSE))</f>
        <v>3.15</v>
      </c>
      <c r="AF140" s="88" t="str">
        <f>VLOOKUP($B140,'2007-2020 Metadata'!$A$4:$S$214,MATCH("Site type",'2007-2020 Metadata'!$A$4:$S$4,0),FALSE)</f>
        <v>SH</v>
      </c>
      <c r="AG140" s="143">
        <f t="shared" ref="AG140:AG162" si="78">MIN(C140:N140)</f>
        <v>15.3</v>
      </c>
      <c r="AH140" s="143">
        <f t="shared" ref="AH140:AH162" si="79">MAX(C140:N140)</f>
        <v>49.1</v>
      </c>
      <c r="AI140" s="144">
        <f t="shared" ref="AI140:AI162" si="80">IF(W140&gt;=75%,Z140," ")</f>
        <v>28.348418560606063</v>
      </c>
    </row>
    <row r="141" spans="2:35" ht="12" customHeight="1" x14ac:dyDescent="0.15">
      <c r="B141" s="231" t="s">
        <v>146</v>
      </c>
      <c r="C141" s="222">
        <v>26.3</v>
      </c>
      <c r="D141" s="222">
        <v>29.1</v>
      </c>
      <c r="E141" s="222">
        <v>36.9</v>
      </c>
      <c r="F141" s="222">
        <v>36.6</v>
      </c>
      <c r="G141" s="222">
        <v>40.700000000000003</v>
      </c>
      <c r="H141" s="222"/>
      <c r="I141" s="222">
        <v>39.299999999999997</v>
      </c>
      <c r="J141" s="222">
        <v>40.1</v>
      </c>
      <c r="K141" s="222">
        <v>36.4</v>
      </c>
      <c r="L141" s="222">
        <v>32.700000000000003</v>
      </c>
      <c r="M141" s="222">
        <v>31.3</v>
      </c>
      <c r="N141" s="222"/>
      <c r="O141" s="223">
        <f t="shared" si="69"/>
        <v>34.940000000000005</v>
      </c>
      <c r="P141" s="223">
        <f t="shared" si="70"/>
        <v>13.257313545679983</v>
      </c>
      <c r="Q141" s="224">
        <f t="shared" si="71"/>
        <v>0.83333333333333337</v>
      </c>
      <c r="R141" s="225">
        <f t="shared" si="66"/>
        <v>30.766666666666669</v>
      </c>
      <c r="S141" s="226">
        <f t="shared" si="72"/>
        <v>1</v>
      </c>
      <c r="T141" s="225">
        <f t="shared" si="67"/>
        <v>38.6</v>
      </c>
      <c r="U141" s="226">
        <f t="shared" si="73"/>
        <v>1</v>
      </c>
      <c r="V141" s="227">
        <f t="shared" si="68"/>
        <v>34.940000000000005</v>
      </c>
      <c r="W141" s="228">
        <f t="shared" si="74"/>
        <v>0.83333333333333337</v>
      </c>
      <c r="X141" s="144">
        <f t="shared" si="75"/>
        <v>24.677083333333336</v>
      </c>
      <c r="Y141" s="144">
        <f t="shared" si="76"/>
        <v>32.919791666666669</v>
      </c>
      <c r="Z141" s="144">
        <f t="shared" si="77"/>
        <v>28.348418560606063</v>
      </c>
      <c r="AA141" s="249"/>
      <c r="AB141" s="357" t="str">
        <f>VLOOKUP($B141,'2007-2020 Metadata'!$A$4:$S$214,MATCH("Urban Area /Monitoring Zone",'2007-2020 Metadata'!$A$4:$S$4,0),FALSE)</f>
        <v>Christchurch</v>
      </c>
      <c r="AC141" s="229" t="str">
        <f>VLOOKUP(B141,'2007-2020 Metadata'!$A$6:$A$214,1,FALSE)</f>
        <v>CHR014</v>
      </c>
      <c r="AD141" s="230" t="str">
        <f>VLOOKUP($AC141,'2007-2020 Metadata'!$A$6:$S$214,9,FALSE)</f>
        <v>Christchurch</v>
      </c>
      <c r="AE141" s="230">
        <f>IF(ISBLANK(VLOOKUP($AC141,'2007-2020 Metadata'!$A$6:$S$214,19,FALSE)),"",VLOOKUP($AC141,'2007-2020 Metadata'!$A$6:$S$214,19,FALSE))</f>
        <v>2.9</v>
      </c>
      <c r="AF141" s="88" t="str">
        <f>VLOOKUP($B141,'2007-2020 Metadata'!$A$4:$S$214,MATCH("Site type",'2007-2020 Metadata'!$A$4:$S$4,0),FALSE)</f>
        <v>SH</v>
      </c>
      <c r="AG141" s="143">
        <f t="shared" si="78"/>
        <v>26.3</v>
      </c>
      <c r="AH141" s="143">
        <f t="shared" si="79"/>
        <v>40.700000000000003</v>
      </c>
      <c r="AI141" s="144">
        <f t="shared" si="80"/>
        <v>28.348418560606063</v>
      </c>
    </row>
    <row r="142" spans="2:35" ht="12" customHeight="1" x14ac:dyDescent="0.15">
      <c r="B142" s="231" t="s">
        <v>147</v>
      </c>
      <c r="C142" s="222">
        <v>18.7</v>
      </c>
      <c r="D142" s="222">
        <v>22.4</v>
      </c>
      <c r="E142" s="222">
        <v>28</v>
      </c>
      <c r="F142" s="222">
        <v>32.1</v>
      </c>
      <c r="G142" s="222">
        <v>33.1</v>
      </c>
      <c r="H142" s="222">
        <v>37.700000000000003</v>
      </c>
      <c r="I142" s="222">
        <v>33.799999999999997</v>
      </c>
      <c r="J142" s="222">
        <v>32.4</v>
      </c>
      <c r="K142" s="222">
        <v>26.3</v>
      </c>
      <c r="L142" s="222">
        <v>24.4</v>
      </c>
      <c r="M142" s="222">
        <v>16</v>
      </c>
      <c r="N142" s="222">
        <v>19.100000000000001</v>
      </c>
      <c r="O142" s="223">
        <f t="shared" si="69"/>
        <v>27</v>
      </c>
      <c r="P142" s="223">
        <f t="shared" si="70"/>
        <v>24.725747656341269</v>
      </c>
      <c r="Q142" s="224">
        <f t="shared" si="71"/>
        <v>1</v>
      </c>
      <c r="R142" s="225">
        <f t="shared" ref="R142:R162" si="81">IF($S142=0%,"",IF($S142&gt;66%,AVERAGE($C142:$E142),"-"))</f>
        <v>23.033333333333331</v>
      </c>
      <c r="S142" s="226">
        <f t="shared" si="72"/>
        <v>1</v>
      </c>
      <c r="T142" s="225">
        <f t="shared" ref="T142:T162" si="82">IF($U142=0%,"",IF($U142&gt;66%,AVERAGE($I142:$K142),"-"))</f>
        <v>30.833333333333329</v>
      </c>
      <c r="U142" s="226">
        <f t="shared" si="73"/>
        <v>1</v>
      </c>
      <c r="V142" s="227">
        <f t="shared" ref="V142:V162" si="83">IF(AND(($S142&gt;33%),($U142&gt;33%),($W142&gt;=75%)),AVERAGE($C142:$N142),"-")</f>
        <v>27</v>
      </c>
      <c r="W142" s="228">
        <f t="shared" si="74"/>
        <v>1</v>
      </c>
      <c r="X142" s="144">
        <f t="shared" si="75"/>
        <v>24.677083333333336</v>
      </c>
      <c r="Y142" s="144">
        <f t="shared" si="76"/>
        <v>32.919791666666669</v>
      </c>
      <c r="Z142" s="144">
        <f t="shared" si="77"/>
        <v>28.348418560606063</v>
      </c>
      <c r="AA142" s="249"/>
      <c r="AB142" s="357" t="str">
        <f>VLOOKUP($B142,'2007-2020 Metadata'!$A$4:$S$214,MATCH("Urban Area /Monitoring Zone",'2007-2020 Metadata'!$A$4:$S$4,0),FALSE)</f>
        <v>Christchurch</v>
      </c>
      <c r="AC142" s="229" t="str">
        <f>VLOOKUP(B142,'2007-2020 Metadata'!$A$6:$A$214,1,FALSE)</f>
        <v>CHR015</v>
      </c>
      <c r="AD142" s="230" t="str">
        <f>VLOOKUP($AC142,'2007-2020 Metadata'!$A$6:$S$214,9,FALSE)</f>
        <v>Christchurch</v>
      </c>
      <c r="AE142" s="230">
        <f>IF(ISBLANK(VLOOKUP($AC142,'2007-2020 Metadata'!$A$6:$S$214,19,FALSE)),"",VLOOKUP($AC142,'2007-2020 Metadata'!$A$6:$S$214,19,FALSE))</f>
        <v>3.1</v>
      </c>
      <c r="AF142" s="88" t="str">
        <f>VLOOKUP($B142,'2007-2020 Metadata'!$A$4:$S$214,MATCH("Site type",'2007-2020 Metadata'!$A$4:$S$4,0),FALSE)</f>
        <v>Local</v>
      </c>
      <c r="AG142" s="143">
        <f t="shared" si="78"/>
        <v>16</v>
      </c>
      <c r="AH142" s="143">
        <f t="shared" si="79"/>
        <v>37.700000000000003</v>
      </c>
      <c r="AI142" s="144">
        <f t="shared" si="80"/>
        <v>28.348418560606063</v>
      </c>
    </row>
    <row r="143" spans="2:35" ht="12" customHeight="1" x14ac:dyDescent="0.15">
      <c r="B143" s="231" t="s">
        <v>148</v>
      </c>
      <c r="C143" s="222">
        <v>16.399999999999999</v>
      </c>
      <c r="D143" s="222">
        <v>32.9</v>
      </c>
      <c r="E143" s="222">
        <v>47.1</v>
      </c>
      <c r="F143" s="222">
        <v>47.3</v>
      </c>
      <c r="G143" s="222">
        <v>49.3</v>
      </c>
      <c r="H143" s="222">
        <v>48.9</v>
      </c>
      <c r="I143" s="222">
        <v>48.5</v>
      </c>
      <c r="J143" s="222">
        <v>47.8</v>
      </c>
      <c r="K143" s="222">
        <v>41.3</v>
      </c>
      <c r="L143" s="222"/>
      <c r="M143" s="222"/>
      <c r="N143" s="222">
        <v>27.2</v>
      </c>
      <c r="O143" s="223">
        <f t="shared" si="69"/>
        <v>40.67</v>
      </c>
      <c r="P143" s="223">
        <f t="shared" si="70"/>
        <v>26.606387752266169</v>
      </c>
      <c r="Q143" s="224">
        <f t="shared" si="71"/>
        <v>0.83333333333333337</v>
      </c>
      <c r="R143" s="225">
        <f t="shared" si="81"/>
        <v>32.133333333333333</v>
      </c>
      <c r="S143" s="226">
        <f t="shared" si="72"/>
        <v>1</v>
      </c>
      <c r="T143" s="225">
        <f t="shared" si="82"/>
        <v>45.866666666666667</v>
      </c>
      <c r="U143" s="226">
        <f t="shared" si="73"/>
        <v>1</v>
      </c>
      <c r="V143" s="227">
        <f t="shared" si="83"/>
        <v>40.67</v>
      </c>
      <c r="W143" s="228">
        <f t="shared" si="74"/>
        <v>0.83333333333333337</v>
      </c>
      <c r="X143" s="144">
        <f t="shared" si="75"/>
        <v>24.677083333333336</v>
      </c>
      <c r="Y143" s="144">
        <f t="shared" si="76"/>
        <v>32.919791666666669</v>
      </c>
      <c r="Z143" s="144">
        <f t="shared" si="77"/>
        <v>28.348418560606063</v>
      </c>
      <c r="AA143" s="249"/>
      <c r="AB143" s="357" t="str">
        <f>VLOOKUP($B143,'2007-2020 Metadata'!$A$4:$S$214,MATCH("Urban Area /Monitoring Zone",'2007-2020 Metadata'!$A$4:$S$4,0),FALSE)</f>
        <v>Christchurch</v>
      </c>
      <c r="AC143" s="229" t="str">
        <f>VLOOKUP(B143,'2007-2020 Metadata'!$A$6:$A$214,1,FALSE)</f>
        <v>CHR016</v>
      </c>
      <c r="AD143" s="230" t="str">
        <f>VLOOKUP($AC143,'2007-2020 Metadata'!$A$6:$S$214,9,FALSE)</f>
        <v>Christchurch</v>
      </c>
      <c r="AE143" s="230">
        <f>IF(ISBLANK(VLOOKUP($AC143,'2007-2020 Metadata'!$A$6:$S$214,19,FALSE)),"",VLOOKUP($AC143,'2007-2020 Metadata'!$A$6:$S$214,19,FALSE))</f>
        <v>3</v>
      </c>
      <c r="AF143" s="88" t="str">
        <f>VLOOKUP($B143,'2007-2020 Metadata'!$A$4:$S$214,MATCH("Site type",'2007-2020 Metadata'!$A$4:$S$4,0),FALSE)</f>
        <v>Local</v>
      </c>
      <c r="AG143" s="143">
        <f t="shared" si="78"/>
        <v>16.399999999999999</v>
      </c>
      <c r="AH143" s="143">
        <f t="shared" si="79"/>
        <v>49.3</v>
      </c>
      <c r="AI143" s="144">
        <f t="shared" si="80"/>
        <v>28.348418560606063</v>
      </c>
    </row>
    <row r="144" spans="2:35" ht="12" customHeight="1" x14ac:dyDescent="0.15">
      <c r="B144" s="231" t="s">
        <v>149</v>
      </c>
      <c r="C144" s="222">
        <v>35.1</v>
      </c>
      <c r="D144" s="222">
        <v>38.299999999999997</v>
      </c>
      <c r="E144" s="222">
        <v>37.299999999999997</v>
      </c>
      <c r="F144" s="222">
        <v>40.4</v>
      </c>
      <c r="G144" s="222">
        <v>42.2</v>
      </c>
      <c r="H144" s="222">
        <v>44.5</v>
      </c>
      <c r="I144" s="222">
        <v>45.2</v>
      </c>
      <c r="J144" s="222">
        <v>42.6</v>
      </c>
      <c r="K144" s="222">
        <v>45.3</v>
      </c>
      <c r="L144" s="222">
        <v>36</v>
      </c>
      <c r="M144" s="222">
        <v>23</v>
      </c>
      <c r="N144" s="222">
        <v>23</v>
      </c>
      <c r="O144" s="223">
        <f t="shared" si="69"/>
        <v>37.741666666666667</v>
      </c>
      <c r="P144" s="223">
        <f t="shared" si="70"/>
        <v>19.562306513587028</v>
      </c>
      <c r="Q144" s="224">
        <f t="shared" si="71"/>
        <v>1</v>
      </c>
      <c r="R144" s="251">
        <f t="shared" si="81"/>
        <v>36.9</v>
      </c>
      <c r="S144" s="252">
        <f t="shared" si="72"/>
        <v>1</v>
      </c>
      <c r="T144" s="251">
        <f t="shared" si="82"/>
        <v>44.366666666666674</v>
      </c>
      <c r="U144" s="252">
        <f t="shared" si="73"/>
        <v>1</v>
      </c>
      <c r="V144" s="253">
        <f t="shared" si="83"/>
        <v>37.741666666666667</v>
      </c>
      <c r="W144" s="252">
        <f t="shared" si="74"/>
        <v>1</v>
      </c>
      <c r="X144" s="177">
        <f t="shared" si="75"/>
        <v>24.677083333333336</v>
      </c>
      <c r="Y144" s="177">
        <f t="shared" si="76"/>
        <v>32.919791666666669</v>
      </c>
      <c r="Z144" s="177">
        <f t="shared" si="77"/>
        <v>28.348418560606063</v>
      </c>
      <c r="AA144" s="249"/>
      <c r="AB144" s="357" t="str">
        <f>VLOOKUP($B144,'2007-2020 Metadata'!$A$4:$S$214,MATCH("Urban Area /Monitoring Zone",'2007-2020 Metadata'!$A$4:$S$4,0),FALSE)</f>
        <v>Christchurch</v>
      </c>
      <c r="AC144" s="255" t="str">
        <f>VLOOKUP(B144,'2007-2020 Metadata'!$A$6:$A$214,1,FALSE)</f>
        <v>CHR017</v>
      </c>
      <c r="AD144" s="256" t="str">
        <f>VLOOKUP($AC144,'2007-2020 Metadata'!$A$6:$S$214,9,FALSE)</f>
        <v>Christchurch</v>
      </c>
      <c r="AE144" s="256">
        <f>IF(ISBLANK(VLOOKUP($AC144,'2007-2020 Metadata'!$A$6:$S$214,19,FALSE)),"",VLOOKUP($AC144,'2007-2020 Metadata'!$A$6:$S$214,19,FALSE))</f>
        <v>3</v>
      </c>
      <c r="AF144" s="257" t="str">
        <f>VLOOKUP($B144,'2007-2020 Metadata'!$A$4:$S$214,MATCH("Site type",'2007-2020 Metadata'!$A$4:$S$4,0),FALSE)</f>
        <v>Local</v>
      </c>
      <c r="AG144" s="258">
        <f>MIN(AVERAGE($C$144:$C$146),AVERAGE($D$144:$D$146),AVERAGE($E$144:$E$146),AVERAGE($F$144:$F$146),AVERAGE($G$144:$G$146),AVERAGE($H$144:$H$146),AVERAGE($I$144:$I$146),AVERAGE($J$144:$J$146),AVERAGE($K$144:$K$146),AVERAGE($L$144:$L$146),AVERAGE($M$144:$M$146),AVERAGE($N$144:$N$146))</f>
        <v>28.933333333333334</v>
      </c>
      <c r="AH144" s="258">
        <f>MAX(AVERAGE($C$144:$C$146),AVERAGE($D$144:$D$146),AVERAGE($E$144:$E$146),AVERAGE($F$144:$F$146),AVERAGE($G$144:$G$146),AVERAGE($H$144:$H$146),AVERAGE($I$144:$I$146),AVERAGE($J$144:$J$146),AVERAGE($K$144:$K$146),AVERAGE($L$144:$L$146),AVERAGE($M$144:$M$146),AVERAGE($N$144:$N$146))</f>
        <v>46.066666666666663</v>
      </c>
      <c r="AI144" s="177">
        <f t="shared" si="80"/>
        <v>28.348418560606063</v>
      </c>
    </row>
    <row r="145" spans="2:36" ht="12" customHeight="1" x14ac:dyDescent="0.15">
      <c r="B145" s="231" t="s">
        <v>150</v>
      </c>
      <c r="C145" s="222">
        <v>28.6</v>
      </c>
      <c r="D145" s="222">
        <v>37.5</v>
      </c>
      <c r="E145" s="222">
        <v>39.4</v>
      </c>
      <c r="F145" s="222">
        <v>42.5</v>
      </c>
      <c r="G145" s="222">
        <v>42.9</v>
      </c>
      <c r="H145" s="222">
        <v>42.6</v>
      </c>
      <c r="I145" s="222">
        <v>40.6</v>
      </c>
      <c r="J145" s="222">
        <v>43.5</v>
      </c>
      <c r="K145" s="222">
        <v>46.9</v>
      </c>
      <c r="L145" s="222">
        <v>34.1</v>
      </c>
      <c r="M145" s="222">
        <v>31.9</v>
      </c>
      <c r="N145" s="222">
        <v>31.9</v>
      </c>
      <c r="O145" s="223">
        <f t="shared" si="69"/>
        <v>38.533333333333331</v>
      </c>
      <c r="P145" s="223">
        <f t="shared" si="70"/>
        <v>14.183158435757615</v>
      </c>
      <c r="Q145" s="224">
        <f t="shared" si="71"/>
        <v>1</v>
      </c>
      <c r="R145" s="251">
        <f t="shared" si="81"/>
        <v>35.166666666666664</v>
      </c>
      <c r="S145" s="252">
        <f t="shared" si="72"/>
        <v>1</v>
      </c>
      <c r="T145" s="251">
        <f t="shared" si="82"/>
        <v>43.666666666666664</v>
      </c>
      <c r="U145" s="252">
        <f t="shared" si="73"/>
        <v>1</v>
      </c>
      <c r="V145" s="253">
        <f t="shared" si="83"/>
        <v>38.533333333333331</v>
      </c>
      <c r="W145" s="252">
        <f t="shared" si="74"/>
        <v>1</v>
      </c>
      <c r="X145" s="177">
        <f t="shared" si="75"/>
        <v>24.677083333333336</v>
      </c>
      <c r="Y145" s="177">
        <f t="shared" si="76"/>
        <v>32.919791666666669</v>
      </c>
      <c r="Z145" s="177">
        <f t="shared" si="77"/>
        <v>28.348418560606063</v>
      </c>
      <c r="AA145" s="249"/>
      <c r="AB145" s="357" t="str">
        <f>VLOOKUP($B145,'2007-2020 Metadata'!$A$4:$S$214,MATCH("Urban Area /Monitoring Zone",'2007-2020 Metadata'!$A$4:$S$4,0),FALSE)</f>
        <v>Christchurch</v>
      </c>
      <c r="AC145" s="255" t="str">
        <f>VLOOKUP(B145,'2007-2020 Metadata'!$A$6:$A$214,1,FALSE)</f>
        <v>CHR018</v>
      </c>
      <c r="AD145" s="256" t="str">
        <f>VLOOKUP($AC145,'2007-2020 Metadata'!$A$6:$S$214,9,FALSE)</f>
        <v>Christchurch</v>
      </c>
      <c r="AE145" s="256">
        <f>IF(ISBLANK(VLOOKUP($AC145,'2007-2020 Metadata'!$A$6:$S$214,19,FALSE)),"",VLOOKUP($AC145,'2007-2020 Metadata'!$A$6:$S$214,19,FALSE))</f>
        <v>3</v>
      </c>
      <c r="AF145" s="257" t="str">
        <f>VLOOKUP($B145,'2007-2020 Metadata'!$A$4:$S$214,MATCH("Site type",'2007-2020 Metadata'!$A$4:$S$4,0),FALSE)</f>
        <v>Local</v>
      </c>
      <c r="AG145" s="258">
        <f>MIN(AVERAGE($C$144:$C$146),AVERAGE($D$144:$D$146),AVERAGE($E$144:$E$146),AVERAGE($F$144:$F$146),AVERAGE($G$144:$G$146),AVERAGE($H$144:$H$146),AVERAGE($I$144:$I$146),AVERAGE($J$144:$J$146),AVERAGE($K$144:$K$146),AVERAGE($L$144:$L$146),AVERAGE($M$144:$M$146),AVERAGE($N$144:$N$146))</f>
        <v>28.933333333333334</v>
      </c>
      <c r="AH145" s="258">
        <f>MAX(AVERAGE($C$144:$C$146),AVERAGE($D$144:$D$146),AVERAGE($E$144:$E$146),AVERAGE($F$144:$F$146),AVERAGE($G$144:$G$146),AVERAGE($H$144:$H$146),AVERAGE($I$144:$I$146),AVERAGE($J$144:$J$146),AVERAGE($K$144:$K$146),AVERAGE($L$144:$L$146),AVERAGE($M$144:$M$146),AVERAGE($N$144:$N$146))</f>
        <v>46.066666666666663</v>
      </c>
      <c r="AI145" s="177">
        <f t="shared" si="80"/>
        <v>28.348418560606063</v>
      </c>
    </row>
    <row r="146" spans="2:36" ht="12" customHeight="1" x14ac:dyDescent="0.15">
      <c r="B146" s="231" t="s">
        <v>151</v>
      </c>
      <c r="C146" s="222">
        <v>33.6</v>
      </c>
      <c r="D146" s="222">
        <v>38</v>
      </c>
      <c r="E146" s="222">
        <v>39.4</v>
      </c>
      <c r="F146" s="222">
        <v>40.200000000000003</v>
      </c>
      <c r="G146" s="222">
        <v>43.3</v>
      </c>
      <c r="H146" s="222">
        <v>43.8</v>
      </c>
      <c r="I146" s="222">
        <v>42</v>
      </c>
      <c r="J146" s="222">
        <v>43.1</v>
      </c>
      <c r="K146" s="222">
        <v>46</v>
      </c>
      <c r="L146" s="222">
        <v>34.4</v>
      </c>
      <c r="M146" s="222">
        <v>31.9</v>
      </c>
      <c r="N146" s="222">
        <v>31.9</v>
      </c>
      <c r="O146" s="223">
        <f t="shared" si="69"/>
        <v>38.966666666666661</v>
      </c>
      <c r="P146" s="223">
        <f t="shared" si="70"/>
        <v>12.17451341595185</v>
      </c>
      <c r="Q146" s="224">
        <f t="shared" si="71"/>
        <v>1</v>
      </c>
      <c r="R146" s="251">
        <f t="shared" si="81"/>
        <v>37</v>
      </c>
      <c r="S146" s="252">
        <f t="shared" si="72"/>
        <v>1</v>
      </c>
      <c r="T146" s="251">
        <f t="shared" si="82"/>
        <v>43.699999999999996</v>
      </c>
      <c r="U146" s="252">
        <f t="shared" si="73"/>
        <v>1</v>
      </c>
      <c r="V146" s="253">
        <f t="shared" si="83"/>
        <v>38.966666666666661</v>
      </c>
      <c r="W146" s="252">
        <f t="shared" si="74"/>
        <v>1</v>
      </c>
      <c r="X146" s="177">
        <f t="shared" si="75"/>
        <v>24.677083333333336</v>
      </c>
      <c r="Y146" s="177">
        <f t="shared" si="76"/>
        <v>32.919791666666669</v>
      </c>
      <c r="Z146" s="177">
        <f t="shared" si="77"/>
        <v>28.348418560606063</v>
      </c>
      <c r="AA146" s="249"/>
      <c r="AB146" s="357" t="str">
        <f>VLOOKUP($B146,'2007-2020 Metadata'!$A$4:$S$214,MATCH("Urban Area /Monitoring Zone",'2007-2020 Metadata'!$A$4:$S$4,0),FALSE)</f>
        <v>Christchurch</v>
      </c>
      <c r="AC146" s="255" t="str">
        <f>VLOOKUP(B146,'2007-2020 Metadata'!$A$6:$A$214,1,FALSE)</f>
        <v>CHR019</v>
      </c>
      <c r="AD146" s="256" t="str">
        <f>VLOOKUP($AC146,'2007-2020 Metadata'!$A$6:$S$214,9,FALSE)</f>
        <v>Christchurch</v>
      </c>
      <c r="AE146" s="256">
        <f>IF(ISBLANK(VLOOKUP($AC146,'2007-2020 Metadata'!$A$6:$S$214,19,FALSE)),"",VLOOKUP($AC146,'2007-2020 Metadata'!$A$6:$S$214,19,FALSE))</f>
        <v>3</v>
      </c>
      <c r="AF146" s="257" t="str">
        <f>VLOOKUP($B146,'2007-2020 Metadata'!$A$4:$S$214,MATCH("Site type",'2007-2020 Metadata'!$A$4:$S$4,0),FALSE)</f>
        <v>Local</v>
      </c>
      <c r="AG146" s="258">
        <f>MIN(AVERAGE($C$144:$C$146),AVERAGE($D$144:$D$146),AVERAGE($E$144:$E$146),AVERAGE($F$144:$F$146),AVERAGE($G$144:$G$146),AVERAGE($H$144:$H$146),AVERAGE($I$144:$I$146),AVERAGE($J$144:$J$146),AVERAGE($K$144:$K$146),AVERAGE($L$144:$L$146),AVERAGE($M$144:$M$146),AVERAGE($N$144:$N$146))</f>
        <v>28.933333333333334</v>
      </c>
      <c r="AH146" s="258">
        <f>MAX(AVERAGE($C$144:$C$146),AVERAGE($D$144:$D$146),AVERAGE($E$144:$E$146),AVERAGE($F$144:$F$146),AVERAGE($G$144:$G$146),AVERAGE($H$144:$H$146),AVERAGE($I$144:$I$146),AVERAGE($J$144:$J$146),AVERAGE($K$144:$K$146),AVERAGE($L$144:$L$146),AVERAGE($M$144:$M$146),AVERAGE($N$144:$N$146))</f>
        <v>46.066666666666663</v>
      </c>
      <c r="AI146" s="177">
        <f t="shared" si="80"/>
        <v>28.348418560606063</v>
      </c>
    </row>
    <row r="147" spans="2:36" ht="12" customHeight="1" x14ac:dyDescent="0.15">
      <c r="B147" s="231" t="s">
        <v>152</v>
      </c>
      <c r="C147" s="222">
        <v>9</v>
      </c>
      <c r="D147" s="222">
        <v>9.5</v>
      </c>
      <c r="E147" s="222">
        <v>12.4</v>
      </c>
      <c r="F147" s="222">
        <v>15.7</v>
      </c>
      <c r="G147" s="222">
        <v>18.399999999999999</v>
      </c>
      <c r="H147" s="222">
        <v>24.2</v>
      </c>
      <c r="I147" s="222">
        <v>20.3</v>
      </c>
      <c r="J147" s="222">
        <v>19.8</v>
      </c>
      <c r="K147" s="222">
        <v>12</v>
      </c>
      <c r="L147" s="222">
        <v>8.8000000000000007</v>
      </c>
      <c r="M147" s="222">
        <v>4.4000000000000004</v>
      </c>
      <c r="N147" s="222">
        <v>4.4000000000000004</v>
      </c>
      <c r="O147" s="223">
        <f t="shared" si="69"/>
        <v>13.241666666666669</v>
      </c>
      <c r="P147" s="223">
        <f>IFERROR((STDEVP(C147:N147)/O147)*100,"")</f>
        <v>46.547500137751328</v>
      </c>
      <c r="Q147" s="224">
        <f t="shared" si="71"/>
        <v>1</v>
      </c>
      <c r="R147" s="251">
        <f t="shared" si="81"/>
        <v>10.299999999999999</v>
      </c>
      <c r="S147" s="252">
        <f t="shared" si="72"/>
        <v>1</v>
      </c>
      <c r="T147" s="251">
        <f t="shared" si="82"/>
        <v>17.366666666666667</v>
      </c>
      <c r="U147" s="252">
        <f t="shared" si="73"/>
        <v>1</v>
      </c>
      <c r="V147" s="253">
        <f t="shared" si="83"/>
        <v>13.241666666666669</v>
      </c>
      <c r="W147" s="252">
        <f t="shared" si="74"/>
        <v>1</v>
      </c>
      <c r="X147" s="177">
        <f t="shared" si="75"/>
        <v>24.677083333333336</v>
      </c>
      <c r="Y147" s="177">
        <f t="shared" si="76"/>
        <v>32.919791666666669</v>
      </c>
      <c r="Z147" s="177">
        <f t="shared" si="77"/>
        <v>28.348418560606063</v>
      </c>
      <c r="AA147" s="249"/>
      <c r="AB147" s="357" t="str">
        <f>VLOOKUP($B147,'2007-2020 Metadata'!$A$4:$S$214,MATCH("Urban Area /Monitoring Zone",'2007-2020 Metadata'!$A$4:$S$4,0),FALSE)</f>
        <v>Christchurch</v>
      </c>
      <c r="AC147" s="255" t="str">
        <f>VLOOKUP(B147,'2007-2020 Metadata'!$A$6:$A$214,1,FALSE)</f>
        <v>CHR020</v>
      </c>
      <c r="AD147" s="256" t="str">
        <f>VLOOKUP($AC147,'2007-2020 Metadata'!$A$6:$S$214,9,FALSE)</f>
        <v>Christchurch</v>
      </c>
      <c r="AE147" s="256">
        <f>IF(ISBLANK(VLOOKUP($AC147,'2007-2020 Metadata'!$A$6:$S$214,19,FALSE)),"",VLOOKUP($AC147,'2007-2020 Metadata'!$A$6:$S$214,19,FALSE))</f>
        <v>3.5</v>
      </c>
      <c r="AF147" s="257" t="str">
        <f>VLOOKUP($B147,'2007-2020 Metadata'!$A$4:$S$214,MATCH("Site type",'2007-2020 Metadata'!$A$4:$S$4,0),FALSE)</f>
        <v>Background</v>
      </c>
      <c r="AG147" s="258">
        <f>MIN(AVERAGE($C$147:$C$149),AVERAGE($D$147:$D$149),AVERAGE($E$147:$E$149),AVERAGE($F$147:$F$149),AVERAGE($G$147:$G$149),AVERAGE($H$147:$H$149),AVERAGE($I$147:$I$149),AVERAGE($J$147:$J$149),AVERAGE($K$147:$K$149),AVERAGE($L$147:$L$149),AVERAGE($M$147:$M$149),AVERAGE($N$147:$N$149))</f>
        <v>6.0333333333333341</v>
      </c>
      <c r="AH147" s="258">
        <f>MAX(AVERAGE($C$147:$C$149),AVERAGE($D$147:$D$149),AVERAGE($E$147:$E$149),AVERAGE($F$147:$F$149),AVERAGE($G$147:$G$149),AVERAGE($H$147:$H$149),AVERAGE($I$147:$I$149),AVERAGE($J$147:$J$149),AVERAGE($K$147:$K$149),AVERAGE($L$147:$L$149),AVERAGE($M$147:$M$149),AVERAGE($N$147:$N$149))</f>
        <v>23.3</v>
      </c>
      <c r="AI147" s="177">
        <f t="shared" si="80"/>
        <v>28.348418560606063</v>
      </c>
    </row>
    <row r="148" spans="2:36" ht="12" customHeight="1" x14ac:dyDescent="0.15">
      <c r="B148" s="231" t="s">
        <v>153</v>
      </c>
      <c r="C148" s="222">
        <v>10.199999999999999</v>
      </c>
      <c r="D148" s="222">
        <v>9.5</v>
      </c>
      <c r="E148" s="222">
        <v>12.5</v>
      </c>
      <c r="F148" s="222">
        <v>15.4</v>
      </c>
      <c r="G148" s="222">
        <v>19.5</v>
      </c>
      <c r="H148" s="222">
        <v>22.8</v>
      </c>
      <c r="I148" s="222">
        <v>22.2</v>
      </c>
      <c r="J148" s="222">
        <v>15.9</v>
      </c>
      <c r="K148" s="222">
        <v>15.2</v>
      </c>
      <c r="L148" s="222">
        <v>9</v>
      </c>
      <c r="M148" s="222">
        <v>7</v>
      </c>
      <c r="N148" s="222">
        <v>7</v>
      </c>
      <c r="O148" s="223">
        <f t="shared" si="69"/>
        <v>13.85</v>
      </c>
      <c r="P148" s="223">
        <f>IFERROR((STDEVP(C148:N148)/O148)*100,"")</f>
        <v>38.523424937568684</v>
      </c>
      <c r="Q148" s="224">
        <f t="shared" si="71"/>
        <v>1</v>
      </c>
      <c r="R148" s="251">
        <f t="shared" si="81"/>
        <v>10.733333333333334</v>
      </c>
      <c r="S148" s="252">
        <f t="shared" si="72"/>
        <v>1</v>
      </c>
      <c r="T148" s="251">
        <f t="shared" si="82"/>
        <v>17.766666666666666</v>
      </c>
      <c r="U148" s="252">
        <f t="shared" si="73"/>
        <v>1</v>
      </c>
      <c r="V148" s="253">
        <f t="shared" si="83"/>
        <v>13.85</v>
      </c>
      <c r="W148" s="252">
        <f t="shared" si="74"/>
        <v>1</v>
      </c>
      <c r="X148" s="177">
        <f t="shared" si="75"/>
        <v>24.677083333333336</v>
      </c>
      <c r="Y148" s="177">
        <f t="shared" si="76"/>
        <v>32.919791666666669</v>
      </c>
      <c r="Z148" s="177">
        <f t="shared" si="77"/>
        <v>28.348418560606063</v>
      </c>
      <c r="AA148" s="249"/>
      <c r="AB148" s="357" t="str">
        <f>VLOOKUP($B148,'2007-2020 Metadata'!$A$4:$S$214,MATCH("Urban Area /Monitoring Zone",'2007-2020 Metadata'!$A$4:$S$4,0),FALSE)</f>
        <v>Christchurch</v>
      </c>
      <c r="AC148" s="255" t="str">
        <f>VLOOKUP(B148,'2007-2020 Metadata'!$A$6:$A$214,1,FALSE)</f>
        <v>CHR021</v>
      </c>
      <c r="AD148" s="256" t="str">
        <f>VLOOKUP($AC148,'2007-2020 Metadata'!$A$6:$S$214,9,FALSE)</f>
        <v>Christchurch</v>
      </c>
      <c r="AE148" s="256">
        <f>IF(ISBLANK(VLOOKUP($AC148,'2007-2020 Metadata'!$A$6:$S$214,19,FALSE)),"",VLOOKUP($AC148,'2007-2020 Metadata'!$A$6:$S$214,19,FALSE))</f>
        <v>3.5</v>
      </c>
      <c r="AF148" s="257" t="str">
        <f>VLOOKUP($B148,'2007-2020 Metadata'!$A$4:$S$214,MATCH("Site type",'2007-2020 Metadata'!$A$4:$S$4,0),FALSE)</f>
        <v>Background</v>
      </c>
      <c r="AG148" s="258">
        <f>MIN(AVERAGE($C$147:$C$149),AVERAGE($D$147:$D$149),AVERAGE($E$147:$E$149),AVERAGE($F$147:$F$149),AVERAGE($G$147:$G$149),AVERAGE($H$147:$H$149),AVERAGE($I$147:$I$149),AVERAGE($J$147:$J$149),AVERAGE($K$147:$K$149),AVERAGE($L$147:$L$149),AVERAGE($M$147:$M$149),AVERAGE($N$147:$N$149))</f>
        <v>6.0333333333333341</v>
      </c>
      <c r="AH148" s="258">
        <f>MAX(AVERAGE($C$147:$C$149),AVERAGE($D$147:$D$149),AVERAGE($E$147:$E$149),AVERAGE($F$147:$F$149),AVERAGE($G$147:$G$149),AVERAGE($H$147:$H$149),AVERAGE($I$147:$I$149),AVERAGE($J$147:$J$149),AVERAGE($K$147:$K$149),AVERAGE($L$147:$L$149),AVERAGE($M$147:$M$149),AVERAGE($N$147:$N$149))</f>
        <v>23.3</v>
      </c>
      <c r="AI148" s="177">
        <f t="shared" si="80"/>
        <v>28.348418560606063</v>
      </c>
    </row>
    <row r="149" spans="2:36" ht="12" customHeight="1" x14ac:dyDescent="0.15">
      <c r="B149" s="231" t="s">
        <v>154</v>
      </c>
      <c r="C149" s="222">
        <v>8.6999999999999993</v>
      </c>
      <c r="D149" s="222">
        <v>9.4</v>
      </c>
      <c r="E149" s="222">
        <v>12.5</v>
      </c>
      <c r="F149" s="222">
        <v>14.9</v>
      </c>
      <c r="G149" s="222">
        <v>18.2</v>
      </c>
      <c r="H149" s="222">
        <v>22.9</v>
      </c>
      <c r="I149" s="222">
        <v>19.100000000000001</v>
      </c>
      <c r="J149" s="222"/>
      <c r="K149" s="222">
        <v>14.6</v>
      </c>
      <c r="L149" s="222">
        <v>8.6999999999999993</v>
      </c>
      <c r="M149" s="222">
        <v>6.7</v>
      </c>
      <c r="N149" s="222">
        <v>6.7</v>
      </c>
      <c r="O149" s="223">
        <f t="shared" si="69"/>
        <v>12.94545454545454</v>
      </c>
      <c r="P149" s="223">
        <f t="shared" si="70"/>
        <v>40.20412700273468</v>
      </c>
      <c r="Q149" s="224">
        <f t="shared" si="71"/>
        <v>0.91666666666666663</v>
      </c>
      <c r="R149" s="251">
        <f t="shared" si="81"/>
        <v>10.200000000000001</v>
      </c>
      <c r="S149" s="252">
        <f t="shared" si="72"/>
        <v>1</v>
      </c>
      <c r="T149" s="251">
        <f t="shared" si="82"/>
        <v>16.850000000000001</v>
      </c>
      <c r="U149" s="252">
        <f t="shared" si="73"/>
        <v>0.66666666666666663</v>
      </c>
      <c r="V149" s="253">
        <f t="shared" si="83"/>
        <v>12.94545454545454</v>
      </c>
      <c r="W149" s="252">
        <f t="shared" si="74"/>
        <v>0.91666666666666663</v>
      </c>
      <c r="X149" s="177">
        <f t="shared" si="75"/>
        <v>24.677083333333336</v>
      </c>
      <c r="Y149" s="177">
        <f t="shared" si="76"/>
        <v>32.919791666666669</v>
      </c>
      <c r="Z149" s="177">
        <f t="shared" si="77"/>
        <v>28.348418560606063</v>
      </c>
      <c r="AA149" s="249"/>
      <c r="AB149" s="357" t="str">
        <f>VLOOKUP($B149,'2007-2020 Metadata'!$A$4:$S$214,MATCH("Urban Area /Monitoring Zone",'2007-2020 Metadata'!$A$4:$S$4,0),FALSE)</f>
        <v>Christchurch</v>
      </c>
      <c r="AC149" s="255" t="str">
        <f>VLOOKUP(B149,'2007-2020 Metadata'!$A$6:$A$214,1,FALSE)</f>
        <v>CHR022</v>
      </c>
      <c r="AD149" s="256" t="str">
        <f>VLOOKUP($AC149,'2007-2020 Metadata'!$A$6:$S$214,9,FALSE)</f>
        <v>Christchurch</v>
      </c>
      <c r="AE149" s="256">
        <f>IF(ISBLANK(VLOOKUP($AC149,'2007-2020 Metadata'!$A$6:$S$214,19,FALSE)),"",VLOOKUP($AC149,'2007-2020 Metadata'!$A$6:$S$214,19,FALSE))</f>
        <v>3.5</v>
      </c>
      <c r="AF149" s="257" t="str">
        <f>VLOOKUP($B149,'2007-2020 Metadata'!$A$4:$S$214,MATCH("Site type",'2007-2020 Metadata'!$A$4:$S$4,0),FALSE)</f>
        <v>Background</v>
      </c>
      <c r="AG149" s="258">
        <f>MIN(AVERAGE($C$147:$C$149),AVERAGE($D$147:$D$149),AVERAGE($E$147:$E$149),AVERAGE($F$147:$F$149),AVERAGE($G$147:$G$149),AVERAGE($H$147:$H$149),AVERAGE($I$147:$I$149),AVERAGE($J$147:$J$149),AVERAGE($K$147:$K$149),AVERAGE($L$147:$L$149),AVERAGE($M$147:$M$149),AVERAGE($N$147:$N$149))</f>
        <v>6.0333333333333341</v>
      </c>
      <c r="AH149" s="258">
        <f>MAX(AVERAGE($C$147:$C$149),AVERAGE($D$147:$D$149),AVERAGE($E$147:$E$149),AVERAGE($F$147:$F$149),AVERAGE($G$147:$G$149),AVERAGE($H$147:$H$149),AVERAGE($I$147:$I$149),AVERAGE($J$147:$J$149),AVERAGE($K$147:$K$149),AVERAGE($L$147:$L$149),AVERAGE($M$147:$M$149),AVERAGE($N$147:$N$149))</f>
        <v>23.3</v>
      </c>
      <c r="AI149" s="177">
        <f t="shared" si="80"/>
        <v>28.348418560606063</v>
      </c>
    </row>
    <row r="150" spans="2:36" ht="12" customHeight="1" x14ac:dyDescent="0.15">
      <c r="B150" s="231" t="s">
        <v>514</v>
      </c>
      <c r="C150" s="222">
        <v>14.7</v>
      </c>
      <c r="D150" s="232"/>
      <c r="E150" s="233"/>
      <c r="F150" s="233"/>
      <c r="G150" s="233"/>
      <c r="H150" s="233"/>
      <c r="I150" s="233"/>
      <c r="J150" s="233"/>
      <c r="K150" s="233"/>
      <c r="L150" s="233"/>
      <c r="M150" s="233"/>
      <c r="N150" s="233"/>
      <c r="O150" s="223">
        <f t="shared" si="69"/>
        <v>14.7</v>
      </c>
      <c r="P150" s="223">
        <f t="shared" si="70"/>
        <v>0</v>
      </c>
      <c r="Q150" s="224">
        <f t="shared" si="71"/>
        <v>8.3333333333333329E-2</v>
      </c>
      <c r="R150" s="251" t="str">
        <f t="shared" si="81"/>
        <v>-</v>
      </c>
      <c r="S150" s="226">
        <f t="shared" si="72"/>
        <v>0.33333333333333331</v>
      </c>
      <c r="T150" s="251" t="str">
        <f t="shared" si="82"/>
        <v/>
      </c>
      <c r="U150" s="226">
        <f t="shared" si="73"/>
        <v>0</v>
      </c>
      <c r="V150" s="253" t="str">
        <f t="shared" si="83"/>
        <v>-</v>
      </c>
      <c r="W150" s="228">
        <f t="shared" si="74"/>
        <v>8.3333333333333329E-2</v>
      </c>
      <c r="X150" s="177">
        <f t="shared" si="75"/>
        <v>24.677083333333336</v>
      </c>
      <c r="Y150" s="177">
        <f t="shared" si="76"/>
        <v>32.919791666666669</v>
      </c>
      <c r="Z150" s="177">
        <f t="shared" si="77"/>
        <v>28.348418560606063</v>
      </c>
      <c r="AA150" s="249"/>
      <c r="AB150" s="357" t="str">
        <f>VLOOKUP($B150,'2007-2020 Metadata'!$A$4:$S$214,MATCH("Urban Area /Monitoring Zone",'2007-2020 Metadata'!$A$4:$S$4,0),FALSE)</f>
        <v>Christchurch</v>
      </c>
      <c r="AC150" s="255" t="str">
        <f>VLOOKUP(B150,'2007-2020 Metadata'!$A$6:$A$214,1,FALSE)</f>
        <v>CHR042</v>
      </c>
      <c r="AD150" s="256" t="str">
        <f>VLOOKUP($AC150,'2007-2020 Metadata'!$A$6:$S$214,9,FALSE)</f>
        <v>Christchurch</v>
      </c>
      <c r="AE150" s="256">
        <f>IF(ISBLANK(VLOOKUP($AC150,'2007-2020 Metadata'!$A$6:$S$214,19,FALSE)),"",VLOOKUP($AC150,'2007-2020 Metadata'!$A$6:$S$214,19,FALSE))</f>
        <v>3</v>
      </c>
      <c r="AF150" s="257" t="str">
        <f>VLOOKUP($B150,'2007-2020 Metadata'!$A$4:$S$214,MATCH("Site type",'2007-2020 Metadata'!$A$4:$S$4,0),FALSE)</f>
        <v>SH</v>
      </c>
      <c r="AG150" s="258">
        <f>MIN(AVERAGE($C$150:$C$152))</f>
        <v>14.266666666666666</v>
      </c>
      <c r="AH150" s="258">
        <f>MAX(AVERAGE($C$150:$C$152))</f>
        <v>14.266666666666666</v>
      </c>
      <c r="AI150" s="177" t="str">
        <f t="shared" si="80"/>
        <v xml:space="preserve"> </v>
      </c>
      <c r="AJ150" s="230" t="s">
        <v>552</v>
      </c>
    </row>
    <row r="151" spans="2:36" ht="12" customHeight="1" x14ac:dyDescent="0.15">
      <c r="B151" s="231" t="s">
        <v>515</v>
      </c>
      <c r="C151" s="222">
        <v>15</v>
      </c>
      <c r="D151" s="232"/>
      <c r="E151" s="233"/>
      <c r="F151" s="233"/>
      <c r="G151" s="233"/>
      <c r="H151" s="233"/>
      <c r="I151" s="233"/>
      <c r="J151" s="233"/>
      <c r="K151" s="233"/>
      <c r="L151" s="233"/>
      <c r="M151" s="233"/>
      <c r="N151" s="233"/>
      <c r="O151" s="223">
        <f t="shared" si="69"/>
        <v>15</v>
      </c>
      <c r="P151" s="223">
        <f t="shared" si="70"/>
        <v>0</v>
      </c>
      <c r="Q151" s="224">
        <f t="shared" si="71"/>
        <v>8.3333333333333329E-2</v>
      </c>
      <c r="R151" s="251" t="str">
        <f t="shared" si="81"/>
        <v>-</v>
      </c>
      <c r="S151" s="226">
        <f t="shared" si="72"/>
        <v>0.33333333333333331</v>
      </c>
      <c r="T151" s="251" t="str">
        <f t="shared" si="82"/>
        <v/>
      </c>
      <c r="U151" s="226">
        <f t="shared" si="73"/>
        <v>0</v>
      </c>
      <c r="V151" s="253" t="str">
        <f t="shared" si="83"/>
        <v>-</v>
      </c>
      <c r="W151" s="228">
        <f t="shared" si="74"/>
        <v>8.3333333333333329E-2</v>
      </c>
      <c r="X151" s="177">
        <f t="shared" si="75"/>
        <v>24.677083333333336</v>
      </c>
      <c r="Y151" s="177">
        <f t="shared" si="76"/>
        <v>32.919791666666669</v>
      </c>
      <c r="Z151" s="177">
        <f t="shared" si="77"/>
        <v>28.348418560606063</v>
      </c>
      <c r="AA151" s="249"/>
      <c r="AB151" s="357" t="str">
        <f>VLOOKUP($B151,'2007-2020 Metadata'!$A$4:$S$214,MATCH("Urban Area /Monitoring Zone",'2007-2020 Metadata'!$A$4:$S$4,0),FALSE)</f>
        <v>Christchurch</v>
      </c>
      <c r="AC151" s="255" t="str">
        <f>VLOOKUP(B151,'2007-2020 Metadata'!$A$6:$A$214,1,FALSE)</f>
        <v>CHR043</v>
      </c>
      <c r="AD151" s="256" t="str">
        <f>VLOOKUP($AC151,'2007-2020 Metadata'!$A$6:$S$214,9,FALSE)</f>
        <v>Christchurch</v>
      </c>
      <c r="AE151" s="256">
        <f>IF(ISBLANK(VLOOKUP($AC151,'2007-2020 Metadata'!$A$6:$S$214,19,FALSE)),"",VLOOKUP($AC151,'2007-2020 Metadata'!$A$6:$S$214,19,FALSE))</f>
        <v>3</v>
      </c>
      <c r="AF151" s="257" t="str">
        <f>VLOOKUP($B151,'2007-2020 Metadata'!$A$4:$S$214,MATCH("Site type",'2007-2020 Metadata'!$A$4:$S$4,0),FALSE)</f>
        <v>SH</v>
      </c>
      <c r="AG151" s="258">
        <f t="shared" ref="AG151:AG152" si="84">MIN(AVERAGE($C$150:$C$152))</f>
        <v>14.266666666666666</v>
      </c>
      <c r="AH151" s="258">
        <f t="shared" ref="AH151:AH152" si="85">MAX(AVERAGE($C$150:$C$152))</f>
        <v>14.266666666666666</v>
      </c>
      <c r="AI151" s="177" t="str">
        <f t="shared" si="80"/>
        <v xml:space="preserve"> </v>
      </c>
      <c r="AJ151" s="230" t="s">
        <v>552</v>
      </c>
    </row>
    <row r="152" spans="2:36" ht="12" customHeight="1" x14ac:dyDescent="0.15">
      <c r="B152" s="231" t="s">
        <v>516</v>
      </c>
      <c r="C152" s="222">
        <v>13.1</v>
      </c>
      <c r="D152" s="232"/>
      <c r="E152" s="233"/>
      <c r="F152" s="233"/>
      <c r="G152" s="233"/>
      <c r="H152" s="233"/>
      <c r="I152" s="233"/>
      <c r="J152" s="233"/>
      <c r="K152" s="233"/>
      <c r="L152" s="233"/>
      <c r="M152" s="233"/>
      <c r="N152" s="233"/>
      <c r="O152" s="223">
        <f t="shared" si="69"/>
        <v>13.1</v>
      </c>
      <c r="P152" s="223">
        <f t="shared" si="70"/>
        <v>0</v>
      </c>
      <c r="Q152" s="224">
        <f t="shared" si="71"/>
        <v>8.3333333333333329E-2</v>
      </c>
      <c r="R152" s="251" t="str">
        <f t="shared" si="81"/>
        <v>-</v>
      </c>
      <c r="S152" s="226">
        <f t="shared" si="72"/>
        <v>0.33333333333333331</v>
      </c>
      <c r="T152" s="251" t="str">
        <f t="shared" si="82"/>
        <v/>
      </c>
      <c r="U152" s="226">
        <f t="shared" si="73"/>
        <v>0</v>
      </c>
      <c r="V152" s="253" t="str">
        <f t="shared" si="83"/>
        <v>-</v>
      </c>
      <c r="W152" s="228">
        <f t="shared" si="74"/>
        <v>8.3333333333333329E-2</v>
      </c>
      <c r="X152" s="177">
        <f t="shared" si="75"/>
        <v>24.677083333333336</v>
      </c>
      <c r="Y152" s="177">
        <f t="shared" si="76"/>
        <v>32.919791666666669</v>
      </c>
      <c r="Z152" s="177">
        <f t="shared" si="77"/>
        <v>28.348418560606063</v>
      </c>
      <c r="AA152" s="249"/>
      <c r="AB152" s="357" t="str">
        <f>VLOOKUP($B152,'2007-2020 Metadata'!$A$4:$S$214,MATCH("Urban Area /Monitoring Zone",'2007-2020 Metadata'!$A$4:$S$4,0),FALSE)</f>
        <v>Christchurch</v>
      </c>
      <c r="AC152" s="255" t="str">
        <f>VLOOKUP(B152,'2007-2020 Metadata'!$A$6:$A$214,1,FALSE)</f>
        <v>CHR044</v>
      </c>
      <c r="AD152" s="256" t="str">
        <f>VLOOKUP($AC152,'2007-2020 Metadata'!$A$6:$S$214,9,FALSE)</f>
        <v>Christchurch</v>
      </c>
      <c r="AE152" s="256">
        <f>IF(ISBLANK(VLOOKUP($AC152,'2007-2020 Metadata'!$A$6:$S$214,19,FALSE)),"",VLOOKUP($AC152,'2007-2020 Metadata'!$A$6:$S$214,19,FALSE))</f>
        <v>3</v>
      </c>
      <c r="AF152" s="257" t="str">
        <f>VLOOKUP($B152,'2007-2020 Metadata'!$A$4:$S$214,MATCH("Site type",'2007-2020 Metadata'!$A$4:$S$4,0),FALSE)</f>
        <v>SH</v>
      </c>
      <c r="AG152" s="258">
        <f t="shared" si="84"/>
        <v>14.266666666666666</v>
      </c>
      <c r="AH152" s="258">
        <f t="shared" si="85"/>
        <v>14.266666666666666</v>
      </c>
      <c r="AI152" s="177" t="str">
        <f t="shared" si="80"/>
        <v xml:space="preserve"> </v>
      </c>
      <c r="AJ152" s="230" t="s">
        <v>552</v>
      </c>
    </row>
    <row r="153" spans="2:36" ht="12" customHeight="1" x14ac:dyDescent="0.15">
      <c r="B153" s="231" t="s">
        <v>26</v>
      </c>
      <c r="C153" s="222">
        <v>21.5</v>
      </c>
      <c r="D153" s="222">
        <v>22.4</v>
      </c>
      <c r="E153" s="222"/>
      <c r="F153" s="222"/>
      <c r="G153" s="222"/>
      <c r="H153" s="222"/>
      <c r="I153" s="222">
        <v>39.4</v>
      </c>
      <c r="J153" s="222">
        <v>29.9</v>
      </c>
      <c r="K153" s="222">
        <v>24.4</v>
      </c>
      <c r="L153" s="222">
        <v>27.1</v>
      </c>
      <c r="M153" s="222">
        <v>16.51470715835141</v>
      </c>
      <c r="N153" s="222">
        <v>16.51470715835141</v>
      </c>
      <c r="O153" s="223">
        <f t="shared" si="69"/>
        <v>24.716176789587848</v>
      </c>
      <c r="P153" s="223">
        <f t="shared" si="70"/>
        <v>28.555588536618426</v>
      </c>
      <c r="Q153" s="224">
        <f t="shared" si="71"/>
        <v>0.66666666666666663</v>
      </c>
      <c r="R153" s="225">
        <f t="shared" si="81"/>
        <v>21.95</v>
      </c>
      <c r="S153" s="226">
        <f t="shared" si="72"/>
        <v>0.66666666666666663</v>
      </c>
      <c r="T153" s="225">
        <f t="shared" si="82"/>
        <v>31.233333333333331</v>
      </c>
      <c r="U153" s="226">
        <f t="shared" si="73"/>
        <v>1</v>
      </c>
      <c r="V153" s="227" t="str">
        <f t="shared" si="83"/>
        <v>-</v>
      </c>
      <c r="W153" s="228">
        <f t="shared" si="74"/>
        <v>0.66666666666666663</v>
      </c>
      <c r="X153" s="144">
        <f t="shared" si="75"/>
        <v>14.692857142857141</v>
      </c>
      <c r="Y153" s="144">
        <f t="shared" si="76"/>
        <v>21.178571428571427</v>
      </c>
      <c r="Z153" s="144" t="str">
        <f t="shared" si="77"/>
        <v/>
      </c>
      <c r="AA153" s="249"/>
      <c r="AB153" s="357" t="str">
        <f>VLOOKUP($B153,'2007-2020 Metadata'!$A$4:$S$214,MATCH("Urban Area /Monitoring Zone",'2007-2020 Metadata'!$A$4:$S$4,0),FALSE)</f>
        <v>Dunedin</v>
      </c>
      <c r="AC153" s="229" t="str">
        <f>VLOOKUP(B153,'2007-2020 Metadata'!$A$6:$A$214,1,FALSE)</f>
        <v>DUN001</v>
      </c>
      <c r="AD153" s="230" t="str">
        <f>VLOOKUP($AC153,'2007-2020 Metadata'!$A$6:$S$214,9,FALSE)</f>
        <v>Dunedin</v>
      </c>
      <c r="AE153" s="230">
        <f>IF(ISBLANK(VLOOKUP($AC153,'2007-2020 Metadata'!$A$6:$S$214,19,FALSE)),"",VLOOKUP($AC153,'2007-2020 Metadata'!$A$6:$S$214,19,FALSE))</f>
        <v>3</v>
      </c>
      <c r="AF153" s="88" t="str">
        <f>VLOOKUP($B153,'2007-2020 Metadata'!$A$4:$S$214,MATCH("Site type",'2007-2020 Metadata'!$A$4:$S$4,0),FALSE)</f>
        <v>SH</v>
      </c>
      <c r="AG153" s="143">
        <f t="shared" si="78"/>
        <v>16.51470715835141</v>
      </c>
      <c r="AH153" s="143">
        <f t="shared" si="79"/>
        <v>39.4</v>
      </c>
      <c r="AI153" s="144" t="str">
        <f t="shared" si="80"/>
        <v xml:space="preserve"> </v>
      </c>
    </row>
    <row r="154" spans="2:36" ht="12" customHeight="1" x14ac:dyDescent="0.15">
      <c r="B154" s="231" t="s">
        <v>27</v>
      </c>
      <c r="C154" s="222">
        <v>12.1</v>
      </c>
      <c r="D154" s="222">
        <v>14.6</v>
      </c>
      <c r="E154" s="222"/>
      <c r="F154" s="222"/>
      <c r="G154" s="222"/>
      <c r="H154" s="222"/>
      <c r="I154" s="222">
        <v>20.399999999999999</v>
      </c>
      <c r="J154" s="222">
        <v>20.399999999999999</v>
      </c>
      <c r="K154" s="222">
        <v>15.5</v>
      </c>
      <c r="L154" s="222">
        <v>15.8</v>
      </c>
      <c r="M154" s="222"/>
      <c r="N154" s="222"/>
      <c r="O154" s="223">
        <f t="shared" si="69"/>
        <v>16.466666666666665</v>
      </c>
      <c r="P154" s="223">
        <f t="shared" si="70"/>
        <v>18.36535602761392</v>
      </c>
      <c r="Q154" s="224">
        <f>COUNT(C154:N154)/COUNT($C$6:$N$6)</f>
        <v>0.5</v>
      </c>
      <c r="R154" s="225">
        <f t="shared" si="81"/>
        <v>13.35</v>
      </c>
      <c r="S154" s="226">
        <f t="shared" si="72"/>
        <v>0.66666666666666663</v>
      </c>
      <c r="T154" s="225">
        <f t="shared" si="82"/>
        <v>18.766666666666666</v>
      </c>
      <c r="U154" s="226">
        <f t="shared" si="73"/>
        <v>1</v>
      </c>
      <c r="V154" s="227" t="str">
        <f t="shared" si="83"/>
        <v>-</v>
      </c>
      <c r="W154" s="228">
        <f t="shared" si="74"/>
        <v>0.5</v>
      </c>
      <c r="X154" s="144">
        <f t="shared" si="75"/>
        <v>14.692857142857141</v>
      </c>
      <c r="Y154" s="144">
        <f t="shared" si="76"/>
        <v>21.178571428571427</v>
      </c>
      <c r="Z154" s="144" t="str">
        <f t="shared" si="77"/>
        <v/>
      </c>
      <c r="AA154" s="205"/>
      <c r="AB154" s="357" t="str">
        <f>VLOOKUP($B154,'2007-2020 Metadata'!$A$4:$S$214,MATCH("Urban Area /Monitoring Zone",'2007-2020 Metadata'!$A$4:$S$4,0),FALSE)</f>
        <v>Dunedin</v>
      </c>
      <c r="AC154" s="229" t="str">
        <f>VLOOKUP(B154,'2007-2020 Metadata'!$A$6:$A$214,1,FALSE)</f>
        <v>DUN002</v>
      </c>
      <c r="AD154" s="230" t="str">
        <f>VLOOKUP($AC154,'2007-2020 Metadata'!$A$6:$S$214,9,FALSE)</f>
        <v>Dunedin</v>
      </c>
      <c r="AE154" s="230">
        <f>IF(ISBLANK(VLOOKUP($AC154,'2007-2020 Metadata'!$A$6:$S$214,19,FALSE)),"",VLOOKUP($AC154,'2007-2020 Metadata'!$A$6:$S$214,19,FALSE))</f>
        <v>3</v>
      </c>
      <c r="AF154" s="88" t="str">
        <f>VLOOKUP($B154,'2007-2020 Metadata'!$A$4:$S$214,MATCH("Site type",'2007-2020 Metadata'!$A$4:$S$4,0),FALSE)</f>
        <v>SH</v>
      </c>
      <c r="AG154" s="143">
        <f t="shared" si="78"/>
        <v>12.1</v>
      </c>
      <c r="AH154" s="143">
        <f t="shared" si="79"/>
        <v>20.399999999999999</v>
      </c>
      <c r="AI154" s="144" t="str">
        <f t="shared" si="80"/>
        <v xml:space="preserve"> </v>
      </c>
    </row>
    <row r="155" spans="2:36" ht="12" customHeight="1" x14ac:dyDescent="0.15">
      <c r="B155" s="231" t="s">
        <v>29</v>
      </c>
      <c r="C155" s="222">
        <v>17.7</v>
      </c>
      <c r="D155" s="222">
        <v>22.6</v>
      </c>
      <c r="E155" s="222">
        <v>20.6</v>
      </c>
      <c r="F155" s="222">
        <v>30.6</v>
      </c>
      <c r="G155" s="222">
        <v>31.2</v>
      </c>
      <c r="H155" s="222">
        <v>42.9</v>
      </c>
      <c r="I155" s="222">
        <v>29.7</v>
      </c>
      <c r="J155" s="222">
        <v>29.9</v>
      </c>
      <c r="K155" s="222"/>
      <c r="L155" s="222">
        <v>16.399999999999999</v>
      </c>
      <c r="M155" s="222"/>
      <c r="N155" s="222"/>
      <c r="O155" s="223">
        <f t="shared" si="69"/>
        <v>26.844444444444445</v>
      </c>
      <c r="P155" s="223">
        <f t="shared" si="70"/>
        <v>29.333618324101067</v>
      </c>
      <c r="Q155" s="224">
        <f t="shared" si="71"/>
        <v>0.75</v>
      </c>
      <c r="R155" s="225">
        <f t="shared" si="81"/>
        <v>20.3</v>
      </c>
      <c r="S155" s="226">
        <f t="shared" si="72"/>
        <v>1</v>
      </c>
      <c r="T155" s="225">
        <f t="shared" si="82"/>
        <v>29.799999999999997</v>
      </c>
      <c r="U155" s="226">
        <f t="shared" si="73"/>
        <v>0.66666666666666663</v>
      </c>
      <c r="V155" s="227">
        <f t="shared" si="83"/>
        <v>26.844444444444445</v>
      </c>
      <c r="W155" s="228">
        <f t="shared" si="74"/>
        <v>0.75</v>
      </c>
      <c r="X155" s="144">
        <f t="shared" si="75"/>
        <v>20.3</v>
      </c>
      <c r="Y155" s="144">
        <f t="shared" si="76"/>
        <v>29.799999999999997</v>
      </c>
      <c r="Z155" s="144">
        <f t="shared" si="77"/>
        <v>26.844444444444445</v>
      </c>
      <c r="AA155" s="205"/>
      <c r="AB155" s="357" t="str">
        <f>VLOOKUP($B155,'2007-2020 Metadata'!$A$4:$S$214,MATCH("Urban Area /Monitoring Zone",'2007-2020 Metadata'!$A$4:$S$4,0),FALSE)</f>
        <v>Queenstown</v>
      </c>
      <c r="AC155" s="229" t="str">
        <f>VLOOKUP(B155,'2007-2020 Metadata'!$A$6:$A$214,1,FALSE)</f>
        <v>DUN004</v>
      </c>
      <c r="AD155" s="230" t="str">
        <f>VLOOKUP($AC155,'2007-2020 Metadata'!$A$6:$S$214,9,FALSE)</f>
        <v>Queenstown</v>
      </c>
      <c r="AE155" s="230">
        <f>IF(ISBLANK(VLOOKUP($AC155,'2007-2020 Metadata'!$A$6:$S$214,19,FALSE)),"",VLOOKUP($AC155,'2007-2020 Metadata'!$A$6:$S$214,19,FALSE))</f>
        <v>3</v>
      </c>
      <c r="AF155" s="88" t="str">
        <f>VLOOKUP($B155,'2007-2020 Metadata'!$A$4:$S$214,MATCH("Site type",'2007-2020 Metadata'!$A$4:$S$4,0),FALSE)</f>
        <v>SH</v>
      </c>
      <c r="AG155" s="143">
        <f t="shared" si="78"/>
        <v>16.399999999999999</v>
      </c>
      <c r="AH155" s="143">
        <f t="shared" si="79"/>
        <v>42.9</v>
      </c>
      <c r="AI155" s="144">
        <f t="shared" si="80"/>
        <v>26.844444444444445</v>
      </c>
    </row>
    <row r="156" spans="2:36" ht="12" customHeight="1" x14ac:dyDescent="0.15">
      <c r="B156" s="231" t="s">
        <v>30</v>
      </c>
      <c r="C156" s="222">
        <v>18.600000000000001</v>
      </c>
      <c r="D156" s="222">
        <v>20.399999999999999</v>
      </c>
      <c r="E156" s="222">
        <v>24.3</v>
      </c>
      <c r="F156" s="222">
        <v>27.1</v>
      </c>
      <c r="G156" s="222"/>
      <c r="H156" s="222">
        <v>33.6</v>
      </c>
      <c r="I156" s="222">
        <v>31.1</v>
      </c>
      <c r="J156" s="222">
        <v>25.9</v>
      </c>
      <c r="K156" s="222">
        <v>29.3</v>
      </c>
      <c r="L156" s="222">
        <v>21</v>
      </c>
      <c r="M156" s="222"/>
      <c r="N156" s="222">
        <v>20.6</v>
      </c>
      <c r="O156" s="223">
        <f t="shared" si="69"/>
        <v>25.19</v>
      </c>
      <c r="P156" s="223">
        <f t="shared" si="70"/>
        <v>19.141370839463569</v>
      </c>
      <c r="Q156" s="224">
        <f t="shared" si="71"/>
        <v>0.83333333333333337</v>
      </c>
      <c r="R156" s="225">
        <f t="shared" si="81"/>
        <v>21.099999999999998</v>
      </c>
      <c r="S156" s="226">
        <f t="shared" si="72"/>
        <v>1</v>
      </c>
      <c r="T156" s="225">
        <f t="shared" si="82"/>
        <v>28.766666666666666</v>
      </c>
      <c r="U156" s="226">
        <f t="shared" si="73"/>
        <v>1</v>
      </c>
      <c r="V156" s="227">
        <f t="shared" si="83"/>
        <v>25.19</v>
      </c>
      <c r="W156" s="228">
        <f t="shared" si="74"/>
        <v>0.83333333333333337</v>
      </c>
      <c r="X156" s="144">
        <f t="shared" si="75"/>
        <v>13.5</v>
      </c>
      <c r="Y156" s="144">
        <f t="shared" si="76"/>
        <v>18.783333333333331</v>
      </c>
      <c r="Z156" s="144">
        <f t="shared" si="77"/>
        <v>16.490000000000002</v>
      </c>
      <c r="AA156" s="205"/>
      <c r="AB156" s="357" t="str">
        <f>VLOOKUP($B156,'2007-2020 Metadata'!$A$4:$S$214,MATCH("Urban Area /Monitoring Zone",'2007-2020 Metadata'!$A$4:$S$4,0),FALSE)</f>
        <v>Invercargill</v>
      </c>
      <c r="AC156" s="229" t="str">
        <f>VLOOKUP(B156,'2007-2020 Metadata'!$A$6:$A$214,1,FALSE)</f>
        <v>DUN005</v>
      </c>
      <c r="AD156" s="230" t="str">
        <f>VLOOKUP($AC156,'2007-2020 Metadata'!$A$6:$S$214,9,FALSE)</f>
        <v>Invercargill</v>
      </c>
      <c r="AE156" s="230">
        <f>IF(ISBLANK(VLOOKUP($AC156,'2007-2020 Metadata'!$A$6:$S$214,19,FALSE)),"",VLOOKUP($AC156,'2007-2020 Metadata'!$A$6:$S$214,19,FALSE))</f>
        <v>3</v>
      </c>
      <c r="AF156" s="88" t="str">
        <f>VLOOKUP($B156,'2007-2020 Metadata'!$A$4:$S$214,MATCH("Site type",'2007-2020 Metadata'!$A$4:$S$4,0),FALSE)</f>
        <v>SH</v>
      </c>
      <c r="AG156" s="143">
        <f t="shared" si="78"/>
        <v>18.600000000000001</v>
      </c>
      <c r="AH156" s="143">
        <f t="shared" si="79"/>
        <v>33.6</v>
      </c>
      <c r="AI156" s="144">
        <f t="shared" si="80"/>
        <v>16.490000000000002</v>
      </c>
    </row>
    <row r="157" spans="2:36" ht="12" customHeight="1" x14ac:dyDescent="0.15">
      <c r="B157" s="231" t="s">
        <v>155</v>
      </c>
      <c r="C157" s="222">
        <v>18.399999999999999</v>
      </c>
      <c r="D157" s="222">
        <v>16.2</v>
      </c>
      <c r="E157" s="222"/>
      <c r="F157" s="222"/>
      <c r="G157" s="222"/>
      <c r="H157" s="222"/>
      <c r="I157" s="222">
        <v>33.299999999999997</v>
      </c>
      <c r="J157" s="222">
        <v>30.1</v>
      </c>
      <c r="K157" s="222">
        <v>22.4</v>
      </c>
      <c r="L157" s="222">
        <v>20.399999999999999</v>
      </c>
      <c r="M157" s="222">
        <v>15.61366742596811</v>
      </c>
      <c r="N157" s="222">
        <v>15.61366742596811</v>
      </c>
      <c r="O157" s="223">
        <f t="shared" si="69"/>
        <v>21.503416856492031</v>
      </c>
      <c r="P157" s="223">
        <f t="shared" si="70"/>
        <v>29.513604189995711</v>
      </c>
      <c r="Q157" s="224">
        <f t="shared" si="71"/>
        <v>0.66666666666666663</v>
      </c>
      <c r="R157" s="225">
        <f t="shared" si="81"/>
        <v>17.299999999999997</v>
      </c>
      <c r="S157" s="226">
        <f t="shared" si="72"/>
        <v>0.66666666666666663</v>
      </c>
      <c r="T157" s="225">
        <f t="shared" si="82"/>
        <v>28.599999999999998</v>
      </c>
      <c r="U157" s="226">
        <f t="shared" si="73"/>
        <v>1</v>
      </c>
      <c r="V157" s="227" t="str">
        <f t="shared" si="83"/>
        <v>-</v>
      </c>
      <c r="W157" s="228">
        <f t="shared" si="74"/>
        <v>0.66666666666666663</v>
      </c>
      <c r="X157" s="144">
        <f t="shared" si="75"/>
        <v>14.692857142857141</v>
      </c>
      <c r="Y157" s="144">
        <f t="shared" si="76"/>
        <v>21.178571428571427</v>
      </c>
      <c r="Z157" s="144" t="str">
        <f t="shared" si="77"/>
        <v/>
      </c>
      <c r="AA157" s="205"/>
      <c r="AB157" s="357" t="str">
        <f>VLOOKUP($B157,'2007-2020 Metadata'!$A$4:$S$214,MATCH("Urban Area /Monitoring Zone",'2007-2020 Metadata'!$A$4:$S$4,0),FALSE)</f>
        <v>Dunedin</v>
      </c>
      <c r="AC157" s="229" t="str">
        <f>VLOOKUP(B157,'2007-2020 Metadata'!$A$6:$A$214,1,FALSE)</f>
        <v>DUN006</v>
      </c>
      <c r="AD157" s="230" t="str">
        <f>VLOOKUP($AC157,'2007-2020 Metadata'!$A$6:$S$214,9,FALSE)</f>
        <v>Dunedin</v>
      </c>
      <c r="AE157" s="230">
        <f>IF(ISBLANK(VLOOKUP($AC157,'2007-2020 Metadata'!$A$6:$S$214,19,FALSE)),"",VLOOKUP($AC157,'2007-2020 Metadata'!$A$6:$S$214,19,FALSE))</f>
        <v>3</v>
      </c>
      <c r="AF157" s="88" t="str">
        <f>VLOOKUP($B157,'2007-2020 Metadata'!$A$4:$S$214,MATCH("Site type",'2007-2020 Metadata'!$A$4:$S$4,0),FALSE)</f>
        <v>SH</v>
      </c>
      <c r="AG157" s="143">
        <f t="shared" si="78"/>
        <v>15.61366742596811</v>
      </c>
      <c r="AH157" s="143">
        <f t="shared" si="79"/>
        <v>33.299999999999997</v>
      </c>
      <c r="AI157" s="144" t="str">
        <f t="shared" si="80"/>
        <v xml:space="preserve"> </v>
      </c>
    </row>
    <row r="158" spans="2:36" ht="12" customHeight="1" x14ac:dyDescent="0.15">
      <c r="B158" s="231" t="s">
        <v>156</v>
      </c>
      <c r="C158" s="222">
        <v>8.6</v>
      </c>
      <c r="D158" s="222">
        <v>10.199999999999999</v>
      </c>
      <c r="E158" s="222"/>
      <c r="F158" s="222"/>
      <c r="G158" s="222"/>
      <c r="H158" s="222"/>
      <c r="I158" s="222">
        <v>14.5</v>
      </c>
      <c r="J158" s="222">
        <v>12</v>
      </c>
      <c r="K158" s="222">
        <v>10.199999999999999</v>
      </c>
      <c r="L158" s="222">
        <v>10.1</v>
      </c>
      <c r="M158" s="222">
        <v>6.4791409046534332</v>
      </c>
      <c r="N158" s="222">
        <v>6.4791409046534332</v>
      </c>
      <c r="O158" s="223">
        <f t="shared" si="69"/>
        <v>9.8197852261633578</v>
      </c>
      <c r="P158" s="223">
        <f t="shared" si="70"/>
        <v>25.670020985641663</v>
      </c>
      <c r="Q158" s="224">
        <f t="shared" si="71"/>
        <v>0.66666666666666663</v>
      </c>
      <c r="R158" s="225">
        <f t="shared" si="81"/>
        <v>9.3999999999999986</v>
      </c>
      <c r="S158" s="226">
        <f t="shared" si="72"/>
        <v>0.66666666666666663</v>
      </c>
      <c r="T158" s="225">
        <f t="shared" si="82"/>
        <v>12.233333333333334</v>
      </c>
      <c r="U158" s="226">
        <f t="shared" si="73"/>
        <v>1</v>
      </c>
      <c r="V158" s="227" t="str">
        <f t="shared" si="83"/>
        <v>-</v>
      </c>
      <c r="W158" s="228">
        <f t="shared" si="74"/>
        <v>0.66666666666666663</v>
      </c>
      <c r="X158" s="144">
        <f t="shared" si="75"/>
        <v>14.692857142857141</v>
      </c>
      <c r="Y158" s="144">
        <f t="shared" si="76"/>
        <v>21.178571428571427</v>
      </c>
      <c r="Z158" s="144" t="str">
        <f t="shared" si="77"/>
        <v/>
      </c>
      <c r="AA158" s="205"/>
      <c r="AB158" s="357" t="str">
        <f>VLOOKUP($B158,'2007-2020 Metadata'!$A$4:$S$214,MATCH("Urban Area /Monitoring Zone",'2007-2020 Metadata'!$A$4:$S$4,0),FALSE)</f>
        <v>Dunedin</v>
      </c>
      <c r="AC158" s="229" t="str">
        <f>VLOOKUP(B158,'2007-2020 Metadata'!$A$6:$A$214,1,FALSE)</f>
        <v>DUN007</v>
      </c>
      <c r="AD158" s="230" t="str">
        <f>VLOOKUP($AC158,'2007-2020 Metadata'!$A$6:$S$214,9,FALSE)</f>
        <v>Dunedin</v>
      </c>
      <c r="AE158" s="230">
        <f>IF(ISBLANK(VLOOKUP($AC158,'2007-2020 Metadata'!$A$6:$S$214,19,FALSE)),"",VLOOKUP($AC158,'2007-2020 Metadata'!$A$6:$S$214,19,FALSE))</f>
        <v>3</v>
      </c>
      <c r="AF158" s="88" t="str">
        <f>VLOOKUP($B158,'2007-2020 Metadata'!$A$4:$S$214,MATCH("Site type",'2007-2020 Metadata'!$A$4:$S$4,0),FALSE)</f>
        <v>Background</v>
      </c>
      <c r="AG158" s="143">
        <f t="shared" si="78"/>
        <v>6.4791409046534332</v>
      </c>
      <c r="AH158" s="143">
        <f t="shared" si="79"/>
        <v>14.5</v>
      </c>
      <c r="AI158" s="144" t="str">
        <f t="shared" si="80"/>
        <v xml:space="preserve"> </v>
      </c>
    </row>
    <row r="159" spans="2:36" ht="12" customHeight="1" x14ac:dyDescent="0.15">
      <c r="B159" s="231" t="s">
        <v>157</v>
      </c>
      <c r="C159" s="222">
        <v>12.6</v>
      </c>
      <c r="D159" s="222">
        <v>14.6</v>
      </c>
      <c r="E159" s="222"/>
      <c r="F159" s="222"/>
      <c r="G159" s="222"/>
      <c r="H159" s="222"/>
      <c r="I159" s="222">
        <v>20.6</v>
      </c>
      <c r="J159" s="222"/>
      <c r="K159" s="222">
        <v>15.3</v>
      </c>
      <c r="L159" s="222">
        <v>19.8</v>
      </c>
      <c r="M159" s="222">
        <v>13.116893540864474</v>
      </c>
      <c r="N159" s="222">
        <v>13.116893540864474</v>
      </c>
      <c r="O159" s="223">
        <f t="shared" si="69"/>
        <v>15.590541011675564</v>
      </c>
      <c r="P159" s="223">
        <f t="shared" si="70"/>
        <v>19.55465649337534</v>
      </c>
      <c r="Q159" s="224">
        <f t="shared" si="71"/>
        <v>0.58333333333333337</v>
      </c>
      <c r="R159" s="225">
        <f t="shared" si="81"/>
        <v>13.6</v>
      </c>
      <c r="S159" s="226">
        <f t="shared" si="72"/>
        <v>0.66666666666666663</v>
      </c>
      <c r="T159" s="225">
        <f t="shared" si="82"/>
        <v>17.950000000000003</v>
      </c>
      <c r="U159" s="226">
        <f t="shared" si="73"/>
        <v>0.66666666666666663</v>
      </c>
      <c r="V159" s="227" t="str">
        <f t="shared" si="83"/>
        <v>-</v>
      </c>
      <c r="W159" s="228">
        <f t="shared" si="74"/>
        <v>0.58333333333333337</v>
      </c>
      <c r="X159" s="144">
        <f t="shared" si="75"/>
        <v>14.692857142857141</v>
      </c>
      <c r="Y159" s="144">
        <f t="shared" si="76"/>
        <v>21.178571428571427</v>
      </c>
      <c r="Z159" s="144" t="str">
        <f t="shared" si="77"/>
        <v/>
      </c>
      <c r="AA159" s="205"/>
      <c r="AB159" s="357" t="str">
        <f>VLOOKUP($B159,'2007-2020 Metadata'!$A$4:$S$214,MATCH("Urban Area /Monitoring Zone",'2007-2020 Metadata'!$A$4:$S$4,0),FALSE)</f>
        <v>Dunedin</v>
      </c>
      <c r="AC159" s="229" t="str">
        <f>VLOOKUP(B159,'2007-2020 Metadata'!$A$6:$A$214,1,FALSE)</f>
        <v>DUN008</v>
      </c>
      <c r="AD159" s="230" t="str">
        <f>VLOOKUP($AC159,'2007-2020 Metadata'!$A$6:$S$214,9,FALSE)</f>
        <v>Dunedin</v>
      </c>
      <c r="AE159" s="230">
        <f>IF(ISBLANK(VLOOKUP($AC159,'2007-2020 Metadata'!$A$6:$S$214,19,FALSE)),"",VLOOKUP($AC159,'2007-2020 Metadata'!$A$6:$S$214,19,FALSE))</f>
        <v>3</v>
      </c>
      <c r="AF159" s="88" t="str">
        <f>VLOOKUP($B159,'2007-2020 Metadata'!$A$4:$S$214,MATCH("Site type",'2007-2020 Metadata'!$A$4:$S$4,0),FALSE)</f>
        <v>Local</v>
      </c>
      <c r="AG159" s="143">
        <f t="shared" si="78"/>
        <v>12.6</v>
      </c>
      <c r="AH159" s="143">
        <f t="shared" si="79"/>
        <v>20.6</v>
      </c>
      <c r="AI159" s="144" t="str">
        <f t="shared" si="80"/>
        <v xml:space="preserve"> </v>
      </c>
    </row>
    <row r="160" spans="2:36" ht="12" customHeight="1" x14ac:dyDescent="0.15">
      <c r="B160" s="231" t="s">
        <v>158</v>
      </c>
      <c r="C160" s="222">
        <v>15.3</v>
      </c>
      <c r="D160" s="222">
        <v>17.7</v>
      </c>
      <c r="E160" s="222"/>
      <c r="F160" s="222"/>
      <c r="G160" s="222"/>
      <c r="H160" s="222"/>
      <c r="I160" s="222">
        <v>28</v>
      </c>
      <c r="J160" s="222">
        <v>26.4</v>
      </c>
      <c r="K160" s="222">
        <v>20</v>
      </c>
      <c r="L160" s="222">
        <v>20.6</v>
      </c>
      <c r="M160" s="222">
        <v>11.949235274975594</v>
      </c>
      <c r="N160" s="222">
        <v>11.949235274975594</v>
      </c>
      <c r="O160" s="223">
        <f t="shared" si="69"/>
        <v>18.987308818743898</v>
      </c>
      <c r="P160" s="223">
        <f t="shared" si="70"/>
        <v>29.683528582952345</v>
      </c>
      <c r="Q160" s="224">
        <f t="shared" si="71"/>
        <v>0.66666666666666663</v>
      </c>
      <c r="R160" s="225">
        <f t="shared" si="81"/>
        <v>16.5</v>
      </c>
      <c r="S160" s="226">
        <f t="shared" si="72"/>
        <v>0.66666666666666663</v>
      </c>
      <c r="T160" s="225">
        <f t="shared" si="82"/>
        <v>24.8</v>
      </c>
      <c r="U160" s="226">
        <f t="shared" si="73"/>
        <v>1</v>
      </c>
      <c r="V160" s="227" t="str">
        <f t="shared" si="83"/>
        <v>-</v>
      </c>
      <c r="W160" s="228">
        <f t="shared" si="74"/>
        <v>0.66666666666666663</v>
      </c>
      <c r="X160" s="144">
        <f t="shared" si="75"/>
        <v>14.692857142857141</v>
      </c>
      <c r="Y160" s="144">
        <f t="shared" si="76"/>
        <v>21.178571428571427</v>
      </c>
      <c r="Z160" s="144" t="str">
        <f t="shared" si="77"/>
        <v/>
      </c>
      <c r="AA160" s="205"/>
      <c r="AB160" s="357" t="str">
        <f>VLOOKUP($B160,'2007-2020 Metadata'!$A$4:$S$214,MATCH("Urban Area /Monitoring Zone",'2007-2020 Metadata'!$A$4:$S$4,0),FALSE)</f>
        <v>Dunedin</v>
      </c>
      <c r="AC160" s="229" t="str">
        <f>VLOOKUP(B160,'2007-2020 Metadata'!$A$6:$A$214,1,FALSE)</f>
        <v>DUN009</v>
      </c>
      <c r="AD160" s="230" t="str">
        <f>VLOOKUP($AC160,'2007-2020 Metadata'!$A$6:$S$214,9,FALSE)</f>
        <v>Dunedin</v>
      </c>
      <c r="AE160" s="230">
        <f>IF(ISBLANK(VLOOKUP($AC160,'2007-2020 Metadata'!$A$6:$S$214,19,FALSE)),"",VLOOKUP($AC160,'2007-2020 Metadata'!$A$6:$S$214,19,FALSE))</f>
        <v>3</v>
      </c>
      <c r="AF160" s="88" t="str">
        <f>VLOOKUP($B160,'2007-2020 Metadata'!$A$4:$S$214,MATCH("Site type",'2007-2020 Metadata'!$A$4:$S$4,0),FALSE)</f>
        <v>Local</v>
      </c>
      <c r="AG160" s="143">
        <f t="shared" si="78"/>
        <v>11.949235274975594</v>
      </c>
      <c r="AH160" s="143">
        <f t="shared" si="79"/>
        <v>28</v>
      </c>
      <c r="AI160" s="144" t="str">
        <f t="shared" si="80"/>
        <v xml:space="preserve"> </v>
      </c>
    </row>
    <row r="161" spans="2:35" ht="12" customHeight="1" x14ac:dyDescent="0.15">
      <c r="B161" s="231" t="s">
        <v>31</v>
      </c>
      <c r="C161" s="222">
        <v>4.5999999999999996</v>
      </c>
      <c r="D161" s="222"/>
      <c r="E161" s="222">
        <v>7.2</v>
      </c>
      <c r="F161" s="222">
        <v>7.3</v>
      </c>
      <c r="G161" s="222">
        <v>11.4</v>
      </c>
      <c r="H161" s="222">
        <v>11</v>
      </c>
      <c r="I161" s="222">
        <v>12.3</v>
      </c>
      <c r="J161" s="222">
        <v>7.9</v>
      </c>
      <c r="K161" s="222">
        <v>6.2</v>
      </c>
      <c r="L161" s="222">
        <v>4.7</v>
      </c>
      <c r="M161" s="222">
        <v>5.3</v>
      </c>
      <c r="N161" s="222"/>
      <c r="O161" s="223">
        <f t="shared" si="69"/>
        <v>7.7899999999999991</v>
      </c>
      <c r="P161" s="223">
        <f t="shared" si="70"/>
        <v>34.619146009708544</v>
      </c>
      <c r="Q161" s="224">
        <f t="shared" si="71"/>
        <v>0.83333333333333337</v>
      </c>
      <c r="R161" s="225">
        <f t="shared" si="81"/>
        <v>5.9</v>
      </c>
      <c r="S161" s="226">
        <f t="shared" si="72"/>
        <v>0.66666666666666663</v>
      </c>
      <c r="T161" s="225">
        <f t="shared" si="82"/>
        <v>8.8000000000000007</v>
      </c>
      <c r="U161" s="226">
        <f t="shared" si="73"/>
        <v>1</v>
      </c>
      <c r="V161" s="227">
        <f t="shared" si="83"/>
        <v>7.7899999999999991</v>
      </c>
      <c r="W161" s="228">
        <f t="shared" si="74"/>
        <v>0.83333333333333337</v>
      </c>
      <c r="X161" s="144">
        <f t="shared" si="75"/>
        <v>13.5</v>
      </c>
      <c r="Y161" s="144">
        <f t="shared" si="76"/>
        <v>18.783333333333331</v>
      </c>
      <c r="Z161" s="144">
        <f t="shared" si="77"/>
        <v>16.490000000000002</v>
      </c>
      <c r="AA161" s="205"/>
      <c r="AB161" s="357" t="str">
        <f>VLOOKUP($B161,'2007-2020 Metadata'!$A$4:$S$214,MATCH("Urban Area /Monitoring Zone",'2007-2020 Metadata'!$A$4:$S$4,0),FALSE)</f>
        <v>Invercargill</v>
      </c>
      <c r="AC161" s="229" t="str">
        <f>VLOOKUP(B161,'2007-2020 Metadata'!$A$6:$A$214,1,FALSE)</f>
        <v>DUN010</v>
      </c>
      <c r="AD161" s="230" t="str">
        <f>VLOOKUP($AC161,'2007-2020 Metadata'!$A$6:$S$214,9,FALSE)</f>
        <v>Invercargill</v>
      </c>
      <c r="AE161" s="230">
        <f>IF(ISBLANK(VLOOKUP($AC161,'2007-2020 Metadata'!$A$6:$S$214,19,FALSE)),"",VLOOKUP($AC161,'2007-2020 Metadata'!$A$6:$S$214,19,FALSE))</f>
        <v>3</v>
      </c>
      <c r="AF161" s="88" t="str">
        <f>VLOOKUP($B161,'2007-2020 Metadata'!$A$4:$S$214,MATCH("Site type",'2007-2020 Metadata'!$A$4:$S$4,0),FALSE)</f>
        <v>Background</v>
      </c>
      <c r="AG161" s="143">
        <f t="shared" si="78"/>
        <v>4.5999999999999996</v>
      </c>
      <c r="AH161" s="143">
        <f t="shared" si="79"/>
        <v>12.3</v>
      </c>
      <c r="AI161" s="144">
        <f t="shared" si="80"/>
        <v>16.490000000000002</v>
      </c>
    </row>
    <row r="162" spans="2:35" ht="12" customHeight="1" x14ac:dyDescent="0.15">
      <c r="B162" s="231" t="s">
        <v>468</v>
      </c>
      <c r="C162" s="222">
        <v>11.8</v>
      </c>
      <c r="D162" s="222">
        <v>9.6999999999999993</v>
      </c>
      <c r="E162" s="222"/>
      <c r="F162" s="222"/>
      <c r="G162" s="222"/>
      <c r="H162" s="222"/>
      <c r="I162" s="222">
        <v>15.3</v>
      </c>
      <c r="J162" s="222">
        <v>17</v>
      </c>
      <c r="K162" s="222">
        <v>11.7</v>
      </c>
      <c r="L162" s="222">
        <v>11.4</v>
      </c>
      <c r="M162" s="222">
        <v>8.4436683117305726</v>
      </c>
      <c r="N162" s="222">
        <v>8.4436683117305726</v>
      </c>
      <c r="O162" s="223">
        <f t="shared" si="69"/>
        <v>11.723417077932645</v>
      </c>
      <c r="P162" s="223">
        <f t="shared" si="70"/>
        <v>24.565810048179163</v>
      </c>
      <c r="Q162" s="224">
        <f t="shared" si="71"/>
        <v>0.66666666666666663</v>
      </c>
      <c r="R162" s="225">
        <f t="shared" si="81"/>
        <v>10.75</v>
      </c>
      <c r="S162" s="226">
        <f t="shared" si="72"/>
        <v>0.66666666666666663</v>
      </c>
      <c r="T162" s="225">
        <f t="shared" si="82"/>
        <v>14.666666666666666</v>
      </c>
      <c r="U162" s="226">
        <f t="shared" si="73"/>
        <v>1</v>
      </c>
      <c r="V162" s="227" t="str">
        <f t="shared" si="83"/>
        <v>-</v>
      </c>
      <c r="W162" s="228">
        <f t="shared" si="74"/>
        <v>0.66666666666666663</v>
      </c>
      <c r="X162" s="144">
        <f t="shared" si="75"/>
        <v>14.692857142857141</v>
      </c>
      <c r="Y162" s="144">
        <f t="shared" si="76"/>
        <v>21.178571428571427</v>
      </c>
      <c r="Z162" s="144" t="str">
        <f t="shared" si="77"/>
        <v/>
      </c>
      <c r="AA162" s="205"/>
      <c r="AB162" s="357" t="str">
        <f>VLOOKUP($B162,'2007-2020 Metadata'!$A$4:$S$214,MATCH("Urban Area /Monitoring Zone",'2007-2020 Metadata'!$A$4:$S$4,0),FALSE)</f>
        <v>Dunedin</v>
      </c>
      <c r="AC162" s="229" t="str">
        <f>VLOOKUP(B162,'2007-2020 Metadata'!$A$6:$A$214,1,FALSE)</f>
        <v>DUN011</v>
      </c>
      <c r="AD162" s="230" t="str">
        <f>VLOOKUP($AC162,'2007-2020 Metadata'!$A$6:$S$214,9,FALSE)</f>
        <v>Dunedin</v>
      </c>
      <c r="AE162" s="230">
        <f>IF(ISBLANK(VLOOKUP($AC162,'2007-2020 Metadata'!$A$6:$S$214,19,FALSE)),"",VLOOKUP($AC162,'2007-2020 Metadata'!$A$6:$S$214,19,FALSE))</f>
        <v>3</v>
      </c>
      <c r="AF162" s="88" t="str">
        <f>VLOOKUP($B162,'2007-2020 Metadata'!$A$4:$S$214,MATCH("Site type",'2007-2020 Metadata'!$A$4:$S$4,0),FALSE)</f>
        <v>SH</v>
      </c>
      <c r="AG162" s="143">
        <f t="shared" si="78"/>
        <v>8.4436683117305726</v>
      </c>
      <c r="AH162" s="143">
        <f t="shared" si="79"/>
        <v>17</v>
      </c>
      <c r="AI162" s="144" t="str">
        <f t="shared" si="80"/>
        <v xml:space="preserve"> </v>
      </c>
    </row>
    <row r="163" spans="2:35" ht="12" customHeight="1" thickBot="1" x14ac:dyDescent="0.2">
      <c r="B163" s="234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235"/>
      <c r="P163" s="235"/>
      <c r="Q163" s="236"/>
      <c r="R163" s="89"/>
      <c r="S163" s="108"/>
      <c r="T163" s="89"/>
      <c r="U163" s="108"/>
      <c r="V163" s="89"/>
      <c r="W163" s="90"/>
      <c r="X163" s="198"/>
      <c r="Y163" s="198"/>
      <c r="Z163" s="199"/>
      <c r="AA163" s="45"/>
      <c r="AB163" s="101"/>
      <c r="AC163" s="90"/>
      <c r="AD163" s="90"/>
      <c r="AE163" s="90"/>
      <c r="AF163" s="92"/>
      <c r="AG163" s="200"/>
      <c r="AH163" s="91"/>
      <c r="AI163" s="92"/>
    </row>
    <row r="164" spans="2:35" ht="12" customHeight="1" thickTop="1" x14ac:dyDescent="0.15">
      <c r="B164" s="211"/>
      <c r="C164" s="237" t="s">
        <v>487</v>
      </c>
      <c r="D164" s="206"/>
      <c r="E164" s="206"/>
      <c r="F164" s="206"/>
      <c r="G164" s="206"/>
      <c r="H164" s="206"/>
      <c r="I164" s="206"/>
      <c r="J164" s="206"/>
      <c r="K164" s="206"/>
      <c r="L164" s="206"/>
      <c r="M164" s="206"/>
      <c r="N164" s="206"/>
      <c r="O164" s="238"/>
      <c r="P164" s="238"/>
      <c r="Q164" s="238"/>
      <c r="R164" s="239"/>
      <c r="S164" s="239"/>
    </row>
    <row r="165" spans="2:35" ht="12" customHeight="1" x14ac:dyDescent="0.15">
      <c r="B165" s="240" t="s">
        <v>455</v>
      </c>
      <c r="C165" s="206"/>
      <c r="D165" s="206"/>
      <c r="E165" s="206"/>
      <c r="F165" s="206"/>
      <c r="G165" s="206"/>
      <c r="H165" s="206"/>
      <c r="I165" s="206"/>
      <c r="J165" s="206"/>
      <c r="K165" s="206"/>
      <c r="L165" s="206"/>
      <c r="M165" s="206"/>
      <c r="N165" s="206"/>
      <c r="O165" s="238"/>
      <c r="P165" s="238"/>
      <c r="Q165" s="238"/>
      <c r="R165" s="239"/>
      <c r="S165" s="239"/>
    </row>
    <row r="166" spans="2:35" ht="11.25" customHeight="1" x14ac:dyDescent="0.15">
      <c r="B166" s="241"/>
      <c r="C166" s="206" t="s">
        <v>456</v>
      </c>
      <c r="D166" s="206"/>
      <c r="E166" s="206"/>
      <c r="F166" s="206"/>
      <c r="G166" s="206"/>
      <c r="H166" s="206"/>
      <c r="I166" s="206"/>
      <c r="J166" s="206"/>
      <c r="K166" s="206"/>
      <c r="L166" s="206"/>
      <c r="M166" s="206"/>
      <c r="N166" s="206"/>
      <c r="O166" s="238"/>
      <c r="P166" s="238"/>
      <c r="Q166" s="238"/>
      <c r="R166" s="239"/>
      <c r="S166" s="239"/>
    </row>
    <row r="167" spans="2:35" ht="11.25" customHeight="1" x14ac:dyDescent="0.15">
      <c r="B167" s="242"/>
      <c r="C167" s="206" t="s">
        <v>488</v>
      </c>
      <c r="D167" s="206"/>
      <c r="E167" s="206"/>
      <c r="F167" s="206"/>
      <c r="G167" s="206"/>
      <c r="H167" s="206"/>
      <c r="I167" s="206"/>
      <c r="J167" s="206"/>
      <c r="K167" s="206"/>
      <c r="L167" s="206"/>
      <c r="M167" s="206"/>
      <c r="N167" s="206"/>
      <c r="O167" s="238"/>
      <c r="P167" s="238"/>
      <c r="Q167" s="238"/>
      <c r="R167" s="239"/>
      <c r="S167" s="239"/>
    </row>
    <row r="168" spans="2:35" ht="11.25" customHeight="1" x14ac:dyDescent="0.15">
      <c r="B168" s="243"/>
      <c r="C168" s="206" t="s">
        <v>457</v>
      </c>
      <c r="D168" s="206"/>
      <c r="E168" s="206"/>
      <c r="F168" s="206"/>
      <c r="G168" s="206"/>
      <c r="H168" s="206"/>
      <c r="I168" s="206"/>
      <c r="J168" s="206"/>
      <c r="K168" s="206"/>
      <c r="L168" s="206"/>
      <c r="M168" s="206"/>
      <c r="N168" s="206"/>
      <c r="O168" s="238"/>
      <c r="P168" s="238"/>
      <c r="Q168" s="238"/>
      <c r="R168" s="239"/>
      <c r="S168" s="239"/>
    </row>
    <row r="169" spans="2:35" ht="11.25" customHeight="1" x14ac:dyDescent="0.15">
      <c r="B169" s="244"/>
      <c r="C169" s="206" t="s">
        <v>458</v>
      </c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38"/>
      <c r="P169" s="238"/>
      <c r="Q169" s="238"/>
      <c r="R169" s="239"/>
      <c r="S169" s="239"/>
    </row>
    <row r="170" spans="2:35" ht="11.25" customHeight="1" x14ac:dyDescent="0.15">
      <c r="B170" s="245"/>
      <c r="C170" s="206" t="s">
        <v>489</v>
      </c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38"/>
      <c r="P170" s="238"/>
      <c r="Q170" s="238"/>
      <c r="R170" s="239"/>
      <c r="S170" s="239"/>
    </row>
    <row r="171" spans="2:35" x14ac:dyDescent="0.15">
      <c r="B171" s="254"/>
      <c r="C171" s="206" t="s">
        <v>540</v>
      </c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38"/>
      <c r="P171" s="238"/>
      <c r="Q171" s="238"/>
      <c r="R171" s="239"/>
      <c r="S171" s="239"/>
    </row>
    <row r="172" spans="2:35" x14ac:dyDescent="0.15">
      <c r="B172" s="372"/>
      <c r="C172" s="10" t="s">
        <v>1086</v>
      </c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38"/>
      <c r="P172" s="238"/>
      <c r="Q172" s="238"/>
      <c r="R172" s="239"/>
      <c r="S172" s="239"/>
    </row>
    <row r="173" spans="2:35" x14ac:dyDescent="0.15">
      <c r="B173" s="211"/>
      <c r="C173" s="206"/>
      <c r="D173" s="206"/>
      <c r="E173" s="206"/>
      <c r="F173" s="206"/>
      <c r="G173" s="206"/>
      <c r="H173" s="206"/>
      <c r="I173" s="206"/>
      <c r="J173" s="206"/>
      <c r="K173" s="206"/>
      <c r="L173" s="206"/>
      <c r="M173" s="206"/>
      <c r="N173" s="206"/>
      <c r="O173" s="238"/>
      <c r="P173" s="238"/>
      <c r="Q173" s="238"/>
      <c r="R173" s="239"/>
      <c r="S173" s="239"/>
    </row>
    <row r="174" spans="2:35" x14ac:dyDescent="0.15">
      <c r="B174" s="211"/>
      <c r="C174" s="206"/>
      <c r="D174" s="206"/>
      <c r="E174" s="206"/>
      <c r="F174" s="206"/>
      <c r="G174" s="206"/>
      <c r="H174" s="206"/>
      <c r="I174" s="206"/>
      <c r="J174" s="206"/>
      <c r="K174" s="206"/>
      <c r="L174" s="206"/>
      <c r="M174" s="206"/>
      <c r="N174" s="206"/>
      <c r="O174" s="238"/>
      <c r="P174" s="238"/>
      <c r="Q174" s="238"/>
      <c r="R174" s="239"/>
      <c r="S174" s="239"/>
    </row>
    <row r="175" spans="2:35" x14ac:dyDescent="0.15">
      <c r="B175" s="211"/>
      <c r="C175" s="206"/>
      <c r="D175" s="206"/>
      <c r="E175" s="206"/>
      <c r="F175" s="206"/>
      <c r="G175" s="206"/>
      <c r="H175" s="206"/>
      <c r="I175" s="206"/>
      <c r="J175" s="206"/>
      <c r="K175" s="206"/>
      <c r="L175" s="206"/>
      <c r="M175" s="206"/>
      <c r="N175" s="206"/>
      <c r="O175" s="238"/>
      <c r="P175" s="238"/>
      <c r="Q175" s="238"/>
      <c r="R175" s="239"/>
      <c r="S175" s="239"/>
    </row>
    <row r="176" spans="2:35" x14ac:dyDescent="0.15">
      <c r="B176" s="211"/>
      <c r="C176" s="206"/>
      <c r="D176" s="206"/>
      <c r="E176" s="206"/>
      <c r="F176" s="206"/>
      <c r="G176" s="206"/>
      <c r="H176" s="206"/>
      <c r="I176" s="206"/>
      <c r="J176" s="206"/>
      <c r="K176" s="206"/>
      <c r="L176" s="206"/>
      <c r="M176" s="206"/>
      <c r="N176" s="206"/>
      <c r="O176" s="238"/>
      <c r="P176" s="238"/>
      <c r="Q176" s="238"/>
      <c r="R176" s="239"/>
      <c r="S176" s="239"/>
    </row>
    <row r="177" spans="2:19" x14ac:dyDescent="0.15">
      <c r="B177" s="211"/>
      <c r="C177" s="206"/>
      <c r="D177" s="206"/>
      <c r="E177" s="206"/>
      <c r="F177" s="206"/>
      <c r="G177" s="206"/>
      <c r="H177" s="206"/>
      <c r="I177" s="206"/>
      <c r="J177" s="206"/>
      <c r="K177" s="206"/>
      <c r="L177" s="206"/>
      <c r="M177" s="206"/>
      <c r="N177" s="206"/>
      <c r="O177" s="238"/>
      <c r="P177" s="238"/>
      <c r="Q177" s="238"/>
      <c r="R177" s="239"/>
      <c r="S177" s="239"/>
    </row>
    <row r="178" spans="2:19" x14ac:dyDescent="0.15">
      <c r="B178" s="211"/>
      <c r="C178" s="206"/>
      <c r="D178" s="206"/>
      <c r="E178" s="206"/>
      <c r="F178" s="206"/>
      <c r="G178" s="206"/>
      <c r="H178" s="206"/>
      <c r="I178" s="206"/>
      <c r="J178" s="206"/>
      <c r="K178" s="206"/>
      <c r="L178" s="206"/>
      <c r="M178" s="206"/>
      <c r="N178" s="206"/>
      <c r="O178" s="238"/>
      <c r="P178" s="238"/>
      <c r="Q178" s="238"/>
      <c r="R178" s="239"/>
      <c r="S178" s="239"/>
    </row>
    <row r="179" spans="2:19" x14ac:dyDescent="0.15">
      <c r="B179" s="211"/>
      <c r="C179" s="206"/>
      <c r="D179" s="206"/>
      <c r="E179" s="206"/>
      <c r="F179" s="206"/>
      <c r="G179" s="206"/>
      <c r="H179" s="206"/>
      <c r="I179" s="206"/>
      <c r="J179" s="206"/>
      <c r="K179" s="206"/>
      <c r="L179" s="206"/>
      <c r="M179" s="206"/>
      <c r="N179" s="206"/>
      <c r="O179" s="238"/>
      <c r="P179" s="238"/>
      <c r="Q179" s="238"/>
      <c r="R179" s="239"/>
      <c r="S179" s="239"/>
    </row>
    <row r="180" spans="2:19" x14ac:dyDescent="0.15">
      <c r="B180" s="211"/>
      <c r="C180" s="206"/>
      <c r="D180" s="206"/>
      <c r="E180" s="206"/>
      <c r="F180" s="206"/>
      <c r="G180" s="206"/>
      <c r="H180" s="206"/>
      <c r="I180" s="206"/>
      <c r="J180" s="206"/>
      <c r="K180" s="206"/>
      <c r="L180" s="206"/>
      <c r="M180" s="206"/>
      <c r="N180" s="206"/>
      <c r="O180" s="238"/>
      <c r="P180" s="238"/>
      <c r="Q180" s="238"/>
      <c r="R180" s="239"/>
      <c r="S180" s="239"/>
    </row>
    <row r="181" spans="2:19" x14ac:dyDescent="0.15">
      <c r="B181" s="211"/>
      <c r="C181" s="206"/>
      <c r="D181" s="206"/>
      <c r="E181" s="206"/>
      <c r="F181" s="206"/>
      <c r="G181" s="206"/>
      <c r="H181" s="206"/>
      <c r="I181" s="206"/>
      <c r="J181" s="206"/>
      <c r="K181" s="206"/>
      <c r="L181" s="206"/>
      <c r="M181" s="206"/>
      <c r="N181" s="206"/>
      <c r="O181" s="238"/>
      <c r="P181" s="238"/>
      <c r="Q181" s="238"/>
      <c r="R181" s="239"/>
      <c r="S181" s="239"/>
    </row>
    <row r="182" spans="2:19" x14ac:dyDescent="0.15">
      <c r="B182" s="211"/>
      <c r="C182" s="206"/>
      <c r="D182" s="206"/>
      <c r="E182" s="206"/>
      <c r="F182" s="206"/>
      <c r="G182" s="206"/>
      <c r="H182" s="206"/>
      <c r="I182" s="206"/>
      <c r="J182" s="206"/>
      <c r="K182" s="206"/>
      <c r="L182" s="206"/>
      <c r="M182" s="206"/>
      <c r="N182" s="206"/>
      <c r="O182" s="238"/>
      <c r="P182" s="238"/>
      <c r="Q182" s="238"/>
      <c r="R182" s="239"/>
      <c r="S182" s="239"/>
    </row>
    <row r="183" spans="2:19" x14ac:dyDescent="0.15">
      <c r="B183" s="211"/>
      <c r="C183" s="206"/>
      <c r="D183" s="206"/>
      <c r="E183" s="206"/>
      <c r="F183" s="206"/>
      <c r="G183" s="206"/>
      <c r="H183" s="206"/>
      <c r="I183" s="206"/>
      <c r="J183" s="206"/>
      <c r="K183" s="206"/>
      <c r="L183" s="206"/>
      <c r="M183" s="206"/>
      <c r="N183" s="206"/>
      <c r="O183" s="238"/>
      <c r="P183" s="238"/>
      <c r="Q183" s="238"/>
      <c r="R183" s="239"/>
      <c r="S183" s="239"/>
    </row>
    <row r="184" spans="2:19" x14ac:dyDescent="0.15">
      <c r="B184" s="211"/>
      <c r="C184" s="206"/>
      <c r="D184" s="206"/>
      <c r="E184" s="206"/>
      <c r="F184" s="206"/>
      <c r="G184" s="206"/>
      <c r="H184" s="206"/>
      <c r="I184" s="206"/>
      <c r="J184" s="206"/>
      <c r="K184" s="206"/>
      <c r="L184" s="206"/>
      <c r="M184" s="206"/>
      <c r="N184" s="206"/>
      <c r="O184" s="238"/>
      <c r="P184" s="238"/>
      <c r="Q184" s="238"/>
      <c r="R184" s="239"/>
      <c r="S184" s="239"/>
    </row>
    <row r="185" spans="2:19" x14ac:dyDescent="0.15">
      <c r="B185" s="211"/>
      <c r="C185" s="206"/>
      <c r="D185" s="206"/>
      <c r="E185" s="206"/>
      <c r="F185" s="206"/>
      <c r="G185" s="206"/>
      <c r="H185" s="206"/>
      <c r="I185" s="206"/>
      <c r="J185" s="206"/>
      <c r="K185" s="206"/>
      <c r="L185" s="206"/>
      <c r="M185" s="206"/>
      <c r="N185" s="206"/>
      <c r="O185" s="238"/>
      <c r="P185" s="238"/>
      <c r="Q185" s="238"/>
      <c r="R185" s="239"/>
      <c r="S185" s="239"/>
    </row>
    <row r="186" spans="2:19" x14ac:dyDescent="0.15">
      <c r="B186" s="211"/>
      <c r="C186" s="206"/>
      <c r="D186" s="206"/>
      <c r="E186" s="206"/>
      <c r="F186" s="206"/>
      <c r="G186" s="206"/>
      <c r="H186" s="206"/>
      <c r="I186" s="206"/>
      <c r="J186" s="206"/>
      <c r="K186" s="206"/>
      <c r="L186" s="206"/>
      <c r="M186" s="206"/>
      <c r="N186" s="206"/>
      <c r="O186" s="238"/>
      <c r="P186" s="238"/>
      <c r="Q186" s="238"/>
      <c r="R186" s="239"/>
      <c r="S186" s="239"/>
    </row>
    <row r="187" spans="2:19" x14ac:dyDescent="0.15">
      <c r="B187" s="211"/>
      <c r="C187" s="206"/>
      <c r="D187" s="206"/>
      <c r="E187" s="206"/>
      <c r="F187" s="206"/>
      <c r="G187" s="206"/>
      <c r="H187" s="206"/>
      <c r="I187" s="206"/>
      <c r="J187" s="206"/>
      <c r="K187" s="206"/>
      <c r="L187" s="206"/>
      <c r="M187" s="206"/>
      <c r="N187" s="206"/>
      <c r="O187" s="238"/>
      <c r="P187" s="238"/>
      <c r="Q187" s="238"/>
      <c r="R187" s="239"/>
      <c r="S187" s="239"/>
    </row>
    <row r="188" spans="2:19" x14ac:dyDescent="0.15">
      <c r="B188" s="211"/>
      <c r="C188" s="206"/>
      <c r="D188" s="206"/>
      <c r="E188" s="206"/>
      <c r="F188" s="206"/>
      <c r="G188" s="206"/>
      <c r="H188" s="206"/>
      <c r="I188" s="206"/>
      <c r="J188" s="206"/>
      <c r="K188" s="206"/>
      <c r="L188" s="206"/>
      <c r="M188" s="206"/>
      <c r="N188" s="206"/>
      <c r="O188" s="238"/>
      <c r="P188" s="238"/>
      <c r="Q188" s="238"/>
      <c r="R188" s="239"/>
      <c r="S188" s="239"/>
    </row>
    <row r="189" spans="2:19" x14ac:dyDescent="0.15">
      <c r="B189" s="211"/>
      <c r="C189" s="206"/>
      <c r="D189" s="206"/>
      <c r="E189" s="206"/>
      <c r="F189" s="206"/>
      <c r="G189" s="206"/>
      <c r="H189" s="206"/>
      <c r="I189" s="206"/>
      <c r="J189" s="206"/>
      <c r="K189" s="206"/>
      <c r="L189" s="206"/>
      <c r="M189" s="206"/>
      <c r="N189" s="206"/>
      <c r="O189" s="238"/>
      <c r="P189" s="238"/>
      <c r="Q189" s="238"/>
      <c r="R189" s="239"/>
      <c r="S189" s="239"/>
    </row>
    <row r="190" spans="2:19" x14ac:dyDescent="0.15">
      <c r="B190" s="211"/>
      <c r="C190" s="206"/>
      <c r="D190" s="206"/>
      <c r="E190" s="206"/>
      <c r="F190" s="206"/>
      <c r="G190" s="206"/>
      <c r="H190" s="206"/>
      <c r="I190" s="206"/>
      <c r="J190" s="206"/>
      <c r="K190" s="206"/>
      <c r="L190" s="206"/>
      <c r="M190" s="206"/>
      <c r="N190" s="206"/>
      <c r="O190" s="238"/>
      <c r="P190" s="238"/>
      <c r="Q190" s="238"/>
      <c r="R190" s="239"/>
      <c r="S190" s="239"/>
    </row>
    <row r="191" spans="2:19" x14ac:dyDescent="0.15">
      <c r="B191" s="211"/>
      <c r="C191" s="206"/>
      <c r="D191" s="206"/>
      <c r="E191" s="206"/>
      <c r="F191" s="206"/>
      <c r="G191" s="206"/>
      <c r="H191" s="206"/>
      <c r="I191" s="206"/>
      <c r="J191" s="206"/>
      <c r="K191" s="206"/>
      <c r="L191" s="206"/>
      <c r="M191" s="206"/>
      <c r="N191" s="206"/>
      <c r="O191" s="238"/>
      <c r="P191" s="238"/>
      <c r="Q191" s="238"/>
      <c r="R191" s="239"/>
      <c r="S191" s="239"/>
    </row>
    <row r="192" spans="2:19" x14ac:dyDescent="0.15">
      <c r="B192" s="211"/>
      <c r="C192" s="206"/>
      <c r="D192" s="206"/>
      <c r="E192" s="206"/>
      <c r="F192" s="206"/>
      <c r="G192" s="206"/>
      <c r="H192" s="206"/>
      <c r="I192" s="206"/>
      <c r="J192" s="206"/>
      <c r="K192" s="206"/>
      <c r="L192" s="206"/>
      <c r="M192" s="206"/>
      <c r="N192" s="206"/>
      <c r="O192" s="238"/>
      <c r="P192" s="238"/>
      <c r="Q192" s="238"/>
      <c r="R192" s="239"/>
      <c r="S192" s="239"/>
    </row>
    <row r="193" spans="2:19" x14ac:dyDescent="0.15">
      <c r="B193" s="211"/>
      <c r="C193" s="206"/>
      <c r="D193" s="206"/>
      <c r="E193" s="206"/>
      <c r="F193" s="206"/>
      <c r="G193" s="206"/>
      <c r="H193" s="206"/>
      <c r="I193" s="206"/>
      <c r="J193" s="206"/>
      <c r="K193" s="206"/>
      <c r="L193" s="206"/>
      <c r="M193" s="206"/>
      <c r="N193" s="206"/>
      <c r="O193" s="238"/>
      <c r="P193" s="238"/>
      <c r="Q193" s="238"/>
      <c r="R193" s="239"/>
      <c r="S193" s="239"/>
    </row>
    <row r="194" spans="2:19" x14ac:dyDescent="0.15">
      <c r="B194" s="211"/>
      <c r="C194" s="206"/>
      <c r="D194" s="206"/>
      <c r="E194" s="206"/>
      <c r="F194" s="206"/>
      <c r="G194" s="206"/>
      <c r="H194" s="206"/>
      <c r="I194" s="206"/>
      <c r="J194" s="206"/>
      <c r="K194" s="206"/>
      <c r="L194" s="206"/>
      <c r="M194" s="206"/>
      <c r="N194" s="206"/>
      <c r="O194" s="238"/>
      <c r="P194" s="238"/>
      <c r="Q194" s="238"/>
      <c r="R194" s="239"/>
      <c r="S194" s="239"/>
    </row>
    <row r="195" spans="2:19" x14ac:dyDescent="0.15">
      <c r="B195" s="211"/>
      <c r="C195" s="206"/>
      <c r="D195" s="206"/>
      <c r="E195" s="206"/>
      <c r="F195" s="206"/>
      <c r="G195" s="206"/>
      <c r="H195" s="206"/>
      <c r="I195" s="206"/>
      <c r="J195" s="206"/>
      <c r="K195" s="206"/>
      <c r="L195" s="206"/>
      <c r="M195" s="206"/>
      <c r="N195" s="206"/>
      <c r="O195" s="238"/>
      <c r="P195" s="238"/>
      <c r="Q195" s="238"/>
      <c r="R195" s="239"/>
      <c r="S195" s="239"/>
    </row>
    <row r="196" spans="2:19" x14ac:dyDescent="0.15">
      <c r="B196" s="211"/>
      <c r="C196" s="206"/>
      <c r="D196" s="206"/>
      <c r="E196" s="206"/>
      <c r="F196" s="206"/>
      <c r="G196" s="206"/>
      <c r="H196" s="206"/>
      <c r="I196" s="206"/>
      <c r="J196" s="206"/>
      <c r="K196" s="206"/>
      <c r="L196" s="206"/>
      <c r="M196" s="206"/>
      <c r="N196" s="206"/>
      <c r="O196" s="238"/>
      <c r="P196" s="238"/>
      <c r="Q196" s="238"/>
      <c r="R196" s="239"/>
      <c r="S196" s="239"/>
    </row>
    <row r="197" spans="2:19" x14ac:dyDescent="0.15">
      <c r="B197" s="211"/>
      <c r="C197" s="206"/>
      <c r="D197" s="206"/>
      <c r="E197" s="206"/>
      <c r="F197" s="206"/>
      <c r="G197" s="206"/>
      <c r="H197" s="206"/>
      <c r="I197" s="206"/>
      <c r="J197" s="206"/>
      <c r="K197" s="206"/>
      <c r="L197" s="206"/>
      <c r="M197" s="206"/>
      <c r="N197" s="206"/>
      <c r="O197" s="238"/>
      <c r="P197" s="238"/>
      <c r="Q197" s="238"/>
      <c r="R197" s="239"/>
      <c r="S197" s="239"/>
    </row>
    <row r="198" spans="2:19" x14ac:dyDescent="0.15">
      <c r="B198" s="211"/>
      <c r="C198" s="206"/>
      <c r="D198" s="206"/>
      <c r="E198" s="206"/>
      <c r="F198" s="206"/>
      <c r="G198" s="206"/>
      <c r="H198" s="206"/>
      <c r="I198" s="206"/>
      <c r="J198" s="206"/>
      <c r="K198" s="206"/>
      <c r="L198" s="206"/>
      <c r="M198" s="206"/>
      <c r="N198" s="206"/>
      <c r="O198" s="238"/>
      <c r="P198" s="238"/>
      <c r="Q198" s="238"/>
      <c r="R198" s="239"/>
      <c r="S198" s="239"/>
    </row>
    <row r="199" spans="2:19" x14ac:dyDescent="0.15">
      <c r="B199" s="211"/>
      <c r="C199" s="206"/>
      <c r="D199" s="206"/>
      <c r="E199" s="206"/>
      <c r="F199" s="206"/>
      <c r="G199" s="206"/>
      <c r="H199" s="206"/>
      <c r="I199" s="206"/>
      <c r="J199" s="206"/>
      <c r="K199" s="206"/>
      <c r="L199" s="206"/>
      <c r="M199" s="206"/>
      <c r="N199" s="206"/>
      <c r="O199" s="238"/>
      <c r="P199" s="238"/>
      <c r="Q199" s="238"/>
      <c r="R199" s="239"/>
      <c r="S199" s="239"/>
    </row>
    <row r="200" spans="2:19" x14ac:dyDescent="0.15">
      <c r="B200" s="211"/>
      <c r="C200" s="206"/>
      <c r="D200" s="206"/>
      <c r="E200" s="206"/>
      <c r="F200" s="206"/>
      <c r="G200" s="206"/>
      <c r="H200" s="206"/>
      <c r="I200" s="206"/>
      <c r="J200" s="206"/>
      <c r="K200" s="206"/>
      <c r="L200" s="206"/>
      <c r="M200" s="206"/>
      <c r="N200" s="206"/>
      <c r="O200" s="238"/>
      <c r="P200" s="238"/>
      <c r="Q200" s="238"/>
      <c r="R200" s="239"/>
      <c r="S200" s="239"/>
    </row>
    <row r="201" spans="2:19" x14ac:dyDescent="0.15">
      <c r="B201" s="211"/>
      <c r="C201" s="206"/>
      <c r="D201" s="206"/>
      <c r="E201" s="206"/>
      <c r="F201" s="206"/>
      <c r="G201" s="206"/>
      <c r="H201" s="206"/>
      <c r="I201" s="206"/>
      <c r="J201" s="206"/>
      <c r="K201" s="206"/>
      <c r="L201" s="206"/>
      <c r="M201" s="206"/>
      <c r="N201" s="206"/>
      <c r="O201" s="238"/>
      <c r="P201" s="238"/>
      <c r="Q201" s="238"/>
      <c r="R201" s="239"/>
      <c r="S201" s="239"/>
    </row>
    <row r="202" spans="2:19" x14ac:dyDescent="0.15">
      <c r="B202" s="211"/>
      <c r="C202" s="206"/>
      <c r="D202" s="206"/>
      <c r="E202" s="206"/>
      <c r="F202" s="206"/>
      <c r="G202" s="206"/>
      <c r="H202" s="206"/>
      <c r="I202" s="206"/>
      <c r="J202" s="206"/>
      <c r="K202" s="206"/>
      <c r="L202" s="206"/>
      <c r="M202" s="206"/>
      <c r="N202" s="206"/>
      <c r="O202" s="238"/>
      <c r="P202" s="238"/>
      <c r="Q202" s="238"/>
      <c r="R202" s="239"/>
      <c r="S202" s="239"/>
    </row>
    <row r="203" spans="2:19" x14ac:dyDescent="0.15">
      <c r="B203" s="211"/>
      <c r="C203" s="206"/>
      <c r="D203" s="206"/>
      <c r="E203" s="206"/>
      <c r="F203" s="206"/>
      <c r="G203" s="206"/>
      <c r="H203" s="206"/>
      <c r="I203" s="206"/>
      <c r="J203" s="206"/>
      <c r="K203" s="206"/>
      <c r="L203" s="206"/>
      <c r="M203" s="206"/>
      <c r="N203" s="206"/>
      <c r="O203" s="238"/>
      <c r="P203" s="238"/>
      <c r="Q203" s="238"/>
      <c r="R203" s="239"/>
      <c r="S203" s="239"/>
    </row>
    <row r="204" spans="2:19" x14ac:dyDescent="0.15">
      <c r="B204" s="211"/>
      <c r="C204" s="206"/>
      <c r="D204" s="206"/>
      <c r="E204" s="206"/>
      <c r="F204" s="206"/>
      <c r="G204" s="206"/>
      <c r="H204" s="206"/>
      <c r="I204" s="206"/>
      <c r="J204" s="206"/>
      <c r="K204" s="206"/>
      <c r="L204" s="206"/>
      <c r="M204" s="206"/>
      <c r="N204" s="206"/>
      <c r="O204" s="238"/>
      <c r="P204" s="238"/>
      <c r="Q204" s="238"/>
      <c r="R204" s="239"/>
      <c r="S204" s="239"/>
    </row>
    <row r="205" spans="2:19" x14ac:dyDescent="0.15">
      <c r="B205" s="211"/>
      <c r="C205" s="206"/>
      <c r="D205" s="206"/>
      <c r="E205" s="206"/>
      <c r="F205" s="206"/>
      <c r="G205" s="206"/>
      <c r="H205" s="206"/>
      <c r="I205" s="206"/>
      <c r="J205" s="206"/>
      <c r="K205" s="206"/>
      <c r="L205" s="206"/>
      <c r="M205" s="206"/>
      <c r="N205" s="206"/>
      <c r="O205" s="238"/>
      <c r="P205" s="238"/>
      <c r="Q205" s="238"/>
      <c r="R205" s="239"/>
      <c r="S205" s="239"/>
    </row>
    <row r="206" spans="2:19" x14ac:dyDescent="0.15">
      <c r="B206" s="211"/>
      <c r="C206" s="206"/>
      <c r="D206" s="206"/>
      <c r="E206" s="206"/>
      <c r="F206" s="206"/>
      <c r="G206" s="206"/>
      <c r="H206" s="206"/>
      <c r="I206" s="206"/>
      <c r="J206" s="206"/>
      <c r="K206" s="206"/>
      <c r="L206" s="206"/>
      <c r="M206" s="206"/>
      <c r="N206" s="206"/>
      <c r="O206" s="238"/>
      <c r="P206" s="238"/>
      <c r="Q206" s="238"/>
      <c r="R206" s="239"/>
      <c r="S206" s="239"/>
    </row>
    <row r="207" spans="2:19" x14ac:dyDescent="0.15">
      <c r="B207" s="211"/>
      <c r="C207" s="206"/>
      <c r="D207" s="206"/>
      <c r="E207" s="206"/>
      <c r="F207" s="206"/>
      <c r="G207" s="206"/>
      <c r="H207" s="206"/>
      <c r="I207" s="206"/>
      <c r="J207" s="206"/>
      <c r="K207" s="206"/>
      <c r="L207" s="206"/>
      <c r="M207" s="206"/>
      <c r="N207" s="206"/>
      <c r="O207" s="238"/>
      <c r="P207" s="238"/>
      <c r="Q207" s="238"/>
      <c r="R207" s="239"/>
      <c r="S207" s="239"/>
    </row>
    <row r="208" spans="2:19" x14ac:dyDescent="0.15">
      <c r="B208" s="211"/>
      <c r="C208" s="206"/>
      <c r="D208" s="206"/>
      <c r="E208" s="206"/>
      <c r="F208" s="206"/>
      <c r="G208" s="206"/>
      <c r="H208" s="206"/>
      <c r="I208" s="206"/>
      <c r="J208" s="206"/>
      <c r="K208" s="206"/>
      <c r="L208" s="206"/>
      <c r="M208" s="206"/>
      <c r="N208" s="206"/>
      <c r="O208" s="238"/>
      <c r="P208" s="238"/>
      <c r="Q208" s="238"/>
      <c r="R208" s="239"/>
      <c r="S208" s="239"/>
    </row>
    <row r="209" spans="2:19" x14ac:dyDescent="0.15">
      <c r="B209" s="211"/>
      <c r="C209" s="206"/>
      <c r="D209" s="206"/>
      <c r="E209" s="206"/>
      <c r="F209" s="206"/>
      <c r="G209" s="206"/>
      <c r="H209" s="206"/>
      <c r="I209" s="206"/>
      <c r="J209" s="206"/>
      <c r="K209" s="206"/>
      <c r="L209" s="206"/>
      <c r="M209" s="206"/>
      <c r="N209" s="206"/>
      <c r="O209" s="238"/>
      <c r="P209" s="238"/>
      <c r="Q209" s="238"/>
      <c r="R209" s="239"/>
      <c r="S209" s="239"/>
    </row>
    <row r="210" spans="2:19" x14ac:dyDescent="0.15">
      <c r="B210" s="211"/>
      <c r="C210" s="206"/>
      <c r="D210" s="206"/>
      <c r="E210" s="206"/>
      <c r="F210" s="206"/>
      <c r="G210" s="206"/>
      <c r="H210" s="206"/>
      <c r="I210" s="206"/>
      <c r="J210" s="206"/>
      <c r="K210" s="206"/>
      <c r="L210" s="206"/>
      <c r="M210" s="206"/>
      <c r="N210" s="206"/>
      <c r="O210" s="238"/>
      <c r="P210" s="238"/>
      <c r="Q210" s="238"/>
      <c r="R210" s="239"/>
      <c r="S210" s="239"/>
    </row>
    <row r="211" spans="2:19" x14ac:dyDescent="0.15">
      <c r="B211" s="211"/>
      <c r="C211" s="206"/>
      <c r="D211" s="206"/>
      <c r="E211" s="206"/>
      <c r="F211" s="206"/>
      <c r="G211" s="206"/>
      <c r="H211" s="206"/>
      <c r="I211" s="206"/>
      <c r="J211" s="206"/>
      <c r="K211" s="206"/>
      <c r="L211" s="206"/>
      <c r="M211" s="206"/>
      <c r="N211" s="206"/>
      <c r="O211" s="238"/>
      <c r="P211" s="238"/>
      <c r="Q211" s="238"/>
      <c r="R211" s="239"/>
      <c r="S211" s="239"/>
    </row>
    <row r="212" spans="2:19" x14ac:dyDescent="0.15">
      <c r="B212" s="211"/>
      <c r="C212" s="206"/>
      <c r="D212" s="206"/>
      <c r="E212" s="206"/>
      <c r="F212" s="206"/>
      <c r="G212" s="206"/>
      <c r="H212" s="206"/>
      <c r="I212" s="206"/>
      <c r="J212" s="206"/>
      <c r="K212" s="206"/>
      <c r="L212" s="206"/>
      <c r="M212" s="206"/>
      <c r="N212" s="206"/>
      <c r="O212" s="238"/>
      <c r="P212" s="238"/>
      <c r="Q212" s="238"/>
      <c r="R212" s="239"/>
      <c r="S212" s="239"/>
    </row>
    <row r="213" spans="2:19" x14ac:dyDescent="0.15">
      <c r="B213" s="211"/>
      <c r="C213" s="206"/>
      <c r="D213" s="206"/>
      <c r="E213" s="206"/>
      <c r="F213" s="206"/>
      <c r="G213" s="206"/>
      <c r="H213" s="206"/>
      <c r="I213" s="206"/>
      <c r="J213" s="206"/>
      <c r="K213" s="206"/>
      <c r="L213" s="206"/>
      <c r="M213" s="206"/>
      <c r="N213" s="206"/>
      <c r="O213" s="238"/>
      <c r="P213" s="238"/>
      <c r="Q213" s="238"/>
      <c r="R213" s="239"/>
      <c r="S213" s="239"/>
    </row>
    <row r="214" spans="2:19" x14ac:dyDescent="0.15">
      <c r="B214" s="211"/>
      <c r="C214" s="206"/>
      <c r="D214" s="206"/>
      <c r="E214" s="206"/>
      <c r="F214" s="206"/>
      <c r="G214" s="206"/>
      <c r="H214" s="206"/>
      <c r="I214" s="206"/>
      <c r="J214" s="206"/>
      <c r="K214" s="206"/>
      <c r="L214" s="206"/>
      <c r="M214" s="206"/>
      <c r="N214" s="206"/>
      <c r="O214" s="238"/>
      <c r="P214" s="238"/>
      <c r="Q214" s="238"/>
      <c r="R214" s="239"/>
      <c r="S214" s="239"/>
    </row>
    <row r="215" spans="2:19" x14ac:dyDescent="0.15">
      <c r="B215" s="211"/>
      <c r="C215" s="206"/>
      <c r="D215" s="206"/>
      <c r="E215" s="206"/>
      <c r="F215" s="206"/>
      <c r="G215" s="206"/>
      <c r="H215" s="206"/>
      <c r="I215" s="206"/>
      <c r="J215" s="206"/>
      <c r="K215" s="206"/>
      <c r="L215" s="206"/>
      <c r="M215" s="206"/>
      <c r="N215" s="206"/>
      <c r="O215" s="238"/>
      <c r="P215" s="238"/>
      <c r="Q215" s="238"/>
      <c r="R215" s="239"/>
      <c r="S215" s="239"/>
    </row>
    <row r="216" spans="2:19" x14ac:dyDescent="0.15">
      <c r="B216" s="211"/>
      <c r="C216" s="206"/>
      <c r="D216" s="206"/>
      <c r="E216" s="206"/>
      <c r="F216" s="206"/>
      <c r="G216" s="206"/>
      <c r="H216" s="206"/>
      <c r="I216" s="206"/>
      <c r="J216" s="206"/>
      <c r="K216" s="206"/>
      <c r="L216" s="206"/>
      <c r="M216" s="206"/>
      <c r="N216" s="206"/>
      <c r="O216" s="238"/>
      <c r="P216" s="238"/>
      <c r="Q216" s="238"/>
      <c r="R216" s="239"/>
      <c r="S216" s="239"/>
    </row>
    <row r="217" spans="2:19" x14ac:dyDescent="0.15">
      <c r="B217" s="211"/>
      <c r="C217" s="206"/>
      <c r="D217" s="206"/>
      <c r="E217" s="206"/>
      <c r="F217" s="206"/>
      <c r="G217" s="206"/>
      <c r="H217" s="206"/>
      <c r="I217" s="206"/>
      <c r="J217" s="206"/>
      <c r="K217" s="206"/>
      <c r="L217" s="206"/>
      <c r="M217" s="206"/>
      <c r="N217" s="206"/>
      <c r="O217" s="238"/>
      <c r="P217" s="238"/>
      <c r="Q217" s="238"/>
      <c r="R217" s="239"/>
      <c r="S217" s="239"/>
    </row>
    <row r="218" spans="2:19" x14ac:dyDescent="0.15">
      <c r="B218" s="211"/>
      <c r="C218" s="206"/>
      <c r="D218" s="206"/>
      <c r="E218" s="206"/>
      <c r="F218" s="206"/>
      <c r="G218" s="206"/>
      <c r="H218" s="206"/>
      <c r="I218" s="206"/>
      <c r="J218" s="206"/>
      <c r="K218" s="206"/>
      <c r="L218" s="206"/>
      <c r="M218" s="206"/>
      <c r="N218" s="206"/>
      <c r="O218" s="238"/>
      <c r="P218" s="238"/>
      <c r="Q218" s="238"/>
      <c r="R218" s="239"/>
      <c r="S218" s="239"/>
    </row>
    <row r="219" spans="2:19" x14ac:dyDescent="0.15">
      <c r="B219" s="211"/>
      <c r="C219" s="206"/>
      <c r="D219" s="206"/>
      <c r="E219" s="206"/>
      <c r="F219" s="206"/>
      <c r="G219" s="206"/>
      <c r="H219" s="206"/>
      <c r="I219" s="206"/>
      <c r="J219" s="206"/>
      <c r="K219" s="206"/>
      <c r="L219" s="206"/>
      <c r="M219" s="206"/>
      <c r="N219" s="206"/>
      <c r="O219" s="238"/>
      <c r="P219" s="238"/>
      <c r="Q219" s="238"/>
      <c r="R219" s="239"/>
      <c r="S219" s="239"/>
    </row>
    <row r="220" spans="2:19" x14ac:dyDescent="0.15">
      <c r="B220" s="211"/>
      <c r="C220" s="206"/>
      <c r="D220" s="206"/>
      <c r="E220" s="206"/>
      <c r="F220" s="206"/>
      <c r="G220" s="206"/>
      <c r="H220" s="206"/>
      <c r="I220" s="206"/>
      <c r="J220" s="206"/>
      <c r="K220" s="206"/>
      <c r="L220" s="206"/>
      <c r="M220" s="206"/>
      <c r="N220" s="206"/>
      <c r="O220" s="238"/>
      <c r="P220" s="238"/>
      <c r="Q220" s="238"/>
      <c r="R220" s="239"/>
      <c r="S220" s="239"/>
    </row>
    <row r="221" spans="2:19" x14ac:dyDescent="0.15">
      <c r="B221" s="211"/>
      <c r="C221" s="206"/>
      <c r="D221" s="206"/>
      <c r="E221" s="206"/>
      <c r="F221" s="206"/>
      <c r="G221" s="206"/>
      <c r="H221" s="206"/>
      <c r="I221" s="206"/>
      <c r="J221" s="206"/>
      <c r="K221" s="206"/>
      <c r="L221" s="206"/>
      <c r="M221" s="206"/>
      <c r="N221" s="206"/>
      <c r="O221" s="238"/>
      <c r="P221" s="238"/>
      <c r="Q221" s="238"/>
      <c r="R221" s="239"/>
      <c r="S221" s="239"/>
    </row>
    <row r="222" spans="2:19" x14ac:dyDescent="0.15">
      <c r="B222" s="211"/>
      <c r="C222" s="206"/>
      <c r="D222" s="206"/>
      <c r="E222" s="206"/>
      <c r="F222" s="206"/>
      <c r="G222" s="206"/>
      <c r="H222" s="206"/>
      <c r="I222" s="206"/>
      <c r="J222" s="206"/>
      <c r="K222" s="206"/>
      <c r="L222" s="206"/>
      <c r="M222" s="206"/>
      <c r="N222" s="206"/>
      <c r="O222" s="238"/>
      <c r="P222" s="238"/>
      <c r="Q222" s="238"/>
      <c r="R222" s="239"/>
      <c r="S222" s="239"/>
    </row>
    <row r="223" spans="2:19" x14ac:dyDescent="0.15">
      <c r="B223" s="211"/>
      <c r="C223" s="206"/>
      <c r="D223" s="206"/>
      <c r="E223" s="206"/>
      <c r="F223" s="206"/>
      <c r="G223" s="206"/>
      <c r="H223" s="206"/>
      <c r="I223" s="206"/>
      <c r="J223" s="206"/>
      <c r="K223" s="206"/>
      <c r="L223" s="206"/>
      <c r="M223" s="206"/>
      <c r="N223" s="206"/>
      <c r="O223" s="238"/>
      <c r="P223" s="238"/>
      <c r="Q223" s="238"/>
      <c r="R223" s="239"/>
      <c r="S223" s="239"/>
    </row>
    <row r="224" spans="2:19" x14ac:dyDescent="0.15">
      <c r="B224" s="211"/>
      <c r="C224" s="206"/>
      <c r="D224" s="206"/>
      <c r="E224" s="206"/>
      <c r="F224" s="206"/>
      <c r="G224" s="206"/>
      <c r="H224" s="206"/>
      <c r="I224" s="206"/>
      <c r="J224" s="206"/>
      <c r="K224" s="206"/>
      <c r="L224" s="206"/>
      <c r="M224" s="206"/>
      <c r="N224" s="206"/>
      <c r="O224" s="238"/>
      <c r="P224" s="238"/>
      <c r="Q224" s="238"/>
      <c r="R224" s="239"/>
      <c r="S224" s="239"/>
    </row>
    <row r="225" spans="2:19" x14ac:dyDescent="0.15">
      <c r="B225" s="211"/>
      <c r="C225" s="206"/>
      <c r="D225" s="206"/>
      <c r="E225" s="206"/>
      <c r="F225" s="206"/>
      <c r="G225" s="206"/>
      <c r="H225" s="206"/>
      <c r="I225" s="206"/>
      <c r="J225" s="206"/>
      <c r="K225" s="206"/>
      <c r="L225" s="206"/>
      <c r="M225" s="206"/>
      <c r="N225" s="206"/>
      <c r="O225" s="238"/>
      <c r="P225" s="238"/>
      <c r="Q225" s="238"/>
      <c r="R225" s="239"/>
      <c r="S225" s="239"/>
    </row>
    <row r="226" spans="2:19" x14ac:dyDescent="0.15">
      <c r="B226" s="211"/>
      <c r="C226" s="206"/>
      <c r="D226" s="206"/>
      <c r="E226" s="206"/>
      <c r="F226" s="206"/>
      <c r="G226" s="206"/>
      <c r="H226" s="206"/>
      <c r="I226" s="206"/>
      <c r="J226" s="206"/>
      <c r="K226" s="206"/>
      <c r="L226" s="206"/>
      <c r="M226" s="206"/>
      <c r="N226" s="206"/>
      <c r="O226" s="238"/>
      <c r="P226" s="238"/>
      <c r="Q226" s="238"/>
      <c r="R226" s="239"/>
      <c r="S226" s="239"/>
    </row>
    <row r="227" spans="2:19" x14ac:dyDescent="0.15">
      <c r="B227" s="211"/>
      <c r="C227" s="206"/>
      <c r="D227" s="206"/>
      <c r="E227" s="206"/>
      <c r="F227" s="206"/>
      <c r="G227" s="206"/>
      <c r="H227" s="206"/>
      <c r="I227" s="206"/>
      <c r="J227" s="206"/>
      <c r="K227" s="206"/>
      <c r="L227" s="206"/>
      <c r="M227" s="206"/>
      <c r="N227" s="206"/>
      <c r="O227" s="238"/>
      <c r="P227" s="238"/>
      <c r="Q227" s="238"/>
      <c r="R227" s="239"/>
      <c r="S227" s="239"/>
    </row>
    <row r="228" spans="2:19" x14ac:dyDescent="0.15">
      <c r="B228" s="211"/>
      <c r="C228" s="206"/>
      <c r="D228" s="206"/>
      <c r="E228" s="206"/>
      <c r="F228" s="206"/>
      <c r="G228" s="206"/>
      <c r="H228" s="206"/>
      <c r="I228" s="206"/>
      <c r="J228" s="206"/>
      <c r="K228" s="206"/>
      <c r="L228" s="206"/>
      <c r="M228" s="206"/>
      <c r="N228" s="206"/>
      <c r="O228" s="238"/>
      <c r="P228" s="238"/>
      <c r="Q228" s="238"/>
      <c r="R228" s="239"/>
      <c r="S228" s="239"/>
    </row>
    <row r="229" spans="2:19" x14ac:dyDescent="0.15">
      <c r="B229" s="211"/>
      <c r="C229" s="206"/>
      <c r="D229" s="206"/>
      <c r="E229" s="206"/>
      <c r="F229" s="206"/>
      <c r="G229" s="206"/>
      <c r="H229" s="206"/>
      <c r="I229" s="206"/>
      <c r="J229" s="206"/>
      <c r="K229" s="206"/>
      <c r="L229" s="206"/>
      <c r="M229" s="206"/>
      <c r="N229" s="206"/>
      <c r="O229" s="238"/>
      <c r="P229" s="238"/>
      <c r="Q229" s="238"/>
      <c r="R229" s="239"/>
      <c r="S229" s="239"/>
    </row>
    <row r="230" spans="2:19" x14ac:dyDescent="0.15">
      <c r="B230" s="211"/>
      <c r="C230" s="206"/>
      <c r="D230" s="206"/>
      <c r="E230" s="206"/>
      <c r="F230" s="206"/>
      <c r="G230" s="206"/>
      <c r="H230" s="206"/>
      <c r="I230" s="206"/>
      <c r="J230" s="206"/>
      <c r="K230" s="206"/>
      <c r="L230" s="206"/>
      <c r="M230" s="206"/>
      <c r="N230" s="206"/>
      <c r="O230" s="238"/>
      <c r="P230" s="238"/>
      <c r="Q230" s="238"/>
      <c r="R230" s="239"/>
      <c r="S230" s="239"/>
    </row>
    <row r="231" spans="2:19" x14ac:dyDescent="0.15">
      <c r="B231" s="211"/>
      <c r="C231" s="206"/>
      <c r="D231" s="206"/>
      <c r="E231" s="206"/>
      <c r="F231" s="206"/>
      <c r="G231" s="206"/>
      <c r="H231" s="206"/>
      <c r="I231" s="206"/>
      <c r="J231" s="206"/>
      <c r="K231" s="206"/>
      <c r="L231" s="206"/>
      <c r="M231" s="206"/>
      <c r="N231" s="206"/>
      <c r="O231" s="238"/>
      <c r="P231" s="238"/>
      <c r="Q231" s="238"/>
      <c r="R231" s="239"/>
      <c r="S231" s="239"/>
    </row>
    <row r="232" spans="2:19" x14ac:dyDescent="0.15">
      <c r="B232" s="211"/>
      <c r="C232" s="206"/>
      <c r="D232" s="206"/>
      <c r="E232" s="206"/>
      <c r="F232" s="206"/>
      <c r="G232" s="206"/>
      <c r="H232" s="206"/>
      <c r="I232" s="206"/>
      <c r="J232" s="206"/>
      <c r="K232" s="206"/>
      <c r="L232" s="206"/>
      <c r="M232" s="206"/>
      <c r="N232" s="206"/>
      <c r="O232" s="238"/>
      <c r="P232" s="238"/>
      <c r="Q232" s="238"/>
      <c r="R232" s="239"/>
      <c r="S232" s="239"/>
    </row>
    <row r="233" spans="2:19" x14ac:dyDescent="0.15">
      <c r="B233" s="211"/>
      <c r="C233" s="206"/>
      <c r="D233" s="206"/>
      <c r="E233" s="206"/>
      <c r="F233" s="206"/>
      <c r="G233" s="206"/>
      <c r="H233" s="206"/>
      <c r="I233" s="206"/>
      <c r="J233" s="206"/>
      <c r="K233" s="206"/>
      <c r="L233" s="206"/>
      <c r="M233" s="206"/>
      <c r="N233" s="206"/>
      <c r="O233" s="238"/>
      <c r="P233" s="238"/>
      <c r="Q233" s="238"/>
      <c r="R233" s="239"/>
      <c r="S233" s="239"/>
    </row>
    <row r="234" spans="2:19" x14ac:dyDescent="0.15">
      <c r="B234" s="211"/>
      <c r="C234" s="206"/>
      <c r="D234" s="206"/>
      <c r="E234" s="206"/>
      <c r="F234" s="206"/>
      <c r="G234" s="206"/>
      <c r="H234" s="206"/>
      <c r="I234" s="206"/>
      <c r="J234" s="206"/>
      <c r="K234" s="206"/>
      <c r="L234" s="206"/>
      <c r="M234" s="206"/>
      <c r="N234" s="206"/>
      <c r="O234" s="238"/>
      <c r="P234" s="238"/>
      <c r="Q234" s="238"/>
      <c r="R234" s="239"/>
      <c r="S234" s="239"/>
    </row>
    <row r="235" spans="2:19" x14ac:dyDescent="0.15">
      <c r="B235" s="211"/>
      <c r="C235" s="206"/>
      <c r="D235" s="206"/>
      <c r="E235" s="206"/>
      <c r="F235" s="206"/>
      <c r="G235" s="206"/>
      <c r="H235" s="206"/>
      <c r="I235" s="206"/>
      <c r="J235" s="206"/>
      <c r="K235" s="206"/>
      <c r="L235" s="206"/>
      <c r="M235" s="206"/>
      <c r="N235" s="206"/>
      <c r="O235" s="238"/>
      <c r="P235" s="238"/>
      <c r="Q235" s="238"/>
      <c r="R235" s="239"/>
      <c r="S235" s="239"/>
    </row>
    <row r="236" spans="2:19" x14ac:dyDescent="0.15">
      <c r="B236" s="211"/>
      <c r="C236" s="206"/>
      <c r="D236" s="206"/>
      <c r="E236" s="206"/>
      <c r="F236" s="206"/>
      <c r="G236" s="206"/>
      <c r="H236" s="206"/>
      <c r="I236" s="206"/>
      <c r="J236" s="206"/>
      <c r="K236" s="206"/>
      <c r="L236" s="206"/>
      <c r="M236" s="206"/>
      <c r="N236" s="206"/>
      <c r="O236" s="238"/>
      <c r="P236" s="238"/>
      <c r="Q236" s="238"/>
      <c r="R236" s="239"/>
      <c r="S236" s="239"/>
    </row>
    <row r="237" spans="2:19" x14ac:dyDescent="0.15">
      <c r="B237" s="211"/>
      <c r="C237" s="206"/>
      <c r="D237" s="206"/>
      <c r="E237" s="206"/>
      <c r="F237" s="206"/>
      <c r="G237" s="206"/>
      <c r="H237" s="206"/>
      <c r="I237" s="206"/>
      <c r="J237" s="206"/>
      <c r="K237" s="206"/>
      <c r="L237" s="206"/>
      <c r="M237" s="206"/>
      <c r="N237" s="206"/>
      <c r="O237" s="238"/>
      <c r="P237" s="238"/>
      <c r="Q237" s="238"/>
      <c r="R237" s="239"/>
      <c r="S237" s="239"/>
    </row>
    <row r="238" spans="2:19" x14ac:dyDescent="0.15">
      <c r="B238" s="211"/>
      <c r="C238" s="206"/>
      <c r="D238" s="206"/>
      <c r="E238" s="206"/>
      <c r="F238" s="206"/>
      <c r="G238" s="206"/>
      <c r="H238" s="206"/>
      <c r="I238" s="206"/>
      <c r="J238" s="206"/>
      <c r="K238" s="206"/>
      <c r="L238" s="206"/>
      <c r="M238" s="206"/>
      <c r="N238" s="206"/>
      <c r="O238" s="238"/>
      <c r="P238" s="238"/>
      <c r="Q238" s="238"/>
      <c r="R238" s="239"/>
      <c r="S238" s="239"/>
    </row>
    <row r="239" spans="2:19" x14ac:dyDescent="0.15">
      <c r="B239" s="211"/>
      <c r="C239" s="206"/>
      <c r="D239" s="206"/>
      <c r="E239" s="206"/>
      <c r="F239" s="206"/>
      <c r="G239" s="206"/>
      <c r="H239" s="206"/>
      <c r="I239" s="206"/>
      <c r="J239" s="206"/>
      <c r="K239" s="206"/>
      <c r="L239" s="206"/>
      <c r="M239" s="206"/>
      <c r="N239" s="206"/>
      <c r="O239" s="238"/>
      <c r="P239" s="238"/>
      <c r="Q239" s="238"/>
      <c r="R239" s="239"/>
      <c r="S239" s="239"/>
    </row>
    <row r="240" spans="2:19" x14ac:dyDescent="0.15">
      <c r="B240" s="211"/>
      <c r="C240" s="206"/>
      <c r="D240" s="206"/>
      <c r="E240" s="206"/>
      <c r="F240" s="206"/>
      <c r="G240" s="206"/>
      <c r="H240" s="206"/>
      <c r="I240" s="206"/>
      <c r="J240" s="206"/>
      <c r="K240" s="206"/>
      <c r="L240" s="206"/>
      <c r="M240" s="206"/>
      <c r="N240" s="206"/>
      <c r="O240" s="238"/>
      <c r="P240" s="238"/>
      <c r="Q240" s="238"/>
      <c r="R240" s="239"/>
      <c r="S240" s="239"/>
    </row>
    <row r="241" spans="2:19" x14ac:dyDescent="0.15">
      <c r="B241" s="211"/>
      <c r="C241" s="206"/>
      <c r="D241" s="206"/>
      <c r="E241" s="206"/>
      <c r="F241" s="206"/>
      <c r="G241" s="206"/>
      <c r="H241" s="206"/>
      <c r="I241" s="206"/>
      <c r="J241" s="206"/>
      <c r="K241" s="206"/>
      <c r="L241" s="206"/>
      <c r="M241" s="206"/>
      <c r="N241" s="206"/>
      <c r="O241" s="238"/>
      <c r="P241" s="238"/>
      <c r="Q241" s="238"/>
      <c r="R241" s="239"/>
      <c r="S241" s="239"/>
    </row>
    <row r="242" spans="2:19" x14ac:dyDescent="0.15">
      <c r="B242" s="211"/>
      <c r="C242" s="206"/>
      <c r="D242" s="206"/>
      <c r="E242" s="206"/>
      <c r="F242" s="206"/>
      <c r="G242" s="206"/>
      <c r="H242" s="206"/>
      <c r="I242" s="206"/>
      <c r="J242" s="206"/>
      <c r="K242" s="206"/>
      <c r="L242" s="206"/>
      <c r="M242" s="206"/>
      <c r="N242" s="206"/>
      <c r="O242" s="238"/>
      <c r="P242" s="238"/>
      <c r="Q242" s="238"/>
      <c r="R242" s="239"/>
      <c r="S242" s="239"/>
    </row>
    <row r="243" spans="2:19" x14ac:dyDescent="0.15">
      <c r="B243" s="211"/>
      <c r="C243" s="206"/>
      <c r="D243" s="206"/>
      <c r="E243" s="206"/>
      <c r="F243" s="206"/>
      <c r="G243" s="206"/>
      <c r="H243" s="206"/>
      <c r="I243" s="206"/>
      <c r="J243" s="206"/>
      <c r="K243" s="206"/>
      <c r="L243" s="206"/>
      <c r="M243" s="206"/>
      <c r="N243" s="206"/>
      <c r="O243" s="238"/>
      <c r="P243" s="238"/>
      <c r="Q243" s="238"/>
      <c r="R243" s="239"/>
      <c r="S243" s="239"/>
    </row>
    <row r="244" spans="2:19" x14ac:dyDescent="0.15">
      <c r="B244" s="211"/>
      <c r="C244" s="206"/>
      <c r="D244" s="206"/>
      <c r="E244" s="206"/>
      <c r="F244" s="206"/>
      <c r="G244" s="206"/>
      <c r="H244" s="206"/>
      <c r="I244" s="206"/>
      <c r="J244" s="206"/>
      <c r="K244" s="206"/>
      <c r="L244" s="206"/>
      <c r="M244" s="206"/>
      <c r="N244" s="206"/>
      <c r="O244" s="238"/>
      <c r="P244" s="238"/>
      <c r="Q244" s="238"/>
      <c r="R244" s="239"/>
      <c r="S244" s="239"/>
    </row>
    <row r="245" spans="2:19" x14ac:dyDescent="0.15">
      <c r="B245" s="211"/>
      <c r="C245" s="206"/>
      <c r="D245" s="206"/>
      <c r="E245" s="206"/>
      <c r="F245" s="206"/>
      <c r="G245" s="206"/>
      <c r="H245" s="206"/>
      <c r="I245" s="206"/>
      <c r="J245" s="206"/>
      <c r="K245" s="206"/>
      <c r="L245" s="206"/>
      <c r="M245" s="206"/>
      <c r="N245" s="206"/>
      <c r="O245" s="238"/>
      <c r="P245" s="238"/>
      <c r="Q245" s="238"/>
      <c r="R245" s="239"/>
      <c r="S245" s="239"/>
    </row>
    <row r="246" spans="2:19" x14ac:dyDescent="0.15">
      <c r="B246" s="211"/>
      <c r="C246" s="206"/>
      <c r="D246" s="206"/>
      <c r="E246" s="206"/>
      <c r="F246" s="206"/>
      <c r="G246" s="206"/>
      <c r="H246" s="206"/>
      <c r="I246" s="206"/>
      <c r="J246" s="206"/>
      <c r="K246" s="206"/>
      <c r="L246" s="206"/>
      <c r="M246" s="206"/>
      <c r="N246" s="206"/>
      <c r="O246" s="238"/>
      <c r="P246" s="238"/>
      <c r="Q246" s="238"/>
      <c r="R246" s="239"/>
      <c r="S246" s="239"/>
    </row>
    <row r="247" spans="2:19" x14ac:dyDescent="0.15">
      <c r="B247" s="211"/>
      <c r="C247" s="206"/>
      <c r="D247" s="206"/>
      <c r="E247" s="206"/>
      <c r="F247" s="206"/>
      <c r="G247" s="206"/>
      <c r="H247" s="206"/>
      <c r="I247" s="206"/>
      <c r="J247" s="206"/>
      <c r="K247" s="206"/>
      <c r="L247" s="206"/>
      <c r="M247" s="206"/>
      <c r="N247" s="206"/>
      <c r="O247" s="238"/>
      <c r="P247" s="238"/>
      <c r="Q247" s="238"/>
      <c r="R247" s="239"/>
      <c r="S247" s="239"/>
    </row>
    <row r="248" spans="2:19" x14ac:dyDescent="0.15">
      <c r="B248" s="211"/>
      <c r="C248" s="206"/>
      <c r="D248" s="206"/>
      <c r="E248" s="206"/>
      <c r="F248" s="206"/>
      <c r="G248" s="206"/>
      <c r="H248" s="206"/>
      <c r="I248" s="206"/>
      <c r="J248" s="206"/>
      <c r="K248" s="206"/>
      <c r="L248" s="206"/>
      <c r="M248" s="206"/>
      <c r="N248" s="206"/>
      <c r="O248" s="238"/>
      <c r="P248" s="238"/>
      <c r="Q248" s="238"/>
      <c r="R248" s="239"/>
      <c r="S248" s="239"/>
    </row>
    <row r="249" spans="2:19" x14ac:dyDescent="0.15">
      <c r="B249" s="211"/>
      <c r="C249" s="206"/>
      <c r="D249" s="206"/>
      <c r="E249" s="206"/>
      <c r="F249" s="206"/>
      <c r="G249" s="206"/>
      <c r="H249" s="206"/>
      <c r="I249" s="206"/>
      <c r="J249" s="206"/>
      <c r="K249" s="206"/>
      <c r="L249" s="206"/>
      <c r="M249" s="206"/>
      <c r="N249" s="206"/>
      <c r="O249" s="238"/>
      <c r="P249" s="238"/>
      <c r="Q249" s="238"/>
      <c r="R249" s="239"/>
      <c r="S249" s="239"/>
    </row>
    <row r="250" spans="2:19" x14ac:dyDescent="0.15">
      <c r="B250" s="211"/>
      <c r="C250" s="206"/>
      <c r="D250" s="206"/>
      <c r="E250" s="206"/>
      <c r="F250" s="206"/>
      <c r="G250" s="206"/>
      <c r="H250" s="206"/>
      <c r="I250" s="206"/>
      <c r="J250" s="206"/>
      <c r="K250" s="206"/>
      <c r="L250" s="206"/>
      <c r="M250" s="206"/>
      <c r="N250" s="206"/>
      <c r="O250" s="238"/>
      <c r="P250" s="238"/>
      <c r="Q250" s="238"/>
      <c r="R250" s="239"/>
      <c r="S250" s="239"/>
    </row>
    <row r="251" spans="2:19" x14ac:dyDescent="0.15">
      <c r="B251" s="211"/>
      <c r="C251" s="206"/>
      <c r="D251" s="206"/>
      <c r="E251" s="206"/>
      <c r="F251" s="206"/>
      <c r="G251" s="206"/>
      <c r="H251" s="206"/>
      <c r="I251" s="206"/>
      <c r="J251" s="206"/>
      <c r="K251" s="206"/>
      <c r="L251" s="206"/>
      <c r="M251" s="206"/>
      <c r="N251" s="206"/>
      <c r="O251" s="238"/>
      <c r="P251" s="238"/>
      <c r="Q251" s="238"/>
      <c r="R251" s="239"/>
      <c r="S251" s="239"/>
    </row>
    <row r="252" spans="2:19" x14ac:dyDescent="0.15">
      <c r="B252" s="211"/>
      <c r="C252" s="206"/>
      <c r="D252" s="206"/>
      <c r="E252" s="206"/>
      <c r="F252" s="206"/>
      <c r="G252" s="206"/>
      <c r="H252" s="206"/>
      <c r="I252" s="206"/>
      <c r="J252" s="206"/>
      <c r="K252" s="206"/>
      <c r="L252" s="206"/>
      <c r="M252" s="206"/>
      <c r="N252" s="206"/>
      <c r="O252" s="238"/>
      <c r="P252" s="238"/>
      <c r="Q252" s="238"/>
      <c r="R252" s="239"/>
      <c r="S252" s="239"/>
    </row>
    <row r="253" spans="2:19" x14ac:dyDescent="0.15">
      <c r="B253" s="211"/>
      <c r="C253" s="206"/>
      <c r="D253" s="206"/>
      <c r="E253" s="206"/>
      <c r="F253" s="206"/>
      <c r="G253" s="206"/>
      <c r="H253" s="206"/>
      <c r="I253" s="206"/>
      <c r="J253" s="206"/>
      <c r="K253" s="206"/>
      <c r="L253" s="206"/>
      <c r="M253" s="206"/>
      <c r="N253" s="206"/>
      <c r="O253" s="238"/>
      <c r="P253" s="238"/>
      <c r="Q253" s="238"/>
      <c r="R253" s="239"/>
      <c r="S253" s="239"/>
    </row>
    <row r="254" spans="2:19" x14ac:dyDescent="0.15">
      <c r="B254" s="211"/>
      <c r="C254" s="206"/>
      <c r="D254" s="206"/>
      <c r="E254" s="206"/>
      <c r="F254" s="206"/>
      <c r="G254" s="206"/>
      <c r="H254" s="206"/>
      <c r="I254" s="206"/>
      <c r="J254" s="206"/>
      <c r="K254" s="206"/>
      <c r="L254" s="206"/>
      <c r="M254" s="206"/>
      <c r="N254" s="206"/>
      <c r="O254" s="238"/>
      <c r="P254" s="238"/>
      <c r="Q254" s="238"/>
      <c r="R254" s="239"/>
      <c r="S254" s="239"/>
    </row>
    <row r="255" spans="2:19" x14ac:dyDescent="0.15">
      <c r="B255" s="211"/>
      <c r="C255" s="206"/>
      <c r="D255" s="206"/>
      <c r="E255" s="206"/>
      <c r="F255" s="206"/>
      <c r="G255" s="206"/>
      <c r="H255" s="206"/>
      <c r="I255" s="206"/>
      <c r="J255" s="206"/>
      <c r="K255" s="206"/>
      <c r="L255" s="206"/>
      <c r="M255" s="206"/>
      <c r="N255" s="206"/>
      <c r="O255" s="238"/>
      <c r="P255" s="238"/>
      <c r="Q255" s="238"/>
      <c r="R255" s="239"/>
      <c r="S255" s="239"/>
    </row>
    <row r="256" spans="2:19" x14ac:dyDescent="0.15">
      <c r="B256" s="211"/>
      <c r="C256" s="206"/>
      <c r="D256" s="206"/>
      <c r="E256" s="206"/>
      <c r="F256" s="206"/>
      <c r="G256" s="206"/>
      <c r="H256" s="206"/>
      <c r="I256" s="206"/>
      <c r="J256" s="206"/>
      <c r="K256" s="206"/>
      <c r="L256" s="206"/>
      <c r="M256" s="206"/>
      <c r="N256" s="206"/>
      <c r="O256" s="238"/>
      <c r="P256" s="238"/>
      <c r="Q256" s="238"/>
      <c r="R256" s="239"/>
      <c r="S256" s="239"/>
    </row>
    <row r="257" spans="2:35" x14ac:dyDescent="0.15">
      <c r="B257" s="211"/>
      <c r="C257" s="206"/>
      <c r="D257" s="206"/>
      <c r="E257" s="206"/>
      <c r="F257" s="206"/>
      <c r="G257" s="206"/>
      <c r="H257" s="206"/>
      <c r="I257" s="206"/>
      <c r="J257" s="206"/>
      <c r="K257" s="206"/>
      <c r="L257" s="206"/>
      <c r="M257" s="206"/>
      <c r="N257" s="206"/>
      <c r="O257" s="238"/>
      <c r="P257" s="238"/>
      <c r="Q257" s="238"/>
      <c r="R257" s="239"/>
      <c r="S257" s="239"/>
    </row>
    <row r="258" spans="2:35" x14ac:dyDescent="0.15">
      <c r="B258" s="211"/>
      <c r="C258" s="206"/>
      <c r="D258" s="206"/>
      <c r="E258" s="206"/>
      <c r="F258" s="206"/>
      <c r="G258" s="206"/>
      <c r="H258" s="206"/>
      <c r="I258" s="206"/>
      <c r="J258" s="206"/>
      <c r="K258" s="206"/>
      <c r="L258" s="206"/>
      <c r="M258" s="206"/>
      <c r="N258" s="206"/>
      <c r="O258" s="238"/>
      <c r="P258" s="238"/>
      <c r="Q258" s="238"/>
      <c r="R258" s="239"/>
      <c r="S258" s="239"/>
    </row>
    <row r="259" spans="2:35" x14ac:dyDescent="0.15">
      <c r="B259" s="211"/>
      <c r="C259" s="206"/>
      <c r="D259" s="206"/>
      <c r="E259" s="206"/>
      <c r="F259" s="206"/>
      <c r="G259" s="206"/>
      <c r="H259" s="206"/>
      <c r="I259" s="206"/>
      <c r="J259" s="206"/>
      <c r="K259" s="206"/>
      <c r="L259" s="206"/>
      <c r="M259" s="206"/>
      <c r="N259" s="206"/>
      <c r="O259" s="238"/>
      <c r="P259" s="238"/>
      <c r="Q259" s="238"/>
      <c r="R259" s="239"/>
      <c r="S259" s="239"/>
    </row>
    <row r="260" spans="2:35" x14ac:dyDescent="0.15">
      <c r="B260" s="211"/>
      <c r="C260" s="206"/>
      <c r="D260" s="206"/>
      <c r="E260" s="206"/>
      <c r="F260" s="206"/>
      <c r="G260" s="206"/>
      <c r="H260" s="206"/>
      <c r="I260" s="206"/>
      <c r="J260" s="206"/>
      <c r="K260" s="206"/>
      <c r="L260" s="206"/>
      <c r="M260" s="206"/>
      <c r="N260" s="206"/>
      <c r="O260" s="238"/>
      <c r="P260" s="238"/>
      <c r="Q260" s="238"/>
      <c r="R260" s="239"/>
      <c r="S260" s="239"/>
    </row>
    <row r="261" spans="2:35" x14ac:dyDescent="0.15">
      <c r="B261" s="211"/>
      <c r="C261" s="206"/>
      <c r="D261" s="206"/>
      <c r="E261" s="206"/>
      <c r="F261" s="206"/>
      <c r="G261" s="206"/>
      <c r="H261" s="206"/>
      <c r="I261" s="206"/>
      <c r="J261" s="206"/>
      <c r="K261" s="206"/>
      <c r="L261" s="206"/>
      <c r="M261" s="206"/>
      <c r="N261" s="206"/>
      <c r="O261" s="238"/>
      <c r="P261" s="238"/>
      <c r="Q261" s="238"/>
      <c r="R261" s="239"/>
      <c r="S261" s="239"/>
    </row>
    <row r="262" spans="2:35" x14ac:dyDescent="0.15">
      <c r="B262" s="211"/>
      <c r="C262" s="206"/>
      <c r="D262" s="206"/>
      <c r="E262" s="206"/>
      <c r="F262" s="206"/>
      <c r="G262" s="206"/>
      <c r="H262" s="206"/>
      <c r="I262" s="206"/>
      <c r="J262" s="206"/>
      <c r="K262" s="206"/>
      <c r="L262" s="206"/>
      <c r="M262" s="206"/>
      <c r="N262" s="206"/>
      <c r="O262" s="238"/>
      <c r="P262" s="238"/>
      <c r="Q262" s="238"/>
      <c r="R262" s="239"/>
      <c r="S262" s="239"/>
    </row>
    <row r="263" spans="2:35" x14ac:dyDescent="0.15">
      <c r="B263" s="211"/>
      <c r="C263" s="206"/>
      <c r="D263" s="206"/>
      <c r="E263" s="206"/>
      <c r="F263" s="206"/>
      <c r="G263" s="206"/>
      <c r="H263" s="206"/>
      <c r="I263" s="206"/>
      <c r="J263" s="206"/>
      <c r="K263" s="206"/>
      <c r="L263" s="206"/>
      <c r="M263" s="206"/>
      <c r="N263" s="206"/>
      <c r="O263" s="238"/>
      <c r="P263" s="238"/>
      <c r="Q263" s="238"/>
      <c r="R263" s="239"/>
      <c r="S263" s="239"/>
    </row>
    <row r="264" spans="2:35" x14ac:dyDescent="0.15">
      <c r="B264" s="211"/>
      <c r="C264" s="206"/>
      <c r="D264" s="206"/>
      <c r="E264" s="206"/>
      <c r="F264" s="206"/>
      <c r="G264" s="206"/>
      <c r="H264" s="206"/>
      <c r="I264" s="206"/>
      <c r="J264" s="206"/>
      <c r="K264" s="206"/>
      <c r="L264" s="206"/>
      <c r="M264" s="206"/>
      <c r="N264" s="206"/>
      <c r="O264" s="238"/>
      <c r="P264" s="238"/>
      <c r="Q264" s="238"/>
      <c r="R264" s="239"/>
      <c r="S264" s="239"/>
    </row>
    <row r="265" spans="2:35" x14ac:dyDescent="0.15">
      <c r="B265" s="211"/>
      <c r="C265" s="206"/>
      <c r="D265" s="206"/>
      <c r="E265" s="206"/>
      <c r="F265" s="206"/>
      <c r="G265" s="206"/>
      <c r="H265" s="206"/>
      <c r="I265" s="206"/>
      <c r="J265" s="206"/>
      <c r="K265" s="206"/>
      <c r="L265" s="206"/>
      <c r="M265" s="206"/>
      <c r="N265" s="206"/>
      <c r="O265" s="238"/>
      <c r="P265" s="238"/>
      <c r="Q265" s="238"/>
      <c r="R265" s="239"/>
      <c r="S265" s="239"/>
    </row>
    <row r="266" spans="2:35" x14ac:dyDescent="0.15">
      <c r="B266" s="211"/>
      <c r="C266" s="206"/>
      <c r="D266" s="206"/>
      <c r="E266" s="206"/>
      <c r="F266" s="206"/>
      <c r="G266" s="206"/>
      <c r="H266" s="206"/>
      <c r="I266" s="206"/>
      <c r="J266" s="206"/>
      <c r="K266" s="206"/>
      <c r="L266" s="206"/>
      <c r="M266" s="206"/>
      <c r="N266" s="206"/>
      <c r="O266" s="238"/>
      <c r="P266" s="238"/>
      <c r="Q266" s="238"/>
      <c r="R266" s="239"/>
      <c r="S266" s="239"/>
    </row>
    <row r="267" spans="2:35" x14ac:dyDescent="0.15">
      <c r="B267" s="211"/>
      <c r="C267" s="206"/>
      <c r="D267" s="206"/>
      <c r="E267" s="206"/>
      <c r="F267" s="206"/>
      <c r="G267" s="206"/>
      <c r="H267" s="206"/>
      <c r="I267" s="206"/>
      <c r="J267" s="206"/>
      <c r="K267" s="206"/>
      <c r="L267" s="206"/>
      <c r="M267" s="206"/>
      <c r="N267" s="206"/>
      <c r="O267" s="238"/>
      <c r="P267" s="238"/>
      <c r="Q267" s="238"/>
      <c r="R267" s="239"/>
      <c r="S267" s="239"/>
      <c r="Z267" s="50"/>
      <c r="AA267" s="50"/>
      <c r="AB267" s="50"/>
      <c r="AC267" s="50"/>
      <c r="AF267" s="50"/>
      <c r="AG267" s="50"/>
      <c r="AH267" s="50"/>
      <c r="AI267" s="50"/>
    </row>
    <row r="268" spans="2:35" x14ac:dyDescent="0.15">
      <c r="B268" s="211"/>
      <c r="C268" s="206"/>
      <c r="D268" s="206"/>
      <c r="E268" s="206"/>
      <c r="F268" s="206"/>
      <c r="G268" s="206"/>
      <c r="H268" s="206"/>
      <c r="I268" s="206"/>
      <c r="J268" s="206"/>
      <c r="K268" s="206"/>
      <c r="L268" s="206"/>
      <c r="M268" s="206"/>
      <c r="N268" s="206"/>
      <c r="O268" s="238"/>
      <c r="P268" s="238"/>
      <c r="Q268" s="238"/>
      <c r="R268" s="239"/>
      <c r="S268" s="239"/>
      <c r="Z268" s="50"/>
      <c r="AA268" s="50"/>
      <c r="AB268" s="50"/>
      <c r="AC268" s="50"/>
      <c r="AF268" s="50"/>
      <c r="AG268" s="50"/>
      <c r="AH268" s="50"/>
      <c r="AI268" s="50"/>
    </row>
    <row r="269" spans="2:35" x14ac:dyDescent="0.15">
      <c r="B269" s="211"/>
      <c r="C269" s="206"/>
      <c r="D269" s="206"/>
      <c r="E269" s="206"/>
      <c r="F269" s="206"/>
      <c r="G269" s="206"/>
      <c r="H269" s="206"/>
      <c r="I269" s="206"/>
      <c r="J269" s="206"/>
      <c r="K269" s="206"/>
      <c r="L269" s="206"/>
      <c r="M269" s="206"/>
      <c r="N269" s="206"/>
      <c r="O269" s="238"/>
      <c r="P269" s="238"/>
      <c r="Q269" s="238"/>
      <c r="R269" s="239"/>
      <c r="S269" s="239"/>
      <c r="Z269" s="50"/>
      <c r="AA269" s="50"/>
      <c r="AB269" s="50"/>
      <c r="AC269" s="50"/>
      <c r="AF269" s="50"/>
      <c r="AG269" s="50"/>
      <c r="AH269" s="50"/>
      <c r="AI269" s="50"/>
    </row>
    <row r="270" spans="2:35" x14ac:dyDescent="0.15">
      <c r="B270" s="211"/>
      <c r="C270" s="206"/>
      <c r="D270" s="206"/>
      <c r="E270" s="206"/>
      <c r="F270" s="206"/>
      <c r="G270" s="206"/>
      <c r="H270" s="206"/>
      <c r="I270" s="206"/>
      <c r="J270" s="206"/>
      <c r="K270" s="206"/>
      <c r="L270" s="206"/>
      <c r="M270" s="206"/>
      <c r="N270" s="206"/>
      <c r="O270" s="238"/>
      <c r="P270" s="238"/>
      <c r="Q270" s="238"/>
      <c r="R270" s="239"/>
      <c r="S270" s="239"/>
      <c r="Z270" s="50"/>
      <c r="AA270" s="50"/>
      <c r="AB270" s="50"/>
      <c r="AC270" s="50"/>
      <c r="AF270" s="50"/>
      <c r="AG270" s="50"/>
      <c r="AH270" s="50"/>
      <c r="AI270" s="50"/>
    </row>
    <row r="271" spans="2:35" x14ac:dyDescent="0.15">
      <c r="B271" s="211"/>
      <c r="C271" s="206"/>
      <c r="D271" s="206"/>
      <c r="E271" s="206"/>
      <c r="F271" s="206"/>
      <c r="G271" s="206"/>
      <c r="H271" s="206"/>
      <c r="I271" s="206"/>
      <c r="J271" s="206"/>
      <c r="K271" s="206"/>
      <c r="L271" s="206"/>
      <c r="M271" s="206"/>
      <c r="N271" s="206"/>
      <c r="O271" s="238"/>
      <c r="P271" s="238"/>
      <c r="Q271" s="238"/>
      <c r="R271" s="239"/>
      <c r="S271" s="239"/>
      <c r="Z271" s="50"/>
      <c r="AA271" s="50"/>
      <c r="AB271" s="50"/>
      <c r="AC271" s="50"/>
      <c r="AF271" s="50"/>
      <c r="AG271" s="50"/>
      <c r="AH271" s="50"/>
      <c r="AI271" s="50"/>
    </row>
    <row r="272" spans="2:35" x14ac:dyDescent="0.15">
      <c r="B272" s="211"/>
      <c r="C272" s="206"/>
      <c r="D272" s="206"/>
      <c r="E272" s="206"/>
      <c r="F272" s="206"/>
      <c r="G272" s="206"/>
      <c r="H272" s="206"/>
      <c r="I272" s="206"/>
      <c r="J272" s="206"/>
      <c r="K272" s="206"/>
      <c r="L272" s="206"/>
      <c r="M272" s="206"/>
      <c r="N272" s="206"/>
      <c r="O272" s="238"/>
      <c r="P272" s="238"/>
      <c r="Q272" s="238"/>
      <c r="R272" s="239"/>
      <c r="S272" s="239"/>
      <c r="Z272" s="50"/>
      <c r="AA272" s="50"/>
      <c r="AB272" s="50"/>
      <c r="AC272" s="50"/>
      <c r="AF272" s="50"/>
      <c r="AG272" s="50"/>
      <c r="AH272" s="50"/>
      <c r="AI272" s="50"/>
    </row>
    <row r="273" spans="2:35" x14ac:dyDescent="0.15">
      <c r="B273" s="211"/>
      <c r="C273" s="206"/>
      <c r="D273" s="206"/>
      <c r="E273" s="206"/>
      <c r="F273" s="206"/>
      <c r="G273" s="206"/>
      <c r="H273" s="206"/>
      <c r="I273" s="206"/>
      <c r="J273" s="206"/>
      <c r="K273" s="206"/>
      <c r="L273" s="206"/>
      <c r="M273" s="206"/>
      <c r="N273" s="206"/>
      <c r="O273" s="238"/>
      <c r="P273" s="238"/>
      <c r="Q273" s="238"/>
      <c r="R273" s="239"/>
      <c r="S273" s="239"/>
      <c r="Z273" s="50"/>
      <c r="AA273" s="50"/>
      <c r="AB273" s="50"/>
      <c r="AC273" s="50"/>
      <c r="AF273" s="50"/>
      <c r="AG273" s="50"/>
      <c r="AH273" s="50"/>
      <c r="AI273" s="50"/>
    </row>
    <row r="274" spans="2:35" x14ac:dyDescent="0.15">
      <c r="B274" s="211"/>
      <c r="C274" s="206"/>
      <c r="D274" s="206"/>
      <c r="E274" s="206"/>
      <c r="F274" s="206"/>
      <c r="G274" s="206"/>
      <c r="H274" s="206"/>
      <c r="I274" s="206"/>
      <c r="J274" s="206"/>
      <c r="K274" s="206"/>
      <c r="L274" s="206"/>
      <c r="M274" s="206"/>
      <c r="N274" s="206"/>
      <c r="O274" s="238"/>
      <c r="P274" s="238"/>
      <c r="Q274" s="238"/>
      <c r="R274" s="239"/>
      <c r="S274" s="239"/>
      <c r="Z274" s="50"/>
      <c r="AA274" s="50"/>
      <c r="AB274" s="50"/>
      <c r="AC274" s="50"/>
      <c r="AF274" s="50"/>
      <c r="AG274" s="50"/>
      <c r="AH274" s="50"/>
      <c r="AI274" s="50"/>
    </row>
    <row r="275" spans="2:35" x14ac:dyDescent="0.15">
      <c r="B275" s="211"/>
      <c r="C275" s="206"/>
      <c r="D275" s="206"/>
      <c r="E275" s="206"/>
      <c r="F275" s="206"/>
      <c r="G275" s="206"/>
      <c r="H275" s="206"/>
      <c r="I275" s="206"/>
      <c r="J275" s="206"/>
      <c r="K275" s="206"/>
      <c r="L275" s="206"/>
      <c r="M275" s="206"/>
      <c r="N275" s="206"/>
      <c r="O275" s="238"/>
      <c r="P275" s="238"/>
      <c r="Q275" s="238"/>
      <c r="R275" s="239"/>
      <c r="S275" s="239"/>
      <c r="Z275" s="50"/>
      <c r="AA275" s="50"/>
      <c r="AB275" s="50"/>
      <c r="AC275" s="50"/>
      <c r="AF275" s="50"/>
      <c r="AG275" s="50"/>
      <c r="AH275" s="50"/>
      <c r="AI275" s="50"/>
    </row>
    <row r="276" spans="2:35" x14ac:dyDescent="0.15">
      <c r="B276" s="211"/>
      <c r="C276" s="206"/>
      <c r="D276" s="206"/>
      <c r="E276" s="206"/>
      <c r="F276" s="206"/>
      <c r="G276" s="206"/>
      <c r="H276" s="206"/>
      <c r="I276" s="206"/>
      <c r="J276" s="206"/>
      <c r="K276" s="206"/>
      <c r="L276" s="206"/>
      <c r="M276" s="206"/>
      <c r="N276" s="206"/>
      <c r="O276" s="238"/>
      <c r="P276" s="238"/>
      <c r="Q276" s="238"/>
      <c r="R276" s="239"/>
      <c r="S276" s="239"/>
      <c r="Z276" s="50"/>
      <c r="AA276" s="50"/>
      <c r="AB276" s="50"/>
      <c r="AC276" s="50"/>
      <c r="AF276" s="50"/>
      <c r="AG276" s="50"/>
      <c r="AH276" s="50"/>
      <c r="AI276" s="50"/>
    </row>
    <row r="277" spans="2:35" x14ac:dyDescent="0.15">
      <c r="B277" s="211"/>
      <c r="C277" s="206"/>
      <c r="D277" s="206"/>
      <c r="E277" s="206"/>
      <c r="F277" s="206"/>
      <c r="G277" s="206"/>
      <c r="H277" s="206"/>
      <c r="I277" s="206"/>
      <c r="J277" s="206"/>
      <c r="K277" s="206"/>
      <c r="L277" s="206"/>
      <c r="M277" s="206"/>
      <c r="N277" s="206"/>
      <c r="O277" s="238"/>
      <c r="P277" s="238"/>
      <c r="Q277" s="238"/>
      <c r="R277" s="239"/>
      <c r="S277" s="239"/>
      <c r="Z277" s="50"/>
      <c r="AA277" s="50"/>
      <c r="AB277" s="50"/>
      <c r="AC277" s="50"/>
      <c r="AF277" s="50"/>
      <c r="AG277" s="50"/>
      <c r="AH277" s="50"/>
      <c r="AI277" s="50"/>
    </row>
    <row r="278" spans="2:35" x14ac:dyDescent="0.15">
      <c r="B278" s="211"/>
      <c r="C278" s="206"/>
      <c r="D278" s="206"/>
      <c r="E278" s="206"/>
      <c r="F278" s="206"/>
      <c r="G278" s="206"/>
      <c r="H278" s="206"/>
      <c r="I278" s="206"/>
      <c r="J278" s="206"/>
      <c r="K278" s="206"/>
      <c r="L278" s="206"/>
      <c r="M278" s="206"/>
      <c r="N278" s="206"/>
      <c r="O278" s="238"/>
      <c r="P278" s="238"/>
      <c r="Q278" s="238"/>
      <c r="R278" s="239"/>
      <c r="S278" s="239"/>
      <c r="Z278" s="50"/>
      <c r="AA278" s="50"/>
      <c r="AB278" s="50"/>
      <c r="AC278" s="50"/>
      <c r="AF278" s="50"/>
      <c r="AG278" s="50"/>
      <c r="AH278" s="50"/>
      <c r="AI278" s="50"/>
    </row>
    <row r="279" spans="2:35" x14ac:dyDescent="0.15">
      <c r="B279" s="211"/>
      <c r="C279" s="206"/>
      <c r="D279" s="206"/>
      <c r="E279" s="206"/>
      <c r="F279" s="206"/>
      <c r="G279" s="206"/>
      <c r="H279" s="206"/>
      <c r="I279" s="206"/>
      <c r="J279" s="206"/>
      <c r="K279" s="206"/>
      <c r="L279" s="206"/>
      <c r="M279" s="206"/>
      <c r="N279" s="206"/>
      <c r="O279" s="238"/>
      <c r="P279" s="238"/>
      <c r="Q279" s="238"/>
      <c r="R279" s="239"/>
      <c r="S279" s="239"/>
      <c r="Z279" s="50"/>
      <c r="AA279" s="50"/>
      <c r="AB279" s="50"/>
      <c r="AC279" s="50"/>
      <c r="AF279" s="50"/>
      <c r="AG279" s="50"/>
      <c r="AH279" s="50"/>
      <c r="AI279" s="50"/>
    </row>
    <row r="280" spans="2:35" x14ac:dyDescent="0.15">
      <c r="B280" s="211"/>
      <c r="C280" s="206"/>
      <c r="D280" s="206"/>
      <c r="E280" s="206"/>
      <c r="F280" s="206"/>
      <c r="G280" s="206"/>
      <c r="H280" s="206"/>
      <c r="I280" s="206"/>
      <c r="J280" s="206"/>
      <c r="K280" s="206"/>
      <c r="L280" s="206"/>
      <c r="M280" s="206"/>
      <c r="N280" s="206"/>
      <c r="O280" s="238"/>
      <c r="P280" s="238"/>
      <c r="Q280" s="238"/>
      <c r="R280" s="239"/>
      <c r="S280" s="239"/>
      <c r="Z280" s="50"/>
      <c r="AA280" s="50"/>
      <c r="AB280" s="50"/>
      <c r="AC280" s="50"/>
      <c r="AF280" s="50"/>
      <c r="AG280" s="50"/>
      <c r="AH280" s="50"/>
      <c r="AI280" s="50"/>
    </row>
    <row r="281" spans="2:35" x14ac:dyDescent="0.15">
      <c r="B281" s="211"/>
      <c r="C281" s="206"/>
      <c r="D281" s="206"/>
      <c r="E281" s="206"/>
      <c r="F281" s="206"/>
      <c r="G281" s="206"/>
      <c r="H281" s="206"/>
      <c r="I281" s="206"/>
      <c r="J281" s="206"/>
      <c r="K281" s="206"/>
      <c r="L281" s="206"/>
      <c r="M281" s="206"/>
      <c r="N281" s="206"/>
      <c r="O281" s="238"/>
      <c r="P281" s="238"/>
      <c r="Q281" s="238"/>
      <c r="R281" s="239"/>
      <c r="S281" s="239"/>
      <c r="Z281" s="50"/>
      <c r="AA281" s="50"/>
      <c r="AB281" s="50"/>
      <c r="AC281" s="50"/>
      <c r="AF281" s="50"/>
      <c r="AG281" s="50"/>
      <c r="AH281" s="50"/>
      <c r="AI281" s="50"/>
    </row>
    <row r="282" spans="2:35" x14ac:dyDescent="0.15">
      <c r="B282" s="211"/>
      <c r="C282" s="206"/>
      <c r="D282" s="206"/>
      <c r="E282" s="206"/>
      <c r="F282" s="206"/>
      <c r="G282" s="206"/>
      <c r="H282" s="206"/>
      <c r="I282" s="206"/>
      <c r="J282" s="206"/>
      <c r="K282" s="206"/>
      <c r="L282" s="206"/>
      <c r="M282" s="206"/>
      <c r="N282" s="206"/>
      <c r="O282" s="238"/>
      <c r="P282" s="238"/>
      <c r="Q282" s="238"/>
      <c r="R282" s="239"/>
      <c r="S282" s="239"/>
      <c r="Z282" s="50"/>
      <c r="AA282" s="50"/>
      <c r="AB282" s="50"/>
      <c r="AC282" s="50"/>
      <c r="AF282" s="50"/>
      <c r="AG282" s="50"/>
      <c r="AH282" s="50"/>
      <c r="AI282" s="50"/>
    </row>
    <row r="283" spans="2:35" x14ac:dyDescent="0.15">
      <c r="B283" s="211"/>
      <c r="C283" s="206"/>
      <c r="D283" s="206"/>
      <c r="E283" s="206"/>
      <c r="F283" s="206"/>
      <c r="G283" s="206"/>
      <c r="H283" s="206"/>
      <c r="I283" s="206"/>
      <c r="J283" s="206"/>
      <c r="K283" s="206"/>
      <c r="L283" s="206"/>
      <c r="M283" s="206"/>
      <c r="N283" s="206"/>
      <c r="O283" s="238"/>
      <c r="P283" s="238"/>
      <c r="Q283" s="238"/>
      <c r="R283" s="239"/>
      <c r="S283" s="239"/>
      <c r="Z283" s="50"/>
      <c r="AA283" s="50"/>
      <c r="AB283" s="50"/>
      <c r="AC283" s="50"/>
      <c r="AF283" s="50"/>
      <c r="AG283" s="50"/>
      <c r="AH283" s="50"/>
      <c r="AI283" s="50"/>
    </row>
    <row r="284" spans="2:35" x14ac:dyDescent="0.15">
      <c r="B284" s="211"/>
      <c r="C284" s="206"/>
      <c r="D284" s="206"/>
      <c r="E284" s="206"/>
      <c r="F284" s="206"/>
      <c r="G284" s="206"/>
      <c r="H284" s="206"/>
      <c r="I284" s="206"/>
      <c r="J284" s="206"/>
      <c r="K284" s="206"/>
      <c r="L284" s="206"/>
      <c r="M284" s="206"/>
      <c r="N284" s="206"/>
      <c r="O284" s="238"/>
      <c r="P284" s="238"/>
      <c r="Q284" s="238"/>
      <c r="R284" s="239"/>
      <c r="S284" s="239"/>
      <c r="Z284" s="50"/>
      <c r="AA284" s="50"/>
      <c r="AB284" s="50"/>
      <c r="AC284" s="50"/>
      <c r="AF284" s="50"/>
      <c r="AG284" s="50"/>
      <c r="AH284" s="50"/>
      <c r="AI284" s="50"/>
    </row>
    <row r="285" spans="2:35" x14ac:dyDescent="0.15">
      <c r="B285" s="211"/>
      <c r="C285" s="206"/>
      <c r="D285" s="206"/>
      <c r="E285" s="206"/>
      <c r="F285" s="206"/>
      <c r="G285" s="206"/>
      <c r="H285" s="206"/>
      <c r="I285" s="206"/>
      <c r="J285" s="206"/>
      <c r="K285" s="206"/>
      <c r="L285" s="206"/>
      <c r="M285" s="206"/>
      <c r="N285" s="206"/>
      <c r="O285" s="238"/>
      <c r="P285" s="238"/>
      <c r="Q285" s="238"/>
      <c r="R285" s="239"/>
      <c r="S285" s="239"/>
      <c r="Z285" s="50"/>
      <c r="AA285" s="50"/>
      <c r="AB285" s="50"/>
      <c r="AC285" s="50"/>
      <c r="AF285" s="50"/>
      <c r="AG285" s="50"/>
      <c r="AH285" s="50"/>
      <c r="AI285" s="50"/>
    </row>
    <row r="286" spans="2:35" x14ac:dyDescent="0.15">
      <c r="B286" s="211"/>
      <c r="C286" s="206"/>
      <c r="D286" s="206"/>
      <c r="E286" s="206"/>
      <c r="F286" s="206"/>
      <c r="G286" s="206"/>
      <c r="H286" s="206"/>
      <c r="I286" s="206"/>
      <c r="J286" s="206"/>
      <c r="K286" s="206"/>
      <c r="L286" s="206"/>
      <c r="M286" s="206"/>
      <c r="N286" s="206"/>
      <c r="O286" s="238"/>
      <c r="P286" s="238"/>
      <c r="Q286" s="238"/>
      <c r="Z286" s="50"/>
      <c r="AA286" s="50"/>
      <c r="AB286" s="50"/>
      <c r="AC286" s="50"/>
      <c r="AF286" s="50"/>
      <c r="AG286" s="50"/>
      <c r="AH286" s="50"/>
      <c r="AI286" s="50"/>
    </row>
    <row r="287" spans="2:35" x14ac:dyDescent="0.15">
      <c r="B287" s="211"/>
      <c r="C287" s="206"/>
      <c r="D287" s="206"/>
      <c r="E287" s="206"/>
      <c r="F287" s="206"/>
      <c r="G287" s="206"/>
      <c r="H287" s="206"/>
      <c r="I287" s="206"/>
      <c r="J287" s="206"/>
      <c r="K287" s="206"/>
      <c r="L287" s="206"/>
      <c r="M287" s="206"/>
      <c r="N287" s="206"/>
      <c r="O287" s="238"/>
      <c r="P287" s="238"/>
      <c r="Q287" s="238"/>
      <c r="Z287" s="50"/>
      <c r="AA287" s="50"/>
      <c r="AB287" s="50"/>
      <c r="AC287" s="50"/>
      <c r="AF287" s="50"/>
      <c r="AG287" s="50"/>
      <c r="AH287" s="50"/>
      <c r="AI287" s="50"/>
    </row>
    <row r="288" spans="2:35" x14ac:dyDescent="0.15">
      <c r="B288" s="211"/>
      <c r="C288" s="206"/>
      <c r="D288" s="206"/>
      <c r="E288" s="206"/>
      <c r="F288" s="206"/>
      <c r="G288" s="206"/>
      <c r="H288" s="206"/>
      <c r="I288" s="206"/>
      <c r="J288" s="206"/>
      <c r="K288" s="206"/>
      <c r="L288" s="206"/>
      <c r="M288" s="206"/>
      <c r="N288" s="206"/>
      <c r="O288" s="238"/>
      <c r="P288" s="238"/>
      <c r="Q288" s="238"/>
      <c r="Z288" s="50"/>
      <c r="AA288" s="50"/>
      <c r="AB288" s="50"/>
      <c r="AC288" s="50"/>
      <c r="AF288" s="50"/>
      <c r="AG288" s="50"/>
      <c r="AH288" s="50"/>
      <c r="AI288" s="50"/>
    </row>
    <row r="289" spans="2:35" x14ac:dyDescent="0.15">
      <c r="B289" s="211"/>
      <c r="C289" s="206"/>
      <c r="D289" s="206"/>
      <c r="E289" s="206"/>
      <c r="F289" s="206"/>
      <c r="G289" s="206"/>
      <c r="H289" s="206"/>
      <c r="I289" s="206"/>
      <c r="J289" s="206"/>
      <c r="K289" s="206"/>
      <c r="L289" s="206"/>
      <c r="M289" s="206"/>
      <c r="N289" s="206"/>
      <c r="O289" s="238"/>
      <c r="P289" s="238"/>
      <c r="Q289" s="238"/>
      <c r="Z289" s="50"/>
      <c r="AA289" s="50"/>
      <c r="AB289" s="50"/>
      <c r="AC289" s="50"/>
      <c r="AF289" s="50"/>
      <c r="AG289" s="50"/>
      <c r="AH289" s="50"/>
      <c r="AI289" s="50"/>
    </row>
    <row r="290" spans="2:35" x14ac:dyDescent="0.15">
      <c r="B290" s="211"/>
      <c r="C290" s="206"/>
      <c r="D290" s="206"/>
      <c r="E290" s="206"/>
      <c r="F290" s="206"/>
      <c r="G290" s="206"/>
      <c r="H290" s="206"/>
      <c r="I290" s="206"/>
      <c r="J290" s="206"/>
      <c r="K290" s="206"/>
      <c r="L290" s="206"/>
      <c r="M290" s="206"/>
      <c r="N290" s="206"/>
      <c r="O290" s="238"/>
      <c r="P290" s="238"/>
      <c r="Q290" s="238"/>
      <c r="Z290" s="50"/>
      <c r="AA290" s="50"/>
      <c r="AB290" s="50"/>
      <c r="AC290" s="50"/>
      <c r="AF290" s="50"/>
      <c r="AG290" s="50"/>
      <c r="AH290" s="50"/>
      <c r="AI290" s="50"/>
    </row>
    <row r="291" spans="2:35" x14ac:dyDescent="0.15">
      <c r="B291" s="211"/>
      <c r="C291" s="206"/>
      <c r="D291" s="206"/>
      <c r="E291" s="206"/>
      <c r="F291" s="206"/>
      <c r="G291" s="206"/>
      <c r="H291" s="206"/>
      <c r="I291" s="206"/>
      <c r="J291" s="206"/>
      <c r="K291" s="206"/>
      <c r="L291" s="206"/>
      <c r="M291" s="206"/>
      <c r="N291" s="206"/>
      <c r="O291" s="238"/>
      <c r="P291" s="238"/>
      <c r="Q291" s="238"/>
      <c r="Z291" s="50"/>
      <c r="AA291" s="50"/>
      <c r="AB291" s="50"/>
      <c r="AC291" s="50"/>
      <c r="AF291" s="50"/>
      <c r="AG291" s="50"/>
      <c r="AH291" s="50"/>
      <c r="AI291" s="50"/>
    </row>
    <row r="292" spans="2:35" x14ac:dyDescent="0.15">
      <c r="B292" s="211"/>
      <c r="C292" s="206"/>
      <c r="D292" s="206"/>
      <c r="E292" s="206"/>
      <c r="F292" s="206"/>
      <c r="G292" s="206"/>
      <c r="H292" s="206"/>
      <c r="I292" s="206"/>
      <c r="J292" s="206"/>
      <c r="K292" s="206"/>
      <c r="L292" s="206"/>
      <c r="M292" s="206"/>
      <c r="N292" s="206"/>
      <c r="O292" s="238"/>
      <c r="P292" s="238"/>
      <c r="Q292" s="238"/>
      <c r="Z292" s="50"/>
      <c r="AA292" s="50"/>
      <c r="AB292" s="50"/>
      <c r="AC292" s="50"/>
      <c r="AF292" s="50"/>
      <c r="AG292" s="50"/>
      <c r="AH292" s="50"/>
      <c r="AI292" s="50"/>
    </row>
    <row r="293" spans="2:35" x14ac:dyDescent="0.15">
      <c r="B293" s="211"/>
      <c r="C293" s="206"/>
      <c r="D293" s="206"/>
      <c r="E293" s="206"/>
      <c r="F293" s="206"/>
      <c r="G293" s="206"/>
      <c r="H293" s="206"/>
      <c r="I293" s="206"/>
      <c r="J293" s="206"/>
      <c r="K293" s="206"/>
      <c r="L293" s="206"/>
      <c r="M293" s="206"/>
      <c r="N293" s="206"/>
      <c r="O293" s="238"/>
      <c r="P293" s="238"/>
      <c r="Q293" s="238"/>
      <c r="Z293" s="50"/>
      <c r="AA293" s="50"/>
      <c r="AB293" s="50"/>
      <c r="AC293" s="50"/>
      <c r="AF293" s="50"/>
      <c r="AG293" s="50"/>
      <c r="AH293" s="50"/>
      <c r="AI293" s="50"/>
    </row>
    <row r="294" spans="2:35" x14ac:dyDescent="0.15">
      <c r="B294" s="211"/>
      <c r="C294" s="206"/>
      <c r="D294" s="206"/>
      <c r="E294" s="206"/>
      <c r="F294" s="206"/>
      <c r="G294" s="206"/>
      <c r="H294" s="206"/>
      <c r="I294" s="206"/>
      <c r="J294" s="206"/>
      <c r="K294" s="206"/>
      <c r="L294" s="206"/>
      <c r="M294" s="206"/>
      <c r="N294" s="206"/>
      <c r="O294" s="238"/>
      <c r="P294" s="238"/>
      <c r="Q294" s="238"/>
      <c r="Z294" s="50"/>
      <c r="AA294" s="50"/>
      <c r="AB294" s="50"/>
      <c r="AC294" s="50"/>
      <c r="AF294" s="50"/>
      <c r="AG294" s="50"/>
      <c r="AH294" s="50"/>
      <c r="AI294" s="50"/>
    </row>
    <row r="295" spans="2:35" x14ac:dyDescent="0.15">
      <c r="B295" s="211"/>
      <c r="C295" s="206"/>
      <c r="D295" s="206"/>
      <c r="E295" s="206"/>
      <c r="F295" s="206"/>
      <c r="G295" s="206"/>
      <c r="H295" s="206"/>
      <c r="I295" s="206"/>
      <c r="J295" s="206"/>
      <c r="K295" s="206"/>
      <c r="L295" s="206"/>
      <c r="M295" s="206"/>
      <c r="N295" s="206"/>
      <c r="O295" s="238"/>
      <c r="P295" s="238"/>
      <c r="Q295" s="238"/>
      <c r="U295" s="246"/>
      <c r="V295" s="246"/>
      <c r="W295" s="246"/>
      <c r="X295" s="246"/>
      <c r="Y295" s="246"/>
      <c r="Z295" s="50"/>
      <c r="AA295" s="50"/>
      <c r="AB295" s="50"/>
      <c r="AC295" s="50"/>
      <c r="AF295" s="50"/>
      <c r="AG295" s="50"/>
      <c r="AH295" s="50"/>
      <c r="AI295" s="50"/>
    </row>
    <row r="296" spans="2:35" x14ac:dyDescent="0.15">
      <c r="B296" s="211"/>
      <c r="C296" s="206"/>
      <c r="D296" s="206"/>
      <c r="E296" s="206"/>
      <c r="F296" s="206"/>
      <c r="G296" s="206"/>
      <c r="H296" s="206"/>
      <c r="I296" s="206"/>
      <c r="J296" s="206"/>
      <c r="K296" s="206"/>
      <c r="L296" s="206"/>
      <c r="M296" s="206"/>
      <c r="N296" s="206"/>
      <c r="O296" s="238"/>
      <c r="P296" s="238"/>
      <c r="Q296" s="238"/>
      <c r="U296" s="246"/>
      <c r="V296" s="246"/>
      <c r="W296" s="246"/>
      <c r="X296" s="246"/>
      <c r="Y296" s="246"/>
      <c r="Z296" s="50"/>
      <c r="AA296" s="50"/>
      <c r="AB296" s="50"/>
      <c r="AC296" s="50"/>
      <c r="AF296" s="50"/>
      <c r="AG296" s="50"/>
      <c r="AH296" s="50"/>
      <c r="AI296" s="50"/>
    </row>
    <row r="297" spans="2:35" x14ac:dyDescent="0.15">
      <c r="B297" s="211"/>
      <c r="C297" s="206"/>
      <c r="D297" s="206"/>
      <c r="E297" s="206"/>
      <c r="F297" s="206"/>
      <c r="G297" s="206"/>
      <c r="H297" s="206"/>
      <c r="I297" s="206"/>
      <c r="J297" s="206"/>
      <c r="K297" s="206"/>
      <c r="L297" s="206"/>
      <c r="M297" s="206"/>
      <c r="N297" s="206"/>
      <c r="O297" s="238"/>
      <c r="P297" s="238"/>
      <c r="Q297" s="238"/>
      <c r="U297" s="246"/>
      <c r="V297" s="246"/>
      <c r="W297" s="246"/>
      <c r="X297" s="246"/>
      <c r="Y297" s="246"/>
      <c r="Z297" s="50"/>
      <c r="AA297" s="50"/>
      <c r="AB297" s="50"/>
      <c r="AC297" s="50"/>
      <c r="AF297" s="50"/>
      <c r="AG297" s="50"/>
      <c r="AH297" s="50"/>
      <c r="AI297" s="50"/>
    </row>
    <row r="298" spans="2:35" x14ac:dyDescent="0.15">
      <c r="B298" s="211"/>
      <c r="C298" s="206"/>
      <c r="D298" s="206"/>
      <c r="E298" s="206"/>
      <c r="F298" s="206"/>
      <c r="G298" s="206"/>
      <c r="H298" s="206"/>
      <c r="I298" s="206"/>
      <c r="J298" s="206"/>
      <c r="K298" s="206"/>
      <c r="L298" s="206"/>
      <c r="M298" s="206"/>
      <c r="N298" s="206"/>
      <c r="O298" s="238"/>
      <c r="P298" s="238"/>
      <c r="Q298" s="238"/>
      <c r="U298" s="246"/>
      <c r="V298" s="246"/>
      <c r="W298" s="246"/>
      <c r="X298" s="246"/>
      <c r="Y298" s="246"/>
      <c r="Z298" s="50"/>
      <c r="AA298" s="50"/>
      <c r="AB298" s="50"/>
      <c r="AC298" s="50"/>
      <c r="AF298" s="50"/>
      <c r="AG298" s="50"/>
      <c r="AH298" s="50"/>
      <c r="AI298" s="50"/>
    </row>
    <row r="299" spans="2:35" x14ac:dyDescent="0.15">
      <c r="B299" s="211"/>
      <c r="C299" s="206"/>
      <c r="D299" s="206"/>
      <c r="E299" s="206"/>
      <c r="F299" s="206"/>
      <c r="G299" s="206"/>
      <c r="H299" s="206"/>
      <c r="I299" s="206"/>
      <c r="J299" s="206"/>
      <c r="K299" s="206"/>
      <c r="L299" s="206"/>
      <c r="M299" s="206"/>
      <c r="N299" s="206"/>
      <c r="O299" s="238"/>
      <c r="P299" s="238"/>
      <c r="Q299" s="238"/>
      <c r="U299" s="246"/>
      <c r="V299" s="246"/>
      <c r="W299" s="246"/>
      <c r="X299" s="246"/>
      <c r="Y299" s="246"/>
      <c r="Z299" s="50"/>
      <c r="AA299" s="50"/>
      <c r="AB299" s="50"/>
      <c r="AC299" s="50"/>
      <c r="AF299" s="50"/>
      <c r="AG299" s="50"/>
      <c r="AH299" s="50"/>
      <c r="AI299" s="50"/>
    </row>
    <row r="300" spans="2:35" x14ac:dyDescent="0.15">
      <c r="B300" s="211"/>
      <c r="C300" s="206"/>
      <c r="D300" s="206"/>
      <c r="E300" s="206"/>
      <c r="F300" s="206"/>
      <c r="G300" s="206"/>
      <c r="H300" s="206"/>
      <c r="I300" s="206"/>
      <c r="J300" s="206"/>
      <c r="K300" s="206"/>
      <c r="L300" s="206"/>
      <c r="M300" s="206"/>
      <c r="N300" s="206"/>
      <c r="O300" s="238"/>
      <c r="P300" s="238"/>
      <c r="Q300" s="238"/>
      <c r="U300" s="246"/>
      <c r="V300" s="246"/>
      <c r="W300" s="246"/>
      <c r="X300" s="246"/>
      <c r="Y300" s="246"/>
      <c r="Z300" s="50"/>
      <c r="AA300" s="50"/>
      <c r="AB300" s="50"/>
      <c r="AC300" s="50"/>
      <c r="AF300" s="50"/>
      <c r="AG300" s="50"/>
      <c r="AH300" s="50"/>
      <c r="AI300" s="50"/>
    </row>
    <row r="301" spans="2:35" x14ac:dyDescent="0.15">
      <c r="B301" s="211"/>
      <c r="C301" s="206"/>
      <c r="D301" s="206"/>
      <c r="E301" s="206"/>
      <c r="F301" s="206"/>
      <c r="G301" s="206"/>
      <c r="H301" s="206"/>
      <c r="I301" s="206"/>
      <c r="J301" s="206"/>
      <c r="K301" s="206"/>
      <c r="L301" s="206"/>
      <c r="M301" s="206"/>
      <c r="N301" s="206"/>
      <c r="O301" s="238"/>
      <c r="P301" s="238"/>
      <c r="Q301" s="238"/>
      <c r="U301" s="246"/>
      <c r="V301" s="246"/>
      <c r="W301" s="246"/>
      <c r="X301" s="246"/>
      <c r="Y301" s="246"/>
      <c r="Z301" s="50"/>
      <c r="AA301" s="50"/>
      <c r="AB301" s="50"/>
      <c r="AC301" s="50"/>
      <c r="AF301" s="50"/>
      <c r="AG301" s="50"/>
      <c r="AH301" s="50"/>
      <c r="AI301" s="50"/>
    </row>
    <row r="302" spans="2:35" x14ac:dyDescent="0.15">
      <c r="B302" s="211"/>
      <c r="C302" s="206"/>
      <c r="D302" s="206"/>
      <c r="E302" s="206"/>
      <c r="F302" s="206"/>
      <c r="G302" s="206"/>
      <c r="H302" s="206"/>
      <c r="I302" s="206"/>
      <c r="J302" s="206"/>
      <c r="K302" s="206"/>
      <c r="L302" s="206"/>
      <c r="M302" s="206"/>
      <c r="N302" s="206"/>
      <c r="O302" s="238"/>
      <c r="P302" s="238"/>
      <c r="Q302" s="238"/>
      <c r="U302" s="246"/>
      <c r="V302" s="246"/>
      <c r="W302" s="246"/>
      <c r="X302" s="246"/>
      <c r="Y302" s="246"/>
      <c r="Z302" s="50"/>
      <c r="AA302" s="50"/>
      <c r="AB302" s="50"/>
      <c r="AC302" s="50"/>
      <c r="AF302" s="50"/>
      <c r="AG302" s="50"/>
      <c r="AH302" s="50"/>
      <c r="AI302" s="50"/>
    </row>
    <row r="303" spans="2:35" x14ac:dyDescent="0.15">
      <c r="B303" s="211"/>
      <c r="C303" s="206"/>
      <c r="D303" s="206"/>
      <c r="E303" s="206"/>
      <c r="F303" s="206"/>
      <c r="G303" s="206"/>
      <c r="H303" s="206"/>
      <c r="I303" s="206"/>
      <c r="J303" s="206"/>
      <c r="K303" s="206"/>
      <c r="L303" s="206"/>
      <c r="M303" s="206"/>
      <c r="N303" s="206"/>
      <c r="O303" s="238"/>
      <c r="P303" s="238"/>
      <c r="Q303" s="238"/>
      <c r="U303" s="246"/>
      <c r="V303" s="246"/>
      <c r="W303" s="246"/>
      <c r="X303" s="246"/>
      <c r="Y303" s="246"/>
      <c r="Z303" s="50"/>
      <c r="AA303" s="50"/>
      <c r="AB303" s="50"/>
      <c r="AC303" s="50"/>
      <c r="AF303" s="50"/>
      <c r="AG303" s="50"/>
      <c r="AH303" s="50"/>
      <c r="AI303" s="50"/>
    </row>
    <row r="304" spans="2:35" x14ac:dyDescent="0.15">
      <c r="B304" s="211"/>
      <c r="C304" s="206"/>
      <c r="D304" s="206"/>
      <c r="E304" s="206"/>
      <c r="F304" s="206"/>
      <c r="G304" s="206"/>
      <c r="H304" s="206"/>
      <c r="I304" s="206"/>
      <c r="J304" s="206"/>
      <c r="K304" s="206"/>
      <c r="L304" s="206"/>
      <c r="M304" s="206"/>
      <c r="N304" s="206"/>
      <c r="O304" s="230"/>
      <c r="P304" s="230"/>
      <c r="Q304" s="230"/>
      <c r="U304" s="246"/>
      <c r="V304" s="246"/>
      <c r="W304" s="246"/>
      <c r="X304" s="246"/>
      <c r="Y304" s="246"/>
      <c r="Z304" s="50"/>
      <c r="AA304" s="50"/>
      <c r="AB304" s="50"/>
      <c r="AC304" s="50"/>
      <c r="AF304" s="50"/>
      <c r="AG304" s="50"/>
      <c r="AH304" s="50"/>
      <c r="AI304" s="50"/>
    </row>
    <row r="305" spans="2:35" x14ac:dyDescent="0.15">
      <c r="B305" s="211"/>
      <c r="C305" s="206"/>
      <c r="D305" s="206"/>
      <c r="E305" s="206"/>
      <c r="F305" s="206"/>
      <c r="G305" s="206"/>
      <c r="H305" s="206"/>
      <c r="I305" s="206"/>
      <c r="J305" s="206"/>
      <c r="K305" s="206"/>
      <c r="L305" s="206"/>
      <c r="M305" s="206"/>
      <c r="N305" s="206"/>
      <c r="O305" s="230"/>
      <c r="P305" s="230"/>
      <c r="Q305" s="230"/>
      <c r="U305" s="246"/>
      <c r="V305" s="246"/>
      <c r="W305" s="246"/>
      <c r="X305" s="246"/>
      <c r="Y305" s="246"/>
      <c r="Z305" s="50"/>
      <c r="AA305" s="50"/>
      <c r="AB305" s="50"/>
      <c r="AC305" s="50"/>
      <c r="AF305" s="50"/>
      <c r="AG305" s="50"/>
      <c r="AH305" s="50"/>
      <c r="AI305" s="50"/>
    </row>
    <row r="306" spans="2:35" x14ac:dyDescent="0.15">
      <c r="B306" s="211"/>
      <c r="C306" s="206"/>
      <c r="D306" s="206"/>
      <c r="E306" s="206"/>
      <c r="F306" s="206"/>
      <c r="G306" s="206"/>
      <c r="H306" s="206"/>
      <c r="I306" s="206"/>
      <c r="J306" s="206"/>
      <c r="K306" s="206"/>
      <c r="L306" s="206"/>
      <c r="M306" s="206"/>
      <c r="N306" s="206"/>
      <c r="O306" s="230"/>
      <c r="P306" s="230"/>
      <c r="Q306" s="230"/>
      <c r="U306" s="246"/>
      <c r="V306" s="246"/>
      <c r="W306" s="246"/>
      <c r="X306" s="246"/>
      <c r="Y306" s="246"/>
      <c r="Z306" s="50"/>
      <c r="AA306" s="50"/>
      <c r="AB306" s="50"/>
      <c r="AC306" s="50"/>
      <c r="AF306" s="50"/>
      <c r="AG306" s="50"/>
      <c r="AH306" s="50"/>
      <c r="AI306" s="50"/>
    </row>
    <row r="307" spans="2:35" x14ac:dyDescent="0.15">
      <c r="B307" s="211"/>
      <c r="C307" s="206"/>
      <c r="D307" s="206"/>
      <c r="E307" s="206"/>
      <c r="F307" s="206"/>
      <c r="G307" s="206"/>
      <c r="H307" s="206"/>
      <c r="I307" s="206"/>
      <c r="J307" s="206"/>
      <c r="K307" s="206"/>
      <c r="L307" s="206"/>
      <c r="M307" s="206"/>
      <c r="N307" s="206"/>
      <c r="O307" s="230"/>
      <c r="P307" s="230"/>
      <c r="Q307" s="230"/>
      <c r="U307" s="246"/>
      <c r="V307" s="246"/>
      <c r="W307" s="246"/>
      <c r="X307" s="246"/>
      <c r="Y307" s="246"/>
      <c r="Z307" s="50"/>
      <c r="AA307" s="50"/>
      <c r="AB307" s="50"/>
      <c r="AC307" s="50"/>
      <c r="AF307" s="50"/>
      <c r="AG307" s="50"/>
      <c r="AH307" s="50"/>
      <c r="AI307" s="50"/>
    </row>
    <row r="308" spans="2:35" x14ac:dyDescent="0.15">
      <c r="B308" s="211"/>
      <c r="C308" s="206"/>
      <c r="D308" s="206"/>
      <c r="E308" s="206"/>
      <c r="F308" s="206"/>
      <c r="G308" s="206"/>
      <c r="H308" s="206"/>
      <c r="I308" s="206"/>
      <c r="J308" s="206"/>
      <c r="K308" s="206"/>
      <c r="L308" s="206"/>
      <c r="M308" s="206"/>
      <c r="N308" s="206"/>
      <c r="O308" s="230"/>
      <c r="P308" s="230"/>
      <c r="Q308" s="230"/>
      <c r="U308" s="246"/>
      <c r="V308" s="246"/>
      <c r="W308" s="246"/>
      <c r="X308" s="246"/>
      <c r="Y308" s="246"/>
      <c r="Z308" s="50"/>
      <c r="AA308" s="50"/>
      <c r="AB308" s="50"/>
      <c r="AC308" s="50"/>
      <c r="AF308" s="50"/>
      <c r="AG308" s="50"/>
      <c r="AH308" s="50"/>
      <c r="AI308" s="50"/>
    </row>
    <row r="309" spans="2:35" x14ac:dyDescent="0.15">
      <c r="B309" s="211"/>
      <c r="C309" s="206"/>
      <c r="D309" s="206"/>
      <c r="E309" s="206"/>
      <c r="F309" s="206"/>
      <c r="G309" s="206"/>
      <c r="H309" s="206"/>
      <c r="I309" s="206"/>
      <c r="J309" s="206"/>
      <c r="K309" s="206"/>
      <c r="L309" s="206"/>
      <c r="M309" s="206"/>
      <c r="N309" s="206"/>
      <c r="O309" s="230"/>
      <c r="P309" s="230"/>
      <c r="Q309" s="230"/>
      <c r="U309" s="246"/>
      <c r="V309" s="246"/>
      <c r="W309" s="246"/>
      <c r="X309" s="246"/>
      <c r="Y309" s="246"/>
      <c r="Z309" s="50"/>
      <c r="AA309" s="50"/>
      <c r="AB309" s="50"/>
      <c r="AC309" s="50"/>
      <c r="AF309" s="50"/>
      <c r="AG309" s="50"/>
      <c r="AH309" s="50"/>
      <c r="AI309" s="50"/>
    </row>
    <row r="310" spans="2:35" x14ac:dyDescent="0.15">
      <c r="B310" s="211"/>
      <c r="C310" s="206"/>
      <c r="D310" s="206"/>
      <c r="E310" s="206"/>
      <c r="F310" s="206"/>
      <c r="G310" s="206"/>
      <c r="H310" s="206"/>
      <c r="I310" s="206"/>
      <c r="J310" s="206"/>
      <c r="K310" s="206"/>
      <c r="L310" s="206"/>
      <c r="M310" s="206"/>
      <c r="N310" s="206"/>
      <c r="O310" s="230"/>
      <c r="P310" s="230"/>
      <c r="Q310" s="230"/>
      <c r="U310" s="246"/>
      <c r="V310" s="246"/>
      <c r="W310" s="246"/>
      <c r="X310" s="246"/>
      <c r="Y310" s="246"/>
      <c r="Z310" s="50"/>
      <c r="AA310" s="50"/>
      <c r="AB310" s="50"/>
      <c r="AC310" s="50"/>
      <c r="AF310" s="50"/>
      <c r="AG310" s="50"/>
      <c r="AH310" s="50"/>
      <c r="AI310" s="50"/>
    </row>
    <row r="311" spans="2:35" x14ac:dyDescent="0.15">
      <c r="B311" s="211"/>
      <c r="C311" s="206"/>
      <c r="D311" s="206"/>
      <c r="E311" s="206"/>
      <c r="F311" s="206"/>
      <c r="G311" s="206"/>
      <c r="H311" s="206"/>
      <c r="I311" s="206"/>
      <c r="J311" s="206"/>
      <c r="K311" s="206"/>
      <c r="L311" s="206"/>
      <c r="M311" s="206"/>
      <c r="N311" s="206"/>
      <c r="O311" s="230"/>
      <c r="P311" s="230"/>
      <c r="Q311" s="230"/>
      <c r="U311" s="246"/>
      <c r="V311" s="246"/>
      <c r="W311" s="246"/>
      <c r="X311" s="246"/>
      <c r="Y311" s="246"/>
      <c r="Z311" s="50"/>
      <c r="AA311" s="50"/>
      <c r="AB311" s="50"/>
      <c r="AC311" s="50"/>
      <c r="AF311" s="50"/>
      <c r="AG311" s="50"/>
      <c r="AH311" s="50"/>
      <c r="AI311" s="50"/>
    </row>
    <row r="312" spans="2:35" x14ac:dyDescent="0.15">
      <c r="B312" s="211"/>
      <c r="C312" s="206"/>
      <c r="D312" s="206"/>
      <c r="E312" s="206"/>
      <c r="F312" s="206"/>
      <c r="G312" s="206"/>
      <c r="H312" s="206"/>
      <c r="I312" s="206"/>
      <c r="J312" s="206"/>
      <c r="K312" s="206"/>
      <c r="L312" s="206"/>
      <c r="M312" s="206"/>
      <c r="N312" s="206"/>
      <c r="O312" s="230"/>
      <c r="P312" s="230"/>
      <c r="Q312" s="230"/>
      <c r="U312" s="246"/>
      <c r="V312" s="246"/>
      <c r="W312" s="246"/>
      <c r="X312" s="246"/>
      <c r="Y312" s="246"/>
      <c r="Z312" s="50"/>
      <c r="AA312" s="50"/>
      <c r="AB312" s="50"/>
      <c r="AC312" s="50"/>
      <c r="AF312" s="50"/>
      <c r="AG312" s="50"/>
      <c r="AH312" s="50"/>
      <c r="AI312" s="50"/>
    </row>
    <row r="313" spans="2:35" x14ac:dyDescent="0.15">
      <c r="B313" s="211"/>
      <c r="C313" s="206"/>
      <c r="D313" s="206"/>
      <c r="E313" s="206"/>
      <c r="F313" s="206"/>
      <c r="G313" s="206"/>
      <c r="H313" s="206"/>
      <c r="I313" s="206"/>
      <c r="J313" s="206"/>
      <c r="K313" s="206"/>
      <c r="L313" s="206"/>
      <c r="M313" s="206"/>
      <c r="N313" s="206"/>
      <c r="O313" s="230"/>
      <c r="P313" s="230"/>
      <c r="Q313" s="230"/>
      <c r="U313" s="246"/>
      <c r="V313" s="246"/>
      <c r="W313" s="246"/>
      <c r="X313" s="246"/>
      <c r="Y313" s="246"/>
      <c r="Z313" s="50"/>
      <c r="AA313" s="50"/>
      <c r="AB313" s="50"/>
      <c r="AC313" s="50"/>
      <c r="AF313" s="50"/>
      <c r="AG313" s="50"/>
      <c r="AH313" s="50"/>
      <c r="AI313" s="50"/>
    </row>
    <row r="314" spans="2:35" x14ac:dyDescent="0.15">
      <c r="B314" s="211"/>
      <c r="C314" s="206"/>
      <c r="D314" s="206"/>
      <c r="E314" s="206"/>
      <c r="F314" s="206"/>
      <c r="G314" s="206"/>
      <c r="H314" s="206"/>
      <c r="I314" s="206"/>
      <c r="J314" s="206"/>
      <c r="K314" s="206"/>
      <c r="L314" s="206"/>
      <c r="M314" s="206"/>
      <c r="N314" s="206"/>
      <c r="O314" s="230"/>
      <c r="P314" s="230"/>
      <c r="Q314" s="230"/>
      <c r="U314" s="246"/>
      <c r="V314" s="246"/>
      <c r="W314" s="246"/>
      <c r="X314" s="246"/>
      <c r="Y314" s="246"/>
      <c r="Z314" s="50"/>
      <c r="AA314" s="50"/>
      <c r="AB314" s="50"/>
      <c r="AC314" s="50"/>
      <c r="AF314" s="50"/>
      <c r="AG314" s="50"/>
      <c r="AH314" s="50"/>
      <c r="AI314" s="50"/>
    </row>
    <row r="315" spans="2:35" s="247" customFormat="1" x14ac:dyDescent="0.15">
      <c r="B315" s="211"/>
      <c r="C315" s="206"/>
      <c r="D315" s="206"/>
      <c r="E315" s="206"/>
      <c r="F315" s="206"/>
      <c r="G315" s="206"/>
      <c r="H315" s="206"/>
      <c r="I315" s="206"/>
      <c r="J315" s="206"/>
      <c r="K315" s="206"/>
      <c r="L315" s="206"/>
      <c r="M315" s="206"/>
      <c r="N315" s="206"/>
      <c r="R315" s="203"/>
      <c r="S315" s="203"/>
      <c r="T315" s="204"/>
      <c r="U315" s="246"/>
      <c r="V315" s="246"/>
      <c r="W315" s="246"/>
      <c r="X315" s="246"/>
      <c r="Y315" s="246"/>
      <c r="Z315" s="50"/>
      <c r="AA315" s="50"/>
      <c r="AB315" s="50"/>
      <c r="AC315" s="50"/>
      <c r="AF315" s="50"/>
      <c r="AG315" s="50"/>
      <c r="AH315" s="50"/>
      <c r="AI315" s="50"/>
    </row>
    <row r="316" spans="2:35" s="247" customFormat="1" x14ac:dyDescent="0.15">
      <c r="B316" s="211"/>
      <c r="C316" s="206"/>
      <c r="D316" s="206"/>
      <c r="E316" s="206"/>
      <c r="F316" s="206"/>
      <c r="G316" s="206"/>
      <c r="H316" s="206"/>
      <c r="I316" s="206"/>
      <c r="J316" s="206"/>
      <c r="K316" s="206"/>
      <c r="L316" s="206"/>
      <c r="M316" s="206"/>
      <c r="N316" s="206"/>
      <c r="R316" s="203"/>
      <c r="S316" s="203"/>
      <c r="T316" s="204"/>
      <c r="U316" s="246"/>
      <c r="V316" s="246"/>
      <c r="W316" s="246"/>
      <c r="X316" s="246"/>
      <c r="Y316" s="246"/>
      <c r="Z316" s="50"/>
      <c r="AA316" s="50"/>
      <c r="AB316" s="50"/>
      <c r="AC316" s="50"/>
      <c r="AF316" s="50"/>
      <c r="AG316" s="50"/>
      <c r="AH316" s="50"/>
      <c r="AI316" s="50"/>
    </row>
    <row r="317" spans="2:35" s="247" customFormat="1" x14ac:dyDescent="0.15">
      <c r="B317" s="211"/>
      <c r="C317" s="206"/>
      <c r="D317" s="206"/>
      <c r="E317" s="206"/>
      <c r="F317" s="206"/>
      <c r="G317" s="206"/>
      <c r="H317" s="206"/>
      <c r="I317" s="206"/>
      <c r="J317" s="206"/>
      <c r="K317" s="206"/>
      <c r="L317" s="206"/>
      <c r="M317" s="206"/>
      <c r="N317" s="206"/>
      <c r="R317" s="203"/>
      <c r="S317" s="203"/>
      <c r="T317" s="204"/>
      <c r="U317" s="246"/>
      <c r="V317" s="246"/>
      <c r="W317" s="246"/>
      <c r="X317" s="246"/>
      <c r="Y317" s="246"/>
      <c r="Z317" s="50"/>
      <c r="AA317" s="50"/>
      <c r="AB317" s="50"/>
      <c r="AC317" s="50"/>
      <c r="AF317" s="50"/>
      <c r="AG317" s="50"/>
      <c r="AH317" s="50"/>
      <c r="AI317" s="50"/>
    </row>
    <row r="318" spans="2:35" s="247" customFormat="1" x14ac:dyDescent="0.15">
      <c r="B318" s="211"/>
      <c r="C318" s="206"/>
      <c r="D318" s="206"/>
      <c r="E318" s="206"/>
      <c r="F318" s="206"/>
      <c r="G318" s="206"/>
      <c r="H318" s="206"/>
      <c r="I318" s="206"/>
      <c r="J318" s="206"/>
      <c r="K318" s="206"/>
      <c r="L318" s="206"/>
      <c r="M318" s="206"/>
      <c r="N318" s="206"/>
      <c r="R318" s="203"/>
      <c r="S318" s="203"/>
      <c r="T318" s="204"/>
      <c r="U318" s="246"/>
      <c r="V318" s="246"/>
      <c r="W318" s="246"/>
      <c r="X318" s="246"/>
      <c r="Y318" s="246"/>
      <c r="Z318" s="50"/>
      <c r="AA318" s="50"/>
      <c r="AB318" s="50"/>
      <c r="AC318" s="50"/>
      <c r="AF318" s="50"/>
      <c r="AG318" s="50"/>
      <c r="AH318" s="50"/>
      <c r="AI318" s="50"/>
    </row>
    <row r="319" spans="2:35" s="247" customFormat="1" x14ac:dyDescent="0.15">
      <c r="B319" s="211"/>
      <c r="C319" s="206"/>
      <c r="D319" s="206"/>
      <c r="E319" s="206"/>
      <c r="F319" s="206"/>
      <c r="G319" s="206"/>
      <c r="H319" s="206"/>
      <c r="I319" s="206"/>
      <c r="J319" s="206"/>
      <c r="K319" s="206"/>
      <c r="L319" s="206"/>
      <c r="M319" s="206"/>
      <c r="N319" s="206"/>
      <c r="R319" s="203"/>
      <c r="S319" s="203"/>
      <c r="T319" s="204"/>
      <c r="U319" s="246"/>
      <c r="V319" s="246"/>
      <c r="W319" s="246"/>
      <c r="X319" s="246"/>
      <c r="Y319" s="246"/>
      <c r="Z319" s="50"/>
      <c r="AA319" s="50"/>
      <c r="AB319" s="50"/>
      <c r="AC319" s="50"/>
      <c r="AF319" s="50"/>
      <c r="AG319" s="50"/>
      <c r="AH319" s="50"/>
      <c r="AI319" s="50"/>
    </row>
    <row r="320" spans="2:35" s="247" customFormat="1" x14ac:dyDescent="0.15">
      <c r="B320" s="211"/>
      <c r="C320" s="206"/>
      <c r="D320" s="206"/>
      <c r="E320" s="206"/>
      <c r="F320" s="206"/>
      <c r="G320" s="206"/>
      <c r="H320" s="206"/>
      <c r="I320" s="206"/>
      <c r="J320" s="206"/>
      <c r="K320" s="206"/>
      <c r="L320" s="206"/>
      <c r="M320" s="206"/>
      <c r="N320" s="206"/>
      <c r="R320" s="203"/>
      <c r="S320" s="203"/>
      <c r="T320" s="204"/>
      <c r="U320" s="246"/>
      <c r="V320" s="246"/>
      <c r="W320" s="246"/>
      <c r="X320" s="246"/>
      <c r="Y320" s="246"/>
      <c r="Z320" s="50"/>
      <c r="AA320" s="50"/>
      <c r="AB320" s="50"/>
      <c r="AC320" s="50"/>
      <c r="AF320" s="50"/>
      <c r="AG320" s="50"/>
      <c r="AH320" s="50"/>
      <c r="AI320" s="50"/>
    </row>
    <row r="321" spans="2:35" s="247" customFormat="1" x14ac:dyDescent="0.15">
      <c r="B321" s="211"/>
      <c r="C321" s="206"/>
      <c r="D321" s="206"/>
      <c r="E321" s="206"/>
      <c r="F321" s="206"/>
      <c r="G321" s="206"/>
      <c r="H321" s="206"/>
      <c r="I321" s="206"/>
      <c r="J321" s="206"/>
      <c r="K321" s="206"/>
      <c r="L321" s="206"/>
      <c r="M321" s="206"/>
      <c r="N321" s="206"/>
      <c r="R321" s="203"/>
      <c r="S321" s="203"/>
      <c r="T321" s="204"/>
      <c r="U321" s="246"/>
      <c r="V321" s="246"/>
      <c r="W321" s="246"/>
      <c r="X321" s="246"/>
      <c r="Y321" s="246"/>
      <c r="Z321" s="50"/>
      <c r="AA321" s="50"/>
      <c r="AB321" s="50"/>
      <c r="AC321" s="50"/>
      <c r="AF321" s="50"/>
      <c r="AG321" s="50"/>
      <c r="AH321" s="50"/>
      <c r="AI321" s="50"/>
    </row>
    <row r="322" spans="2:35" s="247" customFormat="1" x14ac:dyDescent="0.15">
      <c r="B322" s="211"/>
      <c r="C322" s="206"/>
      <c r="D322" s="206"/>
      <c r="E322" s="206"/>
      <c r="F322" s="206"/>
      <c r="G322" s="206"/>
      <c r="H322" s="206"/>
      <c r="I322" s="206"/>
      <c r="J322" s="206"/>
      <c r="K322" s="206"/>
      <c r="L322" s="206"/>
      <c r="M322" s="206"/>
      <c r="N322" s="206"/>
      <c r="R322" s="203"/>
      <c r="S322" s="203"/>
      <c r="T322" s="204"/>
      <c r="U322" s="246"/>
      <c r="V322" s="246"/>
      <c r="W322" s="246"/>
      <c r="X322" s="246"/>
      <c r="Y322" s="246"/>
      <c r="Z322" s="50"/>
      <c r="AA322" s="50"/>
      <c r="AB322" s="50"/>
      <c r="AC322" s="50"/>
      <c r="AF322" s="50"/>
      <c r="AG322" s="50"/>
      <c r="AH322" s="50"/>
      <c r="AI322" s="50"/>
    </row>
    <row r="323" spans="2:35" s="247" customFormat="1" x14ac:dyDescent="0.15">
      <c r="B323" s="211"/>
      <c r="C323" s="206"/>
      <c r="D323" s="206"/>
      <c r="E323" s="206"/>
      <c r="F323" s="206"/>
      <c r="G323" s="206"/>
      <c r="H323" s="206"/>
      <c r="I323" s="206"/>
      <c r="J323" s="206"/>
      <c r="K323" s="206"/>
      <c r="L323" s="206"/>
      <c r="M323" s="206"/>
      <c r="N323" s="206"/>
      <c r="R323" s="203"/>
      <c r="S323" s="203"/>
      <c r="T323" s="204"/>
      <c r="U323" s="246"/>
      <c r="V323" s="246"/>
      <c r="W323" s="246"/>
      <c r="X323" s="246"/>
      <c r="Y323" s="246"/>
      <c r="Z323" s="50"/>
      <c r="AA323" s="50"/>
      <c r="AB323" s="50"/>
      <c r="AC323" s="50"/>
      <c r="AF323" s="50"/>
      <c r="AG323" s="50"/>
      <c r="AH323" s="50"/>
      <c r="AI323" s="50"/>
    </row>
    <row r="324" spans="2:35" s="247" customFormat="1" x14ac:dyDescent="0.15">
      <c r="B324" s="211"/>
      <c r="C324" s="206"/>
      <c r="D324" s="206"/>
      <c r="E324" s="206"/>
      <c r="F324" s="206"/>
      <c r="G324" s="206"/>
      <c r="H324" s="206"/>
      <c r="I324" s="206"/>
      <c r="J324" s="206"/>
      <c r="K324" s="206"/>
      <c r="L324" s="206"/>
      <c r="M324" s="206"/>
      <c r="N324" s="206"/>
      <c r="R324" s="203"/>
      <c r="S324" s="203"/>
      <c r="T324" s="204"/>
      <c r="U324" s="246"/>
      <c r="V324" s="246"/>
      <c r="W324" s="246"/>
      <c r="X324" s="246"/>
      <c r="Y324" s="246"/>
      <c r="Z324" s="50"/>
      <c r="AA324" s="50"/>
      <c r="AB324" s="50"/>
      <c r="AC324" s="50"/>
      <c r="AF324" s="50"/>
      <c r="AG324" s="50"/>
      <c r="AH324" s="50"/>
      <c r="AI324" s="50"/>
    </row>
    <row r="325" spans="2:35" s="247" customFormat="1" x14ac:dyDescent="0.15">
      <c r="B325" s="211"/>
      <c r="C325" s="206"/>
      <c r="D325" s="206"/>
      <c r="E325" s="206"/>
      <c r="F325" s="206"/>
      <c r="G325" s="206"/>
      <c r="H325" s="206"/>
      <c r="I325" s="206"/>
      <c r="J325" s="206"/>
      <c r="K325" s="206"/>
      <c r="L325" s="206"/>
      <c r="M325" s="206"/>
      <c r="N325" s="206"/>
      <c r="R325" s="203"/>
      <c r="S325" s="203"/>
      <c r="T325" s="204"/>
      <c r="U325" s="246"/>
      <c r="V325" s="246"/>
      <c r="W325" s="246"/>
      <c r="X325" s="246"/>
      <c r="Y325" s="246"/>
      <c r="Z325" s="50"/>
      <c r="AA325" s="50"/>
      <c r="AB325" s="50"/>
      <c r="AC325" s="50"/>
      <c r="AF325" s="50"/>
      <c r="AG325" s="50"/>
      <c r="AH325" s="50"/>
      <c r="AI325" s="50"/>
    </row>
    <row r="326" spans="2:35" s="247" customFormat="1" x14ac:dyDescent="0.15">
      <c r="B326" s="211"/>
      <c r="C326" s="206"/>
      <c r="D326" s="206"/>
      <c r="E326" s="206"/>
      <c r="F326" s="206"/>
      <c r="G326" s="206"/>
      <c r="H326" s="206"/>
      <c r="I326" s="206"/>
      <c r="J326" s="206"/>
      <c r="K326" s="206"/>
      <c r="L326" s="206"/>
      <c r="M326" s="206"/>
      <c r="N326" s="206"/>
      <c r="R326" s="203"/>
      <c r="S326" s="203"/>
      <c r="T326" s="204"/>
      <c r="U326" s="246"/>
      <c r="V326" s="246"/>
      <c r="W326" s="246"/>
      <c r="X326" s="246"/>
      <c r="Y326" s="246"/>
      <c r="Z326" s="50"/>
      <c r="AA326" s="50"/>
      <c r="AB326" s="50"/>
      <c r="AC326" s="50"/>
      <c r="AF326" s="50"/>
      <c r="AG326" s="50"/>
      <c r="AH326" s="50"/>
      <c r="AI326" s="50"/>
    </row>
    <row r="327" spans="2:35" s="247" customFormat="1" x14ac:dyDescent="0.15">
      <c r="B327" s="211"/>
      <c r="C327" s="206"/>
      <c r="D327" s="206"/>
      <c r="E327" s="206"/>
      <c r="F327" s="206"/>
      <c r="G327" s="206"/>
      <c r="H327" s="206"/>
      <c r="I327" s="206"/>
      <c r="J327" s="206"/>
      <c r="K327" s="206"/>
      <c r="L327" s="206"/>
      <c r="M327" s="206"/>
      <c r="N327" s="206"/>
      <c r="R327" s="203"/>
      <c r="S327" s="203"/>
      <c r="T327" s="204"/>
      <c r="U327" s="246"/>
      <c r="V327" s="246"/>
      <c r="W327" s="246"/>
      <c r="X327" s="246"/>
      <c r="Y327" s="246"/>
      <c r="Z327" s="50"/>
      <c r="AA327" s="50"/>
      <c r="AB327" s="50"/>
      <c r="AC327" s="50"/>
      <c r="AF327" s="50"/>
      <c r="AG327" s="50"/>
      <c r="AH327" s="50"/>
      <c r="AI327" s="50"/>
    </row>
    <row r="328" spans="2:35" s="247" customFormat="1" x14ac:dyDescent="0.15">
      <c r="B328" s="211"/>
      <c r="C328" s="206"/>
      <c r="D328" s="206"/>
      <c r="E328" s="206"/>
      <c r="F328" s="206"/>
      <c r="G328" s="206"/>
      <c r="H328" s="206"/>
      <c r="I328" s="206"/>
      <c r="J328" s="206"/>
      <c r="K328" s="206"/>
      <c r="L328" s="206"/>
      <c r="M328" s="206"/>
      <c r="N328" s="206"/>
      <c r="R328" s="203"/>
      <c r="S328" s="203"/>
      <c r="T328" s="204"/>
      <c r="U328" s="246"/>
      <c r="V328" s="246"/>
      <c r="W328" s="246"/>
      <c r="X328" s="246"/>
      <c r="Y328" s="246"/>
      <c r="Z328" s="50"/>
      <c r="AA328" s="50"/>
      <c r="AB328" s="50"/>
      <c r="AC328" s="50"/>
      <c r="AF328" s="50"/>
      <c r="AG328" s="50"/>
      <c r="AH328" s="50"/>
      <c r="AI328" s="50"/>
    </row>
    <row r="329" spans="2:35" s="247" customFormat="1" x14ac:dyDescent="0.15">
      <c r="B329" s="211"/>
      <c r="C329" s="206"/>
      <c r="D329" s="206"/>
      <c r="E329" s="206"/>
      <c r="F329" s="206"/>
      <c r="G329" s="206"/>
      <c r="H329" s="206"/>
      <c r="I329" s="206"/>
      <c r="J329" s="206"/>
      <c r="K329" s="206"/>
      <c r="L329" s="206"/>
      <c r="M329" s="206"/>
      <c r="N329" s="206"/>
      <c r="R329" s="203"/>
      <c r="S329" s="203"/>
      <c r="T329" s="204"/>
      <c r="U329" s="246"/>
      <c r="V329" s="246"/>
      <c r="W329" s="246"/>
      <c r="X329" s="246"/>
      <c r="Y329" s="246"/>
      <c r="Z329" s="50"/>
      <c r="AA329" s="50"/>
      <c r="AB329" s="50"/>
      <c r="AC329" s="50"/>
      <c r="AF329" s="50"/>
      <c r="AG329" s="50"/>
      <c r="AH329" s="50"/>
      <c r="AI329" s="50"/>
    </row>
    <row r="330" spans="2:35" s="247" customFormat="1" x14ac:dyDescent="0.15">
      <c r="B330" s="211"/>
      <c r="C330" s="206"/>
      <c r="D330" s="206"/>
      <c r="E330" s="206"/>
      <c r="F330" s="206"/>
      <c r="G330" s="206"/>
      <c r="H330" s="206"/>
      <c r="I330" s="206"/>
      <c r="J330" s="206"/>
      <c r="K330" s="206"/>
      <c r="L330" s="206"/>
      <c r="M330" s="206"/>
      <c r="N330" s="206"/>
      <c r="R330" s="203"/>
      <c r="S330" s="203"/>
      <c r="T330" s="204"/>
      <c r="U330" s="246"/>
      <c r="V330" s="246"/>
      <c r="W330" s="246"/>
      <c r="X330" s="246"/>
      <c r="Y330" s="246"/>
      <c r="Z330" s="50"/>
      <c r="AA330" s="50"/>
      <c r="AB330" s="50"/>
      <c r="AC330" s="50"/>
      <c r="AF330" s="50"/>
      <c r="AG330" s="50"/>
      <c r="AH330" s="50"/>
      <c r="AI330" s="50"/>
    </row>
    <row r="331" spans="2:35" s="247" customFormat="1" x14ac:dyDescent="0.15">
      <c r="B331" s="211"/>
      <c r="C331" s="206"/>
      <c r="D331" s="206"/>
      <c r="E331" s="206"/>
      <c r="F331" s="206"/>
      <c r="G331" s="206"/>
      <c r="H331" s="206"/>
      <c r="I331" s="206"/>
      <c r="J331" s="206"/>
      <c r="K331" s="206"/>
      <c r="L331" s="206"/>
      <c r="M331" s="206"/>
      <c r="N331" s="206"/>
      <c r="R331" s="203"/>
      <c r="S331" s="203"/>
      <c r="T331" s="204"/>
      <c r="U331" s="246"/>
      <c r="V331" s="246"/>
      <c r="W331" s="246"/>
      <c r="X331" s="246"/>
      <c r="Y331" s="246"/>
      <c r="Z331" s="50"/>
      <c r="AA331" s="50"/>
      <c r="AB331" s="50"/>
      <c r="AC331" s="50"/>
      <c r="AF331" s="50"/>
      <c r="AG331" s="50"/>
      <c r="AH331" s="50"/>
      <c r="AI331" s="50"/>
    </row>
    <row r="332" spans="2:35" s="247" customFormat="1" x14ac:dyDescent="0.15">
      <c r="B332" s="211"/>
      <c r="C332" s="206"/>
      <c r="D332" s="206"/>
      <c r="E332" s="206"/>
      <c r="F332" s="206"/>
      <c r="G332" s="206"/>
      <c r="H332" s="206"/>
      <c r="I332" s="206"/>
      <c r="J332" s="206"/>
      <c r="K332" s="206"/>
      <c r="L332" s="206"/>
      <c r="M332" s="206"/>
      <c r="N332" s="206"/>
      <c r="R332" s="203"/>
      <c r="S332" s="203"/>
      <c r="T332" s="204"/>
      <c r="U332" s="246"/>
      <c r="V332" s="246"/>
      <c r="W332" s="246"/>
      <c r="X332" s="246"/>
      <c r="Y332" s="246"/>
      <c r="Z332" s="50"/>
      <c r="AA332" s="50"/>
      <c r="AB332" s="50"/>
      <c r="AC332" s="50"/>
      <c r="AF332" s="50"/>
      <c r="AG332" s="50"/>
      <c r="AH332" s="50"/>
      <c r="AI332" s="50"/>
    </row>
    <row r="333" spans="2:35" s="247" customFormat="1" x14ac:dyDescent="0.15">
      <c r="B333" s="211"/>
      <c r="C333" s="206"/>
      <c r="D333" s="206"/>
      <c r="E333" s="206"/>
      <c r="F333" s="206"/>
      <c r="G333" s="206"/>
      <c r="H333" s="206"/>
      <c r="I333" s="206"/>
      <c r="J333" s="206"/>
      <c r="K333" s="206"/>
      <c r="L333" s="206"/>
      <c r="M333" s="206"/>
      <c r="N333" s="206"/>
      <c r="R333" s="203"/>
      <c r="S333" s="203"/>
      <c r="T333" s="204"/>
      <c r="U333" s="246"/>
      <c r="V333" s="246"/>
      <c r="W333" s="246"/>
      <c r="X333" s="246"/>
      <c r="Y333" s="246"/>
      <c r="Z333" s="50"/>
      <c r="AA333" s="50"/>
      <c r="AB333" s="50"/>
      <c r="AC333" s="50"/>
      <c r="AF333" s="50"/>
      <c r="AG333" s="50"/>
      <c r="AH333" s="50"/>
      <c r="AI333" s="50"/>
    </row>
    <row r="334" spans="2:35" s="247" customFormat="1" x14ac:dyDescent="0.15">
      <c r="B334" s="211"/>
      <c r="C334" s="206"/>
      <c r="D334" s="206"/>
      <c r="E334" s="206"/>
      <c r="F334" s="206"/>
      <c r="G334" s="206"/>
      <c r="H334" s="206"/>
      <c r="I334" s="206"/>
      <c r="J334" s="206"/>
      <c r="K334" s="206"/>
      <c r="L334" s="206"/>
      <c r="M334" s="206"/>
      <c r="N334" s="206"/>
      <c r="R334" s="203"/>
      <c r="S334" s="203"/>
      <c r="T334" s="204"/>
      <c r="U334" s="246"/>
      <c r="V334" s="246"/>
      <c r="W334" s="246"/>
      <c r="X334" s="246"/>
      <c r="Y334" s="246"/>
      <c r="Z334" s="50"/>
      <c r="AA334" s="50"/>
      <c r="AB334" s="50"/>
      <c r="AC334" s="50"/>
      <c r="AF334" s="50"/>
      <c r="AG334" s="50"/>
      <c r="AH334" s="50"/>
      <c r="AI334" s="50"/>
    </row>
    <row r="335" spans="2:35" s="247" customFormat="1" x14ac:dyDescent="0.15">
      <c r="B335" s="211"/>
      <c r="C335" s="206"/>
      <c r="D335" s="206"/>
      <c r="E335" s="206"/>
      <c r="F335" s="206"/>
      <c r="G335" s="206"/>
      <c r="H335" s="206"/>
      <c r="I335" s="206"/>
      <c r="J335" s="206"/>
      <c r="K335" s="206"/>
      <c r="L335" s="206"/>
      <c r="M335" s="206"/>
      <c r="N335" s="206"/>
      <c r="R335" s="203"/>
      <c r="S335" s="203"/>
      <c r="T335" s="204"/>
      <c r="U335" s="246"/>
      <c r="V335" s="246"/>
      <c r="W335" s="246"/>
      <c r="X335" s="246"/>
      <c r="Y335" s="246"/>
      <c r="Z335" s="50"/>
      <c r="AA335" s="50"/>
      <c r="AB335" s="50"/>
      <c r="AC335" s="50"/>
      <c r="AF335" s="50"/>
      <c r="AG335" s="50"/>
      <c r="AH335" s="50"/>
      <c r="AI335" s="50"/>
    </row>
    <row r="336" spans="2:35" s="247" customFormat="1" x14ac:dyDescent="0.15">
      <c r="B336" s="211"/>
      <c r="C336" s="206"/>
      <c r="D336" s="206"/>
      <c r="E336" s="206"/>
      <c r="F336" s="206"/>
      <c r="G336" s="206"/>
      <c r="H336" s="206"/>
      <c r="I336" s="206"/>
      <c r="J336" s="206"/>
      <c r="K336" s="206"/>
      <c r="L336" s="206"/>
      <c r="M336" s="206"/>
      <c r="N336" s="206"/>
      <c r="R336" s="203"/>
      <c r="S336" s="203"/>
      <c r="T336" s="204"/>
      <c r="U336" s="246"/>
      <c r="V336" s="246"/>
      <c r="W336" s="246"/>
      <c r="X336" s="246"/>
      <c r="Y336" s="246"/>
      <c r="Z336" s="50"/>
      <c r="AA336" s="50"/>
      <c r="AB336" s="50"/>
      <c r="AC336" s="50"/>
      <c r="AF336" s="50"/>
      <c r="AG336" s="50"/>
      <c r="AH336" s="50"/>
      <c r="AI336" s="50"/>
    </row>
    <row r="337" spans="2:35" s="247" customFormat="1" x14ac:dyDescent="0.15">
      <c r="B337" s="211"/>
      <c r="C337" s="206"/>
      <c r="D337" s="206"/>
      <c r="E337" s="206"/>
      <c r="F337" s="206"/>
      <c r="G337" s="206"/>
      <c r="H337" s="206"/>
      <c r="I337" s="206"/>
      <c r="J337" s="206"/>
      <c r="K337" s="206"/>
      <c r="L337" s="206"/>
      <c r="M337" s="206"/>
      <c r="N337" s="206"/>
      <c r="R337" s="203"/>
      <c r="S337" s="203"/>
      <c r="T337" s="204"/>
      <c r="U337" s="246"/>
      <c r="V337" s="246"/>
      <c r="W337" s="246"/>
      <c r="X337" s="246"/>
      <c r="Y337" s="246"/>
      <c r="Z337" s="50"/>
      <c r="AA337" s="50"/>
      <c r="AB337" s="50"/>
      <c r="AC337" s="50"/>
      <c r="AF337" s="50"/>
      <c r="AG337" s="50"/>
      <c r="AH337" s="50"/>
      <c r="AI337" s="50"/>
    </row>
    <row r="338" spans="2:35" s="247" customFormat="1" x14ac:dyDescent="0.15">
      <c r="B338" s="211"/>
      <c r="C338" s="206"/>
      <c r="D338" s="206"/>
      <c r="E338" s="206"/>
      <c r="F338" s="206"/>
      <c r="G338" s="206"/>
      <c r="H338" s="206"/>
      <c r="I338" s="206"/>
      <c r="J338" s="206"/>
      <c r="K338" s="206"/>
      <c r="L338" s="206"/>
      <c r="M338" s="206"/>
      <c r="N338" s="206"/>
      <c r="R338" s="203"/>
      <c r="S338" s="203"/>
      <c r="T338" s="204"/>
      <c r="U338" s="246"/>
      <c r="V338" s="246"/>
      <c r="W338" s="246"/>
      <c r="X338" s="246"/>
      <c r="Y338" s="246"/>
      <c r="Z338" s="50"/>
      <c r="AA338" s="50"/>
      <c r="AB338" s="50"/>
      <c r="AC338" s="50"/>
      <c r="AF338" s="50"/>
      <c r="AG338" s="50"/>
      <c r="AH338" s="50"/>
      <c r="AI338" s="50"/>
    </row>
    <row r="339" spans="2:35" s="247" customFormat="1" x14ac:dyDescent="0.15">
      <c r="B339" s="211"/>
      <c r="C339" s="206"/>
      <c r="D339" s="206"/>
      <c r="E339" s="206"/>
      <c r="F339" s="206"/>
      <c r="G339" s="206"/>
      <c r="H339" s="206"/>
      <c r="I339" s="206"/>
      <c r="J339" s="206"/>
      <c r="K339" s="206"/>
      <c r="L339" s="206"/>
      <c r="M339" s="206"/>
      <c r="N339" s="206"/>
      <c r="R339" s="203"/>
      <c r="S339" s="203"/>
      <c r="T339" s="204"/>
      <c r="U339" s="246"/>
      <c r="V339" s="246"/>
      <c r="W339" s="246"/>
      <c r="X339" s="246"/>
      <c r="Y339" s="246"/>
      <c r="Z339" s="50"/>
      <c r="AA339" s="50"/>
      <c r="AB339" s="50"/>
      <c r="AC339" s="50"/>
      <c r="AF339" s="50"/>
      <c r="AG339" s="50"/>
      <c r="AH339" s="50"/>
      <c r="AI339" s="50"/>
    </row>
    <row r="340" spans="2:35" s="247" customFormat="1" x14ac:dyDescent="0.15">
      <c r="B340" s="211"/>
      <c r="C340" s="206"/>
      <c r="D340" s="206"/>
      <c r="E340" s="206"/>
      <c r="F340" s="206"/>
      <c r="G340" s="206"/>
      <c r="H340" s="206"/>
      <c r="I340" s="206"/>
      <c r="J340" s="206"/>
      <c r="K340" s="206"/>
      <c r="L340" s="206"/>
      <c r="M340" s="206"/>
      <c r="N340" s="206"/>
      <c r="R340" s="203"/>
      <c r="S340" s="203"/>
      <c r="T340" s="204"/>
      <c r="U340" s="246"/>
      <c r="V340" s="246"/>
      <c r="W340" s="246"/>
      <c r="X340" s="246"/>
      <c r="Y340" s="246"/>
      <c r="Z340" s="50"/>
      <c r="AA340" s="50"/>
      <c r="AB340" s="50"/>
      <c r="AC340" s="50"/>
      <c r="AF340" s="50"/>
      <c r="AG340" s="50"/>
      <c r="AH340" s="50"/>
      <c r="AI340" s="50"/>
    </row>
    <row r="341" spans="2:35" s="247" customFormat="1" x14ac:dyDescent="0.15">
      <c r="B341" s="211"/>
      <c r="C341" s="206"/>
      <c r="D341" s="206"/>
      <c r="E341" s="206"/>
      <c r="F341" s="206"/>
      <c r="G341" s="206"/>
      <c r="H341" s="206"/>
      <c r="I341" s="206"/>
      <c r="J341" s="206"/>
      <c r="K341" s="206"/>
      <c r="L341" s="206"/>
      <c r="M341" s="206"/>
      <c r="N341" s="206"/>
      <c r="R341" s="203"/>
      <c r="S341" s="203"/>
      <c r="T341" s="204"/>
      <c r="U341" s="246"/>
      <c r="V341" s="246"/>
      <c r="W341" s="246"/>
      <c r="X341" s="246"/>
      <c r="Y341" s="246"/>
      <c r="Z341" s="50"/>
      <c r="AA341" s="50"/>
      <c r="AB341" s="50"/>
      <c r="AC341" s="50"/>
      <c r="AF341" s="50"/>
      <c r="AG341" s="50"/>
      <c r="AH341" s="50"/>
      <c r="AI341" s="50"/>
    </row>
    <row r="342" spans="2:35" s="247" customFormat="1" x14ac:dyDescent="0.15">
      <c r="B342" s="211"/>
      <c r="C342" s="206"/>
      <c r="D342" s="206"/>
      <c r="E342" s="206"/>
      <c r="F342" s="206"/>
      <c r="G342" s="206"/>
      <c r="H342" s="206"/>
      <c r="I342" s="206"/>
      <c r="J342" s="206"/>
      <c r="K342" s="206"/>
      <c r="L342" s="206"/>
      <c r="M342" s="206"/>
      <c r="N342" s="206"/>
      <c r="R342" s="203"/>
      <c r="S342" s="203"/>
      <c r="T342" s="204"/>
      <c r="U342" s="246"/>
      <c r="V342" s="246"/>
      <c r="W342" s="246"/>
      <c r="X342" s="246"/>
      <c r="Y342" s="246"/>
      <c r="Z342" s="50"/>
      <c r="AA342" s="50"/>
      <c r="AB342" s="50"/>
      <c r="AC342" s="50"/>
      <c r="AF342" s="50"/>
      <c r="AG342" s="50"/>
      <c r="AH342" s="50"/>
      <c r="AI342" s="50"/>
    </row>
    <row r="343" spans="2:35" s="247" customFormat="1" x14ac:dyDescent="0.15">
      <c r="B343" s="211"/>
      <c r="C343" s="206"/>
      <c r="D343" s="206"/>
      <c r="E343" s="206"/>
      <c r="F343" s="206"/>
      <c r="G343" s="206"/>
      <c r="H343" s="206"/>
      <c r="I343" s="206"/>
      <c r="J343" s="206"/>
      <c r="K343" s="206"/>
      <c r="L343" s="206"/>
      <c r="M343" s="206"/>
      <c r="N343" s="206"/>
      <c r="R343" s="203"/>
      <c r="S343" s="203"/>
      <c r="T343" s="204"/>
      <c r="U343" s="246"/>
      <c r="V343" s="246"/>
      <c r="W343" s="246"/>
      <c r="X343" s="246"/>
      <c r="Y343" s="246"/>
      <c r="Z343" s="50"/>
      <c r="AA343" s="50"/>
      <c r="AB343" s="50"/>
      <c r="AC343" s="50"/>
      <c r="AF343" s="50"/>
      <c r="AG343" s="50"/>
      <c r="AH343" s="50"/>
      <c r="AI343" s="50"/>
    </row>
    <row r="344" spans="2:35" s="247" customFormat="1" x14ac:dyDescent="0.15">
      <c r="B344" s="211"/>
      <c r="C344" s="206"/>
      <c r="D344" s="206"/>
      <c r="E344" s="206"/>
      <c r="F344" s="206"/>
      <c r="G344" s="206"/>
      <c r="H344" s="206"/>
      <c r="I344" s="206"/>
      <c r="J344" s="206"/>
      <c r="K344" s="206"/>
      <c r="L344" s="206"/>
      <c r="M344" s="206"/>
      <c r="N344" s="206"/>
      <c r="R344" s="203"/>
      <c r="S344" s="203"/>
      <c r="T344" s="204"/>
      <c r="U344" s="246"/>
      <c r="V344" s="246"/>
      <c r="W344" s="246"/>
      <c r="X344" s="246"/>
      <c r="Y344" s="246"/>
      <c r="Z344" s="50"/>
      <c r="AA344" s="50"/>
      <c r="AB344" s="50"/>
      <c r="AC344" s="50"/>
      <c r="AF344" s="50"/>
      <c r="AG344" s="50"/>
      <c r="AH344" s="50"/>
      <c r="AI344" s="50"/>
    </row>
    <row r="345" spans="2:35" s="247" customFormat="1" x14ac:dyDescent="0.15">
      <c r="B345" s="211"/>
      <c r="C345" s="206"/>
      <c r="D345" s="206"/>
      <c r="E345" s="206"/>
      <c r="F345" s="206"/>
      <c r="G345" s="206"/>
      <c r="H345" s="206"/>
      <c r="I345" s="206"/>
      <c r="J345" s="206"/>
      <c r="K345" s="206"/>
      <c r="L345" s="206"/>
      <c r="M345" s="206"/>
      <c r="N345" s="206"/>
      <c r="R345" s="203"/>
      <c r="S345" s="203"/>
      <c r="T345" s="204"/>
      <c r="U345" s="246"/>
      <c r="V345" s="246"/>
      <c r="W345" s="246"/>
      <c r="X345" s="246"/>
      <c r="Y345" s="246"/>
      <c r="Z345" s="50"/>
      <c r="AA345" s="50"/>
      <c r="AB345" s="50"/>
      <c r="AC345" s="50"/>
      <c r="AF345" s="50"/>
      <c r="AG345" s="50"/>
      <c r="AH345" s="50"/>
      <c r="AI345" s="50"/>
    </row>
    <row r="346" spans="2:35" s="247" customFormat="1" x14ac:dyDescent="0.15">
      <c r="B346" s="211"/>
      <c r="C346" s="206"/>
      <c r="D346" s="206"/>
      <c r="E346" s="206"/>
      <c r="F346" s="206"/>
      <c r="G346" s="206"/>
      <c r="H346" s="206"/>
      <c r="I346" s="206"/>
      <c r="J346" s="206"/>
      <c r="K346" s="206"/>
      <c r="L346" s="206"/>
      <c r="M346" s="206"/>
      <c r="N346" s="206"/>
      <c r="R346" s="203"/>
      <c r="S346" s="203"/>
      <c r="T346" s="204"/>
      <c r="U346" s="246"/>
      <c r="V346" s="246"/>
      <c r="W346" s="246"/>
      <c r="X346" s="246"/>
      <c r="Y346" s="246"/>
      <c r="Z346" s="50"/>
      <c r="AA346" s="50"/>
      <c r="AB346" s="50"/>
      <c r="AC346" s="50"/>
      <c r="AF346" s="50"/>
      <c r="AG346" s="50"/>
      <c r="AH346" s="50"/>
      <c r="AI346" s="50"/>
    </row>
    <row r="347" spans="2:35" s="247" customFormat="1" x14ac:dyDescent="0.15">
      <c r="B347" s="211"/>
      <c r="C347" s="206"/>
      <c r="D347" s="206"/>
      <c r="E347" s="206"/>
      <c r="F347" s="206"/>
      <c r="G347" s="206"/>
      <c r="H347" s="206"/>
      <c r="I347" s="206"/>
      <c r="J347" s="206"/>
      <c r="K347" s="206"/>
      <c r="L347" s="206"/>
      <c r="M347" s="206"/>
      <c r="N347" s="206"/>
      <c r="R347" s="203"/>
      <c r="S347" s="203"/>
      <c r="T347" s="204"/>
      <c r="U347" s="246"/>
      <c r="V347" s="246"/>
      <c r="W347" s="246"/>
      <c r="X347" s="246"/>
      <c r="Y347" s="246"/>
      <c r="Z347" s="50"/>
      <c r="AA347" s="50"/>
      <c r="AB347" s="50"/>
      <c r="AC347" s="50"/>
      <c r="AF347" s="50"/>
      <c r="AG347" s="50"/>
      <c r="AH347" s="50"/>
      <c r="AI347" s="50"/>
    </row>
    <row r="348" spans="2:35" s="247" customFormat="1" x14ac:dyDescent="0.15">
      <c r="B348" s="211"/>
      <c r="C348" s="206"/>
      <c r="D348" s="206"/>
      <c r="E348" s="206"/>
      <c r="F348" s="206"/>
      <c r="G348" s="206"/>
      <c r="H348" s="206"/>
      <c r="I348" s="206"/>
      <c r="J348" s="206"/>
      <c r="K348" s="206"/>
      <c r="L348" s="206"/>
      <c r="M348" s="206"/>
      <c r="N348" s="206"/>
      <c r="R348" s="203"/>
      <c r="S348" s="203"/>
      <c r="T348" s="204"/>
      <c r="U348" s="246"/>
      <c r="V348" s="246"/>
      <c r="W348" s="246"/>
      <c r="X348" s="246"/>
      <c r="Y348" s="246"/>
      <c r="Z348" s="50"/>
      <c r="AA348" s="50"/>
      <c r="AB348" s="50"/>
      <c r="AC348" s="50"/>
      <c r="AF348" s="50"/>
      <c r="AG348" s="50"/>
      <c r="AH348" s="50"/>
      <c r="AI348" s="50"/>
    </row>
    <row r="349" spans="2:35" s="247" customFormat="1" x14ac:dyDescent="0.15">
      <c r="B349" s="211"/>
      <c r="C349" s="206"/>
      <c r="D349" s="206"/>
      <c r="E349" s="206"/>
      <c r="F349" s="206"/>
      <c r="G349" s="206"/>
      <c r="H349" s="206"/>
      <c r="I349" s="206"/>
      <c r="J349" s="206"/>
      <c r="K349" s="206"/>
      <c r="L349" s="206"/>
      <c r="M349" s="206"/>
      <c r="N349" s="206"/>
      <c r="R349" s="203"/>
      <c r="S349" s="203"/>
      <c r="T349" s="204"/>
      <c r="U349" s="246"/>
      <c r="V349" s="246"/>
      <c r="W349" s="246"/>
      <c r="X349" s="246"/>
      <c r="Y349" s="246"/>
      <c r="Z349" s="50"/>
      <c r="AA349" s="50"/>
      <c r="AB349" s="50"/>
      <c r="AC349" s="50"/>
      <c r="AF349" s="50"/>
      <c r="AG349" s="50"/>
      <c r="AH349" s="50"/>
      <c r="AI349" s="50"/>
    </row>
    <row r="350" spans="2:35" s="247" customFormat="1" x14ac:dyDescent="0.15">
      <c r="B350" s="211"/>
      <c r="C350" s="206"/>
      <c r="D350" s="206"/>
      <c r="E350" s="206"/>
      <c r="F350" s="206"/>
      <c r="G350" s="206"/>
      <c r="H350" s="206"/>
      <c r="I350" s="206"/>
      <c r="J350" s="206"/>
      <c r="K350" s="206"/>
      <c r="L350" s="206"/>
      <c r="M350" s="206"/>
      <c r="N350" s="206"/>
      <c r="R350" s="203"/>
      <c r="S350" s="203"/>
      <c r="T350" s="204"/>
      <c r="U350" s="246"/>
      <c r="V350" s="246"/>
      <c r="W350" s="246"/>
      <c r="X350" s="246"/>
      <c r="Y350" s="246"/>
      <c r="Z350" s="50"/>
      <c r="AA350" s="50"/>
      <c r="AB350" s="50"/>
      <c r="AC350" s="50"/>
      <c r="AF350" s="50"/>
      <c r="AG350" s="50"/>
      <c r="AH350" s="50"/>
      <c r="AI350" s="50"/>
    </row>
    <row r="351" spans="2:35" s="247" customFormat="1" x14ac:dyDescent="0.15">
      <c r="B351" s="211"/>
      <c r="C351" s="206"/>
      <c r="D351" s="206"/>
      <c r="E351" s="206"/>
      <c r="F351" s="206"/>
      <c r="G351" s="206"/>
      <c r="H351" s="206"/>
      <c r="I351" s="206"/>
      <c r="J351" s="206"/>
      <c r="K351" s="206"/>
      <c r="L351" s="206"/>
      <c r="M351" s="206"/>
      <c r="N351" s="206"/>
      <c r="R351" s="203"/>
      <c r="S351" s="203"/>
      <c r="T351" s="204"/>
      <c r="U351" s="246"/>
      <c r="V351" s="246"/>
      <c r="W351" s="246"/>
      <c r="X351" s="246"/>
      <c r="Y351" s="246"/>
      <c r="Z351" s="50"/>
      <c r="AA351" s="50"/>
      <c r="AB351" s="50"/>
      <c r="AC351" s="50"/>
      <c r="AF351" s="50"/>
      <c r="AG351" s="50"/>
      <c r="AH351" s="50"/>
      <c r="AI351" s="50"/>
    </row>
    <row r="352" spans="2:35" s="247" customFormat="1" x14ac:dyDescent="0.15">
      <c r="B352" s="211"/>
      <c r="C352" s="206"/>
      <c r="D352" s="206"/>
      <c r="E352" s="206"/>
      <c r="F352" s="206"/>
      <c r="G352" s="206"/>
      <c r="H352" s="206"/>
      <c r="I352" s="206"/>
      <c r="J352" s="206"/>
      <c r="K352" s="206"/>
      <c r="L352" s="206"/>
      <c r="M352" s="206"/>
      <c r="N352" s="206"/>
      <c r="R352" s="203"/>
      <c r="S352" s="203"/>
      <c r="T352" s="204"/>
      <c r="U352" s="246"/>
      <c r="V352" s="246"/>
      <c r="W352" s="246"/>
      <c r="X352" s="246"/>
      <c r="Y352" s="246"/>
      <c r="Z352" s="50"/>
      <c r="AA352" s="50"/>
      <c r="AB352" s="50"/>
      <c r="AC352" s="50"/>
      <c r="AF352" s="50"/>
      <c r="AG352" s="50"/>
      <c r="AH352" s="50"/>
      <c r="AI352" s="50"/>
    </row>
    <row r="353" spans="2:35" s="247" customFormat="1" x14ac:dyDescent="0.15">
      <c r="B353" s="211"/>
      <c r="C353" s="206"/>
      <c r="D353" s="206"/>
      <c r="E353" s="206"/>
      <c r="F353" s="206"/>
      <c r="G353" s="206"/>
      <c r="H353" s="206"/>
      <c r="I353" s="206"/>
      <c r="J353" s="206"/>
      <c r="K353" s="206"/>
      <c r="L353" s="206"/>
      <c r="M353" s="206"/>
      <c r="N353" s="206"/>
      <c r="R353" s="203"/>
      <c r="S353" s="203"/>
      <c r="T353" s="204"/>
      <c r="U353" s="246"/>
      <c r="V353" s="246"/>
      <c r="W353" s="246"/>
      <c r="X353" s="246"/>
      <c r="Y353" s="246"/>
      <c r="Z353" s="50"/>
      <c r="AA353" s="50"/>
      <c r="AB353" s="50"/>
      <c r="AC353" s="50"/>
      <c r="AF353" s="50"/>
      <c r="AG353" s="50"/>
      <c r="AH353" s="50"/>
      <c r="AI353" s="50"/>
    </row>
    <row r="354" spans="2:35" s="247" customFormat="1" x14ac:dyDescent="0.15">
      <c r="B354" s="211"/>
      <c r="C354" s="206"/>
      <c r="D354" s="206"/>
      <c r="E354" s="206"/>
      <c r="F354" s="206"/>
      <c r="G354" s="206"/>
      <c r="H354" s="206"/>
      <c r="I354" s="206"/>
      <c r="J354" s="206"/>
      <c r="K354" s="206"/>
      <c r="L354" s="206"/>
      <c r="M354" s="206"/>
      <c r="N354" s="206"/>
      <c r="R354" s="203"/>
      <c r="S354" s="203"/>
      <c r="T354" s="204"/>
      <c r="U354" s="246"/>
      <c r="V354" s="246"/>
      <c r="W354" s="246"/>
      <c r="X354" s="246"/>
      <c r="Y354" s="246"/>
      <c r="Z354" s="50"/>
      <c r="AA354" s="50"/>
      <c r="AB354" s="50"/>
      <c r="AC354" s="50"/>
      <c r="AF354" s="50"/>
      <c r="AG354" s="50"/>
      <c r="AH354" s="50"/>
      <c r="AI354" s="50"/>
    </row>
    <row r="355" spans="2:35" s="247" customFormat="1" x14ac:dyDescent="0.15">
      <c r="B355" s="211"/>
      <c r="C355" s="206"/>
      <c r="D355" s="206"/>
      <c r="E355" s="206"/>
      <c r="F355" s="206"/>
      <c r="G355" s="206"/>
      <c r="H355" s="206"/>
      <c r="I355" s="206"/>
      <c r="J355" s="206"/>
      <c r="K355" s="206"/>
      <c r="L355" s="206"/>
      <c r="M355" s="206"/>
      <c r="N355" s="206"/>
      <c r="R355" s="203"/>
      <c r="S355" s="203"/>
      <c r="T355" s="204"/>
      <c r="U355" s="246"/>
      <c r="V355" s="246"/>
      <c r="W355" s="246"/>
      <c r="X355" s="246"/>
      <c r="Y355" s="246"/>
      <c r="Z355" s="50"/>
      <c r="AA355" s="50"/>
      <c r="AB355" s="50"/>
      <c r="AC355" s="50"/>
      <c r="AF355" s="50"/>
      <c r="AG355" s="50"/>
      <c r="AH355" s="50"/>
      <c r="AI355" s="50"/>
    </row>
    <row r="356" spans="2:35" s="247" customFormat="1" x14ac:dyDescent="0.15">
      <c r="B356" s="211"/>
      <c r="C356" s="206"/>
      <c r="D356" s="206"/>
      <c r="E356" s="206"/>
      <c r="F356" s="206"/>
      <c r="G356" s="206"/>
      <c r="H356" s="206"/>
      <c r="I356" s="206"/>
      <c r="J356" s="206"/>
      <c r="K356" s="206"/>
      <c r="L356" s="206"/>
      <c r="M356" s="206"/>
      <c r="N356" s="206"/>
      <c r="R356" s="203"/>
      <c r="S356" s="203"/>
      <c r="T356" s="204"/>
      <c r="U356" s="246"/>
      <c r="V356" s="246"/>
      <c r="W356" s="246"/>
      <c r="X356" s="246"/>
      <c r="Y356" s="246"/>
      <c r="Z356" s="50"/>
      <c r="AA356" s="50"/>
      <c r="AB356" s="50"/>
      <c r="AC356" s="50"/>
      <c r="AF356" s="50"/>
      <c r="AG356" s="50"/>
      <c r="AH356" s="50"/>
      <c r="AI356" s="50"/>
    </row>
    <row r="357" spans="2:35" s="247" customFormat="1" x14ac:dyDescent="0.15">
      <c r="B357" s="211"/>
      <c r="C357" s="206"/>
      <c r="D357" s="206"/>
      <c r="E357" s="206"/>
      <c r="F357" s="206"/>
      <c r="G357" s="206"/>
      <c r="H357" s="206"/>
      <c r="I357" s="206"/>
      <c r="J357" s="206"/>
      <c r="K357" s="206"/>
      <c r="L357" s="206"/>
      <c r="M357" s="206"/>
      <c r="N357" s="206"/>
      <c r="R357" s="203"/>
      <c r="S357" s="203"/>
      <c r="T357" s="204"/>
      <c r="U357" s="246"/>
      <c r="V357" s="246"/>
      <c r="W357" s="246"/>
      <c r="X357" s="246"/>
      <c r="Y357" s="246"/>
      <c r="Z357" s="50"/>
      <c r="AA357" s="50"/>
      <c r="AB357" s="50"/>
      <c r="AC357" s="50"/>
      <c r="AF357" s="50"/>
      <c r="AG357" s="50"/>
      <c r="AH357" s="50"/>
      <c r="AI357" s="50"/>
    </row>
    <row r="358" spans="2:35" s="247" customFormat="1" x14ac:dyDescent="0.15">
      <c r="B358" s="211"/>
      <c r="C358" s="206"/>
      <c r="D358" s="206"/>
      <c r="E358" s="206"/>
      <c r="F358" s="206"/>
      <c r="G358" s="206"/>
      <c r="H358" s="206"/>
      <c r="I358" s="206"/>
      <c r="J358" s="206"/>
      <c r="K358" s="206"/>
      <c r="L358" s="206"/>
      <c r="M358" s="206"/>
      <c r="N358" s="206"/>
      <c r="R358" s="203"/>
      <c r="S358" s="203"/>
      <c r="T358" s="204"/>
      <c r="U358" s="246"/>
      <c r="V358" s="246"/>
      <c r="W358" s="246"/>
      <c r="X358" s="246"/>
      <c r="Y358" s="246"/>
      <c r="Z358" s="50"/>
      <c r="AA358" s="50"/>
      <c r="AB358" s="50"/>
      <c r="AC358" s="50"/>
      <c r="AF358" s="50"/>
      <c r="AG358" s="50"/>
      <c r="AH358" s="50"/>
      <c r="AI358" s="50"/>
    </row>
    <row r="359" spans="2:35" s="247" customFormat="1" x14ac:dyDescent="0.15">
      <c r="B359" s="211"/>
      <c r="C359" s="206"/>
      <c r="D359" s="206"/>
      <c r="E359" s="206"/>
      <c r="F359" s="206"/>
      <c r="G359" s="206"/>
      <c r="H359" s="206"/>
      <c r="I359" s="206"/>
      <c r="J359" s="206"/>
      <c r="K359" s="206"/>
      <c r="L359" s="206"/>
      <c r="M359" s="206"/>
      <c r="N359" s="206"/>
      <c r="R359" s="203"/>
      <c r="S359" s="203"/>
      <c r="T359" s="204"/>
      <c r="U359" s="246"/>
      <c r="V359" s="246"/>
      <c r="W359" s="246"/>
      <c r="X359" s="246"/>
      <c r="Y359" s="246"/>
      <c r="Z359" s="50"/>
      <c r="AA359" s="50"/>
      <c r="AB359" s="50"/>
      <c r="AC359" s="50"/>
      <c r="AF359" s="50"/>
      <c r="AG359" s="50"/>
      <c r="AH359" s="50"/>
      <c r="AI359" s="50"/>
    </row>
    <row r="360" spans="2:35" s="247" customFormat="1" x14ac:dyDescent="0.15">
      <c r="B360" s="211"/>
      <c r="C360" s="206"/>
      <c r="D360" s="206"/>
      <c r="E360" s="206"/>
      <c r="F360" s="206"/>
      <c r="G360" s="206"/>
      <c r="H360" s="206"/>
      <c r="I360" s="206"/>
      <c r="J360" s="206"/>
      <c r="K360" s="206"/>
      <c r="L360" s="206"/>
      <c r="M360" s="206"/>
      <c r="N360" s="206"/>
      <c r="R360" s="203"/>
      <c r="S360" s="203"/>
      <c r="T360" s="204"/>
      <c r="U360" s="246"/>
      <c r="V360" s="246"/>
      <c r="W360" s="246"/>
      <c r="X360" s="246"/>
      <c r="Y360" s="246"/>
      <c r="Z360" s="50"/>
      <c r="AA360" s="50"/>
      <c r="AB360" s="50"/>
      <c r="AC360" s="50"/>
      <c r="AF360" s="50"/>
      <c r="AG360" s="50"/>
      <c r="AH360" s="50"/>
      <c r="AI360" s="50"/>
    </row>
    <row r="361" spans="2:35" s="247" customFormat="1" x14ac:dyDescent="0.15">
      <c r="B361" s="211"/>
      <c r="C361" s="206"/>
      <c r="D361" s="206"/>
      <c r="E361" s="206"/>
      <c r="F361" s="206"/>
      <c r="G361" s="206"/>
      <c r="H361" s="206"/>
      <c r="I361" s="206"/>
      <c r="J361" s="206"/>
      <c r="K361" s="206"/>
      <c r="L361" s="206"/>
      <c r="M361" s="206"/>
      <c r="N361" s="206"/>
      <c r="R361" s="203"/>
      <c r="S361" s="203"/>
      <c r="T361" s="204"/>
      <c r="U361" s="246"/>
      <c r="V361" s="246"/>
      <c r="W361" s="246"/>
      <c r="X361" s="246"/>
      <c r="Y361" s="246"/>
      <c r="Z361" s="50"/>
      <c r="AA361" s="50"/>
      <c r="AB361" s="50"/>
      <c r="AC361" s="50"/>
      <c r="AF361" s="50"/>
      <c r="AG361" s="50"/>
      <c r="AH361" s="50"/>
      <c r="AI361" s="50"/>
    </row>
    <row r="362" spans="2:35" s="247" customFormat="1" x14ac:dyDescent="0.15">
      <c r="B362" s="211"/>
      <c r="C362" s="206"/>
      <c r="D362" s="206"/>
      <c r="E362" s="206"/>
      <c r="F362" s="206"/>
      <c r="G362" s="206"/>
      <c r="H362" s="206"/>
      <c r="I362" s="206"/>
      <c r="J362" s="206"/>
      <c r="K362" s="206"/>
      <c r="L362" s="206"/>
      <c r="M362" s="206"/>
      <c r="N362" s="206"/>
      <c r="R362" s="203"/>
      <c r="S362" s="203"/>
      <c r="T362" s="204"/>
      <c r="U362" s="246"/>
      <c r="V362" s="246"/>
      <c r="W362" s="246"/>
      <c r="X362" s="246"/>
      <c r="Y362" s="246"/>
      <c r="Z362" s="50"/>
      <c r="AA362" s="50"/>
      <c r="AB362" s="50"/>
      <c r="AC362" s="50"/>
      <c r="AF362" s="50"/>
      <c r="AG362" s="50"/>
      <c r="AH362" s="50"/>
      <c r="AI362" s="50"/>
    </row>
    <row r="363" spans="2:35" s="247" customFormat="1" x14ac:dyDescent="0.15">
      <c r="B363" s="211"/>
      <c r="C363" s="206"/>
      <c r="D363" s="206"/>
      <c r="E363" s="206"/>
      <c r="F363" s="206"/>
      <c r="G363" s="206"/>
      <c r="H363" s="206"/>
      <c r="I363" s="206"/>
      <c r="J363" s="206"/>
      <c r="K363" s="206"/>
      <c r="L363" s="206"/>
      <c r="M363" s="206"/>
      <c r="N363" s="206"/>
      <c r="R363" s="203"/>
      <c r="S363" s="203"/>
      <c r="T363" s="204"/>
      <c r="U363" s="246"/>
      <c r="V363" s="246"/>
      <c r="W363" s="246"/>
      <c r="X363" s="246"/>
      <c r="Y363" s="246"/>
      <c r="Z363" s="50"/>
      <c r="AA363" s="50"/>
      <c r="AB363" s="50"/>
      <c r="AC363" s="50"/>
      <c r="AF363" s="50"/>
      <c r="AG363" s="50"/>
      <c r="AH363" s="50"/>
      <c r="AI363" s="50"/>
    </row>
    <row r="364" spans="2:35" s="247" customFormat="1" x14ac:dyDescent="0.15">
      <c r="B364" s="211"/>
      <c r="C364" s="206"/>
      <c r="D364" s="206"/>
      <c r="E364" s="206"/>
      <c r="F364" s="206"/>
      <c r="G364" s="206"/>
      <c r="H364" s="206"/>
      <c r="I364" s="206"/>
      <c r="J364" s="206"/>
      <c r="K364" s="206"/>
      <c r="L364" s="206"/>
      <c r="M364" s="206"/>
      <c r="N364" s="206"/>
      <c r="R364" s="203"/>
      <c r="S364" s="203"/>
      <c r="T364" s="204"/>
      <c r="U364" s="246"/>
      <c r="V364" s="246"/>
      <c r="W364" s="246"/>
      <c r="X364" s="246"/>
      <c r="Y364" s="246"/>
      <c r="Z364" s="50"/>
      <c r="AA364" s="50"/>
      <c r="AB364" s="50"/>
      <c r="AC364" s="50"/>
      <c r="AF364" s="50"/>
      <c r="AG364" s="50"/>
      <c r="AH364" s="50"/>
      <c r="AI364" s="50"/>
    </row>
    <row r="365" spans="2:35" s="247" customFormat="1" x14ac:dyDescent="0.15">
      <c r="B365" s="211"/>
      <c r="C365" s="206"/>
      <c r="D365" s="206"/>
      <c r="E365" s="206"/>
      <c r="F365" s="206"/>
      <c r="G365" s="206"/>
      <c r="H365" s="206"/>
      <c r="I365" s="206"/>
      <c r="J365" s="206"/>
      <c r="K365" s="206"/>
      <c r="L365" s="206"/>
      <c r="M365" s="206"/>
      <c r="N365" s="206"/>
      <c r="R365" s="203"/>
      <c r="S365" s="203"/>
      <c r="T365" s="204"/>
      <c r="U365" s="246"/>
      <c r="V365" s="246"/>
      <c r="W365" s="246"/>
      <c r="X365" s="246"/>
      <c r="Y365" s="246"/>
      <c r="Z365" s="50"/>
      <c r="AA365" s="50"/>
      <c r="AB365" s="50"/>
      <c r="AC365" s="50"/>
      <c r="AF365" s="50"/>
      <c r="AG365" s="50"/>
      <c r="AH365" s="50"/>
      <c r="AI365" s="50"/>
    </row>
    <row r="366" spans="2:35" s="247" customFormat="1" x14ac:dyDescent="0.15">
      <c r="B366" s="211"/>
      <c r="C366" s="206"/>
      <c r="D366" s="206"/>
      <c r="E366" s="206"/>
      <c r="F366" s="206"/>
      <c r="G366" s="206"/>
      <c r="H366" s="206"/>
      <c r="I366" s="206"/>
      <c r="J366" s="206"/>
      <c r="K366" s="206"/>
      <c r="L366" s="206"/>
      <c r="M366" s="206"/>
      <c r="N366" s="206"/>
      <c r="R366" s="203"/>
      <c r="S366" s="203"/>
      <c r="T366" s="204"/>
      <c r="U366" s="246"/>
      <c r="V366" s="246"/>
      <c r="W366" s="246"/>
      <c r="X366" s="246"/>
      <c r="Y366" s="246"/>
      <c r="Z366" s="50"/>
      <c r="AA366" s="50"/>
      <c r="AB366" s="50"/>
      <c r="AC366" s="50"/>
      <c r="AF366" s="50"/>
      <c r="AG366" s="50"/>
      <c r="AH366" s="50"/>
      <c r="AI366" s="50"/>
    </row>
    <row r="367" spans="2:35" s="247" customFormat="1" x14ac:dyDescent="0.15">
      <c r="B367" s="211"/>
      <c r="C367" s="206"/>
      <c r="D367" s="206"/>
      <c r="E367" s="206"/>
      <c r="F367" s="206"/>
      <c r="G367" s="206"/>
      <c r="H367" s="206"/>
      <c r="I367" s="206"/>
      <c r="J367" s="206"/>
      <c r="K367" s="206"/>
      <c r="L367" s="206"/>
      <c r="M367" s="206"/>
      <c r="N367" s="206"/>
      <c r="R367" s="203"/>
      <c r="S367" s="203"/>
      <c r="T367" s="204"/>
      <c r="U367" s="246"/>
      <c r="V367" s="246"/>
      <c r="W367" s="246"/>
      <c r="X367" s="246"/>
      <c r="Y367" s="246"/>
      <c r="Z367" s="50"/>
      <c r="AA367" s="50"/>
      <c r="AB367" s="50"/>
      <c r="AC367" s="50"/>
      <c r="AF367" s="50"/>
      <c r="AG367" s="50"/>
      <c r="AH367" s="50"/>
      <c r="AI367" s="50"/>
    </row>
    <row r="368" spans="2:35" s="247" customFormat="1" x14ac:dyDescent="0.15">
      <c r="B368" s="211"/>
      <c r="C368" s="206"/>
      <c r="D368" s="206"/>
      <c r="E368" s="206"/>
      <c r="F368" s="206"/>
      <c r="G368" s="206"/>
      <c r="H368" s="206"/>
      <c r="I368" s="206"/>
      <c r="J368" s="206"/>
      <c r="K368" s="206"/>
      <c r="L368" s="206"/>
      <c r="M368" s="206"/>
      <c r="N368" s="206"/>
      <c r="R368" s="203"/>
      <c r="S368" s="203"/>
      <c r="T368" s="204"/>
      <c r="U368" s="246"/>
      <c r="V368" s="246"/>
      <c r="W368" s="246"/>
      <c r="X368" s="246"/>
      <c r="Y368" s="246"/>
      <c r="Z368" s="50"/>
      <c r="AA368" s="50"/>
      <c r="AB368" s="50"/>
      <c r="AC368" s="50"/>
      <c r="AF368" s="50"/>
      <c r="AG368" s="50"/>
      <c r="AH368" s="50"/>
      <c r="AI368" s="50"/>
    </row>
    <row r="369" spans="2:35" s="247" customFormat="1" x14ac:dyDescent="0.15">
      <c r="B369" s="211"/>
      <c r="C369" s="206"/>
      <c r="D369" s="206"/>
      <c r="E369" s="206"/>
      <c r="F369" s="206"/>
      <c r="G369" s="206"/>
      <c r="H369" s="206"/>
      <c r="I369" s="206"/>
      <c r="J369" s="206"/>
      <c r="K369" s="206"/>
      <c r="L369" s="206"/>
      <c r="M369" s="206"/>
      <c r="N369" s="206"/>
      <c r="R369" s="203"/>
      <c r="S369" s="203"/>
      <c r="T369" s="204"/>
      <c r="U369" s="246"/>
      <c r="V369" s="246"/>
      <c r="W369" s="246"/>
      <c r="X369" s="246"/>
      <c r="Y369" s="246"/>
      <c r="Z369" s="50"/>
      <c r="AA369" s="50"/>
      <c r="AB369" s="50"/>
      <c r="AC369" s="50"/>
      <c r="AF369" s="50"/>
      <c r="AG369" s="50"/>
      <c r="AH369" s="50"/>
      <c r="AI369" s="50"/>
    </row>
    <row r="370" spans="2:35" s="247" customFormat="1" x14ac:dyDescent="0.15">
      <c r="B370" s="211"/>
      <c r="C370" s="206"/>
      <c r="D370" s="206"/>
      <c r="E370" s="206"/>
      <c r="F370" s="206"/>
      <c r="G370" s="206"/>
      <c r="H370" s="206"/>
      <c r="I370" s="206"/>
      <c r="J370" s="206"/>
      <c r="K370" s="206"/>
      <c r="L370" s="206"/>
      <c r="M370" s="206"/>
      <c r="N370" s="206"/>
      <c r="R370" s="203"/>
      <c r="S370" s="203"/>
      <c r="T370" s="204"/>
      <c r="U370" s="246"/>
      <c r="V370" s="246"/>
      <c r="W370" s="246"/>
      <c r="X370" s="246"/>
      <c r="Y370" s="246"/>
      <c r="Z370" s="50"/>
      <c r="AA370" s="50"/>
      <c r="AB370" s="50"/>
      <c r="AC370" s="50"/>
      <c r="AF370" s="50"/>
      <c r="AG370" s="50"/>
      <c r="AH370" s="50"/>
      <c r="AI370" s="50"/>
    </row>
    <row r="371" spans="2:35" s="247" customFormat="1" x14ac:dyDescent="0.15">
      <c r="B371" s="211"/>
      <c r="C371" s="206"/>
      <c r="D371" s="206"/>
      <c r="E371" s="206"/>
      <c r="F371" s="206"/>
      <c r="G371" s="206"/>
      <c r="H371" s="206"/>
      <c r="I371" s="206"/>
      <c r="J371" s="206"/>
      <c r="K371" s="206"/>
      <c r="L371" s="206"/>
      <c r="M371" s="206"/>
      <c r="N371" s="206"/>
      <c r="R371" s="203"/>
      <c r="S371" s="203"/>
      <c r="T371" s="204"/>
      <c r="U371" s="246"/>
      <c r="V371" s="246"/>
      <c r="W371" s="246"/>
      <c r="X371" s="246"/>
      <c r="Y371" s="246"/>
      <c r="Z371" s="50"/>
      <c r="AA371" s="50"/>
      <c r="AB371" s="50"/>
      <c r="AC371" s="50"/>
      <c r="AF371" s="50"/>
      <c r="AG371" s="50"/>
      <c r="AH371" s="50"/>
      <c r="AI371" s="50"/>
    </row>
    <row r="372" spans="2:35" s="247" customFormat="1" x14ac:dyDescent="0.15">
      <c r="B372" s="211"/>
      <c r="C372" s="206"/>
      <c r="D372" s="206"/>
      <c r="E372" s="206"/>
      <c r="F372" s="206"/>
      <c r="G372" s="206"/>
      <c r="H372" s="206"/>
      <c r="I372" s="206"/>
      <c r="J372" s="206"/>
      <c r="K372" s="206"/>
      <c r="L372" s="206"/>
      <c r="M372" s="206"/>
      <c r="N372" s="206"/>
      <c r="R372" s="203"/>
      <c r="S372" s="203"/>
      <c r="T372" s="204"/>
      <c r="U372" s="246"/>
      <c r="V372" s="246"/>
      <c r="W372" s="246"/>
      <c r="X372" s="246"/>
      <c r="Y372" s="246"/>
      <c r="Z372" s="50"/>
      <c r="AA372" s="50"/>
      <c r="AB372" s="50"/>
      <c r="AC372" s="50"/>
      <c r="AF372" s="50"/>
      <c r="AG372" s="50"/>
      <c r="AH372" s="50"/>
      <c r="AI372" s="50"/>
    </row>
    <row r="373" spans="2:35" s="247" customFormat="1" x14ac:dyDescent="0.15">
      <c r="B373" s="211"/>
      <c r="C373" s="206"/>
      <c r="D373" s="206"/>
      <c r="E373" s="206"/>
      <c r="F373" s="206"/>
      <c r="G373" s="206"/>
      <c r="H373" s="206"/>
      <c r="I373" s="206"/>
      <c r="J373" s="206"/>
      <c r="K373" s="206"/>
      <c r="L373" s="206"/>
      <c r="M373" s="206"/>
      <c r="N373" s="206"/>
      <c r="R373" s="203"/>
      <c r="S373" s="203"/>
      <c r="T373" s="204"/>
      <c r="U373" s="246"/>
      <c r="V373" s="246"/>
      <c r="W373" s="246"/>
      <c r="X373" s="246"/>
      <c r="Y373" s="246"/>
      <c r="Z373" s="50"/>
      <c r="AA373" s="50"/>
      <c r="AB373" s="50"/>
      <c r="AC373" s="50"/>
      <c r="AF373" s="50"/>
      <c r="AG373" s="50"/>
      <c r="AH373" s="50"/>
      <c r="AI373" s="50"/>
    </row>
    <row r="374" spans="2:35" s="247" customFormat="1" x14ac:dyDescent="0.15">
      <c r="B374" s="211"/>
      <c r="C374" s="206"/>
      <c r="D374" s="206"/>
      <c r="E374" s="206"/>
      <c r="F374" s="206"/>
      <c r="G374" s="206"/>
      <c r="H374" s="206"/>
      <c r="I374" s="206"/>
      <c r="J374" s="206"/>
      <c r="K374" s="206"/>
      <c r="L374" s="206"/>
      <c r="M374" s="206"/>
      <c r="N374" s="206"/>
      <c r="R374" s="203"/>
      <c r="S374" s="203"/>
      <c r="T374" s="204"/>
      <c r="U374" s="246"/>
      <c r="V374" s="246"/>
      <c r="W374" s="246"/>
      <c r="X374" s="246"/>
      <c r="Y374" s="246"/>
      <c r="Z374" s="50"/>
      <c r="AA374" s="50"/>
      <c r="AB374" s="50"/>
      <c r="AC374" s="50"/>
      <c r="AF374" s="50"/>
      <c r="AG374" s="50"/>
      <c r="AH374" s="50"/>
      <c r="AI374" s="50"/>
    </row>
    <row r="375" spans="2:35" s="247" customFormat="1" x14ac:dyDescent="0.15">
      <c r="B375" s="211"/>
      <c r="C375" s="206"/>
      <c r="D375" s="206"/>
      <c r="E375" s="206"/>
      <c r="F375" s="206"/>
      <c r="G375" s="206"/>
      <c r="H375" s="206"/>
      <c r="I375" s="206"/>
      <c r="J375" s="206"/>
      <c r="K375" s="206"/>
      <c r="L375" s="206"/>
      <c r="M375" s="206"/>
      <c r="N375" s="206"/>
      <c r="R375" s="203"/>
      <c r="S375" s="203"/>
      <c r="T375" s="204"/>
      <c r="U375" s="246"/>
      <c r="V375" s="246"/>
      <c r="W375" s="246"/>
      <c r="X375" s="246"/>
      <c r="Y375" s="246"/>
      <c r="Z375" s="50"/>
      <c r="AA375" s="50"/>
      <c r="AB375" s="50"/>
      <c r="AC375" s="50"/>
      <c r="AF375" s="50"/>
      <c r="AG375" s="50"/>
      <c r="AH375" s="50"/>
      <c r="AI375" s="50"/>
    </row>
    <row r="376" spans="2:35" s="247" customFormat="1" x14ac:dyDescent="0.15">
      <c r="B376" s="211"/>
      <c r="C376" s="206"/>
      <c r="D376" s="206"/>
      <c r="E376" s="206"/>
      <c r="F376" s="206"/>
      <c r="G376" s="206"/>
      <c r="H376" s="206"/>
      <c r="I376" s="206"/>
      <c r="J376" s="206"/>
      <c r="K376" s="206"/>
      <c r="L376" s="206"/>
      <c r="M376" s="206"/>
      <c r="N376" s="206"/>
      <c r="R376" s="203"/>
      <c r="S376" s="203"/>
      <c r="T376" s="204"/>
      <c r="U376" s="246"/>
      <c r="V376" s="246"/>
      <c r="W376" s="246"/>
      <c r="X376" s="246"/>
      <c r="Y376" s="246"/>
      <c r="Z376" s="50"/>
      <c r="AA376" s="50"/>
      <c r="AB376" s="50"/>
      <c r="AC376" s="50"/>
      <c r="AF376" s="50"/>
      <c r="AG376" s="50"/>
      <c r="AH376" s="50"/>
      <c r="AI376" s="50"/>
    </row>
    <row r="377" spans="2:35" s="247" customFormat="1" x14ac:dyDescent="0.15">
      <c r="B377" s="211"/>
      <c r="C377" s="206"/>
      <c r="D377" s="206"/>
      <c r="E377" s="206"/>
      <c r="F377" s="206"/>
      <c r="G377" s="206"/>
      <c r="H377" s="206"/>
      <c r="I377" s="206"/>
      <c r="J377" s="206"/>
      <c r="K377" s="206"/>
      <c r="L377" s="206"/>
      <c r="M377" s="206"/>
      <c r="N377" s="206"/>
      <c r="R377" s="203"/>
      <c r="S377" s="203"/>
      <c r="T377" s="204"/>
      <c r="U377" s="246"/>
      <c r="V377" s="246"/>
      <c r="W377" s="246"/>
      <c r="X377" s="246"/>
      <c r="Y377" s="246"/>
      <c r="Z377" s="39"/>
      <c r="AA377" s="39"/>
      <c r="AB377" s="39"/>
      <c r="AC377" s="39"/>
      <c r="AF377" s="39"/>
      <c r="AG377" s="39"/>
      <c r="AH377" s="39"/>
      <c r="AI377" s="39"/>
    </row>
    <row r="378" spans="2:35" s="247" customFormat="1" x14ac:dyDescent="0.15">
      <c r="B378" s="211"/>
      <c r="C378" s="206"/>
      <c r="D378" s="206"/>
      <c r="E378" s="206"/>
      <c r="F378" s="206"/>
      <c r="G378" s="206"/>
      <c r="H378" s="206"/>
      <c r="I378" s="206"/>
      <c r="J378" s="206"/>
      <c r="K378" s="206"/>
      <c r="L378" s="206"/>
      <c r="M378" s="206"/>
      <c r="N378" s="206"/>
      <c r="R378" s="203"/>
      <c r="S378" s="203"/>
      <c r="T378" s="204"/>
      <c r="U378" s="246"/>
      <c r="V378" s="246"/>
      <c r="W378" s="246"/>
      <c r="X378" s="246"/>
      <c r="Y378" s="246"/>
      <c r="Z378" s="39"/>
      <c r="AA378" s="39"/>
      <c r="AB378" s="39"/>
      <c r="AC378" s="39"/>
      <c r="AF378" s="39"/>
      <c r="AG378" s="39"/>
      <c r="AH378" s="39"/>
      <c r="AI378" s="39"/>
    </row>
    <row r="379" spans="2:35" s="247" customFormat="1" x14ac:dyDescent="0.15">
      <c r="B379" s="211"/>
      <c r="C379" s="206"/>
      <c r="D379" s="206"/>
      <c r="E379" s="206"/>
      <c r="F379" s="206"/>
      <c r="G379" s="206"/>
      <c r="H379" s="206"/>
      <c r="I379" s="206"/>
      <c r="J379" s="206"/>
      <c r="K379" s="206"/>
      <c r="L379" s="206"/>
      <c r="M379" s="206"/>
      <c r="N379" s="206"/>
      <c r="R379" s="203"/>
      <c r="S379" s="203"/>
      <c r="T379" s="204"/>
      <c r="U379" s="246"/>
      <c r="V379" s="246"/>
      <c r="W379" s="246"/>
      <c r="X379" s="246"/>
      <c r="Y379" s="246"/>
      <c r="Z379" s="39"/>
      <c r="AA379" s="39"/>
      <c r="AB379" s="39"/>
      <c r="AC379" s="39"/>
      <c r="AF379" s="39"/>
      <c r="AG379" s="39"/>
      <c r="AH379" s="39"/>
      <c r="AI379" s="39"/>
    </row>
    <row r="380" spans="2:35" s="247" customFormat="1" x14ac:dyDescent="0.15">
      <c r="B380" s="211"/>
      <c r="C380" s="206"/>
      <c r="D380" s="206"/>
      <c r="E380" s="206"/>
      <c r="F380" s="206"/>
      <c r="G380" s="206"/>
      <c r="H380" s="206"/>
      <c r="I380" s="206"/>
      <c r="J380" s="206"/>
      <c r="K380" s="206"/>
      <c r="L380" s="206"/>
      <c r="M380" s="206"/>
      <c r="N380" s="206"/>
      <c r="R380" s="203"/>
      <c r="S380" s="203"/>
      <c r="T380" s="204"/>
      <c r="U380" s="246"/>
      <c r="V380" s="246"/>
      <c r="W380" s="246"/>
      <c r="X380" s="246"/>
      <c r="Y380" s="246"/>
      <c r="Z380" s="39"/>
      <c r="AA380" s="39"/>
      <c r="AB380" s="39"/>
      <c r="AC380" s="39"/>
      <c r="AF380" s="39"/>
      <c r="AG380" s="39"/>
      <c r="AH380" s="39"/>
      <c r="AI380" s="39"/>
    </row>
    <row r="381" spans="2:35" s="247" customFormat="1" x14ac:dyDescent="0.15">
      <c r="B381" s="211"/>
      <c r="C381" s="206"/>
      <c r="D381" s="206"/>
      <c r="E381" s="206"/>
      <c r="F381" s="206"/>
      <c r="G381" s="206"/>
      <c r="H381" s="206"/>
      <c r="I381" s="206"/>
      <c r="J381" s="206"/>
      <c r="K381" s="206"/>
      <c r="L381" s="206"/>
      <c r="M381" s="206"/>
      <c r="N381" s="206"/>
      <c r="R381" s="203"/>
      <c r="S381" s="203"/>
      <c r="T381" s="204"/>
      <c r="U381" s="246"/>
      <c r="V381" s="246"/>
      <c r="W381" s="246"/>
      <c r="X381" s="246"/>
      <c r="Y381" s="246"/>
      <c r="Z381" s="39"/>
      <c r="AA381" s="39"/>
      <c r="AB381" s="39"/>
      <c r="AC381" s="39"/>
      <c r="AF381" s="39"/>
      <c r="AG381" s="39"/>
      <c r="AH381" s="39"/>
      <c r="AI381" s="39"/>
    </row>
    <row r="382" spans="2:35" s="247" customFormat="1" x14ac:dyDescent="0.15">
      <c r="B382" s="211"/>
      <c r="C382" s="206"/>
      <c r="D382" s="206"/>
      <c r="E382" s="206"/>
      <c r="F382" s="206"/>
      <c r="G382" s="206"/>
      <c r="H382" s="206"/>
      <c r="I382" s="206"/>
      <c r="J382" s="206"/>
      <c r="K382" s="206"/>
      <c r="L382" s="206"/>
      <c r="M382" s="206"/>
      <c r="N382" s="206"/>
      <c r="R382" s="203"/>
      <c r="S382" s="203"/>
      <c r="T382" s="204"/>
      <c r="U382" s="246"/>
      <c r="V382" s="246"/>
      <c r="W382" s="246"/>
      <c r="X382" s="246"/>
      <c r="Y382" s="246"/>
      <c r="Z382" s="39"/>
      <c r="AA382" s="39"/>
      <c r="AB382" s="39"/>
      <c r="AC382" s="39"/>
      <c r="AF382" s="39"/>
      <c r="AG382" s="39"/>
      <c r="AH382" s="39"/>
      <c r="AI382" s="39"/>
    </row>
    <row r="383" spans="2:35" s="247" customFormat="1" x14ac:dyDescent="0.15">
      <c r="B383" s="211"/>
      <c r="C383" s="206"/>
      <c r="D383" s="206"/>
      <c r="E383" s="206"/>
      <c r="F383" s="206"/>
      <c r="G383" s="206"/>
      <c r="H383" s="206"/>
      <c r="I383" s="206"/>
      <c r="J383" s="206"/>
      <c r="K383" s="206"/>
      <c r="L383" s="206"/>
      <c r="M383" s="206"/>
      <c r="N383" s="206"/>
      <c r="R383" s="203"/>
      <c r="S383" s="203"/>
      <c r="T383" s="204"/>
      <c r="U383" s="246"/>
      <c r="V383" s="246"/>
      <c r="W383" s="246"/>
      <c r="X383" s="246"/>
      <c r="Y383" s="246"/>
      <c r="Z383" s="39"/>
      <c r="AA383" s="39"/>
      <c r="AB383" s="39"/>
      <c r="AC383" s="39"/>
      <c r="AF383" s="39"/>
      <c r="AG383" s="39"/>
      <c r="AH383" s="39"/>
      <c r="AI383" s="39"/>
    </row>
    <row r="384" spans="2:35" s="247" customFormat="1" x14ac:dyDescent="0.15">
      <c r="B384" s="211"/>
      <c r="C384" s="206"/>
      <c r="D384" s="206"/>
      <c r="E384" s="206"/>
      <c r="F384" s="206"/>
      <c r="G384" s="206"/>
      <c r="H384" s="206"/>
      <c r="I384" s="206"/>
      <c r="J384" s="206"/>
      <c r="K384" s="206"/>
      <c r="L384" s="206"/>
      <c r="M384" s="206"/>
      <c r="N384" s="206"/>
      <c r="R384" s="203"/>
      <c r="S384" s="203"/>
      <c r="T384" s="204"/>
      <c r="U384" s="246"/>
      <c r="V384" s="246"/>
      <c r="W384" s="246"/>
      <c r="X384" s="246"/>
      <c r="Y384" s="246"/>
      <c r="Z384" s="39"/>
      <c r="AA384" s="39"/>
      <c r="AB384" s="39"/>
      <c r="AC384" s="39"/>
      <c r="AF384" s="39"/>
      <c r="AG384" s="39"/>
      <c r="AH384" s="39"/>
      <c r="AI384" s="39"/>
    </row>
    <row r="385" spans="2:35" s="247" customFormat="1" x14ac:dyDescent="0.15">
      <c r="B385" s="211"/>
      <c r="C385" s="206"/>
      <c r="D385" s="206"/>
      <c r="E385" s="206"/>
      <c r="F385" s="206"/>
      <c r="G385" s="206"/>
      <c r="H385" s="206"/>
      <c r="I385" s="206"/>
      <c r="J385" s="206"/>
      <c r="K385" s="206"/>
      <c r="L385" s="206"/>
      <c r="M385" s="206"/>
      <c r="N385" s="206"/>
      <c r="R385" s="203"/>
      <c r="S385" s="203"/>
      <c r="T385" s="204"/>
      <c r="U385" s="246"/>
      <c r="V385" s="246"/>
      <c r="W385" s="246"/>
      <c r="X385" s="246"/>
      <c r="Y385" s="246"/>
      <c r="Z385" s="39"/>
      <c r="AA385" s="39"/>
      <c r="AB385" s="39"/>
      <c r="AC385" s="39"/>
      <c r="AF385" s="39"/>
      <c r="AG385" s="39"/>
      <c r="AH385" s="39"/>
      <c r="AI385" s="39"/>
    </row>
    <row r="386" spans="2:35" s="247" customFormat="1" x14ac:dyDescent="0.15">
      <c r="B386" s="211"/>
      <c r="C386" s="206"/>
      <c r="D386" s="206"/>
      <c r="E386" s="206"/>
      <c r="F386" s="206"/>
      <c r="G386" s="206"/>
      <c r="H386" s="206"/>
      <c r="I386" s="206"/>
      <c r="J386" s="206"/>
      <c r="K386" s="206"/>
      <c r="L386" s="206"/>
      <c r="M386" s="206"/>
      <c r="N386" s="206"/>
      <c r="R386" s="203"/>
      <c r="S386" s="203"/>
      <c r="T386" s="204"/>
      <c r="U386" s="246"/>
      <c r="V386" s="246"/>
      <c r="W386" s="246"/>
      <c r="X386" s="246"/>
      <c r="Y386" s="246"/>
      <c r="Z386" s="39"/>
      <c r="AA386" s="39"/>
      <c r="AB386" s="39"/>
      <c r="AC386" s="39"/>
      <c r="AF386" s="39"/>
      <c r="AG386" s="39"/>
      <c r="AH386" s="39"/>
      <c r="AI386" s="39"/>
    </row>
    <row r="387" spans="2:35" s="247" customFormat="1" x14ac:dyDescent="0.15">
      <c r="B387" s="211"/>
      <c r="C387" s="206"/>
      <c r="D387" s="206"/>
      <c r="E387" s="206"/>
      <c r="F387" s="206"/>
      <c r="G387" s="206"/>
      <c r="H387" s="206"/>
      <c r="I387" s="206"/>
      <c r="J387" s="206"/>
      <c r="K387" s="206"/>
      <c r="L387" s="206"/>
      <c r="M387" s="206"/>
      <c r="N387" s="206"/>
      <c r="R387" s="203"/>
      <c r="S387" s="203"/>
      <c r="T387" s="204"/>
      <c r="U387" s="246"/>
      <c r="V387" s="246"/>
      <c r="W387" s="246"/>
      <c r="X387" s="246"/>
      <c r="Y387" s="246"/>
      <c r="Z387" s="39"/>
      <c r="AA387" s="39"/>
      <c r="AB387" s="39"/>
      <c r="AC387" s="39"/>
      <c r="AF387" s="39"/>
      <c r="AG387" s="39"/>
      <c r="AH387" s="39"/>
      <c r="AI387" s="39"/>
    </row>
    <row r="388" spans="2:35" s="247" customFormat="1" x14ac:dyDescent="0.15">
      <c r="B388" s="211"/>
      <c r="C388" s="206"/>
      <c r="D388" s="206"/>
      <c r="E388" s="206"/>
      <c r="F388" s="206"/>
      <c r="G388" s="206"/>
      <c r="H388" s="206"/>
      <c r="I388" s="206"/>
      <c r="J388" s="206"/>
      <c r="K388" s="206"/>
      <c r="L388" s="206"/>
      <c r="M388" s="206"/>
      <c r="N388" s="206"/>
      <c r="R388" s="203"/>
      <c r="S388" s="203"/>
      <c r="T388" s="204"/>
      <c r="U388" s="246"/>
      <c r="V388" s="246"/>
      <c r="W388" s="246"/>
      <c r="X388" s="246"/>
      <c r="Y388" s="246"/>
      <c r="Z388" s="39"/>
      <c r="AA388" s="39"/>
      <c r="AB388" s="39"/>
      <c r="AC388" s="39"/>
      <c r="AF388" s="39"/>
      <c r="AG388" s="39"/>
      <c r="AH388" s="39"/>
      <c r="AI388" s="39"/>
    </row>
    <row r="389" spans="2:35" s="247" customFormat="1" x14ac:dyDescent="0.15">
      <c r="B389" s="211"/>
      <c r="C389" s="206"/>
      <c r="D389" s="206"/>
      <c r="E389" s="206"/>
      <c r="F389" s="206"/>
      <c r="G389" s="206"/>
      <c r="H389" s="206"/>
      <c r="I389" s="206"/>
      <c r="J389" s="206"/>
      <c r="K389" s="206"/>
      <c r="L389" s="206"/>
      <c r="M389" s="206"/>
      <c r="N389" s="206"/>
      <c r="R389" s="203"/>
      <c r="S389" s="203"/>
      <c r="T389" s="204"/>
      <c r="U389" s="246"/>
      <c r="V389" s="246"/>
      <c r="W389" s="246"/>
      <c r="X389" s="246"/>
      <c r="Y389" s="246"/>
      <c r="Z389" s="39"/>
      <c r="AA389" s="39"/>
      <c r="AB389" s="39"/>
      <c r="AC389" s="39"/>
      <c r="AF389" s="39"/>
      <c r="AG389" s="39"/>
      <c r="AH389" s="39"/>
      <c r="AI389" s="39"/>
    </row>
    <row r="390" spans="2:35" s="247" customFormat="1" x14ac:dyDescent="0.15">
      <c r="B390" s="211"/>
      <c r="C390" s="206"/>
      <c r="D390" s="206"/>
      <c r="E390" s="206"/>
      <c r="F390" s="206"/>
      <c r="G390" s="206"/>
      <c r="H390" s="206"/>
      <c r="I390" s="206"/>
      <c r="J390" s="206"/>
      <c r="K390" s="206"/>
      <c r="L390" s="206"/>
      <c r="M390" s="206"/>
      <c r="N390" s="206"/>
      <c r="R390" s="203"/>
      <c r="S390" s="203"/>
      <c r="T390" s="204"/>
      <c r="U390" s="246"/>
      <c r="V390" s="246"/>
      <c r="W390" s="246"/>
      <c r="X390" s="246"/>
      <c r="Y390" s="246"/>
      <c r="Z390" s="39"/>
      <c r="AA390" s="39"/>
      <c r="AB390" s="39"/>
      <c r="AC390" s="39"/>
      <c r="AF390" s="39"/>
      <c r="AG390" s="39"/>
      <c r="AH390" s="39"/>
      <c r="AI390" s="39"/>
    </row>
    <row r="391" spans="2:35" s="247" customFormat="1" x14ac:dyDescent="0.15">
      <c r="B391" s="211"/>
      <c r="C391" s="206"/>
      <c r="D391" s="206"/>
      <c r="E391" s="206"/>
      <c r="F391" s="206"/>
      <c r="G391" s="206"/>
      <c r="H391" s="206"/>
      <c r="I391" s="206"/>
      <c r="J391" s="206"/>
      <c r="K391" s="206"/>
      <c r="L391" s="206"/>
      <c r="M391" s="206"/>
      <c r="N391" s="206"/>
      <c r="R391" s="203"/>
      <c r="S391" s="203"/>
      <c r="T391" s="204"/>
      <c r="U391" s="246"/>
      <c r="V391" s="246"/>
      <c r="W391" s="246"/>
      <c r="X391" s="246"/>
      <c r="Y391" s="246"/>
      <c r="Z391" s="39"/>
      <c r="AA391" s="39"/>
      <c r="AB391" s="39"/>
      <c r="AC391" s="39"/>
      <c r="AF391" s="39"/>
      <c r="AG391" s="39"/>
      <c r="AH391" s="39"/>
      <c r="AI391" s="39"/>
    </row>
    <row r="392" spans="2:35" s="247" customFormat="1" x14ac:dyDescent="0.15">
      <c r="B392" s="211"/>
      <c r="C392" s="206"/>
      <c r="D392" s="206"/>
      <c r="E392" s="206"/>
      <c r="F392" s="206"/>
      <c r="G392" s="206"/>
      <c r="H392" s="206"/>
      <c r="I392" s="206"/>
      <c r="J392" s="206"/>
      <c r="K392" s="206"/>
      <c r="L392" s="206"/>
      <c r="M392" s="206"/>
      <c r="N392" s="206"/>
      <c r="R392" s="203"/>
      <c r="S392" s="203"/>
      <c r="T392" s="204"/>
      <c r="U392" s="246"/>
      <c r="V392" s="246"/>
      <c r="W392" s="246"/>
      <c r="X392" s="246"/>
      <c r="Y392" s="246"/>
      <c r="Z392" s="39"/>
      <c r="AA392" s="39"/>
      <c r="AB392" s="39"/>
      <c r="AC392" s="39"/>
      <c r="AF392" s="39"/>
      <c r="AG392" s="39"/>
      <c r="AH392" s="39"/>
      <c r="AI392" s="39"/>
    </row>
    <row r="393" spans="2:35" s="247" customFormat="1" x14ac:dyDescent="0.15">
      <c r="B393" s="211"/>
      <c r="C393" s="206"/>
      <c r="D393" s="206"/>
      <c r="E393" s="206"/>
      <c r="F393" s="206"/>
      <c r="G393" s="206"/>
      <c r="H393" s="206"/>
      <c r="I393" s="206"/>
      <c r="J393" s="206"/>
      <c r="K393" s="206"/>
      <c r="L393" s="206"/>
      <c r="M393" s="206"/>
      <c r="N393" s="206"/>
      <c r="R393" s="203"/>
      <c r="S393" s="203"/>
      <c r="T393" s="204"/>
      <c r="U393" s="246"/>
      <c r="V393" s="246"/>
      <c r="W393" s="246"/>
      <c r="X393" s="246"/>
      <c r="Y393" s="246"/>
      <c r="Z393" s="39"/>
      <c r="AA393" s="39"/>
      <c r="AB393" s="39"/>
      <c r="AC393" s="39"/>
      <c r="AF393" s="39"/>
      <c r="AG393" s="39"/>
      <c r="AH393" s="39"/>
      <c r="AI393" s="39"/>
    </row>
    <row r="394" spans="2:35" s="247" customFormat="1" x14ac:dyDescent="0.15">
      <c r="B394" s="211"/>
      <c r="C394" s="206"/>
      <c r="D394" s="206"/>
      <c r="E394" s="206"/>
      <c r="F394" s="206"/>
      <c r="G394" s="206"/>
      <c r="H394" s="206"/>
      <c r="I394" s="206"/>
      <c r="J394" s="206"/>
      <c r="K394" s="206"/>
      <c r="L394" s="206"/>
      <c r="M394" s="206"/>
      <c r="N394" s="206"/>
      <c r="R394" s="203"/>
      <c r="S394" s="203"/>
      <c r="T394" s="204"/>
      <c r="U394" s="246"/>
      <c r="V394" s="246"/>
      <c r="W394" s="246"/>
      <c r="X394" s="246"/>
      <c r="Y394" s="246"/>
      <c r="Z394" s="39"/>
      <c r="AA394" s="39"/>
      <c r="AB394" s="39"/>
      <c r="AC394" s="39"/>
      <c r="AF394" s="39"/>
      <c r="AG394" s="39"/>
      <c r="AH394" s="39"/>
      <c r="AI394" s="39"/>
    </row>
    <row r="395" spans="2:35" s="247" customFormat="1" x14ac:dyDescent="0.15">
      <c r="B395" s="211"/>
      <c r="C395" s="206"/>
      <c r="D395" s="206"/>
      <c r="E395" s="206"/>
      <c r="F395" s="206"/>
      <c r="G395" s="206"/>
      <c r="H395" s="206"/>
      <c r="I395" s="206"/>
      <c r="J395" s="206"/>
      <c r="K395" s="206"/>
      <c r="L395" s="206"/>
      <c r="M395" s="206"/>
      <c r="N395" s="206"/>
      <c r="R395" s="203"/>
      <c r="S395" s="203"/>
      <c r="T395" s="204"/>
      <c r="U395" s="246"/>
      <c r="V395" s="246"/>
      <c r="W395" s="246"/>
      <c r="X395" s="246"/>
      <c r="Y395" s="246"/>
      <c r="Z395" s="39"/>
      <c r="AA395" s="39"/>
      <c r="AB395" s="39"/>
      <c r="AC395" s="39"/>
      <c r="AF395" s="39"/>
      <c r="AG395" s="39"/>
      <c r="AH395" s="39"/>
      <c r="AI395" s="39"/>
    </row>
    <row r="396" spans="2:35" s="247" customFormat="1" x14ac:dyDescent="0.15">
      <c r="B396" s="211"/>
      <c r="C396" s="206"/>
      <c r="D396" s="206"/>
      <c r="E396" s="206"/>
      <c r="F396" s="206"/>
      <c r="G396" s="206"/>
      <c r="H396" s="206"/>
      <c r="I396" s="206"/>
      <c r="J396" s="206"/>
      <c r="K396" s="206"/>
      <c r="L396" s="206"/>
      <c r="M396" s="206"/>
      <c r="N396" s="206"/>
      <c r="R396" s="203"/>
      <c r="S396" s="203"/>
      <c r="T396" s="204"/>
      <c r="U396" s="246"/>
      <c r="V396" s="246"/>
      <c r="W396" s="246"/>
      <c r="X396" s="246"/>
      <c r="Y396" s="246"/>
      <c r="Z396" s="39"/>
      <c r="AA396" s="39"/>
      <c r="AB396" s="39"/>
      <c r="AC396" s="39"/>
      <c r="AF396" s="39"/>
      <c r="AG396" s="39"/>
      <c r="AH396" s="39"/>
      <c r="AI396" s="39"/>
    </row>
    <row r="397" spans="2:35" s="247" customFormat="1" x14ac:dyDescent="0.15">
      <c r="B397" s="211"/>
      <c r="C397" s="206"/>
      <c r="D397" s="206"/>
      <c r="E397" s="206"/>
      <c r="F397" s="206"/>
      <c r="G397" s="206"/>
      <c r="H397" s="206"/>
      <c r="I397" s="206"/>
      <c r="J397" s="206"/>
      <c r="K397" s="206"/>
      <c r="L397" s="206"/>
      <c r="M397" s="206"/>
      <c r="N397" s="206"/>
      <c r="R397" s="203"/>
      <c r="S397" s="203"/>
      <c r="T397" s="204"/>
      <c r="U397" s="246"/>
      <c r="V397" s="246"/>
      <c r="W397" s="246"/>
      <c r="X397" s="246"/>
      <c r="Y397" s="246"/>
      <c r="Z397" s="39"/>
      <c r="AA397" s="39"/>
      <c r="AB397" s="39"/>
      <c r="AC397" s="39"/>
      <c r="AF397" s="39"/>
      <c r="AG397" s="39"/>
      <c r="AH397" s="39"/>
      <c r="AI397" s="39"/>
    </row>
    <row r="398" spans="2:35" s="247" customFormat="1" x14ac:dyDescent="0.15">
      <c r="B398" s="211"/>
      <c r="C398" s="206"/>
      <c r="D398" s="206"/>
      <c r="E398" s="206"/>
      <c r="F398" s="206"/>
      <c r="G398" s="206"/>
      <c r="H398" s="206"/>
      <c r="I398" s="206"/>
      <c r="J398" s="206"/>
      <c r="K398" s="206"/>
      <c r="L398" s="206"/>
      <c r="M398" s="206"/>
      <c r="N398" s="206"/>
      <c r="R398" s="203"/>
      <c r="S398" s="203"/>
      <c r="T398" s="204"/>
      <c r="U398" s="246"/>
      <c r="V398" s="246"/>
      <c r="W398" s="246"/>
      <c r="X398" s="246"/>
      <c r="Y398" s="246"/>
      <c r="Z398" s="39"/>
      <c r="AA398" s="39"/>
      <c r="AB398" s="39"/>
      <c r="AC398" s="39"/>
      <c r="AF398" s="39"/>
      <c r="AG398" s="39"/>
      <c r="AH398" s="39"/>
      <c r="AI398" s="39"/>
    </row>
    <row r="399" spans="2:35" s="247" customFormat="1" x14ac:dyDescent="0.15">
      <c r="B399" s="211"/>
      <c r="C399" s="206"/>
      <c r="D399" s="206"/>
      <c r="E399" s="206"/>
      <c r="F399" s="206"/>
      <c r="G399" s="206"/>
      <c r="H399" s="206"/>
      <c r="I399" s="206"/>
      <c r="J399" s="206"/>
      <c r="K399" s="206"/>
      <c r="L399" s="206"/>
      <c r="M399" s="206"/>
      <c r="N399" s="206"/>
      <c r="R399" s="203"/>
      <c r="S399" s="203"/>
      <c r="T399" s="204"/>
      <c r="U399" s="246"/>
      <c r="V399" s="246"/>
      <c r="W399" s="246"/>
      <c r="X399" s="246"/>
      <c r="Y399" s="246"/>
      <c r="Z399" s="39"/>
      <c r="AA399" s="39"/>
      <c r="AB399" s="39"/>
      <c r="AC399" s="39"/>
      <c r="AF399" s="39"/>
      <c r="AG399" s="39"/>
      <c r="AH399" s="39"/>
      <c r="AI399" s="39"/>
    </row>
    <row r="400" spans="2:35" s="247" customFormat="1" x14ac:dyDescent="0.15">
      <c r="B400" s="211"/>
      <c r="C400" s="206"/>
      <c r="D400" s="206"/>
      <c r="E400" s="206"/>
      <c r="F400" s="206"/>
      <c r="G400" s="206"/>
      <c r="H400" s="206"/>
      <c r="I400" s="206"/>
      <c r="J400" s="206"/>
      <c r="K400" s="206"/>
      <c r="L400" s="206"/>
      <c r="M400" s="206"/>
      <c r="N400" s="206"/>
      <c r="R400" s="203"/>
      <c r="S400" s="203"/>
      <c r="T400" s="204"/>
      <c r="U400" s="246"/>
      <c r="V400" s="246"/>
      <c r="W400" s="246"/>
      <c r="X400" s="246"/>
      <c r="Y400" s="246"/>
      <c r="Z400" s="39"/>
      <c r="AA400" s="39"/>
      <c r="AB400" s="39"/>
      <c r="AC400" s="39"/>
      <c r="AF400" s="39"/>
      <c r="AG400" s="39"/>
      <c r="AH400" s="39"/>
      <c r="AI400" s="39"/>
    </row>
    <row r="401" spans="2:35" s="247" customFormat="1" x14ac:dyDescent="0.15">
      <c r="B401" s="211"/>
      <c r="C401" s="206"/>
      <c r="D401" s="206"/>
      <c r="E401" s="206"/>
      <c r="F401" s="206"/>
      <c r="G401" s="206"/>
      <c r="H401" s="206"/>
      <c r="I401" s="206"/>
      <c r="J401" s="206"/>
      <c r="K401" s="206"/>
      <c r="L401" s="206"/>
      <c r="M401" s="206"/>
      <c r="N401" s="206"/>
      <c r="R401" s="203"/>
      <c r="S401" s="203"/>
      <c r="T401" s="204"/>
      <c r="U401" s="246"/>
      <c r="V401" s="246"/>
      <c r="W401" s="246"/>
      <c r="X401" s="246"/>
      <c r="Y401" s="246"/>
      <c r="Z401" s="39"/>
      <c r="AA401" s="39"/>
      <c r="AB401" s="39"/>
      <c r="AC401" s="39"/>
      <c r="AF401" s="39"/>
      <c r="AG401" s="39"/>
      <c r="AH401" s="39"/>
      <c r="AI401" s="39"/>
    </row>
    <row r="402" spans="2:35" s="247" customFormat="1" x14ac:dyDescent="0.15">
      <c r="B402" s="211"/>
      <c r="C402" s="206"/>
      <c r="D402" s="206"/>
      <c r="E402" s="206"/>
      <c r="F402" s="206"/>
      <c r="G402" s="206"/>
      <c r="H402" s="206"/>
      <c r="I402" s="206"/>
      <c r="J402" s="206"/>
      <c r="K402" s="206"/>
      <c r="L402" s="206"/>
      <c r="M402" s="206"/>
      <c r="N402" s="206"/>
      <c r="R402" s="203"/>
      <c r="S402" s="203"/>
      <c r="T402" s="204"/>
      <c r="U402" s="246"/>
      <c r="V402" s="246"/>
      <c r="W402" s="246"/>
      <c r="X402" s="246"/>
      <c r="Y402" s="246"/>
      <c r="Z402" s="39"/>
      <c r="AA402" s="39"/>
      <c r="AB402" s="39"/>
      <c r="AC402" s="39"/>
      <c r="AF402" s="39"/>
      <c r="AG402" s="39"/>
      <c r="AH402" s="39"/>
      <c r="AI402" s="39"/>
    </row>
    <row r="403" spans="2:35" s="247" customFormat="1" x14ac:dyDescent="0.15">
      <c r="B403" s="211"/>
      <c r="C403" s="206"/>
      <c r="D403" s="206"/>
      <c r="E403" s="206"/>
      <c r="F403" s="206"/>
      <c r="G403" s="206"/>
      <c r="H403" s="206"/>
      <c r="I403" s="206"/>
      <c r="J403" s="206"/>
      <c r="K403" s="206"/>
      <c r="L403" s="206"/>
      <c r="M403" s="206"/>
      <c r="N403" s="206"/>
      <c r="R403" s="203"/>
      <c r="S403" s="203"/>
      <c r="T403" s="204"/>
      <c r="U403" s="246"/>
      <c r="V403" s="246"/>
      <c r="W403" s="246"/>
      <c r="X403" s="246"/>
      <c r="Y403" s="246"/>
      <c r="Z403" s="39"/>
      <c r="AA403" s="39"/>
      <c r="AB403" s="39"/>
      <c r="AC403" s="39"/>
      <c r="AF403" s="39"/>
      <c r="AG403" s="39"/>
      <c r="AH403" s="39"/>
      <c r="AI403" s="39"/>
    </row>
    <row r="404" spans="2:35" s="247" customFormat="1" x14ac:dyDescent="0.15">
      <c r="B404" s="211"/>
      <c r="C404" s="206"/>
      <c r="D404" s="206"/>
      <c r="E404" s="206"/>
      <c r="F404" s="206"/>
      <c r="G404" s="206"/>
      <c r="H404" s="206"/>
      <c r="I404" s="206"/>
      <c r="J404" s="206"/>
      <c r="K404" s="206"/>
      <c r="L404" s="206"/>
      <c r="M404" s="206"/>
      <c r="N404" s="206"/>
      <c r="R404" s="203"/>
      <c r="S404" s="203"/>
      <c r="T404" s="204"/>
      <c r="U404" s="246"/>
      <c r="V404" s="246"/>
      <c r="W404" s="246"/>
      <c r="X404" s="246"/>
      <c r="Y404" s="246"/>
      <c r="Z404" s="39"/>
      <c r="AA404" s="39"/>
      <c r="AB404" s="39"/>
      <c r="AC404" s="39"/>
      <c r="AF404" s="39"/>
      <c r="AG404" s="39"/>
      <c r="AH404" s="39"/>
      <c r="AI404" s="39"/>
    </row>
    <row r="405" spans="2:35" s="247" customFormat="1" x14ac:dyDescent="0.15">
      <c r="B405" s="211"/>
      <c r="C405" s="206"/>
      <c r="D405" s="206"/>
      <c r="E405" s="206"/>
      <c r="F405" s="206"/>
      <c r="G405" s="206"/>
      <c r="H405" s="206"/>
      <c r="I405" s="206"/>
      <c r="J405" s="206"/>
      <c r="K405" s="206"/>
      <c r="L405" s="206"/>
      <c r="M405" s="206"/>
      <c r="N405" s="206"/>
      <c r="R405" s="203"/>
      <c r="S405" s="203"/>
      <c r="T405" s="204"/>
      <c r="U405" s="205"/>
      <c r="V405" s="205"/>
      <c r="W405" s="205"/>
      <c r="X405" s="205"/>
      <c r="Y405" s="205"/>
      <c r="Z405" s="39"/>
      <c r="AA405" s="39"/>
      <c r="AB405" s="39"/>
      <c r="AC405" s="39"/>
      <c r="AF405" s="39"/>
      <c r="AG405" s="39"/>
      <c r="AH405" s="39"/>
      <c r="AI405" s="39"/>
    </row>
    <row r="406" spans="2:35" s="247" customFormat="1" x14ac:dyDescent="0.15">
      <c r="B406" s="211"/>
      <c r="C406" s="206"/>
      <c r="D406" s="206"/>
      <c r="E406" s="206"/>
      <c r="F406" s="206"/>
      <c r="G406" s="206"/>
      <c r="H406" s="206"/>
      <c r="I406" s="206"/>
      <c r="J406" s="206"/>
      <c r="K406" s="206"/>
      <c r="L406" s="206"/>
      <c r="M406" s="206"/>
      <c r="N406" s="206"/>
      <c r="R406" s="203"/>
      <c r="S406" s="203"/>
      <c r="T406" s="204"/>
      <c r="U406" s="205"/>
      <c r="V406" s="205"/>
      <c r="W406" s="205"/>
      <c r="X406" s="205"/>
      <c r="Y406" s="205"/>
      <c r="Z406" s="39"/>
      <c r="AA406" s="39"/>
      <c r="AB406" s="39"/>
      <c r="AC406" s="39"/>
      <c r="AF406" s="39"/>
      <c r="AG406" s="39"/>
      <c r="AH406" s="39"/>
      <c r="AI406" s="39"/>
    </row>
    <row r="407" spans="2:35" s="247" customFormat="1" x14ac:dyDescent="0.15">
      <c r="B407" s="211"/>
      <c r="C407" s="206"/>
      <c r="D407" s="206"/>
      <c r="E407" s="206"/>
      <c r="F407" s="206"/>
      <c r="G407" s="206"/>
      <c r="H407" s="206"/>
      <c r="I407" s="206"/>
      <c r="J407" s="206"/>
      <c r="K407" s="206"/>
      <c r="L407" s="206"/>
      <c r="M407" s="206"/>
      <c r="N407" s="206"/>
      <c r="R407" s="203"/>
      <c r="S407" s="203"/>
      <c r="T407" s="204"/>
      <c r="U407" s="205"/>
      <c r="V407" s="205"/>
      <c r="W407" s="205"/>
      <c r="X407" s="205"/>
      <c r="Y407" s="205"/>
      <c r="Z407" s="39"/>
      <c r="AA407" s="39"/>
      <c r="AB407" s="39"/>
      <c r="AC407" s="39"/>
      <c r="AF407" s="39"/>
      <c r="AG407" s="39"/>
      <c r="AH407" s="39"/>
      <c r="AI407" s="39"/>
    </row>
    <row r="408" spans="2:35" s="247" customFormat="1" x14ac:dyDescent="0.15">
      <c r="B408" s="211"/>
      <c r="C408" s="206"/>
      <c r="D408" s="206"/>
      <c r="E408" s="206"/>
      <c r="F408" s="206"/>
      <c r="G408" s="206"/>
      <c r="H408" s="206"/>
      <c r="I408" s="206"/>
      <c r="J408" s="206"/>
      <c r="K408" s="206"/>
      <c r="L408" s="206"/>
      <c r="M408" s="206"/>
      <c r="N408" s="206"/>
      <c r="R408" s="203"/>
      <c r="S408" s="203"/>
      <c r="T408" s="204"/>
      <c r="U408" s="205"/>
      <c r="V408" s="205"/>
      <c r="W408" s="205"/>
      <c r="X408" s="205"/>
      <c r="Y408" s="205"/>
      <c r="Z408" s="39"/>
      <c r="AA408" s="39"/>
      <c r="AB408" s="39"/>
      <c r="AC408" s="39"/>
      <c r="AF408" s="39"/>
      <c r="AG408" s="39"/>
      <c r="AH408" s="39"/>
      <c r="AI408" s="39"/>
    </row>
    <row r="409" spans="2:35" s="247" customFormat="1" x14ac:dyDescent="0.15">
      <c r="B409" s="211"/>
      <c r="C409" s="206"/>
      <c r="D409" s="206"/>
      <c r="E409" s="206"/>
      <c r="F409" s="206"/>
      <c r="G409" s="206"/>
      <c r="H409" s="206"/>
      <c r="I409" s="206"/>
      <c r="J409" s="206"/>
      <c r="K409" s="206"/>
      <c r="L409" s="206"/>
      <c r="M409" s="206"/>
      <c r="N409" s="206"/>
      <c r="R409" s="203"/>
      <c r="S409" s="203"/>
      <c r="T409" s="204"/>
      <c r="U409" s="205"/>
      <c r="V409" s="205"/>
      <c r="W409" s="205"/>
      <c r="X409" s="205"/>
      <c r="Y409" s="205"/>
      <c r="Z409" s="39"/>
      <c r="AA409" s="39"/>
      <c r="AB409" s="39"/>
      <c r="AC409" s="39"/>
      <c r="AF409" s="39"/>
      <c r="AG409" s="39"/>
      <c r="AH409" s="39"/>
      <c r="AI409" s="39"/>
    </row>
    <row r="410" spans="2:35" s="247" customFormat="1" x14ac:dyDescent="0.15">
      <c r="B410" s="211"/>
      <c r="C410" s="206"/>
      <c r="D410" s="206"/>
      <c r="E410" s="206"/>
      <c r="F410" s="206"/>
      <c r="G410" s="206"/>
      <c r="H410" s="206"/>
      <c r="I410" s="206"/>
      <c r="J410" s="206"/>
      <c r="K410" s="206"/>
      <c r="L410" s="206"/>
      <c r="M410" s="206"/>
      <c r="N410" s="206"/>
      <c r="R410" s="203"/>
      <c r="S410" s="203"/>
      <c r="T410" s="204"/>
      <c r="U410" s="205"/>
      <c r="V410" s="205"/>
      <c r="W410" s="205"/>
      <c r="X410" s="205"/>
      <c r="Y410" s="205"/>
      <c r="Z410" s="39"/>
      <c r="AA410" s="39"/>
      <c r="AB410" s="39"/>
      <c r="AC410" s="39"/>
      <c r="AF410" s="39"/>
      <c r="AG410" s="39"/>
      <c r="AH410" s="39"/>
      <c r="AI410" s="39"/>
    </row>
    <row r="411" spans="2:35" s="247" customFormat="1" x14ac:dyDescent="0.15">
      <c r="B411" s="211"/>
      <c r="C411" s="206"/>
      <c r="D411" s="206"/>
      <c r="E411" s="206"/>
      <c r="F411" s="206"/>
      <c r="G411" s="206"/>
      <c r="H411" s="206"/>
      <c r="I411" s="206"/>
      <c r="J411" s="206"/>
      <c r="K411" s="206"/>
      <c r="L411" s="206"/>
      <c r="M411" s="206"/>
      <c r="N411" s="206"/>
      <c r="R411" s="203"/>
      <c r="S411" s="203"/>
      <c r="T411" s="204"/>
      <c r="U411" s="205"/>
      <c r="V411" s="205"/>
      <c r="W411" s="205"/>
      <c r="X411" s="205"/>
      <c r="Y411" s="205"/>
      <c r="Z411" s="39"/>
      <c r="AA411" s="39"/>
      <c r="AB411" s="39"/>
      <c r="AC411" s="39"/>
      <c r="AF411" s="39"/>
      <c r="AG411" s="39"/>
      <c r="AH411" s="39"/>
      <c r="AI411" s="39"/>
    </row>
    <row r="412" spans="2:35" s="247" customFormat="1" x14ac:dyDescent="0.15">
      <c r="B412" s="211"/>
      <c r="C412" s="206"/>
      <c r="D412" s="206"/>
      <c r="E412" s="206"/>
      <c r="F412" s="206"/>
      <c r="G412" s="206"/>
      <c r="H412" s="206"/>
      <c r="I412" s="206"/>
      <c r="J412" s="206"/>
      <c r="K412" s="206"/>
      <c r="L412" s="206"/>
      <c r="M412" s="206"/>
      <c r="N412" s="206"/>
      <c r="R412" s="203"/>
      <c r="S412" s="203"/>
      <c r="T412" s="204"/>
      <c r="U412" s="205"/>
      <c r="V412" s="205"/>
      <c r="W412" s="205"/>
      <c r="X412" s="205"/>
      <c r="Y412" s="205"/>
      <c r="Z412" s="39"/>
      <c r="AA412" s="39"/>
      <c r="AB412" s="39"/>
      <c r="AC412" s="39"/>
      <c r="AF412" s="39"/>
      <c r="AG412" s="39"/>
      <c r="AH412" s="39"/>
      <c r="AI412" s="39"/>
    </row>
    <row r="413" spans="2:35" s="247" customFormat="1" x14ac:dyDescent="0.15">
      <c r="B413" s="211"/>
      <c r="C413" s="206"/>
      <c r="D413" s="206"/>
      <c r="E413" s="206"/>
      <c r="F413" s="206"/>
      <c r="G413" s="206"/>
      <c r="H413" s="206"/>
      <c r="I413" s="206"/>
      <c r="J413" s="206"/>
      <c r="K413" s="206"/>
      <c r="L413" s="206"/>
      <c r="M413" s="206"/>
      <c r="N413" s="206"/>
      <c r="R413" s="203"/>
      <c r="S413" s="203"/>
      <c r="T413" s="204"/>
      <c r="U413" s="205"/>
      <c r="V413" s="205"/>
      <c r="W413" s="205"/>
      <c r="X413" s="205"/>
      <c r="Y413" s="205"/>
      <c r="Z413" s="39"/>
      <c r="AA413" s="39"/>
      <c r="AB413" s="39"/>
      <c r="AC413" s="39"/>
      <c r="AF413" s="39"/>
      <c r="AG413" s="39"/>
      <c r="AH413" s="39"/>
      <c r="AI413" s="39"/>
    </row>
    <row r="414" spans="2:35" s="247" customFormat="1" x14ac:dyDescent="0.15">
      <c r="B414" s="211"/>
      <c r="C414" s="206"/>
      <c r="D414" s="206"/>
      <c r="E414" s="206"/>
      <c r="F414" s="206"/>
      <c r="G414" s="206"/>
      <c r="H414" s="206"/>
      <c r="I414" s="206"/>
      <c r="J414" s="206"/>
      <c r="K414" s="206"/>
      <c r="L414" s="206"/>
      <c r="M414" s="206"/>
      <c r="N414" s="206"/>
      <c r="R414" s="203"/>
      <c r="S414" s="203"/>
      <c r="T414" s="204"/>
      <c r="U414" s="205"/>
      <c r="V414" s="205"/>
      <c r="W414" s="205"/>
      <c r="X414" s="205"/>
      <c r="Y414" s="205"/>
      <c r="Z414" s="39"/>
      <c r="AA414" s="39"/>
      <c r="AB414" s="39"/>
      <c r="AC414" s="39"/>
      <c r="AF414" s="39"/>
      <c r="AG414" s="39"/>
      <c r="AH414" s="39"/>
      <c r="AI414" s="39"/>
    </row>
    <row r="415" spans="2:35" s="247" customFormat="1" x14ac:dyDescent="0.15">
      <c r="B415" s="211"/>
      <c r="C415" s="206"/>
      <c r="D415" s="206"/>
      <c r="E415" s="206"/>
      <c r="F415" s="206"/>
      <c r="G415" s="206"/>
      <c r="H415" s="206"/>
      <c r="I415" s="206"/>
      <c r="J415" s="206"/>
      <c r="K415" s="206"/>
      <c r="L415" s="206"/>
      <c r="M415" s="206"/>
      <c r="N415" s="206"/>
      <c r="R415" s="203"/>
      <c r="S415" s="203"/>
      <c r="T415" s="204"/>
      <c r="U415" s="205"/>
      <c r="V415" s="205"/>
      <c r="W415" s="205"/>
      <c r="X415" s="205"/>
      <c r="Y415" s="205"/>
      <c r="Z415" s="39"/>
      <c r="AA415" s="39"/>
      <c r="AB415" s="39"/>
      <c r="AC415" s="39"/>
      <c r="AF415" s="39"/>
      <c r="AG415" s="39"/>
      <c r="AH415" s="39"/>
      <c r="AI415" s="39"/>
    </row>
    <row r="416" spans="2:35" s="247" customFormat="1" x14ac:dyDescent="0.15">
      <c r="B416" s="211"/>
      <c r="C416" s="206"/>
      <c r="D416" s="206"/>
      <c r="E416" s="206"/>
      <c r="F416" s="206"/>
      <c r="G416" s="206"/>
      <c r="H416" s="206"/>
      <c r="I416" s="206"/>
      <c r="J416" s="206"/>
      <c r="K416" s="206"/>
      <c r="L416" s="206"/>
      <c r="M416" s="206"/>
      <c r="N416" s="206"/>
      <c r="R416" s="203"/>
      <c r="S416" s="203"/>
      <c r="T416" s="204"/>
      <c r="U416" s="205"/>
      <c r="V416" s="205"/>
      <c r="W416" s="205"/>
      <c r="X416" s="205"/>
      <c r="Y416" s="205"/>
      <c r="Z416" s="39"/>
      <c r="AA416" s="39"/>
      <c r="AB416" s="39"/>
      <c r="AC416" s="39"/>
      <c r="AF416" s="39"/>
      <c r="AG416" s="39"/>
      <c r="AH416" s="39"/>
      <c r="AI416" s="39"/>
    </row>
    <row r="417" spans="2:35" s="247" customFormat="1" x14ac:dyDescent="0.15">
      <c r="B417" s="211"/>
      <c r="C417" s="206"/>
      <c r="D417" s="206"/>
      <c r="E417" s="206"/>
      <c r="F417" s="206"/>
      <c r="G417" s="206"/>
      <c r="H417" s="206"/>
      <c r="I417" s="206"/>
      <c r="J417" s="206"/>
      <c r="K417" s="206"/>
      <c r="L417" s="206"/>
      <c r="M417" s="206"/>
      <c r="N417" s="206"/>
      <c r="R417" s="203"/>
      <c r="S417" s="203"/>
      <c r="T417" s="204"/>
      <c r="U417" s="205"/>
      <c r="V417" s="205"/>
      <c r="W417" s="205"/>
      <c r="X417" s="205"/>
      <c r="Y417" s="205"/>
      <c r="Z417" s="39"/>
      <c r="AA417" s="39"/>
      <c r="AB417" s="39"/>
      <c r="AC417" s="39"/>
      <c r="AF417" s="39"/>
      <c r="AG417" s="39"/>
      <c r="AH417" s="39"/>
      <c r="AI417" s="39"/>
    </row>
    <row r="418" spans="2:35" s="247" customFormat="1" x14ac:dyDescent="0.15">
      <c r="B418" s="211"/>
      <c r="C418" s="206"/>
      <c r="D418" s="206"/>
      <c r="E418" s="206"/>
      <c r="F418" s="206"/>
      <c r="G418" s="206"/>
      <c r="H418" s="206"/>
      <c r="I418" s="206"/>
      <c r="J418" s="206"/>
      <c r="K418" s="206"/>
      <c r="L418" s="206"/>
      <c r="M418" s="206"/>
      <c r="N418" s="206"/>
      <c r="R418" s="203"/>
      <c r="S418" s="203"/>
      <c r="T418" s="204"/>
      <c r="U418" s="205"/>
      <c r="V418" s="205"/>
      <c r="W418" s="205"/>
      <c r="X418" s="205"/>
      <c r="Y418" s="205"/>
      <c r="Z418" s="39"/>
      <c r="AA418" s="39"/>
      <c r="AB418" s="39"/>
      <c r="AC418" s="39"/>
      <c r="AF418" s="39"/>
      <c r="AG418" s="39"/>
      <c r="AH418" s="39"/>
      <c r="AI418" s="39"/>
    </row>
    <row r="419" spans="2:35" s="247" customFormat="1" x14ac:dyDescent="0.15">
      <c r="B419" s="211"/>
      <c r="C419" s="206"/>
      <c r="D419" s="206"/>
      <c r="E419" s="206"/>
      <c r="F419" s="206"/>
      <c r="G419" s="206"/>
      <c r="H419" s="206"/>
      <c r="I419" s="206"/>
      <c r="J419" s="206"/>
      <c r="K419" s="206"/>
      <c r="L419" s="206"/>
      <c r="M419" s="206"/>
      <c r="N419" s="206"/>
      <c r="R419" s="203"/>
      <c r="S419" s="203"/>
      <c r="T419" s="204"/>
      <c r="U419" s="205"/>
      <c r="V419" s="205"/>
      <c r="W419" s="205"/>
      <c r="X419" s="205"/>
      <c r="Y419" s="205"/>
      <c r="Z419" s="39"/>
      <c r="AA419" s="39"/>
      <c r="AB419" s="39"/>
      <c r="AC419" s="39"/>
      <c r="AF419" s="39"/>
      <c r="AG419" s="39"/>
      <c r="AH419" s="39"/>
      <c r="AI419" s="39"/>
    </row>
    <row r="420" spans="2:35" s="247" customFormat="1" x14ac:dyDescent="0.15">
      <c r="B420" s="211"/>
      <c r="C420" s="206"/>
      <c r="D420" s="206"/>
      <c r="E420" s="206"/>
      <c r="F420" s="206"/>
      <c r="G420" s="206"/>
      <c r="H420" s="206"/>
      <c r="I420" s="206"/>
      <c r="J420" s="206"/>
      <c r="K420" s="206"/>
      <c r="L420" s="206"/>
      <c r="M420" s="206"/>
      <c r="N420" s="206"/>
      <c r="R420" s="203"/>
      <c r="S420" s="203"/>
      <c r="T420" s="204"/>
      <c r="U420" s="205"/>
      <c r="V420" s="205"/>
      <c r="W420" s="205"/>
      <c r="X420" s="205"/>
      <c r="Y420" s="205"/>
      <c r="Z420" s="39"/>
      <c r="AA420" s="39"/>
      <c r="AB420" s="39"/>
      <c r="AC420" s="39"/>
      <c r="AF420" s="39"/>
      <c r="AG420" s="39"/>
      <c r="AH420" s="39"/>
      <c r="AI420" s="39"/>
    </row>
    <row r="421" spans="2:35" s="247" customFormat="1" x14ac:dyDescent="0.15">
      <c r="B421" s="211"/>
      <c r="C421" s="206"/>
      <c r="D421" s="206"/>
      <c r="E421" s="206"/>
      <c r="F421" s="206"/>
      <c r="G421" s="206"/>
      <c r="H421" s="206"/>
      <c r="I421" s="206"/>
      <c r="J421" s="206"/>
      <c r="K421" s="206"/>
      <c r="L421" s="206"/>
      <c r="M421" s="206"/>
      <c r="N421" s="206"/>
      <c r="R421" s="203"/>
      <c r="S421" s="203"/>
      <c r="T421" s="204"/>
      <c r="U421" s="205"/>
      <c r="V421" s="205"/>
      <c r="W421" s="205"/>
      <c r="X421" s="205"/>
      <c r="Y421" s="205"/>
      <c r="Z421" s="39"/>
      <c r="AA421" s="39"/>
      <c r="AB421" s="39"/>
      <c r="AC421" s="39"/>
      <c r="AF421" s="39"/>
      <c r="AG421" s="39"/>
      <c r="AH421" s="39"/>
      <c r="AI421" s="39"/>
    </row>
    <row r="422" spans="2:35" s="247" customFormat="1" x14ac:dyDescent="0.15">
      <c r="B422" s="211"/>
      <c r="C422" s="206"/>
      <c r="D422" s="206"/>
      <c r="E422" s="206"/>
      <c r="F422" s="206"/>
      <c r="G422" s="206"/>
      <c r="H422" s="206"/>
      <c r="I422" s="206"/>
      <c r="J422" s="206"/>
      <c r="K422" s="206"/>
      <c r="L422" s="206"/>
      <c r="M422" s="206"/>
      <c r="N422" s="206"/>
      <c r="R422" s="203"/>
      <c r="S422" s="203"/>
      <c r="T422" s="204"/>
      <c r="U422" s="205"/>
      <c r="V422" s="205"/>
      <c r="W422" s="205"/>
      <c r="X422" s="205"/>
      <c r="Y422" s="205"/>
      <c r="Z422" s="39"/>
      <c r="AA422" s="39"/>
      <c r="AB422" s="39"/>
      <c r="AC422" s="39"/>
      <c r="AF422" s="39"/>
      <c r="AG422" s="39"/>
      <c r="AH422" s="39"/>
      <c r="AI422" s="39"/>
    </row>
    <row r="423" spans="2:35" s="247" customFormat="1" x14ac:dyDescent="0.15">
      <c r="B423" s="248"/>
      <c r="C423" s="230"/>
      <c r="D423" s="230"/>
      <c r="E423" s="230"/>
      <c r="F423" s="230"/>
      <c r="G423" s="230"/>
      <c r="H423" s="230"/>
      <c r="I423" s="230"/>
      <c r="J423" s="230"/>
      <c r="K423" s="230"/>
      <c r="L423" s="230"/>
      <c r="M423" s="230"/>
      <c r="N423" s="230"/>
      <c r="R423" s="203"/>
      <c r="S423" s="203"/>
      <c r="T423" s="204"/>
      <c r="U423" s="205"/>
      <c r="V423" s="205"/>
      <c r="W423" s="205"/>
      <c r="X423" s="205"/>
      <c r="Y423" s="205"/>
      <c r="Z423" s="39"/>
      <c r="AA423" s="39"/>
      <c r="AB423" s="39"/>
      <c r="AC423" s="39"/>
      <c r="AF423" s="39"/>
      <c r="AG423" s="39"/>
      <c r="AH423" s="39"/>
      <c r="AI423" s="39"/>
    </row>
    <row r="424" spans="2:35" s="247" customFormat="1" x14ac:dyDescent="0.15">
      <c r="B424" s="248"/>
      <c r="C424" s="230"/>
      <c r="D424" s="230"/>
      <c r="E424" s="230"/>
      <c r="F424" s="230"/>
      <c r="G424" s="230"/>
      <c r="H424" s="230"/>
      <c r="I424" s="230"/>
      <c r="J424" s="230"/>
      <c r="K424" s="230"/>
      <c r="L424" s="230"/>
      <c r="M424" s="230"/>
      <c r="N424" s="230"/>
      <c r="R424" s="203"/>
      <c r="S424" s="203"/>
      <c r="T424" s="204"/>
      <c r="U424" s="205"/>
      <c r="V424" s="205"/>
      <c r="W424" s="205"/>
      <c r="X424" s="205"/>
      <c r="Y424" s="205"/>
      <c r="Z424" s="39"/>
      <c r="AA424" s="39"/>
      <c r="AB424" s="39"/>
      <c r="AC424" s="39"/>
      <c r="AF424" s="39"/>
      <c r="AG424" s="39"/>
      <c r="AH424" s="39"/>
      <c r="AI424" s="39"/>
    </row>
  </sheetData>
  <sheetProtection formatCells="0" formatColumns="0" formatRows="0" insertColumns="0" insertRows="0" insertHyperlinks="0" deleteColumns="0" deleteRows="0" sort="0" autoFilter="0" pivotTables="0"/>
  <dataConsolidate function="average">
    <dataRefs count="1">
      <dataRef ref="A6:B221" sheet="Monthly Summary Jan-Mar" r:id="rId1"/>
    </dataRefs>
  </dataConsolidate>
  <mergeCells count="10">
    <mergeCell ref="B1:Q1"/>
    <mergeCell ref="B2:Q2"/>
    <mergeCell ref="B3:Q3"/>
    <mergeCell ref="X4:Z4"/>
    <mergeCell ref="C5:P5"/>
    <mergeCell ref="Q5:Q6"/>
    <mergeCell ref="S5:S6"/>
    <mergeCell ref="U5:U6"/>
    <mergeCell ref="W5:W6"/>
    <mergeCell ref="Z5:Z6"/>
  </mergeCells>
  <phoneticPr fontId="0" type="noConversion"/>
  <conditionalFormatting sqref="D153:D162 F153:G162 F133:G149 D133:D149 I130 I153:J162 I133:J149 C122:C128 J130:J132 D21:L34 D7:N18 F20:N20 D19:E19 M21:N33 M35:N38 D36:L38 O7:O39 D41:N65 L40:O40 D39:K39 D68:H128 M68:N149 I68:J129 K68:L132 F67:N67 D66:E66 O41:O162">
    <cfRule type="cellIs" dxfId="196" priority="29" stopIfTrue="1" operator="greaterThan">
      <formula>30</formula>
    </cfRule>
    <cfRule type="cellIs" dxfId="195" priority="30" stopIfTrue="1" operator="between">
      <formula>0.1</formula>
      <formula>10</formula>
    </cfRule>
    <cfRule type="cellIs" dxfId="194" priority="31" stopIfTrue="1" operator="lessThan">
      <formula>0.1</formula>
    </cfRule>
  </conditionalFormatting>
  <conditionalFormatting sqref="S7:S162 U7:U162 Q7:Q162">
    <cfRule type="cellIs" dxfId="193" priority="3" stopIfTrue="1" operator="lessThan">
      <formula>0.5</formula>
    </cfRule>
  </conditionalFormatting>
  <conditionalFormatting sqref="P7:P162">
    <cfRule type="containsBlanks" priority="25" stopIfTrue="1">
      <formula>LEN(TRIM(P7))=0</formula>
    </cfRule>
    <cfRule type="cellIs" dxfId="192" priority="33" stopIfTrue="1" operator="greaterThan">
      <formula>40</formula>
    </cfRule>
  </conditionalFormatting>
  <conditionalFormatting sqref="C7:C19 C141:C162 C21:C34 C36:C39 C41:C66 C68:C121">
    <cfRule type="cellIs" dxfId="191" priority="26" stopIfTrue="1" operator="greaterThan">
      <formula>30</formula>
    </cfRule>
    <cfRule type="cellIs" dxfId="190" priority="27" stopIfTrue="1" operator="between">
      <formula>0.1</formula>
      <formula>10</formula>
    </cfRule>
    <cfRule type="cellIs" dxfId="189" priority="28" stopIfTrue="1" operator="lessThan">
      <formula>0.1</formula>
    </cfRule>
  </conditionalFormatting>
  <conditionalFormatting sqref="E153:E162 E133:E149">
    <cfRule type="cellIs" dxfId="188" priority="22" stopIfTrue="1" operator="greaterThan">
      <formula>30</formula>
    </cfRule>
    <cfRule type="cellIs" dxfId="187" priority="23" stopIfTrue="1" operator="between">
      <formula>0.1</formula>
      <formula>10</formula>
    </cfRule>
    <cfRule type="cellIs" dxfId="186" priority="24" stopIfTrue="1" operator="lessThan">
      <formula>0.1</formula>
    </cfRule>
  </conditionalFormatting>
  <conditionalFormatting sqref="K153:K162 K133:K149">
    <cfRule type="cellIs" dxfId="185" priority="19" stopIfTrue="1" operator="greaterThan">
      <formula>30</formula>
    </cfRule>
    <cfRule type="cellIs" dxfId="184" priority="20" stopIfTrue="1" operator="between">
      <formula>0.1</formula>
      <formula>10</formula>
    </cfRule>
    <cfRule type="cellIs" dxfId="183" priority="21" stopIfTrue="1" operator="lessThan">
      <formula>0.1</formula>
    </cfRule>
  </conditionalFormatting>
  <conditionalFormatting sqref="C133:C140">
    <cfRule type="cellIs" dxfId="182" priority="16" stopIfTrue="1" operator="greaterThan">
      <formula>30</formula>
    </cfRule>
    <cfRule type="cellIs" dxfId="181" priority="17" stopIfTrue="1" operator="between">
      <formula>0.1</formula>
      <formula>10</formula>
    </cfRule>
    <cfRule type="cellIs" dxfId="180" priority="18" stopIfTrue="1" operator="lessThan">
      <formula>0.1</formula>
    </cfRule>
  </conditionalFormatting>
  <conditionalFormatting sqref="H153:H162 H133:H149">
    <cfRule type="cellIs" dxfId="179" priority="13" stopIfTrue="1" operator="greaterThan">
      <formula>30</formula>
    </cfRule>
    <cfRule type="cellIs" dxfId="178" priority="14" stopIfTrue="1" operator="between">
      <formula>0.1</formula>
      <formula>10</formula>
    </cfRule>
    <cfRule type="cellIs" dxfId="177" priority="15" stopIfTrue="1" operator="lessThan">
      <formula>0.1</formula>
    </cfRule>
  </conditionalFormatting>
  <conditionalFormatting sqref="L153:L162 L133:L149">
    <cfRule type="cellIs" dxfId="176" priority="10" stopIfTrue="1" operator="greaterThan">
      <formula>30</formula>
    </cfRule>
    <cfRule type="cellIs" dxfId="175" priority="11" stopIfTrue="1" operator="between">
      <formula>0.1</formula>
      <formula>10</formula>
    </cfRule>
    <cfRule type="cellIs" dxfId="174" priority="12" stopIfTrue="1" operator="lessThan">
      <formula>0.1</formula>
    </cfRule>
  </conditionalFormatting>
  <conditionalFormatting sqref="M153:M162">
    <cfRule type="cellIs" dxfId="173" priority="7" stopIfTrue="1" operator="greaterThan">
      <formula>30</formula>
    </cfRule>
    <cfRule type="cellIs" dxfId="172" priority="8" stopIfTrue="1" operator="between">
      <formula>0.1</formula>
      <formula>10</formula>
    </cfRule>
    <cfRule type="cellIs" dxfId="171" priority="9" stopIfTrue="1" operator="lessThan">
      <formula>0.1</formula>
    </cfRule>
  </conditionalFormatting>
  <conditionalFormatting sqref="N153:N162">
    <cfRule type="cellIs" dxfId="170" priority="4" stopIfTrue="1" operator="greaterThan">
      <formula>30</formula>
    </cfRule>
    <cfRule type="cellIs" dxfId="169" priority="5" stopIfTrue="1" operator="between">
      <formula>0.1</formula>
      <formula>10</formula>
    </cfRule>
    <cfRule type="cellIs" dxfId="168" priority="6" stopIfTrue="1" operator="lessThan">
      <formula>0.1</formula>
    </cfRule>
  </conditionalFormatting>
  <conditionalFormatting sqref="W7:W162 U7:U162 S7:S162 Q7:Q162">
    <cfRule type="cellIs" dxfId="167" priority="32" stopIfTrue="1" operator="lessThan">
      <formula>0.75</formula>
    </cfRule>
  </conditionalFormatting>
  <printOptions horizontalCentered="1"/>
  <pageMargins left="0.74803149606299213" right="0.74803149606299213" top="0.98425196850393704" bottom="0.98425196850393704" header="0.51181102362204722" footer="0.51181102362204722"/>
  <pageSetup paperSize="8" scale="47" orientation="portrait" r:id="rId2"/>
  <headerFooter alignWithMargins="0"/>
  <rowBreaks count="1" manualBreakCount="1">
    <brk id="84" max="7" man="1"/>
  </rowBreaks>
  <ignoredErrors>
    <ignoredError sqref="U68:U162 S68:S162 S7:S19 U7:U19 S21:S34 U21:U34 S36:S39 U36:U39 S41:S66 U41:U66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AJ416"/>
  <sheetViews>
    <sheetView zoomScaleNormal="100" workbookViewId="0">
      <pane xSplit="2" ySplit="6" topLeftCell="C58" activePane="bottomRight" state="frozen"/>
      <selection activeCell="K42" sqref="K42"/>
      <selection pane="topRight" activeCell="K42" sqref="K42"/>
      <selection pane="bottomLeft" activeCell="K42" sqref="K42"/>
      <selection pane="bottomRight" activeCell="B60" sqref="B60"/>
    </sheetView>
  </sheetViews>
  <sheetFormatPr defaultColWidth="10.140625" defaultRowHeight="10.5" x14ac:dyDescent="0.15"/>
  <cols>
    <col min="1" max="1" width="10.140625" style="188"/>
    <col min="2" max="2" width="17.5703125" style="197" customWidth="1"/>
    <col min="3" max="14" width="17.5703125" style="188" customWidth="1"/>
    <col min="15" max="17" width="17.5703125" style="196" customWidth="1"/>
    <col min="18" max="19" width="11.7109375" style="26" customWidth="1"/>
    <col min="20" max="20" width="11.7109375" style="21" customWidth="1"/>
    <col min="21" max="25" width="11.7109375" style="10" customWidth="1"/>
    <col min="26" max="26" width="11.7109375" style="39" customWidth="1"/>
    <col min="27" max="27" width="10.7109375" style="39" customWidth="1"/>
    <col min="28" max="28" width="21" style="39" bestFit="1" customWidth="1"/>
    <col min="29" max="29" width="10.7109375" style="39" customWidth="1"/>
    <col min="30" max="30" width="16.7109375" style="230" bestFit="1" customWidth="1"/>
    <col min="31" max="31" width="9.140625" style="230"/>
    <col min="32" max="32" width="12.42578125" style="39" bestFit="1" customWidth="1"/>
    <col min="33" max="35" width="9.140625" style="39"/>
    <col min="36" max="16384" width="10.140625" style="188"/>
  </cols>
  <sheetData>
    <row r="1" spans="1:35" s="181" customFormat="1" ht="18" customHeight="1" thickTop="1" x14ac:dyDescent="0.15">
      <c r="B1" s="433" t="s">
        <v>448</v>
      </c>
      <c r="C1" s="434"/>
      <c r="D1" s="434"/>
      <c r="E1" s="434"/>
      <c r="F1" s="434"/>
      <c r="G1" s="434"/>
      <c r="H1" s="434"/>
      <c r="I1" s="434"/>
      <c r="J1" s="434"/>
      <c r="K1" s="434"/>
      <c r="L1" s="434"/>
      <c r="M1" s="434"/>
      <c r="N1" s="434"/>
      <c r="O1" s="434"/>
      <c r="P1" s="434"/>
      <c r="Q1" s="435"/>
      <c r="R1" s="26"/>
      <c r="S1" s="26"/>
      <c r="T1" s="21"/>
      <c r="U1" s="10"/>
      <c r="V1" s="10"/>
      <c r="W1" s="10"/>
      <c r="X1" s="10"/>
      <c r="Y1" s="10"/>
      <c r="Z1" s="39"/>
      <c r="AA1" s="39"/>
      <c r="AB1" s="39"/>
      <c r="AC1" s="39"/>
      <c r="AD1" s="206"/>
      <c r="AE1" s="206"/>
      <c r="AF1" s="39"/>
      <c r="AG1" s="39"/>
      <c r="AH1" s="39"/>
      <c r="AI1" s="39"/>
    </row>
    <row r="2" spans="1:35" s="181" customFormat="1" ht="18" customHeight="1" x14ac:dyDescent="0.15">
      <c r="B2" s="423" t="s">
        <v>449</v>
      </c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5"/>
      <c r="R2" s="23"/>
      <c r="S2" s="23"/>
      <c r="T2" s="3"/>
      <c r="U2" s="2"/>
      <c r="V2" s="2"/>
      <c r="W2" s="2"/>
      <c r="X2" s="175"/>
      <c r="Y2" s="2"/>
      <c r="Z2" s="31"/>
      <c r="AA2" s="31"/>
      <c r="AB2" s="93"/>
      <c r="AC2" s="93"/>
      <c r="AD2" s="206"/>
      <c r="AE2" s="206"/>
      <c r="AF2" s="93"/>
      <c r="AG2" s="93"/>
      <c r="AH2" s="93"/>
      <c r="AI2" s="31"/>
    </row>
    <row r="3" spans="1:35" s="181" customFormat="1" ht="18" customHeight="1" thickBot="1" x14ac:dyDescent="0.2">
      <c r="B3" s="426" t="s">
        <v>512</v>
      </c>
      <c r="C3" s="427"/>
      <c r="D3" s="427"/>
      <c r="E3" s="427"/>
      <c r="F3" s="427"/>
      <c r="G3" s="427"/>
      <c r="H3" s="427"/>
      <c r="I3" s="427"/>
      <c r="J3" s="427"/>
      <c r="K3" s="427"/>
      <c r="L3" s="427"/>
      <c r="M3" s="427"/>
      <c r="N3" s="427"/>
      <c r="O3" s="427"/>
      <c r="P3" s="427"/>
      <c r="Q3" s="428"/>
      <c r="R3" s="23"/>
      <c r="S3" s="23"/>
      <c r="T3" s="3"/>
      <c r="U3" s="2"/>
      <c r="V3" s="2"/>
      <c r="W3" s="2"/>
      <c r="X3" s="2"/>
      <c r="Y3" s="2"/>
      <c r="Z3" s="31"/>
      <c r="AA3" s="31"/>
      <c r="AB3" s="93"/>
      <c r="AC3" s="93"/>
      <c r="AD3" s="206"/>
      <c r="AE3" s="206"/>
      <c r="AF3" s="93"/>
      <c r="AG3" s="93"/>
      <c r="AH3" s="93"/>
      <c r="AI3" s="31"/>
    </row>
    <row r="4" spans="1:35" s="181" customFormat="1" ht="12" thickTop="1" thickBot="1" x14ac:dyDescent="0.2">
      <c r="B4" s="182"/>
      <c r="O4" s="183"/>
      <c r="P4" s="183"/>
      <c r="Q4" s="183"/>
      <c r="R4" s="21" t="s">
        <v>497</v>
      </c>
      <c r="S4" s="21"/>
      <c r="T4" s="21" t="s">
        <v>498</v>
      </c>
      <c r="U4" s="10"/>
      <c r="V4" s="10"/>
      <c r="W4" s="10"/>
      <c r="X4" s="449" t="s">
        <v>508</v>
      </c>
      <c r="Y4" s="449"/>
      <c r="Z4" s="449"/>
      <c r="AA4" s="105"/>
      <c r="AB4" s="31"/>
      <c r="AC4" s="31"/>
      <c r="AD4" s="206"/>
      <c r="AE4" s="206"/>
      <c r="AF4" s="31"/>
      <c r="AG4" s="31"/>
      <c r="AH4" s="31"/>
      <c r="AI4" s="31"/>
    </row>
    <row r="5" spans="1:35" s="181" customFormat="1" ht="12" thickTop="1" thickBot="1" x14ac:dyDescent="0.2">
      <c r="B5" s="184"/>
      <c r="C5" s="429" t="s">
        <v>451</v>
      </c>
      <c r="D5" s="429"/>
      <c r="E5" s="429"/>
      <c r="F5" s="429"/>
      <c r="G5" s="429"/>
      <c r="H5" s="429"/>
      <c r="I5" s="429"/>
      <c r="J5" s="429"/>
      <c r="K5" s="429"/>
      <c r="L5" s="429"/>
      <c r="M5" s="429"/>
      <c r="N5" s="429"/>
      <c r="O5" s="429"/>
      <c r="P5" s="430"/>
      <c r="Q5" s="431" t="s">
        <v>452</v>
      </c>
      <c r="R5" s="139" t="s">
        <v>461</v>
      </c>
      <c r="S5" s="450" t="s">
        <v>452</v>
      </c>
      <c r="T5" s="139" t="s">
        <v>460</v>
      </c>
      <c r="U5" s="450" t="s">
        <v>452</v>
      </c>
      <c r="V5" s="168" t="s">
        <v>494</v>
      </c>
      <c r="W5" s="450" t="s">
        <v>452</v>
      </c>
      <c r="X5" s="139" t="s">
        <v>461</v>
      </c>
      <c r="Y5" s="139" t="s">
        <v>460</v>
      </c>
      <c r="Z5" s="450" t="s">
        <v>509</v>
      </c>
      <c r="AA5" s="107"/>
      <c r="AB5" s="95"/>
      <c r="AC5" s="96"/>
      <c r="AD5" s="96"/>
      <c r="AE5" s="96"/>
      <c r="AF5" s="96"/>
      <c r="AG5" s="96"/>
      <c r="AH5" s="96"/>
      <c r="AI5" s="97"/>
    </row>
    <row r="6" spans="1:35" s="181" customFormat="1" ht="14.25" customHeight="1" thickTop="1" x14ac:dyDescent="0.15">
      <c r="B6" s="185" t="s">
        <v>453</v>
      </c>
      <c r="C6" s="186">
        <v>42370</v>
      </c>
      <c r="D6" s="186">
        <v>42401</v>
      </c>
      <c r="E6" s="186">
        <v>42430</v>
      </c>
      <c r="F6" s="186">
        <v>42461</v>
      </c>
      <c r="G6" s="186">
        <v>42491</v>
      </c>
      <c r="H6" s="186">
        <v>42522</v>
      </c>
      <c r="I6" s="186">
        <v>42552</v>
      </c>
      <c r="J6" s="186">
        <v>42583</v>
      </c>
      <c r="K6" s="186">
        <v>42614</v>
      </c>
      <c r="L6" s="186">
        <v>42644</v>
      </c>
      <c r="M6" s="186">
        <v>42675</v>
      </c>
      <c r="N6" s="186">
        <v>42705</v>
      </c>
      <c r="O6" s="187" t="s">
        <v>454</v>
      </c>
      <c r="P6" s="187" t="s">
        <v>484</v>
      </c>
      <c r="Q6" s="432"/>
      <c r="R6" s="149" t="s">
        <v>454</v>
      </c>
      <c r="S6" s="451"/>
      <c r="T6" s="149" t="s">
        <v>454</v>
      </c>
      <c r="U6" s="451"/>
      <c r="V6" s="158" t="s">
        <v>454</v>
      </c>
      <c r="W6" s="451"/>
      <c r="X6" s="149" t="s">
        <v>454</v>
      </c>
      <c r="Y6" s="149" t="s">
        <v>454</v>
      </c>
      <c r="Z6" s="451"/>
      <c r="AA6" s="31"/>
      <c r="AB6" s="98" t="s">
        <v>166</v>
      </c>
      <c r="AC6" s="34" t="s">
        <v>476</v>
      </c>
      <c r="AD6" s="34" t="s">
        <v>1087</v>
      </c>
      <c r="AE6" s="34" t="s">
        <v>1088</v>
      </c>
      <c r="AF6" s="34" t="s">
        <v>472</v>
      </c>
      <c r="AG6" s="34" t="s">
        <v>474</v>
      </c>
      <c r="AH6" s="34" t="s">
        <v>473</v>
      </c>
      <c r="AI6" s="99" t="s">
        <v>475</v>
      </c>
    </row>
    <row r="7" spans="1:35" ht="12" customHeight="1" x14ac:dyDescent="0.2">
      <c r="A7" s="202"/>
      <c r="B7" s="189" t="s">
        <v>989</v>
      </c>
      <c r="C7" s="190">
        <v>14.2</v>
      </c>
      <c r="D7" s="190">
        <v>13</v>
      </c>
      <c r="E7" s="190">
        <v>13.2</v>
      </c>
      <c r="F7" s="190">
        <v>20</v>
      </c>
      <c r="G7" s="190">
        <v>16.600000000000001</v>
      </c>
      <c r="H7" s="190">
        <v>22.6</v>
      </c>
      <c r="I7" s="190">
        <v>14.7</v>
      </c>
      <c r="J7" s="190">
        <v>17.399999999999999</v>
      </c>
      <c r="K7" s="190">
        <v>14.7</v>
      </c>
      <c r="L7" s="190">
        <v>11.8</v>
      </c>
      <c r="M7" s="190">
        <v>11.9</v>
      </c>
      <c r="N7" s="190">
        <v>9.6</v>
      </c>
      <c r="O7" s="191">
        <f t="shared" ref="O7:O73" si="0">(AVERAGE(C7:N7))</f>
        <v>14.975</v>
      </c>
      <c r="P7" s="191">
        <f t="shared" ref="P7:P73" si="1">IFERROR((STDEVP(C7:N7)/O7)*100,"")</f>
        <v>23.462937330186794</v>
      </c>
      <c r="Q7" s="192">
        <f t="shared" ref="Q7:Q73" si="2">COUNT(C7:N7)/COUNT($C$6:$N$6)</f>
        <v>1</v>
      </c>
      <c r="R7" s="140">
        <f>IF($S7=0%,"",IF($S7&gt;66%,AVERAGE($C7:$E7),"-"))</f>
        <v>13.466666666666667</v>
      </c>
      <c r="S7" s="150">
        <f>COUNT(C7:E7)/3</f>
        <v>1</v>
      </c>
      <c r="T7" s="140">
        <f>IF($U7=0%,"",IF($U7&gt;66%,AVERAGE($I7:$K7),"-"))</f>
        <v>15.6</v>
      </c>
      <c r="U7" s="150">
        <f>COUNT(I7:K7)/3</f>
        <v>1</v>
      </c>
      <c r="V7" s="141">
        <f>IF(AND(($S7&gt;33%),($U7&gt;33%),($W7&gt;=75%)),AVERAGE($C7:$N7),"-")</f>
        <v>14.975</v>
      </c>
      <c r="W7" s="142">
        <f>Q7</f>
        <v>1</v>
      </c>
      <c r="X7" s="144">
        <f t="shared" ref="X7:X41" si="3">IF(VLOOKUP($B7,$AC$6:$AI$161,3,FALSE)="",$R7,IF(ISERROR(AVERAGEIF($AD$6:$AD$161,VLOOKUP($B7,$AC$6:$AI$161,2,FALSE),$R$6:$R$161)),"",AVERAGEIF($AD$6:$AD$161,VLOOKUP($B7,$AC$6:$AI$161,2,FALSE),$R$6:$R$161)))</f>
        <v>13.466666666666667</v>
      </c>
      <c r="Y7" s="144">
        <f t="shared" ref="Y7:Y41" si="4">IF(VLOOKUP($B7,$AC$6:$AI$161,3,FALSE)="",$T7,IF(ISERROR(AVERAGEIF($AD$6:$AD$161,VLOOKUP($B7,$AC$6:$AI$161,2,FALSE),$T$6:$T$161)),"",AVERAGEIF($AD$6:$AD$161,VLOOKUP($B7,$AC$6:$AI$161,2,FALSE),$T$6:$T$161)))</f>
        <v>15.6</v>
      </c>
      <c r="Z7" s="144">
        <f t="shared" ref="Z7:Z41" si="5">IF(VLOOKUP($B7,$AC$6:$AI$161,3,FALSE)="",$V7,IF(ISERROR(AVERAGEIF($AD$6:$AD$161,VLOOKUP($B7,$AC$6:$AI$161,2,FALSE),$V$6:$V$161)),"",AVERAGEIF($AD$6:$AD$161,VLOOKUP($B7,$AC$6:$AI$161,2,FALSE),$V$6:$V$161)))</f>
        <v>14.975</v>
      </c>
      <c r="AA7" s="10"/>
      <c r="AB7" s="100" t="str">
        <f>VLOOKUP($B7,'2007-2020 Metadata'!$A$4:$S$214,MATCH("Urban Area /Monitoring Zone",'2007-2020 Metadata'!$A$4:$S$4,0),FALSE)</f>
        <v>Auckland - Northern</v>
      </c>
      <c r="AC7" s="87" t="str">
        <f>VLOOKUP(B7,'2007-2020 Metadata'!$A$6:$A$214,1,FALSE)</f>
        <v>AUC004a</v>
      </c>
      <c r="AD7" s="230" t="str">
        <f>VLOOKUP($AC7,'2007-2020 Metadata'!$A$6:$S$214,9,FALSE)</f>
        <v>Rodney</v>
      </c>
      <c r="AE7" s="248" t="str">
        <f>IF(ISBLANK(VLOOKUP($AC7,'2007-2020 Metadata'!$A$6:$S$214,19,FALSE)),"",VLOOKUP($AC7,'2007-2020 Metadata'!$A$6:$S$214,19,FALSE))</f>
        <v/>
      </c>
      <c r="AF7" s="88" t="str">
        <f>VLOOKUP($B7,'2007-2020 Metadata'!$A$4:$S$214,MATCH("Site type",'2007-2020 Metadata'!$A$4:$S$4,0),FALSE)</f>
        <v>Local (ex SH)</v>
      </c>
      <c r="AG7" s="143">
        <f>MIN(C7:N7)</f>
        <v>9.6</v>
      </c>
      <c r="AH7" s="143">
        <f>MAX(C7:N7)</f>
        <v>22.6</v>
      </c>
      <c r="AI7" s="144">
        <f>IF(W7&gt;=75%,Z7," ")</f>
        <v>14.975</v>
      </c>
    </row>
    <row r="8" spans="1:35" ht="12" customHeight="1" x14ac:dyDescent="0.2">
      <c r="A8" s="202"/>
      <c r="B8" s="193" t="s">
        <v>4</v>
      </c>
      <c r="C8" s="190">
        <v>23</v>
      </c>
      <c r="D8" s="190">
        <v>25.6</v>
      </c>
      <c r="E8" s="190">
        <v>27.7</v>
      </c>
      <c r="F8" s="190">
        <v>33.200000000000003</v>
      </c>
      <c r="G8" s="190">
        <v>34.1</v>
      </c>
      <c r="H8" s="190">
        <v>42.2</v>
      </c>
      <c r="I8" s="190">
        <v>28.2</v>
      </c>
      <c r="J8" s="190">
        <v>43.1</v>
      </c>
      <c r="K8" s="190">
        <v>34.6</v>
      </c>
      <c r="L8" s="190">
        <v>32.1</v>
      </c>
      <c r="M8" s="190">
        <v>27.8</v>
      </c>
      <c r="N8" s="190">
        <v>17.100000000000001</v>
      </c>
      <c r="O8" s="191">
        <f t="shared" si="0"/>
        <v>30.725000000000009</v>
      </c>
      <c r="P8" s="191">
        <f t="shared" si="1"/>
        <v>23.298105889437501</v>
      </c>
      <c r="Q8" s="192">
        <f t="shared" si="2"/>
        <v>1</v>
      </c>
      <c r="R8" s="140">
        <f>IF($S8=0%,"",IF($S8&gt;66%,AVERAGE($C8:$E8),"-"))</f>
        <v>25.433333333333334</v>
      </c>
      <c r="S8" s="150">
        <f t="shared" ref="S8:S74" si="6">COUNT(C8:E8)/3</f>
        <v>1</v>
      </c>
      <c r="T8" s="140">
        <f>IF($U8=0%,"",IF($U8&gt;66%,AVERAGE($I8:$K8),"-"))</f>
        <v>35.300000000000004</v>
      </c>
      <c r="U8" s="150">
        <f t="shared" ref="U8:U74" si="7">COUNT(I8:K8)/3</f>
        <v>1</v>
      </c>
      <c r="V8" s="141">
        <f>IF(AND(($S8&gt;33%),($U8&gt;33%),($W8&gt;=75%)),AVERAGE($C8:$N8),"-")</f>
        <v>30.725000000000009</v>
      </c>
      <c r="W8" s="142">
        <f t="shared" ref="W8:W74" si="8">Q8</f>
        <v>1</v>
      </c>
      <c r="X8" s="144">
        <f t="shared" si="3"/>
        <v>19.560606060606059</v>
      </c>
      <c r="Y8" s="144">
        <f t="shared" si="4"/>
        <v>29.354545454545452</v>
      </c>
      <c r="Z8" s="144">
        <f t="shared" si="5"/>
        <v>25.01790633608816</v>
      </c>
      <c r="AA8" s="10"/>
      <c r="AB8" s="357" t="str">
        <f>VLOOKUP($B8,'2007-2020 Metadata'!$A$4:$S$214,MATCH("Urban Area /Monitoring Zone",'2007-2020 Metadata'!$A$4:$S$4,0),FALSE)</f>
        <v>Auckland - Northern</v>
      </c>
      <c r="AC8" s="87" t="str">
        <f>VLOOKUP(B8,'2007-2020 Metadata'!$A$6:$A$214,1,FALSE)</f>
        <v>AUC005</v>
      </c>
      <c r="AD8" s="230" t="str">
        <f>VLOOKUP($AC8,'2007-2020 Metadata'!$A$6:$S$214,9,FALSE)</f>
        <v xml:space="preserve">North Shore </v>
      </c>
      <c r="AE8" s="248">
        <f>IF(ISBLANK(VLOOKUP($AC8,'2007-2020 Metadata'!$A$6:$S$214,19,FALSE)),"",VLOOKUP($AC8,'2007-2020 Metadata'!$A$6:$S$214,19,FALSE))</f>
        <v>2.1</v>
      </c>
      <c r="AF8" s="88" t="str">
        <f>VLOOKUP($B8,'2007-2020 Metadata'!$A$4:$S$214,MATCH("Site type",'2007-2020 Metadata'!$A$4:$S$4,0),FALSE)</f>
        <v>Local</v>
      </c>
      <c r="AG8" s="143">
        <f t="shared" ref="AG8:AG74" si="9">MIN(C8:N8)</f>
        <v>17.100000000000001</v>
      </c>
      <c r="AH8" s="143">
        <f t="shared" ref="AH8:AH74" si="10">MAX(C8:N8)</f>
        <v>43.1</v>
      </c>
      <c r="AI8" s="144">
        <f t="shared" ref="AI8:AI74" si="11">IF(W8&gt;=75%,Z8," ")</f>
        <v>25.01790633608816</v>
      </c>
    </row>
    <row r="9" spans="1:35" ht="12" customHeight="1" x14ac:dyDescent="0.2">
      <c r="A9" s="202"/>
      <c r="B9" s="193" t="s">
        <v>6</v>
      </c>
      <c r="C9" s="190">
        <v>24.9</v>
      </c>
      <c r="D9" s="190">
        <v>26.9</v>
      </c>
      <c r="E9" s="190">
        <v>24.9</v>
      </c>
      <c r="F9" s="190">
        <v>29.6</v>
      </c>
      <c r="G9" s="190">
        <v>24.5</v>
      </c>
      <c r="H9" s="190">
        <v>33.4</v>
      </c>
      <c r="I9" s="190">
        <v>23.3</v>
      </c>
      <c r="J9" s="190">
        <v>28.1</v>
      </c>
      <c r="K9" s="190">
        <v>31.5</v>
      </c>
      <c r="L9" s="190">
        <v>17.899999999999999</v>
      </c>
      <c r="M9" s="190">
        <v>13.7</v>
      </c>
      <c r="N9" s="190">
        <v>12.9</v>
      </c>
      <c r="O9" s="191">
        <f t="shared" si="0"/>
        <v>24.299999999999997</v>
      </c>
      <c r="P9" s="191">
        <f t="shared" si="1"/>
        <v>25.726473848932429</v>
      </c>
      <c r="Q9" s="192">
        <f t="shared" si="2"/>
        <v>1</v>
      </c>
      <c r="R9" s="140">
        <f>IF($S9=0%,"",IF($S9&gt;66%,AVERAGE($C9:$E9),"-"))</f>
        <v>25.566666666666663</v>
      </c>
      <c r="S9" s="150">
        <f t="shared" si="6"/>
        <v>1</v>
      </c>
      <c r="T9" s="140">
        <f>IF($U9=0%,"",IF($U9&gt;66%,AVERAGE($I9:$K9),"-"))</f>
        <v>27.633333333333336</v>
      </c>
      <c r="U9" s="150">
        <f t="shared" si="7"/>
        <v>1</v>
      </c>
      <c r="V9" s="141">
        <f>IF(AND(($S9&gt;33%),($U9&gt;33%),($W9&gt;=75%)),AVERAGE($C9:$N9),"-")</f>
        <v>24.299999999999997</v>
      </c>
      <c r="W9" s="142">
        <f t="shared" si="8"/>
        <v>1</v>
      </c>
      <c r="X9" s="144">
        <f t="shared" si="3"/>
        <v>19.560606060606059</v>
      </c>
      <c r="Y9" s="144">
        <f t="shared" si="4"/>
        <v>29.354545454545452</v>
      </c>
      <c r="Z9" s="144">
        <f t="shared" si="5"/>
        <v>25.01790633608816</v>
      </c>
      <c r="AA9" s="10"/>
      <c r="AB9" s="357" t="str">
        <f>VLOOKUP($B9,'2007-2020 Metadata'!$A$4:$S$214,MATCH("Urban Area /Monitoring Zone",'2007-2020 Metadata'!$A$4:$S$4,0),FALSE)</f>
        <v>Auckland - Northern</v>
      </c>
      <c r="AC9" s="87" t="str">
        <f>VLOOKUP(B9,'2007-2020 Metadata'!$A$6:$A$214,1,FALSE)</f>
        <v>AUC007</v>
      </c>
      <c r="AD9" s="230" t="str">
        <f>VLOOKUP($AC9,'2007-2020 Metadata'!$A$6:$S$214,9,FALSE)</f>
        <v xml:space="preserve">North Shore </v>
      </c>
      <c r="AE9" s="248">
        <f>IF(ISBLANK(VLOOKUP($AC9,'2007-2020 Metadata'!$A$6:$S$214,19,FALSE)),"",VLOOKUP($AC9,'2007-2020 Metadata'!$A$6:$S$214,19,FALSE))</f>
        <v>3</v>
      </c>
      <c r="AF9" s="88" t="str">
        <f>VLOOKUP($B9,'2007-2020 Metadata'!$A$4:$S$214,MATCH("Site type",'2007-2020 Metadata'!$A$4:$S$4,0),FALSE)</f>
        <v>SH</v>
      </c>
      <c r="AG9" s="143">
        <f t="shared" si="9"/>
        <v>12.9</v>
      </c>
      <c r="AH9" s="143">
        <f t="shared" si="10"/>
        <v>33.4</v>
      </c>
      <c r="AI9" s="144">
        <f t="shared" si="11"/>
        <v>25.01790633608816</v>
      </c>
    </row>
    <row r="10" spans="1:35" ht="12" customHeight="1" x14ac:dyDescent="0.2">
      <c r="A10" s="202"/>
      <c r="B10" s="193" t="s">
        <v>7</v>
      </c>
      <c r="C10" s="190">
        <v>19.2</v>
      </c>
      <c r="D10" s="190">
        <v>27.3</v>
      </c>
      <c r="E10" s="190">
        <v>23.4</v>
      </c>
      <c r="F10" s="190">
        <v>25.5</v>
      </c>
      <c r="G10" s="190">
        <v>26.8</v>
      </c>
      <c r="H10" s="190">
        <v>32.700000000000003</v>
      </c>
      <c r="I10" s="190">
        <v>21.3</v>
      </c>
      <c r="J10" s="190">
        <v>27.8</v>
      </c>
      <c r="K10" s="190">
        <v>30.3</v>
      </c>
      <c r="L10" s="190">
        <v>19.8</v>
      </c>
      <c r="M10" s="190">
        <v>14.2</v>
      </c>
      <c r="N10" s="190">
        <v>12.7</v>
      </c>
      <c r="O10" s="191">
        <f t="shared" si="0"/>
        <v>23.416666666666671</v>
      </c>
      <c r="P10" s="191">
        <f t="shared" si="1"/>
        <v>25.22757703339029</v>
      </c>
      <c r="Q10" s="192">
        <f t="shared" si="2"/>
        <v>1</v>
      </c>
      <c r="R10" s="140">
        <f t="shared" ref="R10:R74" si="12">IF($S10=0%,"",IF($S10&gt;66%,AVERAGE($C10:$E10),"-"))</f>
        <v>23.3</v>
      </c>
      <c r="S10" s="150">
        <f t="shared" si="6"/>
        <v>1</v>
      </c>
      <c r="T10" s="140">
        <f t="shared" ref="T10:T74" si="13">IF($U10=0%,"",IF($U10&gt;66%,AVERAGE($I10:$K10),"-"))</f>
        <v>26.466666666666669</v>
      </c>
      <c r="U10" s="150">
        <f t="shared" si="7"/>
        <v>1</v>
      </c>
      <c r="V10" s="141">
        <f t="shared" ref="V10:V74" si="14">IF(AND(($S10&gt;33%),($U10&gt;33%),($W10&gt;=75%)),AVERAGE($C10:$N10),"-")</f>
        <v>23.416666666666671</v>
      </c>
      <c r="W10" s="142">
        <f t="shared" si="8"/>
        <v>1</v>
      </c>
      <c r="X10" s="144">
        <f t="shared" si="3"/>
        <v>22.990909090909096</v>
      </c>
      <c r="Y10" s="144">
        <f t="shared" si="4"/>
        <v>34.333333333333336</v>
      </c>
      <c r="Z10" s="144">
        <f t="shared" si="5"/>
        <v>27.700303030303029</v>
      </c>
      <c r="AA10" s="10"/>
      <c r="AB10" s="357" t="str">
        <f>VLOOKUP($B10,'2007-2020 Metadata'!$A$4:$S$214,MATCH("Urban Area /Monitoring Zone",'2007-2020 Metadata'!$A$4:$S$4,0),FALSE)</f>
        <v>Auckland - Central</v>
      </c>
      <c r="AC10" s="87" t="str">
        <f>VLOOKUP(B10,'2007-2020 Metadata'!$A$6:$A$214,1,FALSE)</f>
        <v>AUC008</v>
      </c>
      <c r="AD10" s="230" t="str">
        <f>VLOOKUP($AC10,'2007-2020 Metadata'!$A$6:$S$214,9,FALSE)</f>
        <v>Auckland</v>
      </c>
      <c r="AE10" s="248">
        <f>IF(ISBLANK(VLOOKUP($AC10,'2007-2020 Metadata'!$A$6:$S$214,19,FALSE)),"",VLOOKUP($AC10,'2007-2020 Metadata'!$A$6:$S$214,19,FALSE))</f>
        <v>3</v>
      </c>
      <c r="AF10" s="88" t="str">
        <f>VLOOKUP($B10,'2007-2020 Metadata'!$A$4:$S$214,MATCH("Site type",'2007-2020 Metadata'!$A$4:$S$4,0),FALSE)</f>
        <v>SH</v>
      </c>
      <c r="AG10" s="143">
        <f t="shared" si="9"/>
        <v>12.7</v>
      </c>
      <c r="AH10" s="143">
        <f t="shared" si="10"/>
        <v>32.700000000000003</v>
      </c>
      <c r="AI10" s="144">
        <f t="shared" si="11"/>
        <v>27.700303030303029</v>
      </c>
    </row>
    <row r="11" spans="1:35" ht="12" customHeight="1" x14ac:dyDescent="0.2">
      <c r="A11" s="202"/>
      <c r="B11" s="193" t="s">
        <v>990</v>
      </c>
      <c r="C11" s="190">
        <v>25.8</v>
      </c>
      <c r="D11" s="190">
        <v>36.5</v>
      </c>
      <c r="E11" s="190">
        <v>40.200000000000003</v>
      </c>
      <c r="F11" s="194"/>
      <c r="G11" s="194"/>
      <c r="H11" s="194"/>
      <c r="I11" s="194"/>
      <c r="J11" s="194"/>
      <c r="K11" s="194"/>
      <c r="L11" s="194"/>
      <c r="M11" s="194"/>
      <c r="N11" s="194"/>
      <c r="O11" s="191">
        <f t="shared" si="0"/>
        <v>34.166666666666664</v>
      </c>
      <c r="P11" s="191">
        <f t="shared" si="1"/>
        <v>17.870976540147819</v>
      </c>
      <c r="Q11" s="192">
        <f t="shared" si="2"/>
        <v>0.25</v>
      </c>
      <c r="R11" s="140">
        <f t="shared" si="12"/>
        <v>34.166666666666664</v>
      </c>
      <c r="S11" s="150">
        <f t="shared" si="6"/>
        <v>1</v>
      </c>
      <c r="T11" s="140" t="str">
        <f t="shared" si="13"/>
        <v/>
      </c>
      <c r="U11" s="150">
        <f t="shared" si="7"/>
        <v>0</v>
      </c>
      <c r="V11" s="141" t="str">
        <f t="shared" si="14"/>
        <v>-</v>
      </c>
      <c r="W11" s="142">
        <f t="shared" si="8"/>
        <v>0.25</v>
      </c>
      <c r="X11" s="144">
        <f t="shared" si="3"/>
        <v>34.166666666666664</v>
      </c>
      <c r="Y11" s="144" t="str">
        <f t="shared" si="4"/>
        <v/>
      </c>
      <c r="Z11" s="144" t="str">
        <f t="shared" si="5"/>
        <v>-</v>
      </c>
      <c r="AA11" s="10"/>
      <c r="AB11" s="357" t="str">
        <f>VLOOKUP($B11,'2007-2020 Metadata'!$A$4:$S$214,MATCH("Urban Area /Monitoring Zone",'2007-2020 Metadata'!$A$4:$S$4,0),FALSE)</f>
        <v>Auckland - Central</v>
      </c>
      <c r="AC11" s="87" t="str">
        <f>VLOOKUP(B11,'2007-2020 Metadata'!$A$6:$A$214,1,FALSE)</f>
        <v>AUC009a</v>
      </c>
      <c r="AD11" s="230" t="str">
        <f>VLOOKUP($AC11,'2007-2020 Metadata'!$A$6:$S$214,9,FALSE)</f>
        <v>Auckland</v>
      </c>
      <c r="AE11" s="248" t="str">
        <f>IF(ISBLANK(VLOOKUP($AC11,'2007-2020 Metadata'!$A$6:$S$214,19,FALSE)),"",VLOOKUP($AC11,'2007-2020 Metadata'!$A$6:$S$214,19,FALSE))</f>
        <v/>
      </c>
      <c r="AF11" s="88" t="str">
        <f>VLOOKUP($B11,'2007-2020 Metadata'!$A$4:$S$214,MATCH("Site type",'2007-2020 Metadata'!$A$4:$S$4,0),FALSE)</f>
        <v>SH</v>
      </c>
      <c r="AG11" s="143">
        <f t="shared" si="9"/>
        <v>25.8</v>
      </c>
      <c r="AH11" s="143">
        <f t="shared" si="10"/>
        <v>40.200000000000003</v>
      </c>
      <c r="AI11" s="144" t="str">
        <f t="shared" si="11"/>
        <v xml:space="preserve"> </v>
      </c>
    </row>
    <row r="12" spans="1:35" ht="12" customHeight="1" x14ac:dyDescent="0.2">
      <c r="A12" s="202"/>
      <c r="B12" s="193" t="s">
        <v>991</v>
      </c>
      <c r="C12" s="194"/>
      <c r="D12" s="194"/>
      <c r="E12" s="194"/>
      <c r="F12" s="190">
        <v>56.9</v>
      </c>
      <c r="G12" s="190">
        <v>50.8</v>
      </c>
      <c r="H12" s="190">
        <v>58.4</v>
      </c>
      <c r="I12" s="190">
        <v>57.5</v>
      </c>
      <c r="J12" s="190">
        <v>60</v>
      </c>
      <c r="K12" s="190">
        <v>54.5</v>
      </c>
      <c r="L12" s="190">
        <v>54.9</v>
      </c>
      <c r="M12" s="190">
        <v>42.4</v>
      </c>
      <c r="N12" s="190">
        <v>36.9</v>
      </c>
      <c r="O12" s="191">
        <f t="shared" si="0"/>
        <v>52.477777777777774</v>
      </c>
      <c r="P12" s="191">
        <f t="shared" ref="P12" si="15">IFERROR((STDEVP(C12:N12)/O12)*100,"")</f>
        <v>14.109724346992641</v>
      </c>
      <c r="Q12" s="192">
        <f t="shared" ref="Q12" si="16">COUNT(C12:N12)/COUNT($C$6:$N$6)</f>
        <v>0.75</v>
      </c>
      <c r="R12" s="140" t="str">
        <f t="shared" si="12"/>
        <v/>
      </c>
      <c r="S12" s="150">
        <f t="shared" ref="S12" si="17">COUNT(C12:E12)/3</f>
        <v>0</v>
      </c>
      <c r="T12" s="140">
        <f t="shared" si="13"/>
        <v>57.333333333333336</v>
      </c>
      <c r="U12" s="150">
        <f t="shared" ref="U12" si="18">COUNT(I12:K12)/3</f>
        <v>1</v>
      </c>
      <c r="V12" s="141" t="str">
        <f t="shared" si="14"/>
        <v>-</v>
      </c>
      <c r="W12" s="142">
        <f t="shared" ref="W12" si="19">Q12</f>
        <v>0.75</v>
      </c>
      <c r="X12" s="144" t="str">
        <f t="shared" si="3"/>
        <v/>
      </c>
      <c r="Y12" s="144">
        <f t="shared" si="4"/>
        <v>57.333333333333336</v>
      </c>
      <c r="Z12" s="144" t="str">
        <f t="shared" si="5"/>
        <v>-</v>
      </c>
      <c r="AA12" s="10"/>
      <c r="AB12" s="357" t="str">
        <f>VLOOKUP($B12,'2007-2020 Metadata'!$A$4:$S$214,MATCH("Urban Area /Monitoring Zone",'2007-2020 Metadata'!$A$4:$S$4,0),FALSE)</f>
        <v>Auckland - Central</v>
      </c>
      <c r="AC12" s="87" t="str">
        <f>VLOOKUP(B12,'2007-2020 Metadata'!$A$6:$A$214,1,FALSE)</f>
        <v>AUC009b</v>
      </c>
      <c r="AD12" s="230" t="str">
        <f>VLOOKUP($AC12,'2007-2020 Metadata'!$A$6:$S$214,9,FALSE)</f>
        <v>Auckland</v>
      </c>
      <c r="AE12" s="248" t="str">
        <f>IF(ISBLANK(VLOOKUP($AC12,'2007-2020 Metadata'!$A$6:$S$214,19,FALSE)),"",VLOOKUP($AC12,'2007-2020 Metadata'!$A$6:$S$214,19,FALSE))</f>
        <v/>
      </c>
      <c r="AF12" s="88" t="str">
        <f>VLOOKUP($B12,'2007-2020 Metadata'!$A$4:$S$214,MATCH("Site type",'2007-2020 Metadata'!$A$4:$S$4,0),FALSE)</f>
        <v>SH</v>
      </c>
      <c r="AG12" s="143">
        <f t="shared" ref="AG12" si="20">MIN(C12:N12)</f>
        <v>36.9</v>
      </c>
      <c r="AH12" s="143">
        <f t="shared" ref="AH12" si="21">MAX(C12:N12)</f>
        <v>60</v>
      </c>
      <c r="AI12" s="144" t="str">
        <f t="shared" ref="AI12" si="22">IF(W12&gt;=75%,Z12," ")</f>
        <v>-</v>
      </c>
    </row>
    <row r="13" spans="1:35" ht="12" customHeight="1" x14ac:dyDescent="0.2">
      <c r="A13" s="202"/>
      <c r="B13" s="193" t="s">
        <v>9</v>
      </c>
      <c r="C13" s="190">
        <v>22.3</v>
      </c>
      <c r="D13" s="190">
        <v>23.9</v>
      </c>
      <c r="E13" s="190">
        <v>31.6</v>
      </c>
      <c r="F13" s="190">
        <v>42.9</v>
      </c>
      <c r="G13" s="190">
        <v>39.6</v>
      </c>
      <c r="H13" s="190">
        <v>43.6</v>
      </c>
      <c r="I13" s="190">
        <v>38.700000000000003</v>
      </c>
      <c r="J13" s="190">
        <v>44.3</v>
      </c>
      <c r="K13" s="190">
        <v>35.9</v>
      </c>
      <c r="L13" s="190">
        <v>37.1</v>
      </c>
      <c r="M13" s="190">
        <v>27.1</v>
      </c>
      <c r="N13" s="190">
        <v>18.899999999999999</v>
      </c>
      <c r="O13" s="191">
        <f t="shared" si="0"/>
        <v>33.825000000000003</v>
      </c>
      <c r="P13" s="191">
        <f t="shared" si="1"/>
        <v>25.086445133427716</v>
      </c>
      <c r="Q13" s="192">
        <f t="shared" si="2"/>
        <v>1</v>
      </c>
      <c r="R13" s="140">
        <f t="shared" si="12"/>
        <v>25.933333333333337</v>
      </c>
      <c r="S13" s="150">
        <f t="shared" si="6"/>
        <v>1</v>
      </c>
      <c r="T13" s="140">
        <f t="shared" si="13"/>
        <v>39.633333333333333</v>
      </c>
      <c r="U13" s="150">
        <f t="shared" si="7"/>
        <v>1</v>
      </c>
      <c r="V13" s="141">
        <f t="shared" si="14"/>
        <v>33.825000000000003</v>
      </c>
      <c r="W13" s="142">
        <f t="shared" si="8"/>
        <v>1</v>
      </c>
      <c r="X13" s="144">
        <f t="shared" si="3"/>
        <v>22.990909090909096</v>
      </c>
      <c r="Y13" s="144">
        <f t="shared" si="4"/>
        <v>34.333333333333336</v>
      </c>
      <c r="Z13" s="144">
        <f t="shared" si="5"/>
        <v>27.700303030303029</v>
      </c>
      <c r="AA13" s="10"/>
      <c r="AB13" s="357" t="str">
        <f>VLOOKUP($B13,'2007-2020 Metadata'!$A$4:$S$214,MATCH("Urban Area /Monitoring Zone",'2007-2020 Metadata'!$A$4:$S$4,0),FALSE)</f>
        <v>Auckland - Central</v>
      </c>
      <c r="AC13" s="87" t="str">
        <f>VLOOKUP(B13,'2007-2020 Metadata'!$A$6:$A$214,1,FALSE)</f>
        <v>AUC011</v>
      </c>
      <c r="AD13" s="230" t="str">
        <f>VLOOKUP($AC13,'2007-2020 Metadata'!$A$6:$S$214,9,FALSE)</f>
        <v>Auckland</v>
      </c>
      <c r="AE13" s="248">
        <f>IF(ISBLANK(VLOOKUP($AC13,'2007-2020 Metadata'!$A$6:$S$214,19,FALSE)),"",VLOOKUP($AC13,'2007-2020 Metadata'!$A$6:$S$214,19,FALSE))</f>
        <v>3</v>
      </c>
      <c r="AF13" s="88" t="str">
        <f>VLOOKUP($B13,'2007-2020 Metadata'!$A$4:$S$214,MATCH("Site type",'2007-2020 Metadata'!$A$4:$S$4,0),FALSE)</f>
        <v>SH</v>
      </c>
      <c r="AG13" s="143">
        <f t="shared" si="9"/>
        <v>18.899999999999999</v>
      </c>
      <c r="AH13" s="143">
        <f t="shared" si="10"/>
        <v>44.3</v>
      </c>
      <c r="AI13" s="144">
        <f t="shared" si="11"/>
        <v>27.700303030303029</v>
      </c>
    </row>
    <row r="14" spans="1:35" ht="12" customHeight="1" x14ac:dyDescent="0.2">
      <c r="A14" s="202"/>
      <c r="B14" s="193" t="s">
        <v>10</v>
      </c>
      <c r="C14" s="190">
        <v>19.5</v>
      </c>
      <c r="D14" s="190">
        <v>19.600000000000001</v>
      </c>
      <c r="E14" s="190">
        <v>24.6</v>
      </c>
      <c r="F14" s="190">
        <v>38.9</v>
      </c>
      <c r="G14" s="190">
        <v>37.1</v>
      </c>
      <c r="H14" s="190">
        <v>37.799999999999997</v>
      </c>
      <c r="I14" s="190">
        <v>35.9</v>
      </c>
      <c r="J14" s="190">
        <v>38.700000000000003</v>
      </c>
      <c r="K14" s="190">
        <v>30.3</v>
      </c>
      <c r="L14" s="190">
        <v>27.2</v>
      </c>
      <c r="M14" s="190">
        <v>22.4</v>
      </c>
      <c r="N14" s="190">
        <v>16.399999999999999</v>
      </c>
      <c r="O14" s="191">
        <f t="shared" si="0"/>
        <v>29.033333333333331</v>
      </c>
      <c r="P14" s="191">
        <f t="shared" si="1"/>
        <v>27.910421785941537</v>
      </c>
      <c r="Q14" s="192">
        <f t="shared" si="2"/>
        <v>1</v>
      </c>
      <c r="R14" s="260">
        <f t="shared" si="12"/>
        <v>21.233333333333334</v>
      </c>
      <c r="S14" s="261">
        <f t="shared" si="6"/>
        <v>1</v>
      </c>
      <c r="T14" s="260">
        <f t="shared" si="13"/>
        <v>34.966666666666661</v>
      </c>
      <c r="U14" s="261">
        <f t="shared" si="7"/>
        <v>1</v>
      </c>
      <c r="V14" s="262">
        <f t="shared" si="14"/>
        <v>29.033333333333331</v>
      </c>
      <c r="W14" s="261">
        <f t="shared" si="8"/>
        <v>1</v>
      </c>
      <c r="X14" s="177">
        <f t="shared" si="3"/>
        <v>22.990909090909096</v>
      </c>
      <c r="Y14" s="177">
        <f t="shared" si="4"/>
        <v>34.333333333333336</v>
      </c>
      <c r="Z14" s="177">
        <f t="shared" si="5"/>
        <v>27.700303030303029</v>
      </c>
      <c r="AA14" s="10"/>
      <c r="AB14" s="357" t="str">
        <f>VLOOKUP($B14,'2007-2020 Metadata'!$A$4:$S$214,MATCH("Urban Area /Monitoring Zone",'2007-2020 Metadata'!$A$4:$S$4,0),FALSE)</f>
        <v>Auckland - Central</v>
      </c>
      <c r="AC14" s="259" t="str">
        <f>VLOOKUP(B14,'2007-2020 Metadata'!$A$6:$A$214,1,FALSE)</f>
        <v>AUC013</v>
      </c>
      <c r="AD14" s="256" t="str">
        <f>VLOOKUP($AC14,'2007-2020 Metadata'!$A$6:$S$214,9,FALSE)</f>
        <v>Auckland</v>
      </c>
      <c r="AE14" s="263">
        <f>IF(ISBLANK(VLOOKUP($AC14,'2007-2020 Metadata'!$A$6:$S$214,19,FALSE)),"",VLOOKUP($AC14,'2007-2020 Metadata'!$A$6:$S$214,19,FALSE))</f>
        <v>4</v>
      </c>
      <c r="AF14" s="257" t="str">
        <f>VLOOKUP($B14,'2007-2020 Metadata'!$A$4:$S$214,MATCH("Site type",'2007-2020 Metadata'!$A$4:$S$4,0),FALSE)</f>
        <v>SH</v>
      </c>
      <c r="AG14" s="258">
        <f>MIN(AVERAGE($C$15:$C$17),AVERAGE($D$15:$D$17),AVERAGE($E$15:$E$17),AVERAGE($F$15:$F$17),AVERAGE($G$15:$G$17),AVERAGE($H$15:$H$17),AVERAGE($I$15:$I$17),AVERAGE($J$15:$J$17),AVERAGE($K$15:$K$17),AVERAGE($L$15:$L$17),AVERAGE($M$15:$M$17),AVERAGE($N$15:$N$17))</f>
        <v>18.033333333333331</v>
      </c>
      <c r="AH14" s="258">
        <f>MAX(AVERAGE($C$15:$C$17),AVERAGE($D$15:$D$17),AVERAGE($E$15:$E$17),AVERAGE($F$15:$F$17),AVERAGE($G$15:$G$17),AVERAGE($H$15:$H$17),AVERAGE($I$15:$I$17),AVERAGE($J$15:$J$17),AVERAGE($K$15:$K$17),AVERAGE($L$15:$L$17),AVERAGE($M$15:$M$17),AVERAGE($N$15:$N$17))</f>
        <v>38.950000000000003</v>
      </c>
      <c r="AI14" s="177">
        <f t="shared" si="11"/>
        <v>27.700303030303029</v>
      </c>
    </row>
    <row r="15" spans="1:35" ht="12" customHeight="1" x14ac:dyDescent="0.2">
      <c r="A15" s="202"/>
      <c r="B15" s="193" t="s">
        <v>11</v>
      </c>
      <c r="C15" s="190">
        <v>19.5</v>
      </c>
      <c r="D15" s="190">
        <v>19.100000000000001</v>
      </c>
      <c r="E15" s="190">
        <v>24.3</v>
      </c>
      <c r="F15" s="190">
        <v>36.799999999999997</v>
      </c>
      <c r="G15" s="190">
        <v>36.5</v>
      </c>
      <c r="H15" s="190">
        <v>38.6</v>
      </c>
      <c r="I15" s="190">
        <v>35.6</v>
      </c>
      <c r="J15" s="190">
        <v>37.1</v>
      </c>
      <c r="K15" s="190">
        <v>27.6</v>
      </c>
      <c r="L15" s="190">
        <v>26.9</v>
      </c>
      <c r="M15" s="190">
        <v>24.3</v>
      </c>
      <c r="N15" s="190">
        <v>16.2</v>
      </c>
      <c r="O15" s="191">
        <f t="shared" si="0"/>
        <v>28.541666666666661</v>
      </c>
      <c r="P15" s="191">
        <f t="shared" si="1"/>
        <v>27.111796261225653</v>
      </c>
      <c r="Q15" s="192">
        <f t="shared" si="2"/>
        <v>1</v>
      </c>
      <c r="R15" s="260">
        <f t="shared" si="12"/>
        <v>20.966666666666669</v>
      </c>
      <c r="S15" s="261">
        <f t="shared" si="6"/>
        <v>1</v>
      </c>
      <c r="T15" s="260">
        <f t="shared" si="13"/>
        <v>33.433333333333337</v>
      </c>
      <c r="U15" s="261">
        <f t="shared" si="7"/>
        <v>1</v>
      </c>
      <c r="V15" s="262">
        <f t="shared" si="14"/>
        <v>28.541666666666661</v>
      </c>
      <c r="W15" s="261">
        <f t="shared" si="8"/>
        <v>1</v>
      </c>
      <c r="X15" s="177">
        <f t="shared" si="3"/>
        <v>22.990909090909096</v>
      </c>
      <c r="Y15" s="177">
        <f t="shared" si="4"/>
        <v>34.333333333333336</v>
      </c>
      <c r="Z15" s="177">
        <f t="shared" si="5"/>
        <v>27.700303030303029</v>
      </c>
      <c r="AA15" s="10"/>
      <c r="AB15" s="357" t="str">
        <f>VLOOKUP($B15,'2007-2020 Metadata'!$A$4:$S$214,MATCH("Urban Area /Monitoring Zone",'2007-2020 Metadata'!$A$4:$S$4,0),FALSE)</f>
        <v>Auckland - Central</v>
      </c>
      <c r="AC15" s="259" t="str">
        <f>VLOOKUP(B15,'2007-2020 Metadata'!$A$6:$A$214,1,FALSE)</f>
        <v>AUC014</v>
      </c>
      <c r="AD15" s="256" t="str">
        <f>VLOOKUP($AC15,'2007-2020 Metadata'!$A$6:$S$214,9,FALSE)</f>
        <v>Auckland</v>
      </c>
      <c r="AE15" s="263">
        <f>IF(ISBLANK(VLOOKUP($AC15,'2007-2020 Metadata'!$A$6:$S$214,19,FALSE)),"",VLOOKUP($AC15,'2007-2020 Metadata'!$A$6:$S$214,19,FALSE))</f>
        <v>4</v>
      </c>
      <c r="AF15" s="257" t="str">
        <f>VLOOKUP($B15,'2007-2020 Metadata'!$A$4:$S$214,MATCH("Site type",'2007-2020 Metadata'!$A$4:$S$4,0),FALSE)</f>
        <v>SH</v>
      </c>
      <c r="AG15" s="258">
        <f t="shared" ref="AG15:AG16" si="23">MIN(AVERAGE($C$15:$C$17),AVERAGE($D$15:$D$17),AVERAGE($E$15:$E$17),AVERAGE($F$15:$F$17),AVERAGE($G$15:$G$17),AVERAGE($H$15:$H$17),AVERAGE($I$15:$I$17),AVERAGE($J$15:$J$17),AVERAGE($K$15:$K$17),AVERAGE($L$15:$L$17),AVERAGE($M$15:$M$17),AVERAGE($N$15:$N$17))</f>
        <v>18.033333333333331</v>
      </c>
      <c r="AH15" s="258">
        <f t="shared" ref="AH15:AH16" si="24">MAX(AVERAGE($C$15:$C$17),AVERAGE($D$15:$D$17),AVERAGE($E$15:$E$17),AVERAGE($F$15:$F$17),AVERAGE($G$15:$G$17),AVERAGE($H$15:$H$17),AVERAGE($I$15:$I$17),AVERAGE($J$15:$J$17),AVERAGE($K$15:$K$17),AVERAGE($L$15:$L$17),AVERAGE($M$15:$M$17),AVERAGE($N$15:$N$17))</f>
        <v>38.950000000000003</v>
      </c>
      <c r="AI15" s="177">
        <f t="shared" si="11"/>
        <v>27.700303030303029</v>
      </c>
    </row>
    <row r="16" spans="1:35" ht="12" customHeight="1" x14ac:dyDescent="0.2">
      <c r="A16" s="202"/>
      <c r="B16" s="193" t="s">
        <v>12</v>
      </c>
      <c r="C16" s="190">
        <v>18.899999999999999</v>
      </c>
      <c r="D16" s="190">
        <v>18.600000000000001</v>
      </c>
      <c r="E16" s="190">
        <v>24.3</v>
      </c>
      <c r="F16" s="190">
        <v>33.299999999999997</v>
      </c>
      <c r="G16" s="190">
        <v>34.6</v>
      </c>
      <c r="H16" s="190">
        <v>39.299999999999997</v>
      </c>
      <c r="I16" s="190">
        <v>37.4</v>
      </c>
      <c r="J16" s="190">
        <v>36</v>
      </c>
      <c r="K16" s="190">
        <v>28.6</v>
      </c>
      <c r="L16" s="190">
        <v>21.1</v>
      </c>
      <c r="M16" s="190">
        <v>16.600000000000001</v>
      </c>
      <c r="N16" s="190">
        <v>16.899999999999999</v>
      </c>
      <c r="O16" s="191">
        <f t="shared" si="0"/>
        <v>27.133333333333336</v>
      </c>
      <c r="P16" s="191">
        <f t="shared" si="1"/>
        <v>30.626784479564055</v>
      </c>
      <c r="Q16" s="192">
        <f t="shared" si="2"/>
        <v>1</v>
      </c>
      <c r="R16" s="260">
        <f t="shared" si="12"/>
        <v>20.599999999999998</v>
      </c>
      <c r="S16" s="261">
        <f t="shared" si="6"/>
        <v>1</v>
      </c>
      <c r="T16" s="260">
        <f t="shared" si="13"/>
        <v>34</v>
      </c>
      <c r="U16" s="261">
        <f t="shared" si="7"/>
        <v>1</v>
      </c>
      <c r="V16" s="262">
        <f t="shared" si="14"/>
        <v>27.133333333333336</v>
      </c>
      <c r="W16" s="261">
        <f t="shared" si="8"/>
        <v>1</v>
      </c>
      <c r="X16" s="177">
        <f t="shared" si="3"/>
        <v>22.990909090909096</v>
      </c>
      <c r="Y16" s="177">
        <f t="shared" si="4"/>
        <v>34.333333333333336</v>
      </c>
      <c r="Z16" s="177">
        <f t="shared" si="5"/>
        <v>27.700303030303029</v>
      </c>
      <c r="AA16" s="10"/>
      <c r="AB16" s="357" t="str">
        <f>VLOOKUP($B16,'2007-2020 Metadata'!$A$4:$S$214,MATCH("Urban Area /Monitoring Zone",'2007-2020 Metadata'!$A$4:$S$4,0),FALSE)</f>
        <v>Auckland - Central</v>
      </c>
      <c r="AC16" s="259" t="str">
        <f>VLOOKUP(B16,'2007-2020 Metadata'!$A$6:$A$214,1,FALSE)</f>
        <v>AUC015</v>
      </c>
      <c r="AD16" s="256" t="str">
        <f>VLOOKUP($AC16,'2007-2020 Metadata'!$A$6:$S$214,9,FALSE)</f>
        <v>Auckland</v>
      </c>
      <c r="AE16" s="263">
        <f>IF(ISBLANK(VLOOKUP($AC16,'2007-2020 Metadata'!$A$6:$S$214,19,FALSE)),"",VLOOKUP($AC16,'2007-2020 Metadata'!$A$6:$S$214,19,FALSE))</f>
        <v>4</v>
      </c>
      <c r="AF16" s="257" t="str">
        <f>VLOOKUP($B16,'2007-2020 Metadata'!$A$4:$S$214,MATCH("Site type",'2007-2020 Metadata'!$A$4:$S$4,0),FALSE)</f>
        <v>SH</v>
      </c>
      <c r="AG16" s="258">
        <f t="shared" si="23"/>
        <v>18.033333333333331</v>
      </c>
      <c r="AH16" s="258">
        <f t="shared" si="24"/>
        <v>38.950000000000003</v>
      </c>
      <c r="AI16" s="177">
        <f t="shared" si="11"/>
        <v>27.700303030303029</v>
      </c>
    </row>
    <row r="17" spans="1:35" ht="12" customHeight="1" x14ac:dyDescent="0.2">
      <c r="A17" s="202"/>
      <c r="B17" s="193" t="s">
        <v>992</v>
      </c>
      <c r="C17" s="190">
        <v>18.399999999999999</v>
      </c>
      <c r="D17" s="190">
        <v>18.5</v>
      </c>
      <c r="E17" s="190">
        <v>21.8</v>
      </c>
      <c r="F17" s="190">
        <v>28.3</v>
      </c>
      <c r="G17" s="190">
        <v>27.6</v>
      </c>
      <c r="H17" s="190"/>
      <c r="I17" s="190">
        <v>37.299999999999997</v>
      </c>
      <c r="J17" s="190">
        <v>39.299999999999997</v>
      </c>
      <c r="K17" s="190">
        <v>27.7</v>
      </c>
      <c r="L17" s="190">
        <v>33.1</v>
      </c>
      <c r="M17" s="190">
        <v>28</v>
      </c>
      <c r="N17" s="190">
        <v>21</v>
      </c>
      <c r="O17" s="191">
        <f t="shared" si="0"/>
        <v>27.363636363636363</v>
      </c>
      <c r="P17" s="191">
        <f t="shared" si="1"/>
        <v>24.784097690410928</v>
      </c>
      <c r="Q17" s="192">
        <f t="shared" si="2"/>
        <v>0.91666666666666663</v>
      </c>
      <c r="R17" s="140">
        <f t="shared" si="12"/>
        <v>19.566666666666666</v>
      </c>
      <c r="S17" s="150">
        <f t="shared" si="6"/>
        <v>1</v>
      </c>
      <c r="T17" s="140">
        <f t="shared" si="13"/>
        <v>34.766666666666666</v>
      </c>
      <c r="U17" s="150">
        <f t="shared" si="7"/>
        <v>1</v>
      </c>
      <c r="V17" s="141">
        <f t="shared" si="14"/>
        <v>27.363636363636363</v>
      </c>
      <c r="W17" s="142">
        <f t="shared" si="8"/>
        <v>0.91666666666666663</v>
      </c>
      <c r="X17" s="144">
        <f t="shared" si="3"/>
        <v>19.566666666666666</v>
      </c>
      <c r="Y17" s="144">
        <f t="shared" si="4"/>
        <v>34.766666666666666</v>
      </c>
      <c r="Z17" s="144">
        <f t="shared" si="5"/>
        <v>27.363636363636363</v>
      </c>
      <c r="AA17" s="10"/>
      <c r="AB17" s="357">
        <f>VLOOKUP($B17,'2007-2020 Metadata'!$A$4:$S$214,MATCH("Urban Area /Monitoring Zone",'2007-2020 Metadata'!$A$4:$S$4,0),FALSE)</f>
        <v>0</v>
      </c>
      <c r="AC17" s="87" t="str">
        <f>VLOOKUP(B17,'2007-2020 Metadata'!$A$6:$A$214,1,FALSE)</f>
        <v>AUC018a</v>
      </c>
      <c r="AD17" s="230">
        <f>VLOOKUP($AC17,'2007-2020 Metadata'!$A$6:$S$214,9,FALSE)</f>
        <v>0</v>
      </c>
      <c r="AE17" s="248" t="str">
        <f>IF(ISBLANK(VLOOKUP($AC17,'2007-2020 Metadata'!$A$6:$S$214,19,FALSE)),"",VLOOKUP($AC17,'2007-2020 Metadata'!$A$6:$S$214,19,FALSE))</f>
        <v/>
      </c>
      <c r="AF17" s="88" t="str">
        <f>VLOOKUP($B17,'2007-2020 Metadata'!$A$4:$S$214,MATCH("Site type",'2007-2020 Metadata'!$A$4:$S$4,0),FALSE)</f>
        <v>SH</v>
      </c>
      <c r="AG17" s="143">
        <f t="shared" si="9"/>
        <v>18.399999999999999</v>
      </c>
      <c r="AH17" s="143">
        <f t="shared" si="10"/>
        <v>39.299999999999997</v>
      </c>
      <c r="AI17" s="144">
        <f t="shared" si="11"/>
        <v>27.363636363636363</v>
      </c>
    </row>
    <row r="18" spans="1:35" ht="12" customHeight="1" x14ac:dyDescent="0.2">
      <c r="A18" s="202"/>
      <c r="B18" s="193" t="s">
        <v>14</v>
      </c>
      <c r="C18" s="190">
        <v>17.399999999999999</v>
      </c>
      <c r="D18" s="190">
        <v>20.6</v>
      </c>
      <c r="E18" s="190">
        <v>23.8</v>
      </c>
      <c r="F18" s="190">
        <v>25.6</v>
      </c>
      <c r="G18" s="190">
        <v>28.7</v>
      </c>
      <c r="H18" s="190">
        <v>34.6</v>
      </c>
      <c r="I18" s="190">
        <v>28.3</v>
      </c>
      <c r="J18" s="190">
        <v>30.2</v>
      </c>
      <c r="K18" s="190">
        <v>27.9</v>
      </c>
      <c r="L18" s="190">
        <v>21.2</v>
      </c>
      <c r="M18" s="190">
        <v>13.6</v>
      </c>
      <c r="N18" s="190">
        <v>14.1</v>
      </c>
      <c r="O18" s="191">
        <f t="shared" si="0"/>
        <v>23.833333333333339</v>
      </c>
      <c r="P18" s="191">
        <f t="shared" si="1"/>
        <v>26.480884130144617</v>
      </c>
      <c r="Q18" s="192">
        <f t="shared" si="2"/>
        <v>1</v>
      </c>
      <c r="R18" s="140">
        <f t="shared" si="12"/>
        <v>20.599999999999998</v>
      </c>
      <c r="S18" s="150">
        <f t="shared" si="6"/>
        <v>1</v>
      </c>
      <c r="T18" s="140">
        <f t="shared" si="13"/>
        <v>28.8</v>
      </c>
      <c r="U18" s="150">
        <f t="shared" si="7"/>
        <v>1</v>
      </c>
      <c r="V18" s="141">
        <f t="shared" si="14"/>
        <v>23.833333333333339</v>
      </c>
      <c r="W18" s="142">
        <f t="shared" si="8"/>
        <v>1</v>
      </c>
      <c r="X18" s="144">
        <f t="shared" si="3"/>
        <v>18.116666666666667</v>
      </c>
      <c r="Y18" s="144">
        <f t="shared" si="4"/>
        <v>25.224999999999998</v>
      </c>
      <c r="Z18" s="144">
        <f t="shared" si="5"/>
        <v>22.441287878787879</v>
      </c>
      <c r="AA18" s="10"/>
      <c r="AB18" s="357" t="str">
        <f>VLOOKUP($B18,'2007-2020 Metadata'!$A$4:$S$214,MATCH("Urban Area /Monitoring Zone",'2007-2020 Metadata'!$A$4:$S$4,0),FALSE)</f>
        <v xml:space="preserve">Auckland - Southern </v>
      </c>
      <c r="AC18" s="87" t="str">
        <f>VLOOKUP(B18,'2007-2020 Metadata'!$A$6:$A$214,1,FALSE)</f>
        <v>AUC019</v>
      </c>
      <c r="AD18" s="230" t="str">
        <f>VLOOKUP($AC18,'2007-2020 Metadata'!$A$6:$S$214,9,FALSE)</f>
        <v>Manukau</v>
      </c>
      <c r="AE18" s="248">
        <f>IF(ISBLANK(VLOOKUP($AC18,'2007-2020 Metadata'!$A$6:$S$214,19,FALSE)),"",VLOOKUP($AC18,'2007-2020 Metadata'!$A$6:$S$214,19,FALSE))</f>
        <v>2</v>
      </c>
      <c r="AF18" s="88" t="str">
        <f>VLOOKUP($B18,'2007-2020 Metadata'!$A$4:$S$214,MATCH("Site type",'2007-2020 Metadata'!$A$4:$S$4,0),FALSE)</f>
        <v>SH</v>
      </c>
      <c r="AG18" s="143">
        <f t="shared" si="9"/>
        <v>13.6</v>
      </c>
      <c r="AH18" s="143">
        <f t="shared" si="10"/>
        <v>34.6</v>
      </c>
      <c r="AI18" s="144">
        <f t="shared" si="11"/>
        <v>22.441287878787879</v>
      </c>
    </row>
    <row r="19" spans="1:35" ht="12" customHeight="1" x14ac:dyDescent="0.2">
      <c r="A19" s="202"/>
      <c r="B19" s="193" t="s">
        <v>993</v>
      </c>
      <c r="C19" s="190">
        <v>8.3000000000000007</v>
      </c>
      <c r="D19" s="190">
        <v>9.6999999999999993</v>
      </c>
      <c r="E19" s="190">
        <v>12.3</v>
      </c>
      <c r="F19" s="190">
        <v>19.8</v>
      </c>
      <c r="G19" s="190">
        <v>17.899999999999999</v>
      </c>
      <c r="H19" s="190">
        <v>22</v>
      </c>
      <c r="I19" s="190">
        <v>17.899999999999999</v>
      </c>
      <c r="J19" s="190">
        <v>20.3</v>
      </c>
      <c r="K19" s="190">
        <v>14.5</v>
      </c>
      <c r="L19" s="190">
        <v>13.7</v>
      </c>
      <c r="M19" s="190">
        <v>11.7</v>
      </c>
      <c r="N19" s="190">
        <v>9.4</v>
      </c>
      <c r="O19" s="191">
        <f t="shared" si="0"/>
        <v>14.791666666666666</v>
      </c>
      <c r="P19" s="191">
        <f t="shared" si="1"/>
        <v>30.290113469795628</v>
      </c>
      <c r="Q19" s="192">
        <f t="shared" si="2"/>
        <v>1</v>
      </c>
      <c r="R19" s="140">
        <f t="shared" si="12"/>
        <v>10.1</v>
      </c>
      <c r="S19" s="150">
        <f t="shared" si="6"/>
        <v>1</v>
      </c>
      <c r="T19" s="140">
        <f t="shared" si="13"/>
        <v>17.566666666666666</v>
      </c>
      <c r="U19" s="150">
        <f t="shared" si="7"/>
        <v>1</v>
      </c>
      <c r="V19" s="141">
        <f t="shared" si="14"/>
        <v>14.791666666666666</v>
      </c>
      <c r="W19" s="142">
        <f t="shared" si="8"/>
        <v>1</v>
      </c>
      <c r="X19" s="144">
        <f t="shared" si="3"/>
        <v>10.1</v>
      </c>
      <c r="Y19" s="144">
        <f t="shared" si="4"/>
        <v>17.566666666666666</v>
      </c>
      <c r="Z19" s="144">
        <f t="shared" si="5"/>
        <v>14.791666666666666</v>
      </c>
      <c r="AA19" s="10"/>
      <c r="AB19" s="357">
        <f>VLOOKUP($B19,'2007-2020 Metadata'!$A$4:$S$214,MATCH("Urban Area /Monitoring Zone",'2007-2020 Metadata'!$A$4:$S$4,0),FALSE)</f>
        <v>0</v>
      </c>
      <c r="AC19" s="87" t="str">
        <f>VLOOKUP(B19,'2007-2020 Metadata'!$A$6:$A$214,1,FALSE)</f>
        <v>AUC020a</v>
      </c>
      <c r="AD19" s="230">
        <f>VLOOKUP($AC19,'2007-2020 Metadata'!$A$6:$S$214,9,FALSE)</f>
        <v>0</v>
      </c>
      <c r="AE19" s="248" t="str">
        <f>IF(ISBLANK(VLOOKUP($AC19,'2007-2020 Metadata'!$A$6:$S$214,19,FALSE)),"",VLOOKUP($AC19,'2007-2020 Metadata'!$A$6:$S$214,19,FALSE))</f>
        <v/>
      </c>
      <c r="AF19" s="88" t="str">
        <f>VLOOKUP($B19,'2007-2020 Metadata'!$A$4:$S$214,MATCH("Site type",'2007-2020 Metadata'!$A$4:$S$4,0),FALSE)</f>
        <v>SH</v>
      </c>
      <c r="AG19" s="143">
        <f t="shared" si="9"/>
        <v>8.3000000000000007</v>
      </c>
      <c r="AH19" s="143">
        <f t="shared" si="10"/>
        <v>22</v>
      </c>
      <c r="AI19" s="144">
        <f t="shared" si="11"/>
        <v>14.791666666666666</v>
      </c>
    </row>
    <row r="20" spans="1:35" ht="12" customHeight="1" x14ac:dyDescent="0.2">
      <c r="A20" s="202"/>
      <c r="B20" s="193" t="s">
        <v>994</v>
      </c>
      <c r="C20" s="190">
        <v>9.8000000000000007</v>
      </c>
      <c r="D20" s="190">
        <v>16.600000000000001</v>
      </c>
      <c r="E20" s="190">
        <v>17.399999999999999</v>
      </c>
      <c r="F20" s="190">
        <v>21.7</v>
      </c>
      <c r="G20" s="190">
        <v>20.5</v>
      </c>
      <c r="H20" s="190">
        <v>27</v>
      </c>
      <c r="I20" s="190">
        <v>18.100000000000001</v>
      </c>
      <c r="J20" s="190">
        <v>21.9</v>
      </c>
      <c r="K20" s="190">
        <v>20.6</v>
      </c>
      <c r="L20" s="190">
        <v>13.1</v>
      </c>
      <c r="M20" s="190">
        <v>12.3</v>
      </c>
      <c r="N20" s="190">
        <v>8.6</v>
      </c>
      <c r="O20" s="191">
        <f t="shared" si="0"/>
        <v>17.3</v>
      </c>
      <c r="P20" s="191">
        <f t="shared" si="1"/>
        <v>30.379375143611824</v>
      </c>
      <c r="Q20" s="192">
        <f t="shared" si="2"/>
        <v>1</v>
      </c>
      <c r="R20" s="140">
        <f t="shared" si="12"/>
        <v>14.6</v>
      </c>
      <c r="S20" s="150">
        <f t="shared" si="6"/>
        <v>1</v>
      </c>
      <c r="T20" s="140">
        <f t="shared" si="13"/>
        <v>20.2</v>
      </c>
      <c r="U20" s="150">
        <f t="shared" si="7"/>
        <v>1</v>
      </c>
      <c r="V20" s="141">
        <f t="shared" si="14"/>
        <v>17.3</v>
      </c>
      <c r="W20" s="142">
        <f t="shared" si="8"/>
        <v>1</v>
      </c>
      <c r="X20" s="144">
        <f t="shared" si="3"/>
        <v>14.6</v>
      </c>
      <c r="Y20" s="144">
        <f t="shared" si="4"/>
        <v>20.2</v>
      </c>
      <c r="Z20" s="144">
        <f t="shared" si="5"/>
        <v>17.3</v>
      </c>
      <c r="AA20" s="10"/>
      <c r="AB20" s="357">
        <f>VLOOKUP($B20,'2007-2020 Metadata'!$A$4:$S$214,MATCH("Urban Area /Monitoring Zone",'2007-2020 Metadata'!$A$4:$S$4,0),FALSE)</f>
        <v>0</v>
      </c>
      <c r="AC20" s="87" t="str">
        <f>VLOOKUP(B20,'2007-2020 Metadata'!$A$6:$A$214,1,FALSE)</f>
        <v>AUC021a</v>
      </c>
      <c r="AD20" s="230">
        <f>VLOOKUP($AC20,'2007-2020 Metadata'!$A$6:$S$214,9,FALSE)</f>
        <v>0</v>
      </c>
      <c r="AE20" s="248" t="str">
        <f>IF(ISBLANK(VLOOKUP($AC20,'2007-2020 Metadata'!$A$6:$S$214,19,FALSE)),"",VLOOKUP($AC20,'2007-2020 Metadata'!$A$6:$S$214,19,FALSE))</f>
        <v/>
      </c>
      <c r="AF20" s="88" t="str">
        <f>VLOOKUP($B20,'2007-2020 Metadata'!$A$4:$S$214,MATCH("Site type",'2007-2020 Metadata'!$A$4:$S$4,0),FALSE)</f>
        <v>Background</v>
      </c>
      <c r="AG20" s="143">
        <f t="shared" si="9"/>
        <v>8.6</v>
      </c>
      <c r="AH20" s="143">
        <f t="shared" si="10"/>
        <v>27</v>
      </c>
      <c r="AI20" s="144">
        <f t="shared" si="11"/>
        <v>17.3</v>
      </c>
    </row>
    <row r="21" spans="1:35" ht="12" customHeight="1" x14ac:dyDescent="0.2">
      <c r="A21" s="202"/>
      <c r="B21" s="193" t="s">
        <v>996</v>
      </c>
      <c r="C21" s="190">
        <v>19.5</v>
      </c>
      <c r="D21" s="190">
        <v>23.8</v>
      </c>
      <c r="E21" s="190">
        <v>24.5</v>
      </c>
      <c r="F21" s="190">
        <v>30.6</v>
      </c>
      <c r="G21" s="190">
        <v>27.6</v>
      </c>
      <c r="H21" s="190">
        <v>34.1</v>
      </c>
      <c r="I21" s="190">
        <v>28.3</v>
      </c>
      <c r="J21" s="190">
        <v>31.3</v>
      </c>
      <c r="K21" s="190">
        <v>29.2</v>
      </c>
      <c r="L21" s="190">
        <v>20.2</v>
      </c>
      <c r="M21" s="190">
        <v>19</v>
      </c>
      <c r="N21" s="190">
        <v>17.7</v>
      </c>
      <c r="O21" s="191">
        <f t="shared" si="0"/>
        <v>25.483333333333334</v>
      </c>
      <c r="P21" s="191">
        <f t="shared" si="1"/>
        <v>20.597547517097489</v>
      </c>
      <c r="Q21" s="192">
        <f t="shared" si="2"/>
        <v>1</v>
      </c>
      <c r="R21" s="140">
        <f t="shared" si="12"/>
        <v>22.599999999999998</v>
      </c>
      <c r="S21" s="150">
        <f t="shared" si="6"/>
        <v>1</v>
      </c>
      <c r="T21" s="140">
        <f t="shared" si="13"/>
        <v>29.599999999999998</v>
      </c>
      <c r="U21" s="150">
        <f t="shared" si="7"/>
        <v>1</v>
      </c>
      <c r="V21" s="141">
        <f t="shared" si="14"/>
        <v>25.483333333333334</v>
      </c>
      <c r="W21" s="142">
        <f t="shared" si="8"/>
        <v>1</v>
      </c>
      <c r="X21" s="144">
        <f t="shared" si="3"/>
        <v>22.599999999999998</v>
      </c>
      <c r="Y21" s="144">
        <f t="shared" si="4"/>
        <v>29.599999999999998</v>
      </c>
      <c r="Z21" s="144">
        <f t="shared" si="5"/>
        <v>25.483333333333334</v>
      </c>
      <c r="AA21" s="10"/>
      <c r="AB21" s="357">
        <f>VLOOKUP($B21,'2007-2020 Metadata'!$A$4:$S$214,MATCH("Urban Area /Monitoring Zone",'2007-2020 Metadata'!$A$4:$S$4,0),FALSE)</f>
        <v>0</v>
      </c>
      <c r="AC21" s="87" t="str">
        <f>VLOOKUP(B21,'2007-2020 Metadata'!$A$6:$A$214,1,FALSE)</f>
        <v>AUC022a</v>
      </c>
      <c r="AD21" s="230">
        <f>VLOOKUP($AC21,'2007-2020 Metadata'!$A$6:$S$214,9,FALSE)</f>
        <v>0</v>
      </c>
      <c r="AE21" s="248" t="str">
        <f>IF(ISBLANK(VLOOKUP($AC21,'2007-2020 Metadata'!$A$6:$S$214,19,FALSE)),"",VLOOKUP($AC21,'2007-2020 Metadata'!$A$6:$S$214,19,FALSE))</f>
        <v/>
      </c>
      <c r="AF21" s="88" t="str">
        <f>VLOOKUP($B21,'2007-2020 Metadata'!$A$4:$S$214,MATCH("Site type",'2007-2020 Metadata'!$A$4:$S$4,0),FALSE)</f>
        <v>SH</v>
      </c>
      <c r="AG21" s="143">
        <f t="shared" si="9"/>
        <v>17.7</v>
      </c>
      <c r="AH21" s="143">
        <f t="shared" si="10"/>
        <v>34.1</v>
      </c>
      <c r="AI21" s="144">
        <f t="shared" si="11"/>
        <v>25.483333333333334</v>
      </c>
    </row>
    <row r="22" spans="1:35" ht="12" customHeight="1" x14ac:dyDescent="0.2">
      <c r="A22" s="202"/>
      <c r="B22" s="193" t="s">
        <v>18</v>
      </c>
      <c r="C22" s="190">
        <v>14.2</v>
      </c>
      <c r="D22" s="190">
        <v>16.600000000000001</v>
      </c>
      <c r="E22" s="190">
        <v>15.4</v>
      </c>
      <c r="F22" s="190">
        <v>22.6</v>
      </c>
      <c r="G22" s="190">
        <v>24.2</v>
      </c>
      <c r="H22" s="190">
        <v>26.3</v>
      </c>
      <c r="I22" s="190">
        <v>18.3</v>
      </c>
      <c r="J22" s="190">
        <v>21.3</v>
      </c>
      <c r="K22" s="190">
        <v>23.5</v>
      </c>
      <c r="L22" s="190">
        <v>15.5</v>
      </c>
      <c r="M22" s="190">
        <v>11.4</v>
      </c>
      <c r="N22" s="190">
        <v>9.8000000000000007</v>
      </c>
      <c r="O22" s="191">
        <f t="shared" si="0"/>
        <v>18.258333333333336</v>
      </c>
      <c r="P22" s="191">
        <f t="shared" si="1"/>
        <v>27.798299968341723</v>
      </c>
      <c r="Q22" s="192">
        <f t="shared" si="2"/>
        <v>1</v>
      </c>
      <c r="R22" s="140">
        <f t="shared" si="12"/>
        <v>15.4</v>
      </c>
      <c r="S22" s="150">
        <f t="shared" si="6"/>
        <v>1</v>
      </c>
      <c r="T22" s="140">
        <f t="shared" si="13"/>
        <v>21.033333333333335</v>
      </c>
      <c r="U22" s="150">
        <f t="shared" si="7"/>
        <v>1</v>
      </c>
      <c r="V22" s="141">
        <f t="shared" si="14"/>
        <v>18.258333333333336</v>
      </c>
      <c r="W22" s="142">
        <f t="shared" si="8"/>
        <v>1</v>
      </c>
      <c r="X22" s="144">
        <f t="shared" si="3"/>
        <v>22.990909090909096</v>
      </c>
      <c r="Y22" s="144">
        <f t="shared" si="4"/>
        <v>34.333333333333336</v>
      </c>
      <c r="Z22" s="144">
        <f t="shared" si="5"/>
        <v>27.700303030303029</v>
      </c>
      <c r="AA22" s="10"/>
      <c r="AB22" s="357" t="str">
        <f>VLOOKUP($B22,'2007-2020 Metadata'!$A$4:$S$214,MATCH("Urban Area /Monitoring Zone",'2007-2020 Metadata'!$A$4:$S$4,0),FALSE)</f>
        <v>Auckland - Central</v>
      </c>
      <c r="AC22" s="87" t="str">
        <f>VLOOKUP(B22,'2007-2020 Metadata'!$A$6:$A$214,1,FALSE)</f>
        <v>AUC025</v>
      </c>
      <c r="AD22" s="230" t="str">
        <f>VLOOKUP($AC22,'2007-2020 Metadata'!$A$6:$S$214,9,FALSE)</f>
        <v>Auckland</v>
      </c>
      <c r="AE22" s="248">
        <f>IF(ISBLANK(VLOOKUP($AC22,'2007-2020 Metadata'!$A$6:$S$214,19,FALSE)),"",VLOOKUP($AC22,'2007-2020 Metadata'!$A$6:$S$214,19,FALSE))</f>
        <v>3</v>
      </c>
      <c r="AF22" s="88" t="str">
        <f>VLOOKUP($B22,'2007-2020 Metadata'!$A$4:$S$214,MATCH("Site type",'2007-2020 Metadata'!$A$4:$S$4,0),FALSE)</f>
        <v>SH</v>
      </c>
      <c r="AG22" s="143">
        <f t="shared" si="9"/>
        <v>9.8000000000000007</v>
      </c>
      <c r="AH22" s="143">
        <f t="shared" si="10"/>
        <v>26.3</v>
      </c>
      <c r="AI22" s="144">
        <f t="shared" si="11"/>
        <v>27.700303030303029</v>
      </c>
    </row>
    <row r="23" spans="1:35" ht="12" customHeight="1" x14ac:dyDescent="0.2">
      <c r="A23" s="202"/>
      <c r="B23" s="193" t="s">
        <v>19</v>
      </c>
      <c r="C23" s="190">
        <v>18.600000000000001</v>
      </c>
      <c r="D23" s="190">
        <v>23.8</v>
      </c>
      <c r="E23" s="190">
        <v>20.5</v>
      </c>
      <c r="F23" s="190">
        <v>27.1</v>
      </c>
      <c r="G23" s="190">
        <v>24.2</v>
      </c>
      <c r="H23" s="190">
        <v>34.1</v>
      </c>
      <c r="I23" s="190">
        <v>18.600000000000001</v>
      </c>
      <c r="J23" s="190">
        <v>26.6</v>
      </c>
      <c r="K23" s="190">
        <v>30.9</v>
      </c>
      <c r="L23" s="190">
        <v>17.3</v>
      </c>
      <c r="M23" s="190">
        <v>11</v>
      </c>
      <c r="N23" s="190">
        <v>8.6</v>
      </c>
      <c r="O23" s="191">
        <f t="shared" si="0"/>
        <v>21.775000000000002</v>
      </c>
      <c r="P23" s="191">
        <f t="shared" si="1"/>
        <v>33.229874026348035</v>
      </c>
      <c r="Q23" s="192">
        <f t="shared" si="2"/>
        <v>1</v>
      </c>
      <c r="R23" s="140">
        <f t="shared" si="12"/>
        <v>20.966666666666669</v>
      </c>
      <c r="S23" s="150">
        <f t="shared" si="6"/>
        <v>1</v>
      </c>
      <c r="T23" s="140">
        <f t="shared" si="13"/>
        <v>25.366666666666664</v>
      </c>
      <c r="U23" s="150">
        <f t="shared" si="7"/>
        <v>1</v>
      </c>
      <c r="V23" s="141">
        <f t="shared" si="14"/>
        <v>21.775000000000002</v>
      </c>
      <c r="W23" s="142">
        <f t="shared" si="8"/>
        <v>1</v>
      </c>
      <c r="X23" s="144">
        <f t="shared" si="3"/>
        <v>18.116666666666667</v>
      </c>
      <c r="Y23" s="144">
        <f t="shared" si="4"/>
        <v>25.224999999999998</v>
      </c>
      <c r="Z23" s="144">
        <f t="shared" si="5"/>
        <v>22.441287878787879</v>
      </c>
      <c r="AA23" s="10"/>
      <c r="AB23" s="357" t="str">
        <f>VLOOKUP($B23,'2007-2020 Metadata'!$A$4:$S$214,MATCH("Urban Area /Monitoring Zone",'2007-2020 Metadata'!$A$4:$S$4,0),FALSE)</f>
        <v xml:space="preserve">Auckland - Southern </v>
      </c>
      <c r="AC23" s="87" t="str">
        <f>VLOOKUP(B23,'2007-2020 Metadata'!$A$6:$A$214,1,FALSE)</f>
        <v>AUC026</v>
      </c>
      <c r="AD23" s="230" t="str">
        <f>VLOOKUP($AC23,'2007-2020 Metadata'!$A$6:$S$214,9,FALSE)</f>
        <v>Manukau</v>
      </c>
      <c r="AE23" s="248">
        <f>IF(ISBLANK(VLOOKUP($AC23,'2007-2020 Metadata'!$A$6:$S$214,19,FALSE)),"",VLOOKUP($AC23,'2007-2020 Metadata'!$A$6:$S$214,19,FALSE))</f>
        <v>3</v>
      </c>
      <c r="AF23" s="88" t="str">
        <f>VLOOKUP($B23,'2007-2020 Metadata'!$A$4:$S$214,MATCH("Site type",'2007-2020 Metadata'!$A$4:$S$4,0),FALSE)</f>
        <v>SH</v>
      </c>
      <c r="AG23" s="143">
        <f t="shared" si="9"/>
        <v>8.6</v>
      </c>
      <c r="AH23" s="143">
        <f t="shared" si="10"/>
        <v>34.1</v>
      </c>
      <c r="AI23" s="144">
        <f t="shared" si="11"/>
        <v>22.441287878787879</v>
      </c>
    </row>
    <row r="24" spans="1:35" ht="12" customHeight="1" x14ac:dyDescent="0.2">
      <c r="A24" s="202"/>
      <c r="B24" s="193" t="s">
        <v>998</v>
      </c>
      <c r="C24" s="190">
        <v>18.399999999999999</v>
      </c>
      <c r="D24" s="190">
        <v>20.8</v>
      </c>
      <c r="E24" s="190">
        <v>22.3</v>
      </c>
      <c r="F24" s="190">
        <v>33.5</v>
      </c>
      <c r="G24" s="190"/>
      <c r="H24" s="190">
        <v>39.1</v>
      </c>
      <c r="I24" s="190">
        <v>32.6</v>
      </c>
      <c r="J24" s="190">
        <v>32.299999999999997</v>
      </c>
      <c r="K24" s="190">
        <v>28.7</v>
      </c>
      <c r="L24" s="190">
        <v>22.5</v>
      </c>
      <c r="M24" s="190">
        <v>21.2</v>
      </c>
      <c r="N24" s="190"/>
      <c r="O24" s="191">
        <f t="shared" si="0"/>
        <v>27.139999999999997</v>
      </c>
      <c r="P24" s="191">
        <f t="shared" si="1"/>
        <v>24.418186790290626</v>
      </c>
      <c r="Q24" s="192">
        <f t="shared" si="2"/>
        <v>0.83333333333333337</v>
      </c>
      <c r="R24" s="140">
        <f t="shared" si="12"/>
        <v>20.5</v>
      </c>
      <c r="S24" s="150">
        <f t="shared" si="6"/>
        <v>1</v>
      </c>
      <c r="T24" s="140">
        <f t="shared" si="13"/>
        <v>31.200000000000003</v>
      </c>
      <c r="U24" s="150">
        <f t="shared" si="7"/>
        <v>1</v>
      </c>
      <c r="V24" s="141">
        <f t="shared" si="14"/>
        <v>27.139999999999997</v>
      </c>
      <c r="W24" s="142">
        <f t="shared" si="8"/>
        <v>0.83333333333333337</v>
      </c>
      <c r="X24" s="144">
        <f t="shared" si="3"/>
        <v>20.5</v>
      </c>
      <c r="Y24" s="144">
        <f t="shared" si="4"/>
        <v>31.200000000000003</v>
      </c>
      <c r="Z24" s="144">
        <f t="shared" si="5"/>
        <v>27.139999999999997</v>
      </c>
      <c r="AA24" s="10"/>
      <c r="AB24" s="357">
        <f>VLOOKUP($B24,'2007-2020 Metadata'!$A$4:$S$214,MATCH("Urban Area /Monitoring Zone",'2007-2020 Metadata'!$A$4:$S$4,0),FALSE)</f>
        <v>0</v>
      </c>
      <c r="AC24" s="87" t="str">
        <f>VLOOKUP(B24,'2007-2020 Metadata'!$A$6:$A$214,1,FALSE)</f>
        <v>AUC027a</v>
      </c>
      <c r="AD24" s="230">
        <f>VLOOKUP($AC24,'2007-2020 Metadata'!$A$6:$S$214,9,FALSE)</f>
        <v>0</v>
      </c>
      <c r="AE24" s="248" t="str">
        <f>IF(ISBLANK(VLOOKUP($AC24,'2007-2020 Metadata'!$A$6:$S$214,19,FALSE)),"",VLOOKUP($AC24,'2007-2020 Metadata'!$A$6:$S$214,19,FALSE))</f>
        <v/>
      </c>
      <c r="AF24" s="88" t="str">
        <f>VLOOKUP($B24,'2007-2020 Metadata'!$A$4:$S$214,MATCH("Site type",'2007-2020 Metadata'!$A$4:$S$4,0),FALSE)</f>
        <v>SH</v>
      </c>
      <c r="AG24" s="143">
        <f t="shared" si="9"/>
        <v>18.399999999999999</v>
      </c>
      <c r="AH24" s="143">
        <f t="shared" si="10"/>
        <v>39.1</v>
      </c>
      <c r="AI24" s="144">
        <f t="shared" si="11"/>
        <v>27.139999999999997</v>
      </c>
    </row>
    <row r="25" spans="1:35" ht="12" customHeight="1" x14ac:dyDescent="0.2">
      <c r="A25" s="202"/>
      <c r="B25" s="193" t="s">
        <v>1013</v>
      </c>
      <c r="C25" s="190">
        <v>10</v>
      </c>
      <c r="D25" s="190">
        <v>13.5</v>
      </c>
      <c r="E25" s="190"/>
      <c r="F25" s="190">
        <v>25.5</v>
      </c>
      <c r="G25" s="190">
        <v>17.7</v>
      </c>
      <c r="H25" s="190">
        <v>24.7</v>
      </c>
      <c r="I25" s="190">
        <v>18.399999999999999</v>
      </c>
      <c r="J25" s="190">
        <v>20.399999999999999</v>
      </c>
      <c r="K25" s="190">
        <v>17.7</v>
      </c>
      <c r="L25" s="190">
        <v>14.3</v>
      </c>
      <c r="M25" s="190">
        <v>12.9</v>
      </c>
      <c r="N25" s="190">
        <v>9.9</v>
      </c>
      <c r="O25" s="191">
        <f t="shared" si="0"/>
        <v>16.81818181818182</v>
      </c>
      <c r="P25" s="191">
        <f t="shared" si="1"/>
        <v>30.075629043817099</v>
      </c>
      <c r="Q25" s="192">
        <f t="shared" si="2"/>
        <v>0.91666666666666663</v>
      </c>
      <c r="R25" s="140">
        <f t="shared" ref="R25:R36" si="25">IF($S25=0%,"",IF($S25&gt;66%,AVERAGE($C25:$E25),"-"))</f>
        <v>11.75</v>
      </c>
      <c r="S25" s="150">
        <f t="shared" si="6"/>
        <v>0.66666666666666663</v>
      </c>
      <c r="T25" s="140">
        <f t="shared" ref="T25:T36" si="26">IF($U25=0%,"",IF($U25&gt;66%,AVERAGE($I25:$K25),"-"))</f>
        <v>18.833333333333332</v>
      </c>
      <c r="U25" s="150">
        <f t="shared" si="7"/>
        <v>1</v>
      </c>
      <c r="V25" s="141">
        <f t="shared" ref="V25:V36" si="27">IF(AND(($S25&gt;33%),($U25&gt;33%),($W25&gt;=75%)),AVERAGE($C25:$N25),"-")</f>
        <v>16.81818181818182</v>
      </c>
      <c r="W25" s="142">
        <f t="shared" si="8"/>
        <v>0.91666666666666663</v>
      </c>
      <c r="X25" s="144">
        <f t="shared" si="3"/>
        <v>11.75</v>
      </c>
      <c r="Y25" s="144">
        <f t="shared" si="4"/>
        <v>18.833333333333332</v>
      </c>
      <c r="Z25" s="144">
        <f t="shared" si="5"/>
        <v>16.81818181818182</v>
      </c>
      <c r="AA25" s="10"/>
      <c r="AB25" s="357">
        <f>VLOOKUP($B25,'2007-2020 Metadata'!$A$4:$S$214,MATCH("Urban Area /Monitoring Zone",'2007-2020 Metadata'!$A$4:$S$4,0),FALSE)</f>
        <v>0</v>
      </c>
      <c r="AC25" s="87" t="str">
        <f>VLOOKUP(B25,'2007-2020 Metadata'!$A$6:$A$214,1,FALSE)</f>
        <v>AUC039a</v>
      </c>
      <c r="AD25" s="230">
        <f>VLOOKUP($AC25,'2007-2020 Metadata'!$A$6:$S$214,9,FALSE)</f>
        <v>0</v>
      </c>
      <c r="AE25" s="248" t="str">
        <f>IF(ISBLANK(VLOOKUP($AC25,'2007-2020 Metadata'!$A$6:$S$214,19,FALSE)),"",VLOOKUP($AC25,'2007-2020 Metadata'!$A$6:$S$214,19,FALSE))</f>
        <v/>
      </c>
      <c r="AF25" s="88" t="str">
        <f>VLOOKUP($B25,'2007-2020 Metadata'!$A$4:$S$214,MATCH("Site type",'2007-2020 Metadata'!$A$4:$S$4,0),FALSE)</f>
        <v>SH</v>
      </c>
      <c r="AG25" s="143">
        <f t="shared" si="9"/>
        <v>9.9</v>
      </c>
      <c r="AH25" s="143">
        <f t="shared" si="10"/>
        <v>25.5</v>
      </c>
      <c r="AI25" s="144">
        <f t="shared" si="11"/>
        <v>16.81818181818182</v>
      </c>
    </row>
    <row r="26" spans="1:35" ht="12" customHeight="1" x14ac:dyDescent="0.2">
      <c r="A26" s="202"/>
      <c r="B26" s="193" t="s">
        <v>61</v>
      </c>
      <c r="C26" s="190">
        <v>7.9</v>
      </c>
      <c r="D26" s="190">
        <v>11.6</v>
      </c>
      <c r="E26" s="190">
        <v>12.3</v>
      </c>
      <c r="F26" s="190">
        <v>20.100000000000001</v>
      </c>
      <c r="G26" s="190">
        <v>20.8</v>
      </c>
      <c r="H26" s="190">
        <v>23.4</v>
      </c>
      <c r="I26" s="190">
        <v>21.3</v>
      </c>
      <c r="J26" s="190">
        <v>21</v>
      </c>
      <c r="K26" s="190">
        <v>24.9</v>
      </c>
      <c r="L26" s="190">
        <v>14.5</v>
      </c>
      <c r="M26" s="190">
        <v>11.7</v>
      </c>
      <c r="N26" s="190"/>
      <c r="O26" s="191">
        <f t="shared" si="0"/>
        <v>17.227272727272723</v>
      </c>
      <c r="P26" s="191">
        <f t="shared" si="1"/>
        <v>31.781481818621931</v>
      </c>
      <c r="Q26" s="192">
        <f t="shared" si="2"/>
        <v>0.91666666666666663</v>
      </c>
      <c r="R26" s="140">
        <f t="shared" si="25"/>
        <v>10.6</v>
      </c>
      <c r="S26" s="150">
        <f t="shared" si="6"/>
        <v>1</v>
      </c>
      <c r="T26" s="140">
        <f t="shared" si="26"/>
        <v>22.399999999999995</v>
      </c>
      <c r="U26" s="150">
        <f t="shared" si="7"/>
        <v>1</v>
      </c>
      <c r="V26" s="141">
        <f t="shared" si="27"/>
        <v>17.227272727272723</v>
      </c>
      <c r="W26" s="142">
        <f t="shared" si="8"/>
        <v>0.91666666666666663</v>
      </c>
      <c r="X26" s="144">
        <f t="shared" si="3"/>
        <v>19.560606060606059</v>
      </c>
      <c r="Y26" s="144">
        <f t="shared" si="4"/>
        <v>29.354545454545452</v>
      </c>
      <c r="Z26" s="144">
        <f t="shared" si="5"/>
        <v>25.01790633608816</v>
      </c>
      <c r="AA26" s="10"/>
      <c r="AB26" s="357" t="str">
        <f>VLOOKUP($B26,'2007-2020 Metadata'!$A$4:$S$214,MATCH("Urban Area /Monitoring Zone",'2007-2020 Metadata'!$A$4:$S$4,0),FALSE)</f>
        <v>Auckland - Northern</v>
      </c>
      <c r="AC26" s="87" t="str">
        <f>VLOOKUP(B26,'2007-2020 Metadata'!$A$6:$A$214,1,FALSE)</f>
        <v>AUC040</v>
      </c>
      <c r="AD26" s="230" t="str">
        <f>VLOOKUP($AC26,'2007-2020 Metadata'!$A$6:$S$214,9,FALSE)</f>
        <v xml:space="preserve">North Shore </v>
      </c>
      <c r="AE26" s="248">
        <f>IF(ISBLANK(VLOOKUP($AC26,'2007-2020 Metadata'!$A$6:$S$214,19,FALSE)),"",VLOOKUP($AC26,'2007-2020 Metadata'!$A$6:$S$214,19,FALSE))</f>
        <v>2.5</v>
      </c>
      <c r="AF26" s="88" t="str">
        <f>VLOOKUP($B26,'2007-2020 Metadata'!$A$4:$S$214,MATCH("Site type",'2007-2020 Metadata'!$A$4:$S$4,0),FALSE)</f>
        <v>SH</v>
      </c>
      <c r="AG26" s="143">
        <f t="shared" si="9"/>
        <v>7.9</v>
      </c>
      <c r="AH26" s="143">
        <f t="shared" si="10"/>
        <v>24.9</v>
      </c>
      <c r="AI26" s="144">
        <f t="shared" si="11"/>
        <v>25.01790633608816</v>
      </c>
    </row>
    <row r="27" spans="1:35" ht="12" customHeight="1" x14ac:dyDescent="0.2">
      <c r="A27" s="202"/>
      <c r="B27" s="193" t="s">
        <v>62</v>
      </c>
      <c r="C27" s="190">
        <v>21.5</v>
      </c>
      <c r="D27" s="190">
        <v>25.7</v>
      </c>
      <c r="E27" s="190">
        <v>17.2</v>
      </c>
      <c r="F27" s="190">
        <v>22.9</v>
      </c>
      <c r="G27" s="190">
        <v>17.5</v>
      </c>
      <c r="H27" s="190">
        <v>27.7</v>
      </c>
      <c r="I27" s="190">
        <v>18.600000000000001</v>
      </c>
      <c r="J27" s="190">
        <v>22.6</v>
      </c>
      <c r="K27" s="190">
        <v>31.6</v>
      </c>
      <c r="L27" s="190">
        <v>13.2</v>
      </c>
      <c r="M27" s="190">
        <v>9</v>
      </c>
      <c r="N27" s="190">
        <v>10.8</v>
      </c>
      <c r="O27" s="191">
        <f t="shared" si="0"/>
        <v>19.858333333333331</v>
      </c>
      <c r="P27" s="191">
        <f>IFERROR((STDEVP(C27:N27)/O27)*100,"")</f>
        <v>32.875155698113943</v>
      </c>
      <c r="Q27" s="192">
        <f t="shared" si="2"/>
        <v>1</v>
      </c>
      <c r="R27" s="140">
        <f t="shared" si="25"/>
        <v>21.466666666666669</v>
      </c>
      <c r="S27" s="150">
        <f t="shared" si="6"/>
        <v>1</v>
      </c>
      <c r="T27" s="140">
        <f t="shared" si="26"/>
        <v>24.266666666666669</v>
      </c>
      <c r="U27" s="150">
        <f t="shared" si="7"/>
        <v>1</v>
      </c>
      <c r="V27" s="141">
        <f t="shared" si="27"/>
        <v>19.858333333333331</v>
      </c>
      <c r="W27" s="142">
        <f t="shared" si="8"/>
        <v>1</v>
      </c>
      <c r="X27" s="144">
        <f t="shared" si="3"/>
        <v>19.560606060606059</v>
      </c>
      <c r="Y27" s="144">
        <f t="shared" si="4"/>
        <v>29.354545454545452</v>
      </c>
      <c r="Z27" s="144">
        <f t="shared" si="5"/>
        <v>25.01790633608816</v>
      </c>
      <c r="AA27" s="10"/>
      <c r="AB27" s="357" t="str">
        <f>VLOOKUP($B27,'2007-2020 Metadata'!$A$4:$S$214,MATCH("Urban Area /Monitoring Zone",'2007-2020 Metadata'!$A$4:$S$4,0),FALSE)</f>
        <v>Auckland - Northern</v>
      </c>
      <c r="AC27" s="87" t="str">
        <f>VLOOKUP(B27,'2007-2020 Metadata'!$A$6:$A$214,1,FALSE)</f>
        <v>AUC041</v>
      </c>
      <c r="AD27" s="230" t="str">
        <f>VLOOKUP($AC27,'2007-2020 Metadata'!$A$6:$S$214,9,FALSE)</f>
        <v xml:space="preserve">North Shore </v>
      </c>
      <c r="AE27" s="248">
        <f>IF(ISBLANK(VLOOKUP($AC27,'2007-2020 Metadata'!$A$6:$S$214,19,FALSE)),"",VLOOKUP($AC27,'2007-2020 Metadata'!$A$6:$S$214,19,FALSE))</f>
        <v>3</v>
      </c>
      <c r="AF27" s="88" t="str">
        <f>VLOOKUP($B27,'2007-2020 Metadata'!$A$4:$S$214,MATCH("Site type",'2007-2020 Metadata'!$A$4:$S$4,0),FALSE)</f>
        <v>Local</v>
      </c>
      <c r="AG27" s="143">
        <f t="shared" si="9"/>
        <v>9</v>
      </c>
      <c r="AH27" s="143">
        <f t="shared" si="10"/>
        <v>31.6</v>
      </c>
      <c r="AI27" s="144">
        <f t="shared" si="11"/>
        <v>25.01790633608816</v>
      </c>
    </row>
    <row r="28" spans="1:35" ht="12" customHeight="1" x14ac:dyDescent="0.2">
      <c r="A28" s="202"/>
      <c r="B28" s="193" t="s">
        <v>63</v>
      </c>
      <c r="C28" s="190">
        <v>23</v>
      </c>
      <c r="D28" s="190">
        <v>22.7</v>
      </c>
      <c r="E28" s="190">
        <v>23</v>
      </c>
      <c r="F28" s="190">
        <v>34.299999999999997</v>
      </c>
      <c r="G28" s="190">
        <v>35</v>
      </c>
      <c r="H28" s="190">
        <v>33.299999999999997</v>
      </c>
      <c r="I28" s="190">
        <v>31.4</v>
      </c>
      <c r="J28" s="190">
        <v>34</v>
      </c>
      <c r="K28" s="190">
        <v>17.3</v>
      </c>
      <c r="L28" s="190">
        <v>25.2</v>
      </c>
      <c r="M28" s="190">
        <v>20.7</v>
      </c>
      <c r="N28" s="190">
        <v>17.5</v>
      </c>
      <c r="O28" s="191">
        <f t="shared" si="0"/>
        <v>26.450000000000003</v>
      </c>
      <c r="P28" s="191">
        <f t="shared" si="1"/>
        <v>24.391494144832517</v>
      </c>
      <c r="Q28" s="192">
        <f t="shared" si="2"/>
        <v>1</v>
      </c>
      <c r="R28" s="140">
        <f t="shared" si="25"/>
        <v>22.900000000000002</v>
      </c>
      <c r="S28" s="150">
        <f t="shared" si="6"/>
        <v>1</v>
      </c>
      <c r="T28" s="140">
        <f t="shared" si="26"/>
        <v>27.566666666666666</v>
      </c>
      <c r="U28" s="150">
        <f t="shared" si="7"/>
        <v>1</v>
      </c>
      <c r="V28" s="141">
        <f t="shared" si="27"/>
        <v>26.450000000000003</v>
      </c>
      <c r="W28" s="142">
        <f t="shared" si="8"/>
        <v>1</v>
      </c>
      <c r="X28" s="144">
        <f t="shared" si="3"/>
        <v>19.560606060606059</v>
      </c>
      <c r="Y28" s="144">
        <f t="shared" si="4"/>
        <v>29.354545454545452</v>
      </c>
      <c r="Z28" s="144">
        <f t="shared" si="5"/>
        <v>25.01790633608816</v>
      </c>
      <c r="AA28" s="10"/>
      <c r="AB28" s="357" t="str">
        <f>VLOOKUP($B28,'2007-2020 Metadata'!$A$4:$S$214,MATCH("Urban Area /Monitoring Zone",'2007-2020 Metadata'!$A$4:$S$4,0),FALSE)</f>
        <v>Auckland - Northern</v>
      </c>
      <c r="AC28" s="87" t="str">
        <f>VLOOKUP(B28,'2007-2020 Metadata'!$A$6:$A$214,1,FALSE)</f>
        <v>AUC042</v>
      </c>
      <c r="AD28" s="230" t="str">
        <f>VLOOKUP($AC28,'2007-2020 Metadata'!$A$6:$S$214,9,FALSE)</f>
        <v xml:space="preserve">North Shore </v>
      </c>
      <c r="AE28" s="248">
        <f>IF(ISBLANK(VLOOKUP($AC28,'2007-2020 Metadata'!$A$6:$S$214,19,FALSE)),"",VLOOKUP($AC28,'2007-2020 Metadata'!$A$6:$S$214,19,FALSE))</f>
        <v>3</v>
      </c>
      <c r="AF28" s="88" t="str">
        <f>VLOOKUP($B28,'2007-2020 Metadata'!$A$4:$S$214,MATCH("Site type",'2007-2020 Metadata'!$A$4:$S$4,0),FALSE)</f>
        <v>Local</v>
      </c>
      <c r="AG28" s="143">
        <f t="shared" si="9"/>
        <v>17.3</v>
      </c>
      <c r="AH28" s="143">
        <f t="shared" si="10"/>
        <v>35</v>
      </c>
      <c r="AI28" s="144">
        <f t="shared" si="11"/>
        <v>25.01790633608816</v>
      </c>
    </row>
    <row r="29" spans="1:35" ht="12" customHeight="1" x14ac:dyDescent="0.2">
      <c r="A29" s="202"/>
      <c r="B29" s="193" t="s">
        <v>64</v>
      </c>
      <c r="C29" s="190">
        <v>16.7</v>
      </c>
      <c r="D29" s="190">
        <v>19.3</v>
      </c>
      <c r="E29" s="190">
        <v>21.3</v>
      </c>
      <c r="F29" s="190">
        <v>34.200000000000003</v>
      </c>
      <c r="G29" s="190">
        <v>39.6</v>
      </c>
      <c r="H29" s="190">
        <v>38.1</v>
      </c>
      <c r="I29" s="190">
        <v>34.1</v>
      </c>
      <c r="J29" s="190">
        <v>34.9</v>
      </c>
      <c r="K29" s="190">
        <v>29</v>
      </c>
      <c r="L29" s="190">
        <v>26.9</v>
      </c>
      <c r="M29" s="190">
        <v>20</v>
      </c>
      <c r="N29" s="190">
        <v>15.1</v>
      </c>
      <c r="O29" s="191">
        <f t="shared" si="0"/>
        <v>27.433333333333334</v>
      </c>
      <c r="P29" s="191">
        <f t="shared" si="1"/>
        <v>30.441001140688854</v>
      </c>
      <c r="Q29" s="192">
        <f t="shared" si="2"/>
        <v>1</v>
      </c>
      <c r="R29" s="260">
        <f t="shared" si="25"/>
        <v>19.099999999999998</v>
      </c>
      <c r="S29" s="261">
        <f t="shared" si="6"/>
        <v>1</v>
      </c>
      <c r="T29" s="260">
        <f t="shared" si="26"/>
        <v>32.666666666666664</v>
      </c>
      <c r="U29" s="261">
        <f t="shared" si="7"/>
        <v>1</v>
      </c>
      <c r="V29" s="262">
        <f t="shared" si="27"/>
        <v>27.433333333333334</v>
      </c>
      <c r="W29" s="261">
        <f t="shared" si="8"/>
        <v>1</v>
      </c>
      <c r="X29" s="177">
        <f t="shared" si="3"/>
        <v>19.560606060606059</v>
      </c>
      <c r="Y29" s="177">
        <f t="shared" si="4"/>
        <v>29.354545454545452</v>
      </c>
      <c r="Z29" s="177">
        <f t="shared" si="5"/>
        <v>25.01790633608816</v>
      </c>
      <c r="AA29" s="10"/>
      <c r="AB29" s="357" t="str">
        <f>VLOOKUP($B29,'2007-2020 Metadata'!$A$4:$S$214,MATCH("Urban Area /Monitoring Zone",'2007-2020 Metadata'!$A$4:$S$4,0),FALSE)</f>
        <v>Auckland - Northern</v>
      </c>
      <c r="AC29" s="259" t="str">
        <f>VLOOKUP(B29,'2007-2020 Metadata'!$A$6:$A$214,1,FALSE)</f>
        <v>AUC043</v>
      </c>
      <c r="AD29" s="256" t="str">
        <f>VLOOKUP($AC29,'2007-2020 Metadata'!$A$6:$S$214,9,FALSE)</f>
        <v xml:space="preserve">North Shore </v>
      </c>
      <c r="AE29" s="263">
        <f>IF(ISBLANK(VLOOKUP($AC29,'2007-2020 Metadata'!$A$6:$S$214,19,FALSE)),"",VLOOKUP($AC29,'2007-2020 Metadata'!$A$6:$S$214,19,FALSE))</f>
        <v>3</v>
      </c>
      <c r="AF29" s="257" t="str">
        <f>VLOOKUP($B29,'2007-2020 Metadata'!$A$4:$S$214,MATCH("Site type",'2007-2020 Metadata'!$A$4:$S$4,0),FALSE)</f>
        <v>SH</v>
      </c>
      <c r="AG29" s="258">
        <f t="shared" ref="AG29" si="28">MIN(AVERAGE($C$29:$C$31),AVERAGE($D$29:$D$31),AVERAGE($E$29:$E$31),AVERAGE($F$29:$F$31),AVERAGE($G$29:$G$31),AVERAGE($H$29:$H$31),AVERAGE($I$29:$I$31),AVERAGE($J$29:$J$31),AVERAGE($K$29:$K$31),AVERAGE($L$29:$L$31),AVERAGE($M$29:$M$31),AVERAGE($N$29:$N$31))</f>
        <v>13.333333333333334</v>
      </c>
      <c r="AH29" s="258">
        <f t="shared" ref="AH29" si="29">MAX(AVERAGE($C$29:$C$31),AVERAGE($D$29:$D$31),AVERAGE($E$29:$E$31),AVERAGE($F$29:$F$31),AVERAGE($G$29:$G$31),AVERAGE($H$29:$H$31),AVERAGE($I$29:$I$31),AVERAGE($J$29:$J$31),AVERAGE($K$29:$K$31),AVERAGE($L$29:$L$31),AVERAGE($M$29:$M$31),AVERAGE($N$29:$N$31))</f>
        <v>39.300000000000004</v>
      </c>
      <c r="AI29" s="177">
        <f t="shared" si="11"/>
        <v>25.01790633608816</v>
      </c>
    </row>
    <row r="30" spans="1:35" ht="12" customHeight="1" x14ac:dyDescent="0.2">
      <c r="A30" s="202"/>
      <c r="B30" s="193" t="s">
        <v>65</v>
      </c>
      <c r="C30" s="190">
        <v>10.8</v>
      </c>
      <c r="D30" s="190">
        <v>19.100000000000001</v>
      </c>
      <c r="E30" s="190">
        <v>23.2</v>
      </c>
      <c r="F30" s="190">
        <v>33</v>
      </c>
      <c r="G30" s="190">
        <v>38.700000000000003</v>
      </c>
      <c r="H30" s="190">
        <v>34.5</v>
      </c>
      <c r="I30" s="190">
        <v>31.4</v>
      </c>
      <c r="J30" s="190">
        <v>33.799999999999997</v>
      </c>
      <c r="K30" s="190">
        <v>28.4</v>
      </c>
      <c r="L30" s="190">
        <v>27.5</v>
      </c>
      <c r="M30" s="190">
        <v>22.1</v>
      </c>
      <c r="N30" s="190">
        <v>13.5</v>
      </c>
      <c r="O30" s="191">
        <f t="shared" si="0"/>
        <v>26.333333333333332</v>
      </c>
      <c r="P30" s="191">
        <f t="shared" si="1"/>
        <v>31.71827091981222</v>
      </c>
      <c r="Q30" s="192">
        <f t="shared" si="2"/>
        <v>1</v>
      </c>
      <c r="R30" s="260">
        <f t="shared" si="25"/>
        <v>17.7</v>
      </c>
      <c r="S30" s="261">
        <f t="shared" si="6"/>
        <v>1</v>
      </c>
      <c r="T30" s="260">
        <f t="shared" si="26"/>
        <v>31.2</v>
      </c>
      <c r="U30" s="261">
        <f t="shared" si="7"/>
        <v>1</v>
      </c>
      <c r="V30" s="262">
        <f t="shared" si="27"/>
        <v>26.333333333333332</v>
      </c>
      <c r="W30" s="261">
        <f t="shared" si="8"/>
        <v>1</v>
      </c>
      <c r="X30" s="177">
        <f t="shared" si="3"/>
        <v>19.560606060606059</v>
      </c>
      <c r="Y30" s="177">
        <f t="shared" si="4"/>
        <v>29.354545454545452</v>
      </c>
      <c r="Z30" s="177">
        <f t="shared" si="5"/>
        <v>25.01790633608816</v>
      </c>
      <c r="AA30" s="10"/>
      <c r="AB30" s="357" t="str">
        <f>VLOOKUP($B30,'2007-2020 Metadata'!$A$4:$S$214,MATCH("Urban Area /Monitoring Zone",'2007-2020 Metadata'!$A$4:$S$4,0),FALSE)</f>
        <v>Auckland - Northern</v>
      </c>
      <c r="AC30" s="259" t="str">
        <f>VLOOKUP(B30,'2007-2020 Metadata'!$A$6:$A$214,1,FALSE)</f>
        <v>AUC044</v>
      </c>
      <c r="AD30" s="256" t="str">
        <f>VLOOKUP($AC30,'2007-2020 Metadata'!$A$6:$S$214,9,FALSE)</f>
        <v xml:space="preserve">North Shore </v>
      </c>
      <c r="AE30" s="263">
        <f>IF(ISBLANK(VLOOKUP($AC30,'2007-2020 Metadata'!$A$6:$S$214,19,FALSE)),"",VLOOKUP($AC30,'2007-2020 Metadata'!$A$6:$S$214,19,FALSE))</f>
        <v>3</v>
      </c>
      <c r="AF30" s="257" t="str">
        <f>VLOOKUP($B30,'2007-2020 Metadata'!$A$4:$S$214,MATCH("Site type",'2007-2020 Metadata'!$A$4:$S$4,0),FALSE)</f>
        <v>SH</v>
      </c>
      <c r="AG30" s="258">
        <f>MIN(AVERAGE($C$29:$C$31),AVERAGE($D$29:$D$31),AVERAGE($E$29:$E$31),AVERAGE($F$29:$F$31),AVERAGE($G$29:$G$31),AVERAGE($H$29:$H$31),AVERAGE($I$29:$I$31),AVERAGE($J$29:$J$31),AVERAGE($K$29:$K$31),AVERAGE($L$29:$L$31),AVERAGE($M$29:$M$31),AVERAGE($N$29:$N$31))</f>
        <v>13.333333333333334</v>
      </c>
      <c r="AH30" s="258">
        <f>MAX(AVERAGE($C$29:$C$31),AVERAGE($D$29:$D$31),AVERAGE($E$29:$E$31),AVERAGE($F$29:$F$31),AVERAGE($G$29:$G$31),AVERAGE($H$29:$H$31),AVERAGE($I$29:$I$31),AVERAGE($J$29:$J$31),AVERAGE($K$29:$K$31),AVERAGE($L$29:$L$31),AVERAGE($M$29:$M$31),AVERAGE($N$29:$N$31))</f>
        <v>39.300000000000004</v>
      </c>
      <c r="AI30" s="177">
        <f t="shared" si="11"/>
        <v>25.01790633608816</v>
      </c>
    </row>
    <row r="31" spans="1:35" ht="12" customHeight="1" x14ac:dyDescent="0.2">
      <c r="A31" s="202"/>
      <c r="B31" s="193" t="s">
        <v>66</v>
      </c>
      <c r="C31" s="190">
        <v>17.100000000000001</v>
      </c>
      <c r="D31" s="190">
        <v>18</v>
      </c>
      <c r="E31" s="190">
        <v>23.7</v>
      </c>
      <c r="F31" s="190">
        <v>34.6</v>
      </c>
      <c r="G31" s="190">
        <v>39.6</v>
      </c>
      <c r="H31" s="190">
        <v>37.1</v>
      </c>
      <c r="I31" s="190">
        <v>32.6</v>
      </c>
      <c r="J31" s="190">
        <v>34.799999999999997</v>
      </c>
      <c r="K31" s="190">
        <v>28.5</v>
      </c>
      <c r="L31" s="190">
        <v>27.9</v>
      </c>
      <c r="M31" s="190">
        <v>15.6</v>
      </c>
      <c r="N31" s="190">
        <v>11.4</v>
      </c>
      <c r="O31" s="191">
        <f t="shared" si="0"/>
        <v>26.741666666666664</v>
      </c>
      <c r="P31" s="191">
        <f t="shared" si="1"/>
        <v>33.728136484945665</v>
      </c>
      <c r="Q31" s="192">
        <f t="shared" si="2"/>
        <v>1</v>
      </c>
      <c r="R31" s="260">
        <f t="shared" si="25"/>
        <v>19.599999999999998</v>
      </c>
      <c r="S31" s="261">
        <f t="shared" si="6"/>
        <v>1</v>
      </c>
      <c r="T31" s="260">
        <f t="shared" si="26"/>
        <v>31.966666666666669</v>
      </c>
      <c r="U31" s="261">
        <f t="shared" si="7"/>
        <v>1</v>
      </c>
      <c r="V31" s="262">
        <f t="shared" si="27"/>
        <v>26.741666666666664</v>
      </c>
      <c r="W31" s="261">
        <f t="shared" si="8"/>
        <v>1</v>
      </c>
      <c r="X31" s="177">
        <f t="shared" si="3"/>
        <v>19.560606060606059</v>
      </c>
      <c r="Y31" s="177">
        <f t="shared" si="4"/>
        <v>29.354545454545452</v>
      </c>
      <c r="Z31" s="177">
        <f t="shared" si="5"/>
        <v>25.01790633608816</v>
      </c>
      <c r="AA31" s="10"/>
      <c r="AB31" s="357" t="str">
        <f>VLOOKUP($B31,'2007-2020 Metadata'!$A$4:$S$214,MATCH("Urban Area /Monitoring Zone",'2007-2020 Metadata'!$A$4:$S$4,0),FALSE)</f>
        <v>Auckland - Northern</v>
      </c>
      <c r="AC31" s="259" t="str">
        <f>VLOOKUP(B31,'2007-2020 Metadata'!$A$6:$A$214,1,FALSE)</f>
        <v>AUC045</v>
      </c>
      <c r="AD31" s="256" t="str">
        <f>VLOOKUP($AC31,'2007-2020 Metadata'!$A$6:$S$214,9,FALSE)</f>
        <v xml:space="preserve">North Shore </v>
      </c>
      <c r="AE31" s="263">
        <f>IF(ISBLANK(VLOOKUP($AC31,'2007-2020 Metadata'!$A$6:$S$214,19,FALSE)),"",VLOOKUP($AC31,'2007-2020 Metadata'!$A$6:$S$214,19,FALSE))</f>
        <v>3</v>
      </c>
      <c r="AF31" s="257" t="str">
        <f>VLOOKUP($B31,'2007-2020 Metadata'!$A$4:$S$214,MATCH("Site type",'2007-2020 Metadata'!$A$4:$S$4,0),FALSE)</f>
        <v>SH</v>
      </c>
      <c r="AG31" s="258">
        <f t="shared" ref="AG31" si="30">MIN(AVERAGE($C$29:$C$31),AVERAGE($D$29:$D$31),AVERAGE($E$29:$E$31),AVERAGE($F$29:$F$31),AVERAGE($G$29:$G$31),AVERAGE($H$29:$H$31),AVERAGE($I$29:$I$31),AVERAGE($J$29:$J$31),AVERAGE($K$29:$K$31),AVERAGE($L$29:$L$31),AVERAGE($M$29:$M$31),AVERAGE($N$29:$N$31))</f>
        <v>13.333333333333334</v>
      </c>
      <c r="AH31" s="258">
        <f t="shared" ref="AH31" si="31">MAX(AVERAGE($C$29:$C$31),AVERAGE($D$29:$D$31),AVERAGE($E$29:$E$31),AVERAGE($F$29:$F$31),AVERAGE($G$29:$G$31),AVERAGE($H$29:$H$31),AVERAGE($I$29:$I$31),AVERAGE($J$29:$J$31),AVERAGE($K$29:$K$31),AVERAGE($L$29:$L$31),AVERAGE($M$29:$M$31),AVERAGE($N$29:$N$31))</f>
        <v>39.300000000000004</v>
      </c>
      <c r="AI31" s="177">
        <f t="shared" si="11"/>
        <v>25.01790633608816</v>
      </c>
    </row>
    <row r="32" spans="1:35" ht="12" customHeight="1" x14ac:dyDescent="0.2">
      <c r="A32" s="202"/>
      <c r="B32" s="193" t="s">
        <v>67</v>
      </c>
      <c r="C32" s="190">
        <v>15.3</v>
      </c>
      <c r="D32" s="190">
        <v>15.5</v>
      </c>
      <c r="E32" s="190">
        <v>22.8</v>
      </c>
      <c r="F32" s="190">
        <v>35</v>
      </c>
      <c r="G32" s="190">
        <v>38</v>
      </c>
      <c r="H32" s="190">
        <v>36.799999999999997</v>
      </c>
      <c r="I32" s="190">
        <v>34.700000000000003</v>
      </c>
      <c r="J32" s="190">
        <v>38.6</v>
      </c>
      <c r="K32" s="190">
        <v>36.799999999999997</v>
      </c>
      <c r="L32" s="190">
        <v>34.200000000000003</v>
      </c>
      <c r="M32" s="190">
        <v>25.8</v>
      </c>
      <c r="N32" s="190">
        <v>18.600000000000001</v>
      </c>
      <c r="O32" s="191">
        <f t="shared" si="0"/>
        <v>29.341666666666665</v>
      </c>
      <c r="P32" s="191">
        <f t="shared" si="1"/>
        <v>29.772332735286021</v>
      </c>
      <c r="Q32" s="192">
        <f t="shared" si="2"/>
        <v>1</v>
      </c>
      <c r="R32" s="140">
        <f t="shared" si="25"/>
        <v>17.866666666666667</v>
      </c>
      <c r="S32" s="150">
        <f t="shared" si="6"/>
        <v>1</v>
      </c>
      <c r="T32" s="140">
        <f t="shared" si="26"/>
        <v>36.700000000000003</v>
      </c>
      <c r="U32" s="150">
        <f t="shared" si="7"/>
        <v>1</v>
      </c>
      <c r="V32" s="141">
        <f t="shared" si="27"/>
        <v>29.341666666666665</v>
      </c>
      <c r="W32" s="142">
        <f t="shared" si="8"/>
        <v>1</v>
      </c>
      <c r="X32" s="144">
        <f t="shared" si="3"/>
        <v>19.560606060606059</v>
      </c>
      <c r="Y32" s="144">
        <f t="shared" si="4"/>
        <v>29.354545454545452</v>
      </c>
      <c r="Z32" s="144">
        <f t="shared" si="5"/>
        <v>25.01790633608816</v>
      </c>
      <c r="AA32" s="10"/>
      <c r="AB32" s="357" t="str">
        <f>VLOOKUP($B32,'2007-2020 Metadata'!$A$4:$S$214,MATCH("Urban Area /Monitoring Zone",'2007-2020 Metadata'!$A$4:$S$4,0),FALSE)</f>
        <v>Auckland - Northern</v>
      </c>
      <c r="AC32" s="87" t="str">
        <f>VLOOKUP(B32,'2007-2020 Metadata'!$A$6:$A$214,1,FALSE)</f>
        <v>AUC046</v>
      </c>
      <c r="AD32" s="230" t="str">
        <f>VLOOKUP($AC32,'2007-2020 Metadata'!$A$6:$S$214,9,FALSE)</f>
        <v xml:space="preserve">North Shore </v>
      </c>
      <c r="AE32" s="248">
        <f>IF(ISBLANK(VLOOKUP($AC32,'2007-2020 Metadata'!$A$6:$S$214,19,FALSE)),"",VLOOKUP($AC32,'2007-2020 Metadata'!$A$6:$S$214,19,FALSE))</f>
        <v>3</v>
      </c>
      <c r="AF32" s="88" t="str">
        <f>VLOOKUP($B32,'2007-2020 Metadata'!$A$4:$S$214,MATCH("Site type",'2007-2020 Metadata'!$A$4:$S$4,0),FALSE)</f>
        <v>Local</v>
      </c>
      <c r="AG32" s="143">
        <f t="shared" si="9"/>
        <v>15.3</v>
      </c>
      <c r="AH32" s="143">
        <f t="shared" si="10"/>
        <v>38.6</v>
      </c>
      <c r="AI32" s="144">
        <f t="shared" si="11"/>
        <v>25.01790633608816</v>
      </c>
    </row>
    <row r="33" spans="1:35" ht="12" customHeight="1" x14ac:dyDescent="0.2">
      <c r="A33" s="202"/>
      <c r="B33" s="193" t="s">
        <v>68</v>
      </c>
      <c r="C33" s="190">
        <v>8.1</v>
      </c>
      <c r="D33" s="190">
        <v>10.199999999999999</v>
      </c>
      <c r="E33" s="190">
        <v>8.6</v>
      </c>
      <c r="F33" s="190">
        <v>16</v>
      </c>
      <c r="G33" s="190">
        <v>17.3</v>
      </c>
      <c r="H33" s="190">
        <v>19.100000000000001</v>
      </c>
      <c r="I33" s="190">
        <v>13.8</v>
      </c>
      <c r="J33" s="190">
        <v>15.9</v>
      </c>
      <c r="K33" s="190">
        <v>12.3</v>
      </c>
      <c r="L33" s="190">
        <v>9.1</v>
      </c>
      <c r="M33" s="190">
        <v>7.4</v>
      </c>
      <c r="N33" s="190">
        <v>6.8</v>
      </c>
      <c r="O33" s="191">
        <f t="shared" si="0"/>
        <v>12.050000000000002</v>
      </c>
      <c r="P33" s="191">
        <f t="shared" si="1"/>
        <v>33.848173110350203</v>
      </c>
      <c r="Q33" s="192">
        <f t="shared" si="2"/>
        <v>1</v>
      </c>
      <c r="R33" s="140">
        <f t="shared" si="25"/>
        <v>8.9666666666666668</v>
      </c>
      <c r="S33" s="150">
        <f t="shared" si="6"/>
        <v>1</v>
      </c>
      <c r="T33" s="140">
        <f t="shared" si="26"/>
        <v>14</v>
      </c>
      <c r="U33" s="150">
        <f t="shared" si="7"/>
        <v>1</v>
      </c>
      <c r="V33" s="141">
        <f t="shared" si="27"/>
        <v>12.050000000000002</v>
      </c>
      <c r="W33" s="142">
        <f t="shared" si="8"/>
        <v>1</v>
      </c>
      <c r="X33" s="144">
        <f t="shared" si="3"/>
        <v>19.560606060606059</v>
      </c>
      <c r="Y33" s="144">
        <f t="shared" si="4"/>
        <v>29.354545454545452</v>
      </c>
      <c r="Z33" s="144">
        <f t="shared" si="5"/>
        <v>25.01790633608816</v>
      </c>
      <c r="AA33" s="10"/>
      <c r="AB33" s="357" t="str">
        <f>VLOOKUP($B33,'2007-2020 Metadata'!$A$4:$S$214,MATCH("Urban Area /Monitoring Zone",'2007-2020 Metadata'!$A$4:$S$4,0),FALSE)</f>
        <v>Auckland - Northern</v>
      </c>
      <c r="AC33" s="87" t="str">
        <f>VLOOKUP(B33,'2007-2020 Metadata'!$A$6:$A$214,1,FALSE)</f>
        <v>AUC047</v>
      </c>
      <c r="AD33" s="230" t="str">
        <f>VLOOKUP($AC33,'2007-2020 Metadata'!$A$6:$S$214,9,FALSE)</f>
        <v xml:space="preserve">North Shore </v>
      </c>
      <c r="AE33" s="248">
        <f>IF(ISBLANK(VLOOKUP($AC33,'2007-2020 Metadata'!$A$6:$S$214,19,FALSE)),"",VLOOKUP($AC33,'2007-2020 Metadata'!$A$6:$S$214,19,FALSE))</f>
        <v>3</v>
      </c>
      <c r="AF33" s="88" t="str">
        <f>VLOOKUP($B33,'2007-2020 Metadata'!$A$4:$S$214,MATCH("Site type",'2007-2020 Metadata'!$A$4:$S$4,0),FALSE)</f>
        <v>Background</v>
      </c>
      <c r="AG33" s="143">
        <f t="shared" si="9"/>
        <v>6.8</v>
      </c>
      <c r="AH33" s="143">
        <f t="shared" si="10"/>
        <v>19.100000000000001</v>
      </c>
      <c r="AI33" s="144">
        <f t="shared" si="11"/>
        <v>25.01790633608816</v>
      </c>
    </row>
    <row r="34" spans="1:35" ht="12" customHeight="1" x14ac:dyDescent="0.2">
      <c r="A34" s="202"/>
      <c r="B34" s="193" t="s">
        <v>1018</v>
      </c>
      <c r="C34" s="190">
        <v>8.1</v>
      </c>
      <c r="D34" s="190">
        <v>9.5</v>
      </c>
      <c r="E34" s="190"/>
      <c r="F34" s="190">
        <v>25.2</v>
      </c>
      <c r="G34" s="190">
        <v>17</v>
      </c>
      <c r="H34" s="190">
        <v>20.9</v>
      </c>
      <c r="I34" s="190">
        <v>13.6</v>
      </c>
      <c r="J34" s="190">
        <v>17</v>
      </c>
      <c r="K34" s="190">
        <v>13.8</v>
      </c>
      <c r="L34" s="190"/>
      <c r="M34" s="190">
        <v>19.600000000000001</v>
      </c>
      <c r="N34" s="190">
        <v>5.7</v>
      </c>
      <c r="O34" s="191">
        <f t="shared" si="0"/>
        <v>15.039999999999997</v>
      </c>
      <c r="P34" s="191">
        <f t="shared" si="1"/>
        <v>38.526210557940097</v>
      </c>
      <c r="Q34" s="192">
        <f t="shared" si="2"/>
        <v>0.83333333333333337</v>
      </c>
      <c r="R34" s="140">
        <f t="shared" si="25"/>
        <v>8.8000000000000007</v>
      </c>
      <c r="S34" s="150">
        <f t="shared" si="6"/>
        <v>0.66666666666666663</v>
      </c>
      <c r="T34" s="140">
        <f t="shared" si="26"/>
        <v>14.800000000000002</v>
      </c>
      <c r="U34" s="150">
        <f t="shared" si="7"/>
        <v>1</v>
      </c>
      <c r="V34" s="141">
        <f t="shared" si="27"/>
        <v>15.039999999999997</v>
      </c>
      <c r="W34" s="142">
        <f t="shared" si="8"/>
        <v>0.83333333333333337</v>
      </c>
      <c r="X34" s="144">
        <f t="shared" si="3"/>
        <v>8.8000000000000007</v>
      </c>
      <c r="Y34" s="144">
        <f t="shared" si="4"/>
        <v>14.800000000000002</v>
      </c>
      <c r="Z34" s="144">
        <f t="shared" si="5"/>
        <v>15.039999999999997</v>
      </c>
      <c r="AA34" s="10"/>
      <c r="AB34" s="357" t="str">
        <f>VLOOKUP($B34,'2007-2020 Metadata'!$A$4:$S$214,MATCH("Urban Area /Monitoring Zone",'2007-2020 Metadata'!$A$4:$S$4,0),FALSE)</f>
        <v>Auckland - Western</v>
      </c>
      <c r="AC34" s="87" t="str">
        <f>VLOOKUP(B34,'2007-2020 Metadata'!$A$6:$A$214,1,FALSE)</f>
        <v>AUC049a</v>
      </c>
      <c r="AD34" s="230" t="str">
        <f>VLOOKUP($AC34,'2007-2020 Metadata'!$A$6:$S$214,9,FALSE)</f>
        <v>Waitakere</v>
      </c>
      <c r="AE34" s="248" t="str">
        <f>IF(ISBLANK(VLOOKUP($AC34,'2007-2020 Metadata'!$A$6:$S$214,19,FALSE)),"",VLOOKUP($AC34,'2007-2020 Metadata'!$A$6:$S$214,19,FALSE))</f>
        <v/>
      </c>
      <c r="AF34" s="88" t="str">
        <f>VLOOKUP($B34,'2007-2020 Metadata'!$A$4:$S$214,MATCH("Site type",'2007-2020 Metadata'!$A$4:$S$4,0),FALSE)</f>
        <v>Local (ex SH)</v>
      </c>
      <c r="AG34" s="143">
        <f t="shared" si="9"/>
        <v>5.7</v>
      </c>
      <c r="AH34" s="143">
        <f t="shared" si="10"/>
        <v>25.2</v>
      </c>
      <c r="AI34" s="144">
        <f t="shared" si="11"/>
        <v>15.039999999999997</v>
      </c>
    </row>
    <row r="35" spans="1:35" ht="12" customHeight="1" x14ac:dyDescent="0.2">
      <c r="A35" s="202"/>
      <c r="B35" s="193" t="s">
        <v>71</v>
      </c>
      <c r="C35" s="190">
        <v>13.1</v>
      </c>
      <c r="D35" s="190">
        <v>17.5</v>
      </c>
      <c r="E35" s="190">
        <v>12.4</v>
      </c>
      <c r="F35" s="190">
        <v>29.8</v>
      </c>
      <c r="G35" s="190"/>
      <c r="H35" s="190"/>
      <c r="I35" s="194"/>
      <c r="J35" s="194"/>
      <c r="K35" s="194"/>
      <c r="L35" s="194"/>
      <c r="M35" s="194"/>
      <c r="N35" s="194"/>
      <c r="O35" s="191">
        <f t="shared" si="0"/>
        <v>18.2</v>
      </c>
      <c r="P35" s="191">
        <f t="shared" si="1"/>
        <v>38.33377523638822</v>
      </c>
      <c r="Q35" s="192">
        <f t="shared" si="2"/>
        <v>0.33333333333333331</v>
      </c>
      <c r="R35" s="140">
        <f t="shared" si="25"/>
        <v>14.333333333333334</v>
      </c>
      <c r="S35" s="150">
        <f t="shared" si="6"/>
        <v>1</v>
      </c>
      <c r="T35" s="140" t="str">
        <f t="shared" si="26"/>
        <v/>
      </c>
      <c r="U35" s="150">
        <f t="shared" si="7"/>
        <v>0</v>
      </c>
      <c r="V35" s="141" t="str">
        <f t="shared" si="27"/>
        <v>-</v>
      </c>
      <c r="W35" s="142">
        <f t="shared" si="8"/>
        <v>0.33333333333333331</v>
      </c>
      <c r="X35" s="144">
        <f t="shared" si="3"/>
        <v>13.540740740740741</v>
      </c>
      <c r="Y35" s="144">
        <f t="shared" si="4"/>
        <v>19.545833333333334</v>
      </c>
      <c r="Z35" s="144">
        <f t="shared" si="5"/>
        <v>15.70809523809524</v>
      </c>
      <c r="AA35" s="10"/>
      <c r="AB35" s="357" t="str">
        <f>VLOOKUP($B35,'2007-2020 Metadata'!$A$4:$S$214,MATCH("Urban Area /Monitoring Zone",'2007-2020 Metadata'!$A$4:$S$4,0),FALSE)</f>
        <v>Auckland - Western</v>
      </c>
      <c r="AC35" s="87" t="str">
        <f>VLOOKUP(B35,'2007-2020 Metadata'!$A$6:$A$214,1,FALSE)</f>
        <v>AUC050</v>
      </c>
      <c r="AD35" s="230" t="str">
        <f>VLOOKUP($AC35,'2007-2020 Metadata'!$A$6:$S$214,9,FALSE)</f>
        <v>Waitakere</v>
      </c>
      <c r="AE35" s="248">
        <f>IF(ISBLANK(VLOOKUP($AC35,'2007-2020 Metadata'!$A$6:$S$214,19,FALSE)),"",VLOOKUP($AC35,'2007-2020 Metadata'!$A$6:$S$214,19,FALSE))</f>
        <v>3</v>
      </c>
      <c r="AF35" s="88" t="str">
        <f>VLOOKUP($B35,'2007-2020 Metadata'!$A$4:$S$214,MATCH("Site type",'2007-2020 Metadata'!$A$4:$S$4,0),FALSE)</f>
        <v>SH</v>
      </c>
      <c r="AG35" s="143">
        <f t="shared" si="9"/>
        <v>12.4</v>
      </c>
      <c r="AH35" s="143">
        <f t="shared" si="10"/>
        <v>29.8</v>
      </c>
      <c r="AI35" s="144" t="str">
        <f t="shared" si="11"/>
        <v xml:space="preserve"> </v>
      </c>
    </row>
    <row r="36" spans="1:35" ht="12" customHeight="1" x14ac:dyDescent="0.2">
      <c r="A36" s="202"/>
      <c r="B36" s="193" t="s">
        <v>1020</v>
      </c>
      <c r="C36" s="194"/>
      <c r="D36" s="194"/>
      <c r="E36" s="194"/>
      <c r="F36" s="194"/>
      <c r="G36" s="194"/>
      <c r="H36" s="194"/>
      <c r="I36" s="190">
        <v>22.1</v>
      </c>
      <c r="J36" s="190">
        <v>30.1</v>
      </c>
      <c r="K36" s="190">
        <v>30.5</v>
      </c>
      <c r="L36" s="190">
        <v>15.4</v>
      </c>
      <c r="M36" s="190">
        <v>12.4</v>
      </c>
      <c r="N36" s="190">
        <v>10.7</v>
      </c>
      <c r="O36" s="191">
        <f t="shared" ref="O36" si="32">(AVERAGE(C36:N36))</f>
        <v>20.200000000000003</v>
      </c>
      <c r="P36" s="191">
        <f t="shared" ref="P36" si="33">IFERROR((STDEVP(C36:N36)/O36)*100,"")</f>
        <v>39.492417178572495</v>
      </c>
      <c r="Q36" s="192">
        <f t="shared" ref="Q36" si="34">COUNT(C36:N36)/COUNT($C$6:$N$6)</f>
        <v>0.5</v>
      </c>
      <c r="R36" s="140" t="str">
        <f t="shared" si="25"/>
        <v/>
      </c>
      <c r="S36" s="150">
        <f t="shared" ref="S36" si="35">COUNT(C36:E36)/3</f>
        <v>0</v>
      </c>
      <c r="T36" s="140">
        <f t="shared" si="26"/>
        <v>27.566666666666666</v>
      </c>
      <c r="U36" s="150">
        <f t="shared" ref="U36" si="36">COUNT(I36:K36)/3</f>
        <v>1</v>
      </c>
      <c r="V36" s="141" t="str">
        <f t="shared" si="27"/>
        <v>-</v>
      </c>
      <c r="W36" s="142">
        <f t="shared" ref="W36" si="37">Q36</f>
        <v>0.5</v>
      </c>
      <c r="X36" s="144" t="str">
        <f t="shared" si="3"/>
        <v/>
      </c>
      <c r="Y36" s="144">
        <f t="shared" si="4"/>
        <v>27.566666666666666</v>
      </c>
      <c r="Z36" s="144" t="str">
        <f t="shared" si="5"/>
        <v>-</v>
      </c>
      <c r="AA36" s="10"/>
      <c r="AB36" s="357">
        <f>VLOOKUP($B36,'2007-2020 Metadata'!$A$4:$S$214,MATCH("Urban Area /Monitoring Zone",'2007-2020 Metadata'!$A$4:$S$4,0),FALSE)</f>
        <v>0</v>
      </c>
      <c r="AC36" s="87" t="str">
        <f>VLOOKUP(B36,'2007-2020 Metadata'!$A$6:$A$214,1,FALSE)</f>
        <v>AUC050a</v>
      </c>
      <c r="AD36" s="230">
        <f>VLOOKUP($AC36,'2007-2020 Metadata'!$A$6:$S$214,9,FALSE)</f>
        <v>0</v>
      </c>
      <c r="AE36" s="248" t="str">
        <f>IF(ISBLANK(VLOOKUP($AC36,'2007-2020 Metadata'!$A$6:$S$214,19,FALSE)),"",VLOOKUP($AC36,'2007-2020 Metadata'!$A$6:$S$214,19,FALSE))</f>
        <v/>
      </c>
      <c r="AF36" s="88" t="str">
        <f>VLOOKUP($B36,'2007-2020 Metadata'!$A$4:$S$214,MATCH("Site type",'2007-2020 Metadata'!$A$4:$S$4,0),FALSE)</f>
        <v>SH</v>
      </c>
      <c r="AG36" s="143">
        <f t="shared" ref="AG36" si="38">MIN(C36:N36)</f>
        <v>10.7</v>
      </c>
      <c r="AH36" s="143">
        <f t="shared" ref="AH36" si="39">MAX(C36:N36)</f>
        <v>30.5</v>
      </c>
      <c r="AI36" s="144" t="str">
        <f t="shared" ref="AI36" si="40">IF(W36&gt;=75%,Z36," ")</f>
        <v xml:space="preserve"> </v>
      </c>
    </row>
    <row r="37" spans="1:35" ht="12" customHeight="1" x14ac:dyDescent="0.2">
      <c r="A37" s="202"/>
      <c r="B37" s="193" t="s">
        <v>1024</v>
      </c>
      <c r="C37" s="190">
        <v>11.1</v>
      </c>
      <c r="D37" s="190">
        <v>12.8</v>
      </c>
      <c r="E37" s="190">
        <v>14.9</v>
      </c>
      <c r="F37" s="190">
        <v>21</v>
      </c>
      <c r="G37" s="190">
        <v>21.8</v>
      </c>
      <c r="H37" s="190">
        <v>25.1</v>
      </c>
      <c r="I37" s="190">
        <v>24.1</v>
      </c>
      <c r="J37" s="190">
        <v>26.5</v>
      </c>
      <c r="K37" s="190"/>
      <c r="L37" s="190">
        <v>21.3</v>
      </c>
      <c r="M37" s="190">
        <v>14.1</v>
      </c>
      <c r="N37" s="190">
        <v>14</v>
      </c>
      <c r="O37" s="191">
        <f t="shared" si="0"/>
        <v>18.790909090909089</v>
      </c>
      <c r="P37" s="191">
        <f t="shared" si="1"/>
        <v>27.920679150313742</v>
      </c>
      <c r="Q37" s="192">
        <f t="shared" si="2"/>
        <v>0.91666666666666663</v>
      </c>
      <c r="R37" s="140">
        <f t="shared" si="12"/>
        <v>12.933333333333332</v>
      </c>
      <c r="S37" s="150">
        <f t="shared" si="6"/>
        <v>1</v>
      </c>
      <c r="T37" s="140">
        <f t="shared" si="13"/>
        <v>25.3</v>
      </c>
      <c r="U37" s="150">
        <f t="shared" si="7"/>
        <v>0.66666666666666663</v>
      </c>
      <c r="V37" s="141">
        <f t="shared" si="14"/>
        <v>18.790909090909089</v>
      </c>
      <c r="W37" s="142">
        <f t="shared" si="8"/>
        <v>0.91666666666666663</v>
      </c>
      <c r="X37" s="144">
        <f t="shared" si="3"/>
        <v>12.933333333333332</v>
      </c>
      <c r="Y37" s="144">
        <f t="shared" si="4"/>
        <v>25.3</v>
      </c>
      <c r="Z37" s="144">
        <f t="shared" si="5"/>
        <v>18.790909090909089</v>
      </c>
      <c r="AA37" s="10"/>
      <c r="AB37" s="357">
        <f>VLOOKUP($B37,'2007-2020 Metadata'!$A$4:$S$214,MATCH("Urban Area /Monitoring Zone",'2007-2020 Metadata'!$A$4:$S$4,0),FALSE)</f>
        <v>0</v>
      </c>
      <c r="AC37" s="87" t="str">
        <f>VLOOKUP(B37,'2007-2020 Metadata'!$A$6:$A$214,1,FALSE)</f>
        <v>AUC051a</v>
      </c>
      <c r="AD37" s="230">
        <f>VLOOKUP($AC37,'2007-2020 Metadata'!$A$6:$S$214,9,FALSE)</f>
        <v>0</v>
      </c>
      <c r="AE37" s="248" t="str">
        <f>IF(ISBLANK(VLOOKUP($AC37,'2007-2020 Metadata'!$A$6:$S$214,19,FALSE)),"",VLOOKUP($AC37,'2007-2020 Metadata'!$A$6:$S$214,19,FALSE))</f>
        <v/>
      </c>
      <c r="AF37" s="88" t="str">
        <f>VLOOKUP($B37,'2007-2020 Metadata'!$A$4:$S$214,MATCH("Site type",'2007-2020 Metadata'!$A$4:$S$4,0),FALSE)</f>
        <v>SH</v>
      </c>
      <c r="AG37" s="143">
        <f t="shared" si="9"/>
        <v>11.1</v>
      </c>
      <c r="AH37" s="143">
        <f t="shared" si="10"/>
        <v>26.5</v>
      </c>
      <c r="AI37" s="144">
        <f t="shared" si="11"/>
        <v>18.790909090909089</v>
      </c>
    </row>
    <row r="38" spans="1:35" ht="12" customHeight="1" x14ac:dyDescent="0.2">
      <c r="A38" s="202"/>
      <c r="B38" s="193" t="s">
        <v>73</v>
      </c>
      <c r="C38" s="190">
        <v>10.7</v>
      </c>
      <c r="D38" s="190">
        <v>11.9</v>
      </c>
      <c r="E38" s="190">
        <v>13.7</v>
      </c>
      <c r="F38" s="190">
        <v>19.7</v>
      </c>
      <c r="G38" s="190">
        <v>21.2</v>
      </c>
      <c r="H38" s="190">
        <v>23.8</v>
      </c>
      <c r="I38" s="190">
        <v>21.1</v>
      </c>
      <c r="J38" s="190">
        <v>23.8</v>
      </c>
      <c r="K38" s="190">
        <v>19.399999999999999</v>
      </c>
      <c r="L38" s="190">
        <v>17.3</v>
      </c>
      <c r="M38" s="190">
        <v>10.6</v>
      </c>
      <c r="N38" s="190">
        <v>10</v>
      </c>
      <c r="O38" s="191">
        <f t="shared" si="0"/>
        <v>16.933333333333334</v>
      </c>
      <c r="P38" s="191">
        <f t="shared" si="1"/>
        <v>29.848972460074979</v>
      </c>
      <c r="Q38" s="192">
        <f t="shared" si="2"/>
        <v>1</v>
      </c>
      <c r="R38" s="140">
        <f t="shared" si="12"/>
        <v>12.1</v>
      </c>
      <c r="S38" s="150">
        <f t="shared" si="6"/>
        <v>1</v>
      </c>
      <c r="T38" s="140">
        <f t="shared" si="13"/>
        <v>21.433333333333337</v>
      </c>
      <c r="U38" s="150">
        <f t="shared" si="7"/>
        <v>1</v>
      </c>
      <c r="V38" s="141">
        <f t="shared" si="14"/>
        <v>16.933333333333334</v>
      </c>
      <c r="W38" s="142">
        <f t="shared" si="8"/>
        <v>1</v>
      </c>
      <c r="X38" s="144">
        <f t="shared" si="3"/>
        <v>13.540740740740741</v>
      </c>
      <c r="Y38" s="144">
        <f t="shared" si="4"/>
        <v>19.545833333333334</v>
      </c>
      <c r="Z38" s="144">
        <f t="shared" si="5"/>
        <v>15.70809523809524</v>
      </c>
      <c r="AA38" s="10"/>
      <c r="AB38" s="357" t="str">
        <f>VLOOKUP($B38,'2007-2020 Metadata'!$A$4:$S$214,MATCH("Urban Area /Monitoring Zone",'2007-2020 Metadata'!$A$4:$S$4,0),FALSE)</f>
        <v>Auckland - Western</v>
      </c>
      <c r="AC38" s="87" t="str">
        <f>VLOOKUP(B38,'2007-2020 Metadata'!$A$6:$A$214,1,FALSE)</f>
        <v>AUC052</v>
      </c>
      <c r="AD38" s="230" t="str">
        <f>VLOOKUP($AC38,'2007-2020 Metadata'!$A$6:$S$214,9,FALSE)</f>
        <v>Waitakere</v>
      </c>
      <c r="AE38" s="248">
        <f>IF(ISBLANK(VLOOKUP($AC38,'2007-2020 Metadata'!$A$6:$S$214,19,FALSE)),"",VLOOKUP($AC38,'2007-2020 Metadata'!$A$6:$S$214,19,FALSE))</f>
        <v>3</v>
      </c>
      <c r="AF38" s="88" t="str">
        <f>VLOOKUP($B38,'2007-2020 Metadata'!$A$4:$S$214,MATCH("Site type",'2007-2020 Metadata'!$A$4:$S$4,0),FALSE)</f>
        <v>Local</v>
      </c>
      <c r="AG38" s="143">
        <f t="shared" si="9"/>
        <v>10</v>
      </c>
      <c r="AH38" s="143">
        <f t="shared" si="10"/>
        <v>23.8</v>
      </c>
      <c r="AI38" s="144">
        <f t="shared" si="11"/>
        <v>15.70809523809524</v>
      </c>
    </row>
    <row r="39" spans="1:35" ht="12" customHeight="1" x14ac:dyDescent="0.2">
      <c r="A39" s="202"/>
      <c r="B39" s="193" t="s">
        <v>74</v>
      </c>
      <c r="C39" s="190">
        <v>17.100000000000001</v>
      </c>
      <c r="D39" s="190">
        <v>17.399999999999999</v>
      </c>
      <c r="E39" s="190">
        <v>21.1</v>
      </c>
      <c r="F39" s="190">
        <v>31.6</v>
      </c>
      <c r="G39" s="190">
        <v>38.9</v>
      </c>
      <c r="H39" s="190">
        <v>30.4</v>
      </c>
      <c r="I39" s="190">
        <v>30.5</v>
      </c>
      <c r="J39" s="190">
        <v>31.1</v>
      </c>
      <c r="K39" s="190"/>
      <c r="L39" s="194"/>
      <c r="M39" s="194"/>
      <c r="N39" s="194"/>
      <c r="O39" s="191">
        <f t="shared" si="0"/>
        <v>27.262499999999999</v>
      </c>
      <c r="P39" s="191">
        <f t="shared" si="1"/>
        <v>26.82373408820412</v>
      </c>
      <c r="Q39" s="192">
        <f t="shared" si="2"/>
        <v>0.66666666666666663</v>
      </c>
      <c r="R39" s="140">
        <f t="shared" si="12"/>
        <v>18.533333333333335</v>
      </c>
      <c r="S39" s="150">
        <f t="shared" si="6"/>
        <v>1</v>
      </c>
      <c r="T39" s="140">
        <f t="shared" si="13"/>
        <v>30.8</v>
      </c>
      <c r="U39" s="150">
        <f t="shared" si="7"/>
        <v>0.66666666666666663</v>
      </c>
      <c r="V39" s="141" t="str">
        <f t="shared" si="14"/>
        <v>-</v>
      </c>
      <c r="W39" s="142">
        <f t="shared" si="8"/>
        <v>0.66666666666666663</v>
      </c>
      <c r="X39" s="144">
        <f t="shared" si="3"/>
        <v>13.540740740740741</v>
      </c>
      <c r="Y39" s="144">
        <f t="shared" si="4"/>
        <v>19.545833333333334</v>
      </c>
      <c r="Z39" s="144">
        <f t="shared" si="5"/>
        <v>15.70809523809524</v>
      </c>
      <c r="AA39" s="10"/>
      <c r="AB39" s="357" t="str">
        <f>VLOOKUP($B39,'2007-2020 Metadata'!$A$4:$S$214,MATCH("Urban Area /Monitoring Zone",'2007-2020 Metadata'!$A$4:$S$4,0),FALSE)</f>
        <v>Auckland - Western</v>
      </c>
      <c r="AC39" s="87" t="str">
        <f>VLOOKUP(B39,'2007-2020 Metadata'!$A$6:$A$214,1,FALSE)</f>
        <v>AUC053</v>
      </c>
      <c r="AD39" s="230" t="str">
        <f>VLOOKUP($AC39,'2007-2020 Metadata'!$A$6:$S$214,9,FALSE)</f>
        <v>Waitakere</v>
      </c>
      <c r="AE39" s="248">
        <f>IF(ISBLANK(VLOOKUP($AC39,'2007-2020 Metadata'!$A$6:$S$214,19,FALSE)),"",VLOOKUP($AC39,'2007-2020 Metadata'!$A$6:$S$214,19,FALSE))</f>
        <v>3</v>
      </c>
      <c r="AF39" s="88" t="str">
        <f>VLOOKUP($B39,'2007-2020 Metadata'!$A$4:$S$214,MATCH("Site type",'2007-2020 Metadata'!$A$4:$S$4,0),FALSE)</f>
        <v>Local</v>
      </c>
      <c r="AG39" s="143">
        <f t="shared" si="9"/>
        <v>17.100000000000001</v>
      </c>
      <c r="AH39" s="143">
        <f t="shared" si="10"/>
        <v>38.9</v>
      </c>
      <c r="AI39" s="144" t="str">
        <f t="shared" si="11"/>
        <v xml:space="preserve"> </v>
      </c>
    </row>
    <row r="40" spans="1:35" ht="12" customHeight="1" x14ac:dyDescent="0.2">
      <c r="A40" s="202"/>
      <c r="B40" s="193" t="s">
        <v>1026</v>
      </c>
      <c r="C40" s="194"/>
      <c r="D40" s="194"/>
      <c r="E40" s="194"/>
      <c r="F40" s="194"/>
      <c r="G40" s="194"/>
      <c r="H40" s="194"/>
      <c r="I40" s="194"/>
      <c r="J40" s="194"/>
      <c r="K40" s="194"/>
      <c r="L40" s="190">
        <v>23.4</v>
      </c>
      <c r="M40" s="190">
        <v>20.8</v>
      </c>
      <c r="N40" s="190">
        <v>14.2</v>
      </c>
      <c r="O40" s="191">
        <f t="shared" ref="O40" si="41">(AVERAGE(C40:N40))</f>
        <v>19.466666666666669</v>
      </c>
      <c r="P40" s="191">
        <f t="shared" ref="P40" si="42">IFERROR((STDEVP(C40:N40)/O40)*100,"")</f>
        <v>19.892514700626826</v>
      </c>
      <c r="Q40" s="192">
        <f t="shared" ref="Q40" si="43">COUNT(C40:N40)/COUNT($C$6:$N$6)</f>
        <v>0.25</v>
      </c>
      <c r="R40" s="140" t="str">
        <f t="shared" si="12"/>
        <v/>
      </c>
      <c r="S40" s="150">
        <f t="shared" ref="S40" si="44">COUNT(C40:E40)/3</f>
        <v>0</v>
      </c>
      <c r="T40" s="140" t="str">
        <f t="shared" si="13"/>
        <v/>
      </c>
      <c r="U40" s="150">
        <f t="shared" ref="U40" si="45">COUNT(I40:K40)/3</f>
        <v>0</v>
      </c>
      <c r="V40" s="141" t="str">
        <f t="shared" si="14"/>
        <v>-</v>
      </c>
      <c r="W40" s="142">
        <f t="shared" ref="W40" si="46">Q40</f>
        <v>0.25</v>
      </c>
      <c r="X40" s="144" t="str">
        <f t="shared" si="3"/>
        <v/>
      </c>
      <c r="Y40" s="144" t="str">
        <f t="shared" si="4"/>
        <v/>
      </c>
      <c r="Z40" s="144" t="str">
        <f t="shared" si="5"/>
        <v>-</v>
      </c>
      <c r="AA40" s="10"/>
      <c r="AB40" s="357">
        <f>VLOOKUP($B40,'2007-2020 Metadata'!$A$4:$S$214,MATCH("Urban Area /Monitoring Zone",'2007-2020 Metadata'!$A$4:$S$4,0),FALSE)</f>
        <v>0</v>
      </c>
      <c r="AC40" s="87" t="str">
        <f>VLOOKUP(B40,'2007-2020 Metadata'!$A$6:$A$214,1,FALSE)</f>
        <v>AUC053a</v>
      </c>
      <c r="AD40" s="230">
        <f>VLOOKUP($AC40,'2007-2020 Metadata'!$A$6:$S$214,9,FALSE)</f>
        <v>0</v>
      </c>
      <c r="AE40" s="248" t="str">
        <f>IF(ISBLANK(VLOOKUP($AC40,'2007-2020 Metadata'!$A$6:$S$214,19,FALSE)),"",VLOOKUP($AC40,'2007-2020 Metadata'!$A$6:$S$214,19,FALSE))</f>
        <v/>
      </c>
      <c r="AF40" s="88" t="str">
        <f>VLOOKUP($B40,'2007-2020 Metadata'!$A$4:$S$214,MATCH("Site type",'2007-2020 Metadata'!$A$4:$S$4,0),FALSE)</f>
        <v>Local</v>
      </c>
      <c r="AG40" s="143">
        <f t="shared" ref="AG40" si="47">MIN(C40:N40)</f>
        <v>14.2</v>
      </c>
      <c r="AH40" s="143">
        <f t="shared" ref="AH40" si="48">MAX(C40:N40)</f>
        <v>23.4</v>
      </c>
      <c r="AI40" s="144" t="str">
        <f t="shared" ref="AI40" si="49">IF(W40&gt;=75%,Z40," ")</f>
        <v xml:space="preserve"> </v>
      </c>
    </row>
    <row r="41" spans="1:35" ht="12" customHeight="1" x14ac:dyDescent="0.2">
      <c r="A41" s="202"/>
      <c r="B41" s="193" t="s">
        <v>1030</v>
      </c>
      <c r="C41" s="190">
        <v>10.3</v>
      </c>
      <c r="D41" s="190">
        <v>14.1</v>
      </c>
      <c r="E41" s="190">
        <v>13.3</v>
      </c>
      <c r="F41" s="190">
        <v>19</v>
      </c>
      <c r="G41" s="190">
        <v>16.399999999999999</v>
      </c>
      <c r="H41" s="190">
        <v>18.8</v>
      </c>
      <c r="I41" s="190">
        <v>15.1</v>
      </c>
      <c r="J41" s="190">
        <v>18</v>
      </c>
      <c r="K41" s="190">
        <v>17.899999999999999</v>
      </c>
      <c r="L41" s="190">
        <v>10.1</v>
      </c>
      <c r="M41" s="190">
        <v>6.3</v>
      </c>
      <c r="N41" s="190">
        <v>5.9</v>
      </c>
      <c r="O41" s="191">
        <f t="shared" si="0"/>
        <v>13.766666666666666</v>
      </c>
      <c r="P41" s="191">
        <f t="shared" si="1"/>
        <v>32.476224133859773</v>
      </c>
      <c r="Q41" s="192">
        <f t="shared" si="2"/>
        <v>1</v>
      </c>
      <c r="R41" s="260">
        <f t="shared" si="12"/>
        <v>12.566666666666668</v>
      </c>
      <c r="S41" s="261">
        <f t="shared" si="6"/>
        <v>1</v>
      </c>
      <c r="T41" s="260">
        <f t="shared" si="13"/>
        <v>17</v>
      </c>
      <c r="U41" s="261">
        <f t="shared" si="7"/>
        <v>1</v>
      </c>
      <c r="V41" s="262">
        <f t="shared" si="14"/>
        <v>13.766666666666666</v>
      </c>
      <c r="W41" s="261">
        <f t="shared" si="8"/>
        <v>1</v>
      </c>
      <c r="X41" s="177">
        <f t="shared" si="3"/>
        <v>12.566666666666668</v>
      </c>
      <c r="Y41" s="177">
        <f t="shared" si="4"/>
        <v>17</v>
      </c>
      <c r="Z41" s="177">
        <f t="shared" si="5"/>
        <v>13.766666666666666</v>
      </c>
      <c r="AA41" s="10"/>
      <c r="AB41" s="357">
        <f>VLOOKUP($B41,'2007-2020 Metadata'!$A$4:$S$214,MATCH("Urban Area /Monitoring Zone",'2007-2020 Metadata'!$A$4:$S$4,0),FALSE)</f>
        <v>0</v>
      </c>
      <c r="AC41" s="259" t="str">
        <f>VLOOKUP(B41,'2007-2020 Metadata'!$A$6:$A$214,1,FALSE)</f>
        <v>AUC054a</v>
      </c>
      <c r="AD41" s="256">
        <f>VLOOKUP($AC41,'2007-2020 Metadata'!$A$6:$S$214,9,FALSE)</f>
        <v>0</v>
      </c>
      <c r="AE41" s="263" t="str">
        <f>IF(ISBLANK(VLOOKUP($AC41,'2007-2020 Metadata'!$A$6:$S$214,19,FALSE)),"",VLOOKUP($AC41,'2007-2020 Metadata'!$A$6:$S$214,19,FALSE))</f>
        <v/>
      </c>
      <c r="AF41" s="257" t="str">
        <f>VLOOKUP($B41,'2007-2020 Metadata'!$A$4:$S$214,MATCH("Site type",'2007-2020 Metadata'!$A$4:$S$4,0),FALSE)</f>
        <v>Local</v>
      </c>
      <c r="AG41" s="258">
        <f>MIN(AVERAGE($C$41:$C$43),AVERAGE($D$41:$D$43),AVERAGE($E$41:$E$43),AVERAGE($F$41:$F$43),AVERAGE($G$41:$G$43),AVERAGE($H$41:$H$43),AVERAGE($I$41:$I$43),AVERAGE($J$41:$J$43),AVERAGE($K$41:$K$43),AVERAGE($L$41:$L$43),AVERAGE($M$41:$M$43),AVERAGE($N$41:$N$43))</f>
        <v>6.6333333333333329</v>
      </c>
      <c r="AH41" s="258">
        <f>MAX(AVERAGE($C$41:$C$43),AVERAGE($D$41:$D$43),AVERAGE($E$41:$E$43),AVERAGE($F$41:$F$43),AVERAGE($G$41:$G$43),AVERAGE($H$41:$H$43),AVERAGE($I$41:$I$43),AVERAGE($J$41:$J$43),AVERAGE($K$41:$K$43),AVERAGE($L$41:$L$43),AVERAGE($M$41:$M$43),AVERAGE($N$41:$N$43))</f>
        <v>20.866666666666667</v>
      </c>
      <c r="AI41" s="177">
        <f t="shared" si="11"/>
        <v>13.766666666666666</v>
      </c>
    </row>
    <row r="42" spans="1:35" ht="12" customHeight="1" x14ac:dyDescent="0.2">
      <c r="A42" s="202"/>
      <c r="B42" s="193" t="s">
        <v>1031</v>
      </c>
      <c r="C42" s="190">
        <v>14.5</v>
      </c>
      <c r="D42" s="190">
        <v>14.6</v>
      </c>
      <c r="E42" s="190">
        <v>13.8</v>
      </c>
      <c r="F42" s="190">
        <v>16.8</v>
      </c>
      <c r="G42" s="190">
        <v>16.399999999999999</v>
      </c>
      <c r="H42" s="190">
        <v>21.8</v>
      </c>
      <c r="I42" s="190">
        <v>15.7</v>
      </c>
      <c r="J42" s="190">
        <v>19.8</v>
      </c>
      <c r="K42" s="190">
        <v>17.899999999999999</v>
      </c>
      <c r="L42" s="190">
        <v>9.5</v>
      </c>
      <c r="M42" s="190">
        <v>6.1</v>
      </c>
      <c r="N42" s="190">
        <v>7.2</v>
      </c>
      <c r="O42" s="191">
        <f t="shared" si="0"/>
        <v>14.508333333333333</v>
      </c>
      <c r="P42" s="191">
        <f t="shared" si="1"/>
        <v>31.62522300753146</v>
      </c>
      <c r="Q42" s="192">
        <f t="shared" si="2"/>
        <v>1</v>
      </c>
      <c r="R42" s="260">
        <f t="shared" si="12"/>
        <v>14.300000000000002</v>
      </c>
      <c r="S42" s="261">
        <f t="shared" si="6"/>
        <v>1</v>
      </c>
      <c r="T42" s="260">
        <f t="shared" si="13"/>
        <v>17.8</v>
      </c>
      <c r="U42" s="261">
        <f t="shared" si="7"/>
        <v>1</v>
      </c>
      <c r="V42" s="262">
        <f t="shared" si="14"/>
        <v>14.508333333333333</v>
      </c>
      <c r="W42" s="261">
        <f t="shared" si="8"/>
        <v>1</v>
      </c>
      <c r="X42" s="177">
        <f t="shared" ref="X42:X73" si="50">IF(VLOOKUP($B42,$AC$6:$AI$161,3,FALSE)="",$R42,IF(ISERROR(AVERAGEIF($AD$6:$AD$161,VLOOKUP($B42,$AC$6:$AI$161,2,FALSE),$R$6:$R$161)),"",AVERAGEIF($AD$6:$AD$161,VLOOKUP($B42,$AC$6:$AI$161,2,FALSE),$R$6:$R$161)))</f>
        <v>14.300000000000002</v>
      </c>
      <c r="Y42" s="177">
        <f t="shared" ref="Y42:Y73" si="51">IF(VLOOKUP($B42,$AC$6:$AI$161,3,FALSE)="",$T42,IF(ISERROR(AVERAGEIF($AD$6:$AD$161,VLOOKUP($B42,$AC$6:$AI$161,2,FALSE),$T$6:$T$161)),"",AVERAGEIF($AD$6:$AD$161,VLOOKUP($B42,$AC$6:$AI$161,2,FALSE),$T$6:$T$161)))</f>
        <v>17.8</v>
      </c>
      <c r="Z42" s="177">
        <f t="shared" ref="Z42:Z73" si="52">IF(VLOOKUP($B42,$AC$6:$AI$161,3,FALSE)="",$V42,IF(ISERROR(AVERAGEIF($AD$6:$AD$161,VLOOKUP($B42,$AC$6:$AI$161,2,FALSE),$V$6:$V$161)),"",AVERAGEIF($AD$6:$AD$161,VLOOKUP($B42,$AC$6:$AI$161,2,FALSE),$V$6:$V$161)))</f>
        <v>14.508333333333333</v>
      </c>
      <c r="AA42" s="10"/>
      <c r="AB42" s="357">
        <f>VLOOKUP($B42,'2007-2020 Metadata'!$A$4:$S$214,MATCH("Urban Area /Monitoring Zone",'2007-2020 Metadata'!$A$4:$S$4,0),FALSE)</f>
        <v>0</v>
      </c>
      <c r="AC42" s="259" t="str">
        <f>VLOOKUP(B42,'2007-2020 Metadata'!$A$6:$A$214,1,FALSE)</f>
        <v>AUC055a</v>
      </c>
      <c r="AD42" s="256">
        <f>VLOOKUP($AC42,'2007-2020 Metadata'!$A$6:$S$214,9,FALSE)</f>
        <v>0</v>
      </c>
      <c r="AE42" s="263" t="str">
        <f>IF(ISBLANK(VLOOKUP($AC42,'2007-2020 Metadata'!$A$6:$S$214,19,FALSE)),"",VLOOKUP($AC42,'2007-2020 Metadata'!$A$6:$S$214,19,FALSE))</f>
        <v/>
      </c>
      <c r="AF42" s="257" t="str">
        <f>VLOOKUP($B42,'2007-2020 Metadata'!$A$4:$S$214,MATCH("Site type",'2007-2020 Metadata'!$A$4:$S$4,0),FALSE)</f>
        <v>Local</v>
      </c>
      <c r="AG42" s="258">
        <f>MIN(AVERAGE($C$41:$C$43),AVERAGE($D$41:$D$43),AVERAGE($E$41:$E$43),AVERAGE($F$41:$F$43),AVERAGE($G$41:$G$43),AVERAGE($H$41:$H$43),AVERAGE($I$41:$I$43),AVERAGE($J$41:$J$43),AVERAGE($K$41:$K$43),AVERAGE($L$41:$L$43),AVERAGE($M$41:$M$43),AVERAGE($N$41:$N$43))</f>
        <v>6.6333333333333329</v>
      </c>
      <c r="AH42" s="258">
        <f>MAX(AVERAGE($C$41:$C$43),AVERAGE($D$41:$D$43),AVERAGE($E$41:$E$43),AVERAGE($F$41:$F$43),AVERAGE($G$41:$G$43),AVERAGE($H$41:$H$43),AVERAGE($I$41:$I$43),AVERAGE($J$41:$J$43),AVERAGE($K$41:$K$43),AVERAGE($L$41:$L$43),AVERAGE($M$41:$M$43),AVERAGE($N$41:$N$43))</f>
        <v>20.866666666666667</v>
      </c>
      <c r="AI42" s="177">
        <f t="shared" si="11"/>
        <v>14.508333333333333</v>
      </c>
    </row>
    <row r="43" spans="1:35" ht="12" customHeight="1" x14ac:dyDescent="0.2">
      <c r="A43" s="202"/>
      <c r="B43" s="193" t="s">
        <v>1032</v>
      </c>
      <c r="C43" s="190">
        <v>13.5</v>
      </c>
      <c r="D43" s="190">
        <v>13</v>
      </c>
      <c r="E43" s="190">
        <v>13.6</v>
      </c>
      <c r="F43" s="190">
        <v>18.5</v>
      </c>
      <c r="G43" s="190">
        <v>16.5</v>
      </c>
      <c r="H43" s="190">
        <v>22</v>
      </c>
      <c r="I43" s="190">
        <v>15.5</v>
      </c>
      <c r="J43" s="190">
        <v>18.8</v>
      </c>
      <c r="K43" s="190">
        <v>17</v>
      </c>
      <c r="L43" s="190">
        <v>10.3</v>
      </c>
      <c r="M43" s="190">
        <v>7.5</v>
      </c>
      <c r="N43" s="190">
        <v>7</v>
      </c>
      <c r="O43" s="191">
        <f t="shared" si="0"/>
        <v>14.433333333333335</v>
      </c>
      <c r="P43" s="191">
        <f t="shared" si="1"/>
        <v>30.258889303625647</v>
      </c>
      <c r="Q43" s="192">
        <f t="shared" si="2"/>
        <v>1</v>
      </c>
      <c r="R43" s="260">
        <f t="shared" si="12"/>
        <v>13.366666666666667</v>
      </c>
      <c r="S43" s="261">
        <f t="shared" si="6"/>
        <v>1</v>
      </c>
      <c r="T43" s="260">
        <f t="shared" si="13"/>
        <v>17.099999999999998</v>
      </c>
      <c r="U43" s="261">
        <f t="shared" si="7"/>
        <v>1</v>
      </c>
      <c r="V43" s="262">
        <f t="shared" si="14"/>
        <v>14.433333333333335</v>
      </c>
      <c r="W43" s="261">
        <f t="shared" si="8"/>
        <v>1</v>
      </c>
      <c r="X43" s="177">
        <f t="shared" si="50"/>
        <v>13.366666666666667</v>
      </c>
      <c r="Y43" s="177">
        <f t="shared" si="51"/>
        <v>17.099999999999998</v>
      </c>
      <c r="Z43" s="177">
        <f t="shared" si="52"/>
        <v>14.433333333333335</v>
      </c>
      <c r="AA43" s="10"/>
      <c r="AB43" s="357">
        <f>VLOOKUP($B43,'2007-2020 Metadata'!$A$4:$S$214,MATCH("Urban Area /Monitoring Zone",'2007-2020 Metadata'!$A$4:$S$4,0),FALSE)</f>
        <v>0</v>
      </c>
      <c r="AC43" s="259" t="str">
        <f>VLOOKUP(B43,'2007-2020 Metadata'!$A$6:$A$214,1,FALSE)</f>
        <v>AUC056a</v>
      </c>
      <c r="AD43" s="256">
        <f>VLOOKUP($AC43,'2007-2020 Metadata'!$A$6:$S$214,9,FALSE)</f>
        <v>0</v>
      </c>
      <c r="AE43" s="263" t="str">
        <f>IF(ISBLANK(VLOOKUP($AC43,'2007-2020 Metadata'!$A$6:$S$214,19,FALSE)),"",VLOOKUP($AC43,'2007-2020 Metadata'!$A$6:$S$214,19,FALSE))</f>
        <v/>
      </c>
      <c r="AF43" s="257" t="str">
        <f>VLOOKUP($B43,'2007-2020 Metadata'!$A$4:$S$214,MATCH("Site type",'2007-2020 Metadata'!$A$4:$S$4,0),FALSE)</f>
        <v>Local</v>
      </c>
      <c r="AG43" s="258">
        <f>MIN(AVERAGE($C$41:$C$43),AVERAGE($D$41:$D$43),AVERAGE($E$41:$E$43),AVERAGE($F$41:$F$43),AVERAGE($G$41:$G$43),AVERAGE($H$41:$H$43),AVERAGE($I$41:$I$43),AVERAGE($J$41:$J$43),AVERAGE($K$41:$K$43),AVERAGE($L$41:$L$43),AVERAGE($M$41:$M$43),AVERAGE($N$41:$N$43))</f>
        <v>6.6333333333333329</v>
      </c>
      <c r="AH43" s="258">
        <f>MAX(AVERAGE($C$41:$C$43),AVERAGE($D$41:$D$43),AVERAGE($E$41:$E$43),AVERAGE($F$41:$F$43),AVERAGE($G$41:$G$43),AVERAGE($H$41:$H$43),AVERAGE($I$41:$I$43),AVERAGE($J$41:$J$43),AVERAGE($K$41:$K$43),AVERAGE($L$41:$L$43),AVERAGE($M$41:$M$43),AVERAGE($N$41:$N$43))</f>
        <v>20.866666666666667</v>
      </c>
      <c r="AI43" s="177">
        <f t="shared" si="11"/>
        <v>14.433333333333335</v>
      </c>
    </row>
    <row r="44" spans="1:35" ht="12" customHeight="1" x14ac:dyDescent="0.2">
      <c r="A44" s="202"/>
      <c r="B44" s="193" t="s">
        <v>78</v>
      </c>
      <c r="C44" s="190">
        <v>6.6</v>
      </c>
      <c r="D44" s="190">
        <v>7.1</v>
      </c>
      <c r="E44" s="190">
        <v>8.3000000000000007</v>
      </c>
      <c r="F44" s="190">
        <v>11.3</v>
      </c>
      <c r="G44" s="190">
        <v>11.2</v>
      </c>
      <c r="H44" s="190">
        <v>13.8</v>
      </c>
      <c r="I44" s="190">
        <v>9.1999999999999993</v>
      </c>
      <c r="J44" s="190">
        <v>7.4</v>
      </c>
      <c r="K44" s="190">
        <v>10.1</v>
      </c>
      <c r="L44" s="190">
        <v>6</v>
      </c>
      <c r="M44" s="190">
        <v>4.5</v>
      </c>
      <c r="N44" s="190">
        <v>4.5</v>
      </c>
      <c r="O44" s="191">
        <f t="shared" si="0"/>
        <v>8.3333333333333339</v>
      </c>
      <c r="P44" s="191">
        <f t="shared" si="1"/>
        <v>33.04663371661325</v>
      </c>
      <c r="Q44" s="192">
        <f t="shared" si="2"/>
        <v>1</v>
      </c>
      <c r="R44" s="260">
        <f t="shared" si="12"/>
        <v>7.333333333333333</v>
      </c>
      <c r="S44" s="261">
        <f t="shared" si="6"/>
        <v>1</v>
      </c>
      <c r="T44" s="260">
        <f t="shared" si="13"/>
        <v>8.9</v>
      </c>
      <c r="U44" s="261">
        <f t="shared" si="7"/>
        <v>1</v>
      </c>
      <c r="V44" s="262">
        <f t="shared" si="14"/>
        <v>8.3333333333333339</v>
      </c>
      <c r="W44" s="261">
        <f t="shared" si="8"/>
        <v>1</v>
      </c>
      <c r="X44" s="177">
        <f t="shared" si="50"/>
        <v>13.540740740740741</v>
      </c>
      <c r="Y44" s="177">
        <f t="shared" si="51"/>
        <v>19.545833333333334</v>
      </c>
      <c r="Z44" s="177">
        <f t="shared" si="52"/>
        <v>15.70809523809524</v>
      </c>
      <c r="AA44" s="10"/>
      <c r="AB44" s="357" t="str">
        <f>VLOOKUP($B44,'2007-2020 Metadata'!$A$4:$S$214,MATCH("Urban Area /Monitoring Zone",'2007-2020 Metadata'!$A$4:$S$4,0),FALSE)</f>
        <v>Auckland - Western</v>
      </c>
      <c r="AC44" s="259" t="str">
        <f>VLOOKUP(B44,'2007-2020 Metadata'!$A$6:$A$214,1,FALSE)</f>
        <v>AUC057</v>
      </c>
      <c r="AD44" s="256" t="str">
        <f>VLOOKUP($AC44,'2007-2020 Metadata'!$A$6:$S$214,9,FALSE)</f>
        <v>Waitakere</v>
      </c>
      <c r="AE44" s="263">
        <f>IF(ISBLANK(VLOOKUP($AC44,'2007-2020 Metadata'!$A$6:$S$214,19,FALSE)),"",VLOOKUP($AC44,'2007-2020 Metadata'!$A$6:$S$214,19,FALSE))</f>
        <v>3</v>
      </c>
      <c r="AF44" s="257" t="str">
        <f>VLOOKUP($B44,'2007-2020 Metadata'!$A$4:$S$214,MATCH("Site type",'2007-2020 Metadata'!$A$4:$S$4,0),FALSE)</f>
        <v>Background</v>
      </c>
      <c r="AG44" s="258">
        <f>MIN(AVERAGE($C$44:$C$46),AVERAGE($D$44:$D$46),AVERAGE($E$44:$E$46),AVERAGE($F$44:$F$46),AVERAGE($G$44:$G$46),AVERAGE($H$44:$H$46),AVERAGE($I$44:$I$46),AVERAGE($J$44:$J$46),AVERAGE($K$44:$K$46),AVERAGE($L$44:$L$46),AVERAGE($M$44:$M$46),AVERAGE($N$44:$N$46))</f>
        <v>4.5666666666666664</v>
      </c>
      <c r="AH44" s="258">
        <f>MAX(AVERAGE($C$44:$C$46),AVERAGE($D$44:$D$46),AVERAGE($E$44:$E$46),AVERAGE($F$44:$F$46),AVERAGE($G$44:$G$46),AVERAGE($H$44:$H$46),AVERAGE($I$44:$I$46),AVERAGE($J$44:$J$46),AVERAGE($K$44:$K$46),AVERAGE($L$44:$L$46),AVERAGE($M$44:$M$46),AVERAGE($N$44:$N$46))</f>
        <v>13.4</v>
      </c>
      <c r="AI44" s="177">
        <f t="shared" si="11"/>
        <v>15.70809523809524</v>
      </c>
    </row>
    <row r="45" spans="1:35" ht="12" customHeight="1" x14ac:dyDescent="0.2">
      <c r="A45" s="202"/>
      <c r="B45" s="193" t="s">
        <v>79</v>
      </c>
      <c r="C45" s="190">
        <v>5.8</v>
      </c>
      <c r="D45" s="190">
        <v>6.9</v>
      </c>
      <c r="E45" s="190">
        <v>11.1</v>
      </c>
      <c r="F45" s="190">
        <v>11.4</v>
      </c>
      <c r="G45" s="190">
        <v>11.7</v>
      </c>
      <c r="H45" s="190">
        <v>12.9</v>
      </c>
      <c r="I45" s="190">
        <v>10.3</v>
      </c>
      <c r="J45" s="190">
        <v>10.199999999999999</v>
      </c>
      <c r="K45" s="190">
        <v>9.6999999999999993</v>
      </c>
      <c r="L45" s="190">
        <v>5.8</v>
      </c>
      <c r="M45" s="190">
        <v>5.6</v>
      </c>
      <c r="N45" s="190">
        <v>4.7</v>
      </c>
      <c r="O45" s="191">
        <f t="shared" si="0"/>
        <v>8.8416666666666668</v>
      </c>
      <c r="P45" s="191">
        <f t="shared" si="1"/>
        <v>31.133421013141781</v>
      </c>
      <c r="Q45" s="192">
        <f t="shared" si="2"/>
        <v>1</v>
      </c>
      <c r="R45" s="260">
        <f t="shared" si="12"/>
        <v>7.9333333333333327</v>
      </c>
      <c r="S45" s="261">
        <f t="shared" si="6"/>
        <v>1</v>
      </c>
      <c r="T45" s="260">
        <f t="shared" si="13"/>
        <v>10.066666666666666</v>
      </c>
      <c r="U45" s="261">
        <f t="shared" si="7"/>
        <v>1</v>
      </c>
      <c r="V45" s="262">
        <f t="shared" si="14"/>
        <v>8.8416666666666668</v>
      </c>
      <c r="W45" s="261">
        <f t="shared" si="8"/>
        <v>1</v>
      </c>
      <c r="X45" s="177">
        <f t="shared" si="50"/>
        <v>13.540740740740741</v>
      </c>
      <c r="Y45" s="177">
        <f t="shared" si="51"/>
        <v>19.545833333333334</v>
      </c>
      <c r="Z45" s="177">
        <f t="shared" si="52"/>
        <v>15.70809523809524</v>
      </c>
      <c r="AA45" s="10"/>
      <c r="AB45" s="357" t="str">
        <f>VLOOKUP($B45,'2007-2020 Metadata'!$A$4:$S$214,MATCH("Urban Area /Monitoring Zone",'2007-2020 Metadata'!$A$4:$S$4,0),FALSE)</f>
        <v>Auckland - Western</v>
      </c>
      <c r="AC45" s="259" t="str">
        <f>VLOOKUP(B45,'2007-2020 Metadata'!$A$6:$A$214,1,FALSE)</f>
        <v>AUC058</v>
      </c>
      <c r="AD45" s="256" t="str">
        <f>VLOOKUP($AC45,'2007-2020 Metadata'!$A$6:$S$214,9,FALSE)</f>
        <v>Waitakere</v>
      </c>
      <c r="AE45" s="263">
        <f>IF(ISBLANK(VLOOKUP($AC45,'2007-2020 Metadata'!$A$6:$S$214,19,FALSE)),"",VLOOKUP($AC45,'2007-2020 Metadata'!$A$6:$S$214,19,FALSE))</f>
        <v>3</v>
      </c>
      <c r="AF45" s="257" t="str">
        <f>VLOOKUP($B45,'2007-2020 Metadata'!$A$4:$S$214,MATCH("Site type",'2007-2020 Metadata'!$A$4:$S$4,0),FALSE)</f>
        <v>Background</v>
      </c>
      <c r="AG45" s="258">
        <f>MIN(AVERAGE($C$44:$C$46),AVERAGE($D$44:$D$46),AVERAGE($E$44:$E$46),AVERAGE($F$44:$F$46),AVERAGE($G$44:$G$46),AVERAGE($H$44:$H$46),AVERAGE($I$44:$I$46),AVERAGE($J$44:$J$46),AVERAGE($K$44:$K$46),AVERAGE($L$44:$L$46),AVERAGE($M$44:$M$46),AVERAGE($N$44:$N$46))</f>
        <v>4.5666666666666664</v>
      </c>
      <c r="AH45" s="258">
        <f>MAX(AVERAGE($C$44:$C$46),AVERAGE($D$44:$D$46),AVERAGE($E$44:$E$46),AVERAGE($F$44:$F$46),AVERAGE($G$44:$G$46),AVERAGE($H$44:$H$46),AVERAGE($I$44:$I$46),AVERAGE($J$44:$J$46),AVERAGE($K$44:$K$46),AVERAGE($L$44:$L$46),AVERAGE($M$44:$M$46),AVERAGE($N$44:$N$46))</f>
        <v>13.4</v>
      </c>
      <c r="AI45" s="177">
        <f t="shared" si="11"/>
        <v>15.70809523809524</v>
      </c>
    </row>
    <row r="46" spans="1:35" ht="12" customHeight="1" x14ac:dyDescent="0.2">
      <c r="A46" s="202"/>
      <c r="B46" s="189" t="s">
        <v>80</v>
      </c>
      <c r="C46" s="190">
        <v>6.4</v>
      </c>
      <c r="D46" s="190">
        <v>6.7</v>
      </c>
      <c r="E46" s="190">
        <v>9.6999999999999993</v>
      </c>
      <c r="F46" s="190">
        <v>10.9</v>
      </c>
      <c r="G46" s="190">
        <v>11.2</v>
      </c>
      <c r="H46" s="190">
        <v>13.5</v>
      </c>
      <c r="I46" s="190">
        <v>9.5</v>
      </c>
      <c r="J46" s="190">
        <v>10.6</v>
      </c>
      <c r="K46" s="190">
        <v>10.3</v>
      </c>
      <c r="L46" s="190">
        <v>6.3</v>
      </c>
      <c r="M46" s="190">
        <v>4.8</v>
      </c>
      <c r="N46" s="190">
        <v>4.5</v>
      </c>
      <c r="O46" s="191">
        <f t="shared" si="0"/>
        <v>8.6999999999999993</v>
      </c>
      <c r="P46" s="191">
        <f t="shared" si="1"/>
        <v>31.45031473751903</v>
      </c>
      <c r="Q46" s="192">
        <f t="shared" si="2"/>
        <v>1</v>
      </c>
      <c r="R46" s="260">
        <f t="shared" si="12"/>
        <v>7.6000000000000005</v>
      </c>
      <c r="S46" s="261">
        <f t="shared" si="6"/>
        <v>1</v>
      </c>
      <c r="T46" s="260">
        <f t="shared" si="13"/>
        <v>10.133333333333335</v>
      </c>
      <c r="U46" s="261">
        <f t="shared" si="7"/>
        <v>1</v>
      </c>
      <c r="V46" s="262">
        <f t="shared" si="14"/>
        <v>8.6999999999999993</v>
      </c>
      <c r="W46" s="261">
        <f t="shared" si="8"/>
        <v>1</v>
      </c>
      <c r="X46" s="177">
        <f t="shared" si="50"/>
        <v>13.540740740740741</v>
      </c>
      <c r="Y46" s="177">
        <f t="shared" si="51"/>
        <v>19.545833333333334</v>
      </c>
      <c r="Z46" s="177">
        <f t="shared" si="52"/>
        <v>15.70809523809524</v>
      </c>
      <c r="AA46" s="10"/>
      <c r="AB46" s="357" t="str">
        <f>VLOOKUP($B46,'2007-2020 Metadata'!$A$4:$S$214,MATCH("Urban Area /Monitoring Zone",'2007-2020 Metadata'!$A$4:$S$4,0),FALSE)</f>
        <v>Auckland - Western</v>
      </c>
      <c r="AC46" s="259" t="str">
        <f>VLOOKUP(B46,'2007-2020 Metadata'!$A$6:$A$214,1,FALSE)</f>
        <v>AUC059</v>
      </c>
      <c r="AD46" s="256" t="str">
        <f>VLOOKUP($AC46,'2007-2020 Metadata'!$A$6:$S$214,9,FALSE)</f>
        <v>Waitakere</v>
      </c>
      <c r="AE46" s="263">
        <f>IF(ISBLANK(VLOOKUP($AC46,'2007-2020 Metadata'!$A$6:$S$214,19,FALSE)),"",VLOOKUP($AC46,'2007-2020 Metadata'!$A$6:$S$214,19,FALSE))</f>
        <v>3</v>
      </c>
      <c r="AF46" s="257" t="str">
        <f>VLOOKUP($B46,'2007-2020 Metadata'!$A$4:$S$214,MATCH("Site type",'2007-2020 Metadata'!$A$4:$S$4,0),FALSE)</f>
        <v>Background</v>
      </c>
      <c r="AG46" s="258">
        <f>MIN(AVERAGE($C$44:$C$46),AVERAGE($D$44:$D$46),AVERAGE($E$44:$E$46),AVERAGE($F$44:$F$46),AVERAGE($G$44:$G$46),AVERAGE($H$44:$H$46),AVERAGE($I$44:$I$46),AVERAGE($J$44:$J$46),AVERAGE($K$44:$K$46),AVERAGE($L$44:$L$46),AVERAGE($M$44:$M$46),AVERAGE($N$44:$N$46))</f>
        <v>4.5666666666666664</v>
      </c>
      <c r="AH46" s="258">
        <f>MAX(AVERAGE($C$44:$C$46),AVERAGE($D$44:$D$46),AVERAGE($E$44:$E$46),AVERAGE($F$44:$F$46),AVERAGE($G$44:$G$46),AVERAGE($H$44:$H$46),AVERAGE($I$44:$I$46),AVERAGE($J$44:$J$46),AVERAGE($K$44:$K$46),AVERAGE($L$44:$L$46),AVERAGE($M$44:$M$46),AVERAGE($N$44:$N$46))</f>
        <v>13.4</v>
      </c>
      <c r="AI46" s="177">
        <f t="shared" si="11"/>
        <v>15.70809523809524</v>
      </c>
    </row>
    <row r="47" spans="1:35" ht="12" customHeight="1" x14ac:dyDescent="0.2">
      <c r="A47" s="202"/>
      <c r="B47" s="193" t="s">
        <v>81</v>
      </c>
      <c r="C47" s="190">
        <v>28.3</v>
      </c>
      <c r="D47" s="190">
        <v>31.9</v>
      </c>
      <c r="E47" s="190">
        <v>27</v>
      </c>
      <c r="F47" s="190">
        <v>40.4</v>
      </c>
      <c r="G47" s="190">
        <v>40.1</v>
      </c>
      <c r="H47" s="190">
        <v>47.2</v>
      </c>
      <c r="I47" s="190">
        <v>38.9</v>
      </c>
      <c r="J47" s="190">
        <v>44.2</v>
      </c>
      <c r="K47" s="190">
        <v>40.200000000000003</v>
      </c>
      <c r="L47" s="190">
        <v>43</v>
      </c>
      <c r="M47" s="190">
        <v>35.9</v>
      </c>
      <c r="N47" s="190">
        <v>23.7</v>
      </c>
      <c r="O47" s="191">
        <f t="shared" si="0"/>
        <v>36.733333333333327</v>
      </c>
      <c r="P47" s="191">
        <f t="shared" si="1"/>
        <v>19.343292478017002</v>
      </c>
      <c r="Q47" s="192">
        <f t="shared" si="2"/>
        <v>1</v>
      </c>
      <c r="R47" s="140">
        <f t="shared" si="12"/>
        <v>29.066666666666666</v>
      </c>
      <c r="S47" s="150">
        <f t="shared" si="6"/>
        <v>1</v>
      </c>
      <c r="T47" s="140">
        <f t="shared" si="13"/>
        <v>41.1</v>
      </c>
      <c r="U47" s="150">
        <f t="shared" si="7"/>
        <v>1</v>
      </c>
      <c r="V47" s="141">
        <f t="shared" si="14"/>
        <v>36.733333333333327</v>
      </c>
      <c r="W47" s="142">
        <f t="shared" si="8"/>
        <v>1</v>
      </c>
      <c r="X47" s="144">
        <f t="shared" si="50"/>
        <v>22.990909090909096</v>
      </c>
      <c r="Y47" s="144">
        <f t="shared" si="51"/>
        <v>34.333333333333336</v>
      </c>
      <c r="Z47" s="144">
        <f t="shared" si="52"/>
        <v>27.700303030303029</v>
      </c>
      <c r="AA47" s="10"/>
      <c r="AB47" s="357" t="str">
        <f>VLOOKUP($B47,'2007-2020 Metadata'!$A$4:$S$214,MATCH("Urban Area /Monitoring Zone",'2007-2020 Metadata'!$A$4:$S$4,0),FALSE)</f>
        <v>Auckland - Central</v>
      </c>
      <c r="AC47" s="87" t="str">
        <f>VLOOKUP(B47,'2007-2020 Metadata'!$A$6:$A$214,1,FALSE)</f>
        <v>AUC060</v>
      </c>
      <c r="AD47" s="230" t="str">
        <f>VLOOKUP($AC47,'2007-2020 Metadata'!$A$6:$S$214,9,FALSE)</f>
        <v>Auckland</v>
      </c>
      <c r="AE47" s="248">
        <f>IF(ISBLANK(VLOOKUP($AC47,'2007-2020 Metadata'!$A$6:$S$214,19,FALSE)),"",VLOOKUP($AC47,'2007-2020 Metadata'!$A$6:$S$214,19,FALSE))</f>
        <v>3</v>
      </c>
      <c r="AF47" s="88" t="str">
        <f>VLOOKUP($B47,'2007-2020 Metadata'!$A$4:$S$214,MATCH("Site type",'2007-2020 Metadata'!$A$4:$S$4,0),FALSE)</f>
        <v>Local</v>
      </c>
      <c r="AG47" s="143">
        <f t="shared" si="9"/>
        <v>23.7</v>
      </c>
      <c r="AH47" s="143">
        <f t="shared" si="10"/>
        <v>47.2</v>
      </c>
      <c r="AI47" s="144">
        <f t="shared" si="11"/>
        <v>27.700303030303029</v>
      </c>
    </row>
    <row r="48" spans="1:35" ht="12" customHeight="1" x14ac:dyDescent="0.2">
      <c r="A48" s="202"/>
      <c r="B48" s="193" t="s">
        <v>82</v>
      </c>
      <c r="C48" s="190">
        <v>23.7</v>
      </c>
      <c r="D48" s="190">
        <v>23.7</v>
      </c>
      <c r="E48" s="190">
        <v>26.5</v>
      </c>
      <c r="F48" s="190">
        <v>38.799999999999997</v>
      </c>
      <c r="G48" s="190">
        <v>38.299999999999997</v>
      </c>
      <c r="H48" s="190">
        <v>44.9</v>
      </c>
      <c r="I48" s="190">
        <v>32.200000000000003</v>
      </c>
      <c r="J48" s="190">
        <v>35.299999999999997</v>
      </c>
      <c r="K48" s="190">
        <v>32.799999999999997</v>
      </c>
      <c r="L48" s="190"/>
      <c r="M48" s="190">
        <v>43.1</v>
      </c>
      <c r="N48" s="190">
        <v>18.600000000000001</v>
      </c>
      <c r="O48" s="191">
        <f t="shared" si="0"/>
        <v>32.536363636363646</v>
      </c>
      <c r="P48" s="191">
        <f t="shared" si="1"/>
        <v>25.064283967687619</v>
      </c>
      <c r="Q48" s="192">
        <f t="shared" si="2"/>
        <v>0.91666666666666663</v>
      </c>
      <c r="R48" s="140">
        <f t="shared" si="12"/>
        <v>24.633333333333336</v>
      </c>
      <c r="S48" s="150">
        <f t="shared" si="6"/>
        <v>1</v>
      </c>
      <c r="T48" s="140">
        <f t="shared" si="13"/>
        <v>33.43333333333333</v>
      </c>
      <c r="U48" s="150">
        <f t="shared" si="7"/>
        <v>1</v>
      </c>
      <c r="V48" s="141">
        <f t="shared" si="14"/>
        <v>32.536363636363646</v>
      </c>
      <c r="W48" s="142">
        <f t="shared" si="8"/>
        <v>0.91666666666666663</v>
      </c>
      <c r="X48" s="144">
        <f t="shared" si="50"/>
        <v>22.990909090909096</v>
      </c>
      <c r="Y48" s="144">
        <f t="shared" si="51"/>
        <v>34.333333333333336</v>
      </c>
      <c r="Z48" s="144">
        <f t="shared" si="52"/>
        <v>27.700303030303029</v>
      </c>
      <c r="AA48" s="10"/>
      <c r="AB48" s="357" t="str">
        <f>VLOOKUP($B48,'2007-2020 Metadata'!$A$4:$S$214,MATCH("Urban Area /Monitoring Zone",'2007-2020 Metadata'!$A$4:$S$4,0),FALSE)</f>
        <v>Auckland - Central</v>
      </c>
      <c r="AC48" s="87" t="str">
        <f>VLOOKUP(B48,'2007-2020 Metadata'!$A$6:$A$214,1,FALSE)</f>
        <v>AUC061</v>
      </c>
      <c r="AD48" s="230" t="str">
        <f>VLOOKUP($AC48,'2007-2020 Metadata'!$A$6:$S$214,9,FALSE)</f>
        <v>Auckland</v>
      </c>
      <c r="AE48" s="248">
        <f>IF(ISBLANK(VLOOKUP($AC48,'2007-2020 Metadata'!$A$6:$S$214,19,FALSE)),"",VLOOKUP($AC48,'2007-2020 Metadata'!$A$6:$S$214,19,FALSE))</f>
        <v>3</v>
      </c>
      <c r="AF48" s="88" t="str">
        <f>VLOOKUP($B48,'2007-2020 Metadata'!$A$4:$S$214,MATCH("Site type",'2007-2020 Metadata'!$A$4:$S$4,0),FALSE)</f>
        <v>Local</v>
      </c>
      <c r="AG48" s="143">
        <f t="shared" si="9"/>
        <v>18.600000000000001</v>
      </c>
      <c r="AH48" s="143">
        <f t="shared" si="10"/>
        <v>44.9</v>
      </c>
      <c r="AI48" s="144">
        <f t="shared" si="11"/>
        <v>27.700303030303029</v>
      </c>
    </row>
    <row r="49" spans="1:35" ht="12" customHeight="1" x14ac:dyDescent="0.2">
      <c r="A49" s="202"/>
      <c r="B49" s="193" t="s">
        <v>83</v>
      </c>
      <c r="C49" s="190">
        <v>16.399999999999999</v>
      </c>
      <c r="D49" s="190">
        <v>18</v>
      </c>
      <c r="E49" s="190">
        <v>22.1</v>
      </c>
      <c r="F49" s="190">
        <v>32.799999999999997</v>
      </c>
      <c r="G49" s="190">
        <v>27.9</v>
      </c>
      <c r="H49" s="190">
        <v>32.4</v>
      </c>
      <c r="I49" s="190">
        <v>29.1</v>
      </c>
      <c r="J49" s="190">
        <v>33.9</v>
      </c>
      <c r="K49" s="190">
        <v>25.7</v>
      </c>
      <c r="L49" s="190">
        <v>21.7</v>
      </c>
      <c r="M49" s="190">
        <v>19.899999999999999</v>
      </c>
      <c r="N49" s="190">
        <v>14</v>
      </c>
      <c r="O49" s="191">
        <f t="shared" si="0"/>
        <v>24.491666666666664</v>
      </c>
      <c r="P49" s="191">
        <f t="shared" si="1"/>
        <v>26.531502578332816</v>
      </c>
      <c r="Q49" s="192">
        <f t="shared" si="2"/>
        <v>1</v>
      </c>
      <c r="R49" s="140">
        <f t="shared" si="12"/>
        <v>18.833333333333332</v>
      </c>
      <c r="S49" s="150">
        <f t="shared" si="6"/>
        <v>1</v>
      </c>
      <c r="T49" s="140">
        <f t="shared" si="13"/>
        <v>29.566666666666666</v>
      </c>
      <c r="U49" s="150">
        <f t="shared" si="7"/>
        <v>1</v>
      </c>
      <c r="V49" s="141">
        <f t="shared" si="14"/>
        <v>24.491666666666664</v>
      </c>
      <c r="W49" s="142">
        <f t="shared" si="8"/>
        <v>1</v>
      </c>
      <c r="X49" s="144">
        <f t="shared" si="50"/>
        <v>22.990909090909096</v>
      </c>
      <c r="Y49" s="144">
        <f t="shared" si="51"/>
        <v>34.333333333333336</v>
      </c>
      <c r="Z49" s="144">
        <f t="shared" si="52"/>
        <v>27.700303030303029</v>
      </c>
      <c r="AA49" s="10"/>
      <c r="AB49" s="357" t="str">
        <f>VLOOKUP($B49,'2007-2020 Metadata'!$A$4:$S$214,MATCH("Urban Area /Monitoring Zone",'2007-2020 Metadata'!$A$4:$S$4,0),FALSE)</f>
        <v>Auckland - Central</v>
      </c>
      <c r="AC49" s="87" t="str">
        <f>VLOOKUP(B49,'2007-2020 Metadata'!$A$6:$A$214,1,FALSE)</f>
        <v>AUC062</v>
      </c>
      <c r="AD49" s="230" t="str">
        <f>VLOOKUP($AC49,'2007-2020 Metadata'!$A$6:$S$214,9,FALSE)</f>
        <v>Auckland</v>
      </c>
      <c r="AE49" s="248">
        <f>IF(ISBLANK(VLOOKUP($AC49,'2007-2020 Metadata'!$A$6:$S$214,19,FALSE)),"",VLOOKUP($AC49,'2007-2020 Metadata'!$A$6:$S$214,19,FALSE))</f>
        <v>2.5</v>
      </c>
      <c r="AF49" s="88" t="str">
        <f>VLOOKUP($B49,'2007-2020 Metadata'!$A$4:$S$214,MATCH("Site type",'2007-2020 Metadata'!$A$4:$S$4,0),FALSE)</f>
        <v>Local</v>
      </c>
      <c r="AG49" s="143">
        <f t="shared" si="9"/>
        <v>14</v>
      </c>
      <c r="AH49" s="143">
        <f t="shared" si="10"/>
        <v>33.9</v>
      </c>
      <c r="AI49" s="144">
        <f t="shared" si="11"/>
        <v>27.700303030303029</v>
      </c>
    </row>
    <row r="50" spans="1:35" ht="12" customHeight="1" x14ac:dyDescent="0.2">
      <c r="A50" s="202"/>
      <c r="B50" s="193" t="s">
        <v>84</v>
      </c>
      <c r="C50" s="190">
        <v>30.9</v>
      </c>
      <c r="D50" s="190">
        <v>32.1</v>
      </c>
      <c r="E50" s="190">
        <v>33.9</v>
      </c>
      <c r="F50" s="190">
        <v>40.4</v>
      </c>
      <c r="G50" s="190">
        <v>33</v>
      </c>
      <c r="H50" s="190">
        <v>38.299999999999997</v>
      </c>
      <c r="I50" s="190">
        <v>35.9</v>
      </c>
      <c r="J50" s="190">
        <v>37.6</v>
      </c>
      <c r="K50" s="190">
        <v>39.5</v>
      </c>
      <c r="L50" s="190">
        <v>32.299999999999997</v>
      </c>
      <c r="M50" s="190">
        <v>27.1</v>
      </c>
      <c r="N50" s="190">
        <v>23.2</v>
      </c>
      <c r="O50" s="191">
        <f t="shared" si="0"/>
        <v>33.683333333333337</v>
      </c>
      <c r="P50" s="191">
        <f t="shared" si="1"/>
        <v>14.504695613165191</v>
      </c>
      <c r="Q50" s="192">
        <f t="shared" si="2"/>
        <v>1</v>
      </c>
      <c r="R50" s="140">
        <f t="shared" si="12"/>
        <v>32.300000000000004</v>
      </c>
      <c r="S50" s="150">
        <f t="shared" si="6"/>
        <v>1</v>
      </c>
      <c r="T50" s="140">
        <f t="shared" si="13"/>
        <v>37.666666666666664</v>
      </c>
      <c r="U50" s="150">
        <f t="shared" si="7"/>
        <v>1</v>
      </c>
      <c r="V50" s="141">
        <f t="shared" si="14"/>
        <v>33.683333333333337</v>
      </c>
      <c r="W50" s="142">
        <f t="shared" si="8"/>
        <v>1</v>
      </c>
      <c r="X50" s="144">
        <f t="shared" si="50"/>
        <v>13.540740740740741</v>
      </c>
      <c r="Y50" s="144">
        <f t="shared" si="51"/>
        <v>19.545833333333334</v>
      </c>
      <c r="Z50" s="144">
        <f t="shared" si="52"/>
        <v>15.70809523809524</v>
      </c>
      <c r="AA50" s="10"/>
      <c r="AB50" s="357" t="str">
        <f>VLOOKUP($B50,'2007-2020 Metadata'!$A$4:$S$214,MATCH("Urban Area /Monitoring Zone",'2007-2020 Metadata'!$A$4:$S$4,0),FALSE)</f>
        <v>Auckland - Western</v>
      </c>
      <c r="AC50" s="87" t="str">
        <f>VLOOKUP(B50,'2007-2020 Metadata'!$A$6:$A$214,1,FALSE)</f>
        <v>AUC063</v>
      </c>
      <c r="AD50" s="230" t="str">
        <f>VLOOKUP($AC50,'2007-2020 Metadata'!$A$6:$S$214,9,FALSE)</f>
        <v>Waitakere</v>
      </c>
      <c r="AE50" s="248">
        <f>IF(ISBLANK(VLOOKUP($AC50,'2007-2020 Metadata'!$A$6:$S$214,19,FALSE)),"",VLOOKUP($AC50,'2007-2020 Metadata'!$A$6:$S$214,19,FALSE))</f>
        <v>3</v>
      </c>
      <c r="AF50" s="88" t="str">
        <f>VLOOKUP($B50,'2007-2020 Metadata'!$A$4:$S$214,MATCH("Site type",'2007-2020 Metadata'!$A$4:$S$4,0),FALSE)</f>
        <v>Local</v>
      </c>
      <c r="AG50" s="143">
        <f t="shared" si="9"/>
        <v>23.2</v>
      </c>
      <c r="AH50" s="143">
        <f t="shared" si="10"/>
        <v>40.4</v>
      </c>
      <c r="AI50" s="144">
        <f t="shared" si="11"/>
        <v>15.70809523809524</v>
      </c>
    </row>
    <row r="51" spans="1:35" ht="12" customHeight="1" x14ac:dyDescent="0.2">
      <c r="A51" s="202"/>
      <c r="B51" s="193" t="s">
        <v>85</v>
      </c>
      <c r="C51" s="190">
        <v>19.100000000000001</v>
      </c>
      <c r="D51" s="190">
        <v>18.5</v>
      </c>
      <c r="E51" s="190">
        <v>18.7</v>
      </c>
      <c r="F51" s="190">
        <v>24.8</v>
      </c>
      <c r="G51" s="190">
        <v>34</v>
      </c>
      <c r="H51" s="190">
        <v>31.5</v>
      </c>
      <c r="I51" s="190">
        <v>26.4</v>
      </c>
      <c r="J51" s="190">
        <v>27.8</v>
      </c>
      <c r="K51" s="190">
        <v>25.9</v>
      </c>
      <c r="L51" s="190">
        <v>19.399999999999999</v>
      </c>
      <c r="M51" s="190">
        <v>16.100000000000001</v>
      </c>
      <c r="N51" s="190">
        <v>14.2</v>
      </c>
      <c r="O51" s="191">
        <f t="shared" si="0"/>
        <v>23.033333333333335</v>
      </c>
      <c r="P51" s="191">
        <f t="shared" si="1"/>
        <v>26.032515960168944</v>
      </c>
      <c r="Q51" s="192">
        <f t="shared" si="2"/>
        <v>1</v>
      </c>
      <c r="R51" s="140">
        <f t="shared" si="12"/>
        <v>18.766666666666666</v>
      </c>
      <c r="S51" s="150">
        <f t="shared" si="6"/>
        <v>1</v>
      </c>
      <c r="T51" s="140">
        <f t="shared" si="13"/>
        <v>26.7</v>
      </c>
      <c r="U51" s="150">
        <f t="shared" si="7"/>
        <v>1</v>
      </c>
      <c r="V51" s="141">
        <f t="shared" si="14"/>
        <v>23.033333333333335</v>
      </c>
      <c r="W51" s="142">
        <f t="shared" si="8"/>
        <v>1</v>
      </c>
      <c r="X51" s="144">
        <f t="shared" si="50"/>
        <v>22.990909090909096</v>
      </c>
      <c r="Y51" s="144">
        <f t="shared" si="51"/>
        <v>34.333333333333336</v>
      </c>
      <c r="Z51" s="144">
        <f t="shared" si="52"/>
        <v>27.700303030303029</v>
      </c>
      <c r="AA51" s="10"/>
      <c r="AB51" s="357" t="str">
        <f>VLOOKUP($B51,'2007-2020 Metadata'!$A$4:$S$214,MATCH("Urban Area /Monitoring Zone",'2007-2020 Metadata'!$A$4:$S$4,0),FALSE)</f>
        <v>Auckland - Central</v>
      </c>
      <c r="AC51" s="87" t="str">
        <f>VLOOKUP(B51,'2007-2020 Metadata'!$A$6:$A$214,1,FALSE)</f>
        <v>AUC064</v>
      </c>
      <c r="AD51" s="230" t="str">
        <f>VLOOKUP($AC51,'2007-2020 Metadata'!$A$6:$S$214,9,FALSE)</f>
        <v>Auckland</v>
      </c>
      <c r="AE51" s="248">
        <f>IF(ISBLANK(VLOOKUP($AC51,'2007-2020 Metadata'!$A$6:$S$214,19,FALSE)),"",VLOOKUP($AC51,'2007-2020 Metadata'!$A$6:$S$214,19,FALSE))</f>
        <v>3</v>
      </c>
      <c r="AF51" s="88" t="str">
        <f>VLOOKUP($B51,'2007-2020 Metadata'!$A$4:$S$214,MATCH("Site type",'2007-2020 Metadata'!$A$4:$S$4,0),FALSE)</f>
        <v>Local</v>
      </c>
      <c r="AG51" s="143">
        <f t="shared" si="9"/>
        <v>14.2</v>
      </c>
      <c r="AH51" s="143">
        <f t="shared" si="10"/>
        <v>34</v>
      </c>
      <c r="AI51" s="144">
        <f t="shared" si="11"/>
        <v>27.700303030303029</v>
      </c>
    </row>
    <row r="52" spans="1:35" ht="12" customHeight="1" x14ac:dyDescent="0.2">
      <c r="A52" s="202"/>
      <c r="B52" s="193" t="s">
        <v>86</v>
      </c>
      <c r="C52" s="190">
        <v>19.5</v>
      </c>
      <c r="D52" s="190">
        <v>21.6</v>
      </c>
      <c r="E52" s="190">
        <v>23.1</v>
      </c>
      <c r="F52" s="190">
        <v>31.5</v>
      </c>
      <c r="G52" s="190">
        <v>35.4</v>
      </c>
      <c r="H52" s="190">
        <v>39.299999999999997</v>
      </c>
      <c r="I52" s="190">
        <v>30.3</v>
      </c>
      <c r="J52" s="190">
        <v>37.200000000000003</v>
      </c>
      <c r="K52" s="190">
        <v>28.3</v>
      </c>
      <c r="L52" s="190">
        <v>29.2</v>
      </c>
      <c r="M52" s="190">
        <v>25</v>
      </c>
      <c r="N52" s="190">
        <v>18.600000000000001</v>
      </c>
      <c r="O52" s="191">
        <f t="shared" si="0"/>
        <v>28.25</v>
      </c>
      <c r="P52" s="191">
        <f t="shared" si="1"/>
        <v>23.301743679748906</v>
      </c>
      <c r="Q52" s="192">
        <f t="shared" si="2"/>
        <v>1</v>
      </c>
      <c r="R52" s="140">
        <f t="shared" si="12"/>
        <v>21.400000000000002</v>
      </c>
      <c r="S52" s="150">
        <f t="shared" si="6"/>
        <v>1</v>
      </c>
      <c r="T52" s="140">
        <f t="shared" si="13"/>
        <v>31.933333333333334</v>
      </c>
      <c r="U52" s="150">
        <f t="shared" si="7"/>
        <v>1</v>
      </c>
      <c r="V52" s="141">
        <f t="shared" si="14"/>
        <v>28.25</v>
      </c>
      <c r="W52" s="142">
        <f t="shared" si="8"/>
        <v>1</v>
      </c>
      <c r="X52" s="144">
        <f t="shared" si="50"/>
        <v>18.116666666666667</v>
      </c>
      <c r="Y52" s="144">
        <f t="shared" si="51"/>
        <v>25.224999999999998</v>
      </c>
      <c r="Z52" s="144">
        <f t="shared" si="52"/>
        <v>22.441287878787879</v>
      </c>
      <c r="AA52" s="10"/>
      <c r="AB52" s="357" t="str">
        <f>VLOOKUP($B52,'2007-2020 Metadata'!$A$4:$S$214,MATCH("Urban Area /Monitoring Zone",'2007-2020 Metadata'!$A$4:$S$4,0),FALSE)</f>
        <v xml:space="preserve">Auckland - Southern </v>
      </c>
      <c r="AC52" s="87" t="str">
        <f>VLOOKUP(B52,'2007-2020 Metadata'!$A$6:$A$214,1,FALSE)</f>
        <v>AUC067</v>
      </c>
      <c r="AD52" s="230" t="str">
        <f>VLOOKUP($AC52,'2007-2020 Metadata'!$A$6:$S$214,9,FALSE)</f>
        <v>Manukau</v>
      </c>
      <c r="AE52" s="248">
        <f>IF(ISBLANK(VLOOKUP($AC52,'2007-2020 Metadata'!$A$6:$S$214,19,FALSE)),"",VLOOKUP($AC52,'2007-2020 Metadata'!$A$6:$S$214,19,FALSE))</f>
        <v>3</v>
      </c>
      <c r="AF52" s="88" t="str">
        <f>VLOOKUP($B52,'2007-2020 Metadata'!$A$4:$S$214,MATCH("Site type",'2007-2020 Metadata'!$A$4:$S$4,0),FALSE)</f>
        <v>SH</v>
      </c>
      <c r="AG52" s="143">
        <f t="shared" si="9"/>
        <v>18.600000000000001</v>
      </c>
      <c r="AH52" s="143">
        <f t="shared" si="10"/>
        <v>39.299999999999997</v>
      </c>
      <c r="AI52" s="144">
        <f t="shared" si="11"/>
        <v>22.441287878787879</v>
      </c>
    </row>
    <row r="53" spans="1:35" ht="12" customHeight="1" x14ac:dyDescent="0.2">
      <c r="A53" s="202"/>
      <c r="B53" s="193" t="s">
        <v>88</v>
      </c>
      <c r="C53" s="190">
        <v>19.899999999999999</v>
      </c>
      <c r="D53" s="190">
        <v>23.8</v>
      </c>
      <c r="E53" s="190">
        <v>25.5</v>
      </c>
      <c r="F53" s="190">
        <v>34.4</v>
      </c>
      <c r="G53" s="190">
        <v>35.5</v>
      </c>
      <c r="H53" s="190">
        <v>39.200000000000003</v>
      </c>
      <c r="I53" s="190">
        <v>27.2</v>
      </c>
      <c r="J53" s="190">
        <v>31.9</v>
      </c>
      <c r="K53" s="190">
        <v>27.1</v>
      </c>
      <c r="L53" s="190">
        <v>24.8</v>
      </c>
      <c r="M53" s="190">
        <v>19</v>
      </c>
      <c r="N53" s="190">
        <v>16.7</v>
      </c>
      <c r="O53" s="191">
        <f t="shared" si="0"/>
        <v>27.083333333333332</v>
      </c>
      <c r="P53" s="191">
        <f t="shared" si="1"/>
        <v>24.714952472939242</v>
      </c>
      <c r="Q53" s="192">
        <f t="shared" si="2"/>
        <v>1</v>
      </c>
      <c r="R53" s="140">
        <f t="shared" si="12"/>
        <v>23.066666666666666</v>
      </c>
      <c r="S53" s="150">
        <f t="shared" si="6"/>
        <v>1</v>
      </c>
      <c r="T53" s="140">
        <f t="shared" si="13"/>
        <v>28.733333333333331</v>
      </c>
      <c r="U53" s="150">
        <f t="shared" si="7"/>
        <v>1</v>
      </c>
      <c r="V53" s="141">
        <f t="shared" si="14"/>
        <v>27.083333333333332</v>
      </c>
      <c r="W53" s="142">
        <f t="shared" si="8"/>
        <v>1</v>
      </c>
      <c r="X53" s="144">
        <f t="shared" si="50"/>
        <v>18.116666666666667</v>
      </c>
      <c r="Y53" s="144">
        <f t="shared" si="51"/>
        <v>25.224999999999998</v>
      </c>
      <c r="Z53" s="144">
        <f t="shared" si="52"/>
        <v>22.441287878787879</v>
      </c>
      <c r="AA53" s="10"/>
      <c r="AB53" s="357" t="str">
        <f>VLOOKUP($B53,'2007-2020 Metadata'!$A$4:$S$214,MATCH("Urban Area /Monitoring Zone",'2007-2020 Metadata'!$A$4:$S$4,0),FALSE)</f>
        <v xml:space="preserve">Auckland - Southern </v>
      </c>
      <c r="AC53" s="87" t="str">
        <f>VLOOKUP(B53,'2007-2020 Metadata'!$A$6:$A$214,1,FALSE)</f>
        <v>AUC069</v>
      </c>
      <c r="AD53" s="230" t="str">
        <f>VLOOKUP($AC53,'2007-2020 Metadata'!$A$6:$S$214,9,FALSE)</f>
        <v>Manukau</v>
      </c>
      <c r="AE53" s="248">
        <f>IF(ISBLANK(VLOOKUP($AC53,'2007-2020 Metadata'!$A$6:$S$214,19,FALSE)),"",VLOOKUP($AC53,'2007-2020 Metadata'!$A$6:$S$214,19,FALSE))</f>
        <v>3</v>
      </c>
      <c r="AF53" s="88" t="str">
        <f>VLOOKUP($B53,'2007-2020 Metadata'!$A$4:$S$214,MATCH("Site type",'2007-2020 Metadata'!$A$4:$S$4,0),FALSE)</f>
        <v>Local</v>
      </c>
      <c r="AG53" s="143">
        <f t="shared" si="9"/>
        <v>16.7</v>
      </c>
      <c r="AH53" s="143">
        <f t="shared" si="10"/>
        <v>39.200000000000003</v>
      </c>
      <c r="AI53" s="144">
        <f t="shared" si="11"/>
        <v>22.441287878787879</v>
      </c>
    </row>
    <row r="54" spans="1:35" ht="12" customHeight="1" x14ac:dyDescent="0.2">
      <c r="A54" s="202"/>
      <c r="B54" s="193" t="s">
        <v>89</v>
      </c>
      <c r="C54" s="190">
        <v>13.8</v>
      </c>
      <c r="D54" s="190">
        <v>14.2</v>
      </c>
      <c r="E54" s="190">
        <v>16.8</v>
      </c>
      <c r="F54" s="190">
        <v>22.4</v>
      </c>
      <c r="G54" s="190">
        <v>24.4</v>
      </c>
      <c r="H54" s="190">
        <v>21.6</v>
      </c>
      <c r="I54" s="190">
        <v>21.5</v>
      </c>
      <c r="J54" s="190">
        <v>19.600000000000001</v>
      </c>
      <c r="K54" s="190">
        <v>17.2</v>
      </c>
      <c r="L54" s="190">
        <v>18.8</v>
      </c>
      <c r="M54" s="190">
        <v>14.6</v>
      </c>
      <c r="N54" s="190">
        <v>13</v>
      </c>
      <c r="O54" s="191">
        <f t="shared" si="0"/>
        <v>18.158333333333331</v>
      </c>
      <c r="P54" s="191">
        <f t="shared" si="1"/>
        <v>20.055596213759472</v>
      </c>
      <c r="Q54" s="192">
        <f t="shared" si="2"/>
        <v>1</v>
      </c>
      <c r="R54" s="140">
        <f t="shared" si="12"/>
        <v>14.933333333333332</v>
      </c>
      <c r="S54" s="150">
        <f t="shared" si="6"/>
        <v>1</v>
      </c>
      <c r="T54" s="140">
        <f t="shared" si="13"/>
        <v>19.433333333333334</v>
      </c>
      <c r="U54" s="150">
        <f t="shared" si="7"/>
        <v>1</v>
      </c>
      <c r="V54" s="141">
        <f t="shared" si="14"/>
        <v>18.158333333333331</v>
      </c>
      <c r="W54" s="142">
        <f t="shared" si="8"/>
        <v>1</v>
      </c>
      <c r="X54" s="144">
        <f t="shared" si="50"/>
        <v>18.116666666666667</v>
      </c>
      <c r="Y54" s="144">
        <f t="shared" si="51"/>
        <v>25.224999999999998</v>
      </c>
      <c r="Z54" s="144">
        <f t="shared" si="52"/>
        <v>22.441287878787879</v>
      </c>
      <c r="AA54" s="10"/>
      <c r="AB54" s="357" t="str">
        <f>VLOOKUP($B54,'2007-2020 Metadata'!$A$4:$S$214,MATCH("Urban Area /Monitoring Zone",'2007-2020 Metadata'!$A$4:$S$4,0),FALSE)</f>
        <v xml:space="preserve">Auckland - Southern </v>
      </c>
      <c r="AC54" s="87" t="str">
        <f>VLOOKUP(B54,'2007-2020 Metadata'!$A$6:$A$214,1,FALSE)</f>
        <v>AUC070</v>
      </c>
      <c r="AD54" s="230" t="str">
        <f>VLOOKUP($AC54,'2007-2020 Metadata'!$A$6:$S$214,9,FALSE)</f>
        <v>Manukau</v>
      </c>
      <c r="AE54" s="248">
        <f>IF(ISBLANK(VLOOKUP($AC54,'2007-2020 Metadata'!$A$6:$S$214,19,FALSE)),"",VLOOKUP($AC54,'2007-2020 Metadata'!$A$6:$S$214,19,FALSE))</f>
        <v>2.5</v>
      </c>
      <c r="AF54" s="88" t="str">
        <f>VLOOKUP($B54,'2007-2020 Metadata'!$A$4:$S$214,MATCH("Site type",'2007-2020 Metadata'!$A$4:$S$4,0),FALSE)</f>
        <v>Local</v>
      </c>
      <c r="AG54" s="143">
        <f t="shared" si="9"/>
        <v>13</v>
      </c>
      <c r="AH54" s="143">
        <f t="shared" si="10"/>
        <v>24.4</v>
      </c>
      <c r="AI54" s="144">
        <f t="shared" si="11"/>
        <v>22.441287878787879</v>
      </c>
    </row>
    <row r="55" spans="1:35" ht="12" customHeight="1" x14ac:dyDescent="0.2">
      <c r="A55" s="202"/>
      <c r="B55" s="193" t="s">
        <v>1040</v>
      </c>
      <c r="C55" s="190">
        <v>18.399999999999999</v>
      </c>
      <c r="D55" s="190">
        <v>22.2</v>
      </c>
      <c r="E55" s="190">
        <v>23.3</v>
      </c>
      <c r="F55" s="190">
        <v>36.9</v>
      </c>
      <c r="G55" s="190">
        <v>35.1</v>
      </c>
      <c r="H55" s="190">
        <v>41.8</v>
      </c>
      <c r="I55" s="190">
        <v>29.3</v>
      </c>
      <c r="J55" s="190">
        <v>33.9</v>
      </c>
      <c r="K55" s="190">
        <v>27.4</v>
      </c>
      <c r="L55" s="190">
        <v>30.4</v>
      </c>
      <c r="M55" s="190">
        <v>23.7</v>
      </c>
      <c r="N55" s="190">
        <v>18.100000000000001</v>
      </c>
      <c r="O55" s="191">
        <f t="shared" si="0"/>
        <v>28.375</v>
      </c>
      <c r="P55" s="191">
        <f t="shared" si="1"/>
        <v>25.441714156382417</v>
      </c>
      <c r="Q55" s="192">
        <f t="shared" si="2"/>
        <v>1</v>
      </c>
      <c r="R55" s="140">
        <f t="shared" si="12"/>
        <v>21.299999999999997</v>
      </c>
      <c r="S55" s="150">
        <f t="shared" si="6"/>
        <v>1</v>
      </c>
      <c r="T55" s="140">
        <f t="shared" si="13"/>
        <v>30.2</v>
      </c>
      <c r="U55" s="150">
        <f t="shared" si="7"/>
        <v>1</v>
      </c>
      <c r="V55" s="141">
        <f t="shared" si="14"/>
        <v>28.375</v>
      </c>
      <c r="W55" s="142">
        <f t="shared" si="8"/>
        <v>1</v>
      </c>
      <c r="X55" s="144">
        <f t="shared" si="50"/>
        <v>21.299999999999997</v>
      </c>
      <c r="Y55" s="144">
        <f t="shared" si="51"/>
        <v>30.2</v>
      </c>
      <c r="Z55" s="144">
        <f t="shared" si="52"/>
        <v>28.375</v>
      </c>
      <c r="AA55" s="10"/>
      <c r="AB55" s="357">
        <f>VLOOKUP($B55,'2007-2020 Metadata'!$A$4:$S$214,MATCH("Urban Area /Monitoring Zone",'2007-2020 Metadata'!$A$4:$S$4,0),FALSE)</f>
        <v>0</v>
      </c>
      <c r="AC55" s="87" t="str">
        <f>VLOOKUP(B55,'2007-2020 Metadata'!$A$6:$A$214,1,FALSE)</f>
        <v>AUC071a</v>
      </c>
      <c r="AD55" s="230">
        <f>VLOOKUP($AC55,'2007-2020 Metadata'!$A$6:$S$214,9,FALSE)</f>
        <v>0</v>
      </c>
      <c r="AE55" s="248" t="str">
        <f>IF(ISBLANK(VLOOKUP($AC55,'2007-2020 Metadata'!$A$6:$S$214,19,FALSE)),"",VLOOKUP($AC55,'2007-2020 Metadata'!$A$6:$S$214,19,FALSE))</f>
        <v/>
      </c>
      <c r="AF55" s="88" t="str">
        <f>VLOOKUP($B55,'2007-2020 Metadata'!$A$4:$S$214,MATCH("Site type",'2007-2020 Metadata'!$A$4:$S$4,0),FALSE)</f>
        <v>Local</v>
      </c>
      <c r="AG55" s="143">
        <f t="shared" si="9"/>
        <v>18.100000000000001</v>
      </c>
      <c r="AH55" s="143">
        <f t="shared" si="10"/>
        <v>41.8</v>
      </c>
      <c r="AI55" s="144">
        <f t="shared" si="11"/>
        <v>28.375</v>
      </c>
    </row>
    <row r="56" spans="1:35" ht="12" customHeight="1" x14ac:dyDescent="0.2">
      <c r="A56" s="202"/>
      <c r="B56" s="193" t="s">
        <v>91</v>
      </c>
      <c r="C56" s="190">
        <v>12.1</v>
      </c>
      <c r="D56" s="190">
        <v>18</v>
      </c>
      <c r="E56" s="190">
        <v>21.5</v>
      </c>
      <c r="F56" s="190">
        <v>27.2</v>
      </c>
      <c r="G56" s="190">
        <v>22.6</v>
      </c>
      <c r="H56" s="190">
        <v>26.8</v>
      </c>
      <c r="I56" s="190">
        <v>24.4</v>
      </c>
      <c r="J56" s="190">
        <v>25</v>
      </c>
      <c r="K56" s="190">
        <v>22.9</v>
      </c>
      <c r="L56" s="190">
        <v>19.899999999999999</v>
      </c>
      <c r="M56" s="190">
        <v>18.2</v>
      </c>
      <c r="N56" s="190">
        <v>14.6</v>
      </c>
      <c r="O56" s="191">
        <f t="shared" si="0"/>
        <v>21.1</v>
      </c>
      <c r="P56" s="191">
        <f t="shared" si="1"/>
        <v>21.377857597519402</v>
      </c>
      <c r="Q56" s="192">
        <f t="shared" si="2"/>
        <v>1</v>
      </c>
      <c r="R56" s="140">
        <f t="shared" si="12"/>
        <v>17.2</v>
      </c>
      <c r="S56" s="150">
        <f t="shared" si="6"/>
        <v>1</v>
      </c>
      <c r="T56" s="140">
        <f t="shared" si="13"/>
        <v>24.099999999999998</v>
      </c>
      <c r="U56" s="150">
        <f t="shared" si="7"/>
        <v>1</v>
      </c>
      <c r="V56" s="141">
        <f t="shared" si="14"/>
        <v>21.1</v>
      </c>
      <c r="W56" s="142">
        <f t="shared" si="8"/>
        <v>1</v>
      </c>
      <c r="X56" s="144">
        <f t="shared" si="50"/>
        <v>18.116666666666667</v>
      </c>
      <c r="Y56" s="144">
        <f t="shared" si="51"/>
        <v>25.224999999999998</v>
      </c>
      <c r="Z56" s="144">
        <f t="shared" si="52"/>
        <v>22.441287878787879</v>
      </c>
      <c r="AA56" s="10"/>
      <c r="AB56" s="357" t="str">
        <f>VLOOKUP($B56,'2007-2020 Metadata'!$A$4:$S$214,MATCH("Urban Area /Monitoring Zone",'2007-2020 Metadata'!$A$4:$S$4,0),FALSE)</f>
        <v xml:space="preserve">Auckland - Southern </v>
      </c>
      <c r="AC56" s="87" t="str">
        <f>VLOOKUP(B56,'2007-2020 Metadata'!$A$6:$A$214,1,FALSE)</f>
        <v>AUC072</v>
      </c>
      <c r="AD56" s="230" t="str">
        <f>VLOOKUP($AC56,'2007-2020 Metadata'!$A$6:$S$214,9,FALSE)</f>
        <v>Manukau</v>
      </c>
      <c r="AE56" s="248">
        <f>IF(ISBLANK(VLOOKUP($AC56,'2007-2020 Metadata'!$A$6:$S$214,19,FALSE)),"",VLOOKUP($AC56,'2007-2020 Metadata'!$A$6:$S$214,19,FALSE))</f>
        <v>3</v>
      </c>
      <c r="AF56" s="88" t="str">
        <f>VLOOKUP($B56,'2007-2020 Metadata'!$A$4:$S$214,MATCH("Site type",'2007-2020 Metadata'!$A$4:$S$4,0),FALSE)</f>
        <v>Local</v>
      </c>
      <c r="AG56" s="143">
        <f t="shared" si="9"/>
        <v>12.1</v>
      </c>
      <c r="AH56" s="143">
        <f t="shared" si="10"/>
        <v>27.2</v>
      </c>
      <c r="AI56" s="144">
        <f t="shared" si="11"/>
        <v>22.441287878787879</v>
      </c>
    </row>
    <row r="57" spans="1:35" ht="12" customHeight="1" x14ac:dyDescent="0.2">
      <c r="A57" s="202"/>
      <c r="B57" s="193" t="s">
        <v>92</v>
      </c>
      <c r="C57" s="190">
        <v>6.7</v>
      </c>
      <c r="D57" s="190">
        <v>7.3</v>
      </c>
      <c r="E57" s="190">
        <v>10.1</v>
      </c>
      <c r="F57" s="190">
        <v>18.3</v>
      </c>
      <c r="G57" s="190">
        <v>17.600000000000001</v>
      </c>
      <c r="H57" s="190">
        <v>21.6</v>
      </c>
      <c r="I57" s="190">
        <v>14.8</v>
      </c>
      <c r="J57" s="190">
        <v>15.7</v>
      </c>
      <c r="K57" s="190">
        <v>11.8</v>
      </c>
      <c r="L57" s="190">
        <v>11.4</v>
      </c>
      <c r="M57" s="190">
        <v>7.7</v>
      </c>
      <c r="N57" s="190">
        <v>7.8</v>
      </c>
      <c r="O57" s="191">
        <f t="shared" si="0"/>
        <v>12.566666666666668</v>
      </c>
      <c r="P57" s="191">
        <f t="shared" si="1"/>
        <v>37.830271832128723</v>
      </c>
      <c r="Q57" s="192">
        <f t="shared" si="2"/>
        <v>1</v>
      </c>
      <c r="R57" s="140">
        <f t="shared" si="12"/>
        <v>8.0333333333333332</v>
      </c>
      <c r="S57" s="150">
        <f t="shared" si="6"/>
        <v>1</v>
      </c>
      <c r="T57" s="140">
        <f t="shared" si="13"/>
        <v>14.1</v>
      </c>
      <c r="U57" s="150">
        <f t="shared" si="7"/>
        <v>1</v>
      </c>
      <c r="V57" s="141">
        <f t="shared" si="14"/>
        <v>12.566666666666668</v>
      </c>
      <c r="W57" s="142">
        <f t="shared" si="8"/>
        <v>1</v>
      </c>
      <c r="X57" s="144">
        <f t="shared" si="50"/>
        <v>18.116666666666667</v>
      </c>
      <c r="Y57" s="144">
        <f t="shared" si="51"/>
        <v>25.224999999999998</v>
      </c>
      <c r="Z57" s="144">
        <f t="shared" si="52"/>
        <v>22.441287878787879</v>
      </c>
      <c r="AA57" s="10"/>
      <c r="AB57" s="357" t="str">
        <f>VLOOKUP($B57,'2007-2020 Metadata'!$A$4:$S$214,MATCH("Urban Area /Monitoring Zone",'2007-2020 Metadata'!$A$4:$S$4,0),FALSE)</f>
        <v xml:space="preserve">Auckland - Southern </v>
      </c>
      <c r="AC57" s="87" t="str">
        <f>VLOOKUP(B57,'2007-2020 Metadata'!$A$6:$A$214,1,FALSE)</f>
        <v>AUC073</v>
      </c>
      <c r="AD57" s="230" t="str">
        <f>VLOOKUP($AC57,'2007-2020 Metadata'!$A$6:$S$214,9,FALSE)</f>
        <v>Manukau</v>
      </c>
      <c r="AE57" s="248">
        <f>IF(ISBLANK(VLOOKUP($AC57,'2007-2020 Metadata'!$A$6:$S$214,19,FALSE)),"",VLOOKUP($AC57,'2007-2020 Metadata'!$A$6:$S$214,19,FALSE))</f>
        <v>3</v>
      </c>
      <c r="AF57" s="88" t="str">
        <f>VLOOKUP($B57,'2007-2020 Metadata'!$A$4:$S$214,MATCH("Site type",'2007-2020 Metadata'!$A$4:$S$4,0),FALSE)</f>
        <v>Background</v>
      </c>
      <c r="AG57" s="143">
        <f t="shared" si="9"/>
        <v>6.7</v>
      </c>
      <c r="AH57" s="143">
        <f t="shared" si="10"/>
        <v>21.6</v>
      </c>
      <c r="AI57" s="144">
        <f t="shared" si="11"/>
        <v>22.441287878787879</v>
      </c>
    </row>
    <row r="58" spans="1:35" ht="12" customHeight="1" x14ac:dyDescent="0.2">
      <c r="A58" s="202"/>
      <c r="B58" s="193" t="s">
        <v>499</v>
      </c>
      <c r="C58" s="190">
        <v>11.3</v>
      </c>
      <c r="D58" s="190">
        <v>13.1</v>
      </c>
      <c r="E58" s="190">
        <v>14.4</v>
      </c>
      <c r="F58" s="190">
        <v>25.3</v>
      </c>
      <c r="G58" s="190">
        <v>23.5</v>
      </c>
      <c r="H58" s="190">
        <v>22.9</v>
      </c>
      <c r="I58" s="190">
        <v>22.5</v>
      </c>
      <c r="J58" s="190">
        <v>26.4</v>
      </c>
      <c r="K58" s="190">
        <v>18.8</v>
      </c>
      <c r="L58" s="190">
        <v>17.3</v>
      </c>
      <c r="M58" s="190">
        <v>13.8</v>
      </c>
      <c r="N58" s="190">
        <v>11.8</v>
      </c>
      <c r="O58" s="191">
        <f t="shared" si="0"/>
        <v>18.425000000000004</v>
      </c>
      <c r="P58" s="191">
        <f t="shared" si="1"/>
        <v>28.687610123925992</v>
      </c>
      <c r="Q58" s="192">
        <f t="shared" si="2"/>
        <v>1</v>
      </c>
      <c r="R58" s="140">
        <f t="shared" si="12"/>
        <v>12.933333333333332</v>
      </c>
      <c r="S58" s="150">
        <f t="shared" si="6"/>
        <v>1</v>
      </c>
      <c r="T58" s="140">
        <f t="shared" si="13"/>
        <v>22.566666666666666</v>
      </c>
      <c r="U58" s="150">
        <f t="shared" si="7"/>
        <v>1</v>
      </c>
      <c r="V58" s="141">
        <f t="shared" si="14"/>
        <v>18.425000000000004</v>
      </c>
      <c r="W58" s="142">
        <f t="shared" si="8"/>
        <v>1</v>
      </c>
      <c r="X58" s="144">
        <f t="shared" si="50"/>
        <v>13.540740740740741</v>
      </c>
      <c r="Y58" s="144">
        <f t="shared" si="51"/>
        <v>19.545833333333334</v>
      </c>
      <c r="Z58" s="144">
        <f t="shared" si="52"/>
        <v>15.70809523809524</v>
      </c>
      <c r="AA58" s="10"/>
      <c r="AB58" s="357" t="str">
        <f>VLOOKUP($B58,'2007-2020 Metadata'!$A$4:$S$214,MATCH("Urban Area /Monitoring Zone",'2007-2020 Metadata'!$A$4:$S$4,0),FALSE)</f>
        <v>Auckland - Western</v>
      </c>
      <c r="AC58" s="87" t="str">
        <f>VLOOKUP(B58,'2007-2020 Metadata'!$A$6:$A$214,1,FALSE)</f>
        <v>AUC115</v>
      </c>
      <c r="AD58" s="230" t="str">
        <f>VLOOKUP($AC58,'2007-2020 Metadata'!$A$6:$S$214,9,FALSE)</f>
        <v>Waitakere</v>
      </c>
      <c r="AE58" s="248">
        <f>IF(ISBLANK(VLOOKUP($AC58,'2007-2020 Metadata'!$A$6:$S$214,19,FALSE)),"",VLOOKUP($AC58,'2007-2020 Metadata'!$A$6:$S$214,19,FALSE))</f>
        <v>3</v>
      </c>
      <c r="AF58" s="88" t="str">
        <f>VLOOKUP($B58,'2007-2020 Metadata'!$A$4:$S$214,MATCH("Site type",'2007-2020 Metadata'!$A$4:$S$4,0),FALSE)</f>
        <v>SH</v>
      </c>
      <c r="AG58" s="143">
        <f t="shared" si="9"/>
        <v>11.3</v>
      </c>
      <c r="AH58" s="143">
        <f t="shared" si="10"/>
        <v>26.4</v>
      </c>
      <c r="AI58" s="144">
        <f t="shared" si="11"/>
        <v>15.70809523809524</v>
      </c>
    </row>
    <row r="59" spans="1:35" ht="12" customHeight="1" x14ac:dyDescent="0.2">
      <c r="A59" s="202"/>
      <c r="B59" s="193" t="s">
        <v>93</v>
      </c>
      <c r="C59" s="190">
        <v>25</v>
      </c>
      <c r="D59" s="190">
        <v>29.3</v>
      </c>
      <c r="E59" s="190">
        <v>23.6</v>
      </c>
      <c r="F59" s="190">
        <v>41.5</v>
      </c>
      <c r="G59" s="190">
        <v>49.6</v>
      </c>
      <c r="H59" s="190">
        <v>48.6</v>
      </c>
      <c r="I59" s="190">
        <v>41.7</v>
      </c>
      <c r="J59" s="190">
        <v>40.4</v>
      </c>
      <c r="K59" s="190">
        <v>35.5</v>
      </c>
      <c r="L59" s="190">
        <v>33.200000000000003</v>
      </c>
      <c r="M59" s="190"/>
      <c r="N59" s="190">
        <v>13.7</v>
      </c>
      <c r="O59" s="191">
        <f t="shared" si="0"/>
        <v>34.736363636363635</v>
      </c>
      <c r="P59" s="191">
        <f t="shared" si="1"/>
        <v>30.482536998707428</v>
      </c>
      <c r="Q59" s="192">
        <f t="shared" si="2"/>
        <v>0.91666666666666663</v>
      </c>
      <c r="R59" s="140">
        <f t="shared" si="12"/>
        <v>25.966666666666669</v>
      </c>
      <c r="S59" s="150">
        <f t="shared" si="6"/>
        <v>1</v>
      </c>
      <c r="T59" s="140">
        <f t="shared" si="13"/>
        <v>39.199999999999996</v>
      </c>
      <c r="U59" s="150">
        <f t="shared" si="7"/>
        <v>1</v>
      </c>
      <c r="V59" s="141">
        <f t="shared" si="14"/>
        <v>34.736363636363635</v>
      </c>
      <c r="W59" s="142">
        <f t="shared" si="8"/>
        <v>0.91666666666666663</v>
      </c>
      <c r="X59" s="144">
        <f t="shared" si="50"/>
        <v>19.560606060606059</v>
      </c>
      <c r="Y59" s="144">
        <f t="shared" si="51"/>
        <v>29.354545454545452</v>
      </c>
      <c r="Z59" s="144">
        <f t="shared" si="52"/>
        <v>25.01790633608816</v>
      </c>
      <c r="AA59" s="10"/>
      <c r="AB59" s="357" t="str">
        <f>VLOOKUP($B59,'2007-2020 Metadata'!$A$4:$S$214,MATCH("Urban Area /Monitoring Zone",'2007-2020 Metadata'!$A$4:$S$4,0),FALSE)</f>
        <v>Auckland - Northern</v>
      </c>
      <c r="AC59" s="87" t="str">
        <f>VLOOKUP(B59,'2007-2020 Metadata'!$A$6:$A$214,1,FALSE)</f>
        <v>AUC170</v>
      </c>
      <c r="AD59" s="230" t="str">
        <f>VLOOKUP($AC59,'2007-2020 Metadata'!$A$6:$S$214,9,FALSE)</f>
        <v xml:space="preserve">North Shore </v>
      </c>
      <c r="AE59" s="248">
        <f>IF(ISBLANK(VLOOKUP($AC59,'2007-2020 Metadata'!$A$6:$S$214,19,FALSE)),"",VLOOKUP($AC59,'2007-2020 Metadata'!$A$6:$S$214,19,FALSE))</f>
        <v>3</v>
      </c>
      <c r="AF59" s="88" t="str">
        <f>VLOOKUP($B59,'2007-2020 Metadata'!$A$4:$S$214,MATCH("Site type",'2007-2020 Metadata'!$A$4:$S$4,0),FALSE)</f>
        <v>SH</v>
      </c>
      <c r="AG59" s="143">
        <f t="shared" si="9"/>
        <v>13.7</v>
      </c>
      <c r="AH59" s="143">
        <f t="shared" si="10"/>
        <v>49.6</v>
      </c>
      <c r="AI59" s="144">
        <f t="shared" si="11"/>
        <v>25.01790633608816</v>
      </c>
    </row>
    <row r="60" spans="1:35" ht="12" customHeight="1" x14ac:dyDescent="0.2">
      <c r="A60" s="202"/>
      <c r="B60" s="193" t="s">
        <v>94</v>
      </c>
      <c r="C60" s="190">
        <v>7.1</v>
      </c>
      <c r="D60" s="190">
        <v>5.7</v>
      </c>
      <c r="E60" s="190">
        <v>8.1999999999999993</v>
      </c>
      <c r="F60" s="190">
        <v>11.5</v>
      </c>
      <c r="G60" s="190">
        <v>11.1</v>
      </c>
      <c r="H60" s="190">
        <v>14.5</v>
      </c>
      <c r="I60" s="190">
        <v>9.9</v>
      </c>
      <c r="J60" s="190">
        <v>12.6</v>
      </c>
      <c r="K60" s="190">
        <v>10.5</v>
      </c>
      <c r="L60" s="190">
        <v>9.1</v>
      </c>
      <c r="M60" s="190">
        <v>8.1</v>
      </c>
      <c r="N60" s="190">
        <v>6.6</v>
      </c>
      <c r="O60" s="191">
        <f t="shared" si="0"/>
        <v>9.5749999999999975</v>
      </c>
      <c r="P60" s="191">
        <f t="shared" si="1"/>
        <v>26.054336512799892</v>
      </c>
      <c r="Q60" s="192">
        <f t="shared" si="2"/>
        <v>1</v>
      </c>
      <c r="R60" s="140">
        <f t="shared" si="12"/>
        <v>7</v>
      </c>
      <c r="S60" s="150">
        <f t="shared" si="6"/>
        <v>1</v>
      </c>
      <c r="T60" s="140">
        <f t="shared" si="13"/>
        <v>11</v>
      </c>
      <c r="U60" s="150">
        <f t="shared" si="7"/>
        <v>1</v>
      </c>
      <c r="V60" s="141">
        <f t="shared" si="14"/>
        <v>9.5749999999999975</v>
      </c>
      <c r="W60" s="142">
        <f t="shared" si="8"/>
        <v>1</v>
      </c>
      <c r="X60" s="144">
        <f t="shared" si="50"/>
        <v>15.566666666666668</v>
      </c>
      <c r="Y60" s="144">
        <f t="shared" si="51"/>
        <v>21.31666666666667</v>
      </c>
      <c r="Z60" s="144">
        <f t="shared" si="52"/>
        <v>19.054166666666664</v>
      </c>
      <c r="AA60" s="10"/>
      <c r="AB60" s="357" t="str">
        <f>VLOOKUP($B60,'2007-2020 Metadata'!$A$4:$S$214,MATCH("Urban Area /Monitoring Zone",'2007-2020 Metadata'!$A$4:$S$4,0),FALSE)</f>
        <v>Whangarei</v>
      </c>
      <c r="AC60" s="87" t="str">
        <f>VLOOKUP(B60,'2007-2020 Metadata'!$A$6:$A$214,1,FALSE)</f>
        <v>AUC171</v>
      </c>
      <c r="AD60" s="230" t="str">
        <f>VLOOKUP($AC60,'2007-2020 Metadata'!$A$6:$S$214,9,FALSE)</f>
        <v>Whangarei</v>
      </c>
      <c r="AE60" s="248">
        <f>IF(ISBLANK(VLOOKUP($AC60,'2007-2020 Metadata'!$A$6:$S$214,19,FALSE)),"",VLOOKUP($AC60,'2007-2020 Metadata'!$A$6:$S$214,19,FALSE))</f>
        <v>3</v>
      </c>
      <c r="AF60" s="88" t="str">
        <f>VLOOKUP($B60,'2007-2020 Metadata'!$A$4:$S$214,MATCH("Site type",'2007-2020 Metadata'!$A$4:$S$4,0),FALSE)</f>
        <v>Background</v>
      </c>
      <c r="AG60" s="143">
        <f t="shared" si="9"/>
        <v>5.7</v>
      </c>
      <c r="AH60" s="143">
        <f t="shared" si="10"/>
        <v>14.5</v>
      </c>
      <c r="AI60" s="144">
        <f t="shared" si="11"/>
        <v>19.054166666666664</v>
      </c>
    </row>
    <row r="61" spans="1:35" ht="12" customHeight="1" x14ac:dyDescent="0.2">
      <c r="A61" s="202"/>
      <c r="B61" s="193" t="s">
        <v>485</v>
      </c>
      <c r="C61" s="190">
        <v>19.100000000000001</v>
      </c>
      <c r="D61" s="190">
        <v>24.1</v>
      </c>
      <c r="E61" s="190">
        <v>29.2</v>
      </c>
      <c r="F61" s="190">
        <v>28.5</v>
      </c>
      <c r="G61" s="190">
        <v>37.6</v>
      </c>
      <c r="H61" s="190">
        <v>38.6</v>
      </c>
      <c r="I61" s="190">
        <v>28.2</v>
      </c>
      <c r="J61" s="190">
        <v>33.700000000000003</v>
      </c>
      <c r="K61" s="190">
        <v>33</v>
      </c>
      <c r="L61" s="190">
        <v>28.7</v>
      </c>
      <c r="M61" s="190">
        <v>19.899999999999999</v>
      </c>
      <c r="N61" s="190">
        <v>21.8</v>
      </c>
      <c r="O61" s="191">
        <f t="shared" si="0"/>
        <v>28.533333333333331</v>
      </c>
      <c r="P61" s="191">
        <f t="shared" si="1"/>
        <v>21.68197233355086</v>
      </c>
      <c r="Q61" s="192">
        <f t="shared" si="2"/>
        <v>1</v>
      </c>
      <c r="R61" s="140">
        <f t="shared" ref="R61:R66" si="53">IF($S61=0%,"",IF($S61&gt;66%,AVERAGE($C61:$E61),"-"))</f>
        <v>24.133333333333336</v>
      </c>
      <c r="S61" s="150">
        <f t="shared" si="6"/>
        <v>1</v>
      </c>
      <c r="T61" s="140">
        <f t="shared" ref="T61:T66" si="54">IF($U61=0%,"",IF($U61&gt;66%,AVERAGE($I61:$K61),"-"))</f>
        <v>31.633333333333336</v>
      </c>
      <c r="U61" s="150">
        <f t="shared" si="7"/>
        <v>1</v>
      </c>
      <c r="V61" s="141">
        <f t="shared" ref="V61:V66" si="55">IF(AND(($S61&gt;33%),($U61&gt;33%),($W61&gt;=75%)),AVERAGE($C61:$N61),"-")</f>
        <v>28.533333333333331</v>
      </c>
      <c r="W61" s="142">
        <f t="shared" si="8"/>
        <v>1</v>
      </c>
      <c r="X61" s="144">
        <f t="shared" si="50"/>
        <v>15.566666666666668</v>
      </c>
      <c r="Y61" s="144">
        <f t="shared" si="51"/>
        <v>21.31666666666667</v>
      </c>
      <c r="Z61" s="144">
        <f t="shared" si="52"/>
        <v>19.054166666666664</v>
      </c>
      <c r="AA61" s="10"/>
      <c r="AB61" s="357" t="str">
        <f>VLOOKUP($B61,'2007-2020 Metadata'!$A$4:$S$214,MATCH("Urban Area /Monitoring Zone",'2007-2020 Metadata'!$A$4:$S$4,0),FALSE)</f>
        <v>Whangarei</v>
      </c>
      <c r="AC61" s="87" t="str">
        <f>VLOOKUP(B61,'2007-2020 Metadata'!$A$6:$A$214,1,FALSE)</f>
        <v>AUC187</v>
      </c>
      <c r="AD61" s="230" t="str">
        <f>VLOOKUP($AC61,'2007-2020 Metadata'!$A$6:$S$214,9,FALSE)</f>
        <v>Whangarei</v>
      </c>
      <c r="AE61" s="248">
        <f>IF(ISBLANK(VLOOKUP($AC61,'2007-2020 Metadata'!$A$6:$S$214,19,FALSE)),"",VLOOKUP($AC61,'2007-2020 Metadata'!$A$6:$S$214,19,FALSE))</f>
        <v>3</v>
      </c>
      <c r="AF61" s="88" t="str">
        <f>VLOOKUP($B61,'2007-2020 Metadata'!$A$4:$S$214,MATCH("Site type",'2007-2020 Metadata'!$A$4:$S$4,0),FALSE)</f>
        <v>SH</v>
      </c>
      <c r="AG61" s="143">
        <f t="shared" si="9"/>
        <v>19.100000000000001</v>
      </c>
      <c r="AH61" s="143">
        <f t="shared" si="10"/>
        <v>38.6</v>
      </c>
      <c r="AI61" s="144">
        <f t="shared" si="11"/>
        <v>19.054166666666664</v>
      </c>
    </row>
    <row r="62" spans="1:35" ht="12" customHeight="1" x14ac:dyDescent="0.2">
      <c r="A62" s="202"/>
      <c r="B62" s="193" t="s">
        <v>501</v>
      </c>
      <c r="C62" s="190">
        <v>15.9</v>
      </c>
      <c r="D62" s="190">
        <v>21</v>
      </c>
      <c r="E62" s="190">
        <v>19.3</v>
      </c>
      <c r="F62" s="190">
        <v>33.299999999999997</v>
      </c>
      <c r="G62" s="190">
        <v>33.6</v>
      </c>
      <c r="H62" s="190">
        <v>43.5</v>
      </c>
      <c r="I62" s="190">
        <v>29.7</v>
      </c>
      <c r="J62" s="190">
        <v>31.2</v>
      </c>
      <c r="K62" s="190">
        <v>27.1</v>
      </c>
      <c r="L62" s="190"/>
      <c r="M62" s="190">
        <v>22.9</v>
      </c>
      <c r="N62" s="190">
        <v>16.899999999999999</v>
      </c>
      <c r="O62" s="191">
        <f t="shared" si="0"/>
        <v>26.763636363636355</v>
      </c>
      <c r="P62" s="191">
        <f t="shared" si="1"/>
        <v>30.169086620443466</v>
      </c>
      <c r="Q62" s="192">
        <f t="shared" si="2"/>
        <v>0.91666666666666663</v>
      </c>
      <c r="R62" s="140">
        <f t="shared" si="53"/>
        <v>18.733333333333334</v>
      </c>
      <c r="S62" s="150">
        <f t="shared" si="6"/>
        <v>1</v>
      </c>
      <c r="T62" s="140">
        <f t="shared" si="54"/>
        <v>29.333333333333332</v>
      </c>
      <c r="U62" s="150">
        <f t="shared" si="7"/>
        <v>1</v>
      </c>
      <c r="V62" s="141">
        <f t="shared" si="55"/>
        <v>26.763636363636355</v>
      </c>
      <c r="W62" s="142">
        <f t="shared" si="8"/>
        <v>0.91666666666666663</v>
      </c>
      <c r="X62" s="144">
        <f t="shared" si="50"/>
        <v>18.116666666666667</v>
      </c>
      <c r="Y62" s="144">
        <f t="shared" si="51"/>
        <v>25.224999999999998</v>
      </c>
      <c r="Z62" s="144">
        <f t="shared" si="52"/>
        <v>22.441287878787879</v>
      </c>
      <c r="AA62" s="10"/>
      <c r="AB62" s="357" t="str">
        <f>VLOOKUP($B62,'2007-2020 Metadata'!$A$4:$S$214,MATCH("Urban Area /Monitoring Zone",'2007-2020 Metadata'!$A$4:$S$4,0),FALSE)</f>
        <v xml:space="preserve">Auckland - Southern </v>
      </c>
      <c r="AC62" s="87" t="str">
        <f>VLOOKUP(B62,'2007-2020 Metadata'!$A$6:$A$214,1,FALSE)</f>
        <v>AUC190</v>
      </c>
      <c r="AD62" s="230" t="str">
        <f>VLOOKUP($AC62,'2007-2020 Metadata'!$A$6:$S$214,9,FALSE)</f>
        <v>Manukau</v>
      </c>
      <c r="AE62" s="248">
        <f>IF(ISBLANK(VLOOKUP($AC62,'2007-2020 Metadata'!$A$6:$S$214,19,FALSE)),"",VLOOKUP($AC62,'2007-2020 Metadata'!$A$6:$S$214,19,FALSE))</f>
        <v>3</v>
      </c>
      <c r="AF62" s="88" t="str">
        <f>VLOOKUP($B62,'2007-2020 Metadata'!$A$4:$S$214,MATCH("Site type",'2007-2020 Metadata'!$A$4:$S$4,0),FALSE)</f>
        <v>SH</v>
      </c>
      <c r="AG62" s="143">
        <f t="shared" si="9"/>
        <v>15.9</v>
      </c>
      <c r="AH62" s="143">
        <f t="shared" si="10"/>
        <v>43.5</v>
      </c>
      <c r="AI62" s="144">
        <f t="shared" si="11"/>
        <v>22.441287878787879</v>
      </c>
    </row>
    <row r="63" spans="1:35" ht="12" customHeight="1" x14ac:dyDescent="0.2">
      <c r="A63" s="202"/>
      <c r="B63" s="193" t="s">
        <v>32</v>
      </c>
      <c r="C63" s="190"/>
      <c r="D63" s="190">
        <v>23</v>
      </c>
      <c r="E63" s="190">
        <v>29.4</v>
      </c>
      <c r="F63" s="190">
        <v>32.6</v>
      </c>
      <c r="G63" s="190">
        <v>39.5</v>
      </c>
      <c r="H63" s="190">
        <v>36.5</v>
      </c>
      <c r="I63" s="190">
        <v>27.9</v>
      </c>
      <c r="J63" s="190">
        <v>23.6</v>
      </c>
      <c r="K63" s="190">
        <v>31.4</v>
      </c>
      <c r="L63" s="190">
        <v>31.7</v>
      </c>
      <c r="M63" s="190">
        <v>23.7</v>
      </c>
      <c r="N63" s="190">
        <v>23.2</v>
      </c>
      <c r="O63" s="191">
        <f t="shared" si="0"/>
        <v>29.318181818181817</v>
      </c>
      <c r="P63" s="191">
        <f t="shared" si="1"/>
        <v>18.386890975638465</v>
      </c>
      <c r="Q63" s="192">
        <f t="shared" si="2"/>
        <v>0.91666666666666663</v>
      </c>
      <c r="R63" s="140">
        <f t="shared" si="53"/>
        <v>26.2</v>
      </c>
      <c r="S63" s="150">
        <f t="shared" si="6"/>
        <v>0.66666666666666663</v>
      </c>
      <c r="T63" s="140">
        <f t="shared" si="54"/>
        <v>27.633333333333336</v>
      </c>
      <c r="U63" s="150">
        <f t="shared" si="7"/>
        <v>1</v>
      </c>
      <c r="V63" s="141">
        <f t="shared" si="55"/>
        <v>29.318181818181817</v>
      </c>
      <c r="W63" s="142">
        <f t="shared" si="8"/>
        <v>0.91666666666666663</v>
      </c>
      <c r="X63" s="144">
        <f t="shared" si="50"/>
        <v>25.585000000000001</v>
      </c>
      <c r="Y63" s="144">
        <f t="shared" si="51"/>
        <v>27.381666666666661</v>
      </c>
      <c r="Z63" s="144">
        <f t="shared" si="52"/>
        <v>27.46168181818182</v>
      </c>
      <c r="AA63" s="10"/>
      <c r="AB63" s="357" t="str">
        <f>VLOOKUP($B63,'2007-2020 Metadata'!$A$4:$S$214,MATCH("Urban Area /Monitoring Zone",'2007-2020 Metadata'!$A$4:$S$4,0),FALSE)</f>
        <v>Hamilton</v>
      </c>
      <c r="AC63" s="87" t="str">
        <f>VLOOKUP(B63,'2007-2020 Metadata'!$A$6:$A$214,1,FALSE)</f>
        <v>HAM001</v>
      </c>
      <c r="AD63" s="230" t="str">
        <f>VLOOKUP($AC63,'2007-2020 Metadata'!$A$6:$S$214,9,FALSE)</f>
        <v>Hamilton</v>
      </c>
      <c r="AE63" s="248">
        <f>IF(ISBLANK(VLOOKUP($AC63,'2007-2020 Metadata'!$A$6:$S$214,19,FALSE)),"",VLOOKUP($AC63,'2007-2020 Metadata'!$A$6:$S$214,19,FALSE))</f>
        <v>3.8</v>
      </c>
      <c r="AF63" s="88" t="str">
        <f>VLOOKUP($B63,'2007-2020 Metadata'!$A$4:$S$214,MATCH("Site type",'2007-2020 Metadata'!$A$4:$S$4,0),FALSE)</f>
        <v>SH</v>
      </c>
      <c r="AG63" s="143">
        <f t="shared" si="9"/>
        <v>23</v>
      </c>
      <c r="AH63" s="143">
        <f t="shared" si="10"/>
        <v>39.5</v>
      </c>
      <c r="AI63" s="144">
        <f t="shared" si="11"/>
        <v>27.46168181818182</v>
      </c>
    </row>
    <row r="64" spans="1:35" ht="12" customHeight="1" x14ac:dyDescent="0.2">
      <c r="A64" s="202"/>
      <c r="B64" s="193" t="s">
        <v>33</v>
      </c>
      <c r="C64" s="190">
        <v>21.5</v>
      </c>
      <c r="D64" s="190">
        <v>22.8</v>
      </c>
      <c r="E64" s="190">
        <v>24.5</v>
      </c>
      <c r="F64" s="190">
        <v>31.8</v>
      </c>
      <c r="G64" s="190">
        <v>36.1</v>
      </c>
      <c r="H64" s="190">
        <v>35.700000000000003</v>
      </c>
      <c r="I64" s="190">
        <v>29.4</v>
      </c>
      <c r="J64" s="190">
        <v>22.1</v>
      </c>
      <c r="K64" s="190">
        <v>27.4</v>
      </c>
      <c r="L64" s="190">
        <v>24.7</v>
      </c>
      <c r="M64" s="190">
        <v>15.6</v>
      </c>
      <c r="N64" s="190">
        <v>17.600000000000001</v>
      </c>
      <c r="O64" s="191">
        <f t="shared" si="0"/>
        <v>25.766666666666669</v>
      </c>
      <c r="P64" s="191">
        <f t="shared" si="1"/>
        <v>24.313429553740352</v>
      </c>
      <c r="Q64" s="192">
        <f t="shared" si="2"/>
        <v>1</v>
      </c>
      <c r="R64" s="140">
        <f t="shared" si="53"/>
        <v>22.933333333333334</v>
      </c>
      <c r="S64" s="150">
        <f t="shared" si="6"/>
        <v>1</v>
      </c>
      <c r="T64" s="140">
        <f t="shared" si="54"/>
        <v>26.3</v>
      </c>
      <c r="U64" s="150">
        <f t="shared" si="7"/>
        <v>1</v>
      </c>
      <c r="V64" s="141">
        <f t="shared" si="55"/>
        <v>25.766666666666669</v>
      </c>
      <c r="W64" s="142">
        <f t="shared" si="8"/>
        <v>1</v>
      </c>
      <c r="X64" s="144">
        <f t="shared" si="50"/>
        <v>25.585000000000001</v>
      </c>
      <c r="Y64" s="144">
        <f t="shared" si="51"/>
        <v>27.381666666666661</v>
      </c>
      <c r="Z64" s="144">
        <f t="shared" si="52"/>
        <v>27.46168181818182</v>
      </c>
      <c r="AA64" s="10"/>
      <c r="AB64" s="357" t="str">
        <f>VLOOKUP($B64,'2007-2020 Metadata'!$A$4:$S$214,MATCH("Urban Area /Monitoring Zone",'2007-2020 Metadata'!$A$4:$S$4,0),FALSE)</f>
        <v>Hamilton</v>
      </c>
      <c r="AC64" s="87" t="str">
        <f>VLOOKUP(B64,'2007-2020 Metadata'!$A$6:$A$214,1,FALSE)</f>
        <v>HAM002</v>
      </c>
      <c r="AD64" s="230" t="str">
        <f>VLOOKUP($AC64,'2007-2020 Metadata'!$A$6:$S$214,9,FALSE)</f>
        <v>Hamilton</v>
      </c>
      <c r="AE64" s="248">
        <f>IF(ISBLANK(VLOOKUP($AC64,'2007-2020 Metadata'!$A$6:$S$214,19,FALSE)),"",VLOOKUP($AC64,'2007-2020 Metadata'!$A$6:$S$214,19,FALSE))</f>
        <v>2.6</v>
      </c>
      <c r="AF64" s="88" t="str">
        <f>VLOOKUP($B64,'2007-2020 Metadata'!$A$4:$S$214,MATCH("Site type",'2007-2020 Metadata'!$A$4:$S$4,0),FALSE)</f>
        <v>Local (ex SH)</v>
      </c>
      <c r="AG64" s="143">
        <f t="shared" si="9"/>
        <v>15.6</v>
      </c>
      <c r="AH64" s="143">
        <f t="shared" si="10"/>
        <v>36.1</v>
      </c>
      <c r="AI64" s="144">
        <f t="shared" si="11"/>
        <v>27.46168181818182</v>
      </c>
    </row>
    <row r="65" spans="1:35" ht="12" customHeight="1" x14ac:dyDescent="0.2">
      <c r="A65" s="202"/>
      <c r="B65" s="193" t="s">
        <v>34</v>
      </c>
      <c r="C65" s="190">
        <v>38.700000000000003</v>
      </c>
      <c r="D65" s="190">
        <v>29.1</v>
      </c>
      <c r="E65" s="190">
        <v>35.299999999999997</v>
      </c>
      <c r="F65" s="190">
        <v>45.4</v>
      </c>
      <c r="G65" s="190">
        <v>48.1</v>
      </c>
      <c r="H65" s="190">
        <v>50.6</v>
      </c>
      <c r="I65" s="190">
        <v>45.4</v>
      </c>
      <c r="J65" s="190">
        <v>29.3</v>
      </c>
      <c r="K65" s="190">
        <v>40.799999999999997</v>
      </c>
      <c r="L65" s="190">
        <v>46.4</v>
      </c>
      <c r="M65" s="190">
        <v>41.4</v>
      </c>
      <c r="N65" s="190">
        <v>35.6</v>
      </c>
      <c r="O65" s="191">
        <f t="shared" si="0"/>
        <v>40.508333333333333</v>
      </c>
      <c r="P65" s="191">
        <f t="shared" si="1"/>
        <v>16.761073680997729</v>
      </c>
      <c r="Q65" s="192">
        <f t="shared" si="2"/>
        <v>1</v>
      </c>
      <c r="R65" s="140">
        <f t="shared" si="53"/>
        <v>34.366666666666667</v>
      </c>
      <c r="S65" s="150">
        <f t="shared" si="6"/>
        <v>1</v>
      </c>
      <c r="T65" s="140">
        <f t="shared" si="54"/>
        <v>38.5</v>
      </c>
      <c r="U65" s="150">
        <f t="shared" si="7"/>
        <v>1</v>
      </c>
      <c r="V65" s="141">
        <f t="shared" si="55"/>
        <v>40.508333333333333</v>
      </c>
      <c r="W65" s="142">
        <f t="shared" si="8"/>
        <v>1</v>
      </c>
      <c r="X65" s="144">
        <f t="shared" si="50"/>
        <v>25.585000000000001</v>
      </c>
      <c r="Y65" s="144">
        <f t="shared" si="51"/>
        <v>27.381666666666661</v>
      </c>
      <c r="Z65" s="144">
        <f t="shared" si="52"/>
        <v>27.46168181818182</v>
      </c>
      <c r="AA65" s="10"/>
      <c r="AB65" s="357" t="str">
        <f>VLOOKUP($B65,'2007-2020 Metadata'!$A$4:$S$214,MATCH("Urban Area /Monitoring Zone",'2007-2020 Metadata'!$A$4:$S$4,0),FALSE)</f>
        <v>Hamilton</v>
      </c>
      <c r="AC65" s="87" t="str">
        <f>VLOOKUP(B65,'2007-2020 Metadata'!$A$6:$A$214,1,FALSE)</f>
        <v>HAM003</v>
      </c>
      <c r="AD65" s="230" t="str">
        <f>VLOOKUP($AC65,'2007-2020 Metadata'!$A$6:$S$214,9,FALSE)</f>
        <v>Hamilton</v>
      </c>
      <c r="AE65" s="248">
        <f>IF(ISBLANK(VLOOKUP($AC65,'2007-2020 Metadata'!$A$6:$S$214,19,FALSE)),"",VLOOKUP($AC65,'2007-2020 Metadata'!$A$6:$S$214,19,FALSE))</f>
        <v>2.9</v>
      </c>
      <c r="AF65" s="88" t="str">
        <f>VLOOKUP($B65,'2007-2020 Metadata'!$A$4:$S$214,MATCH("Site type",'2007-2020 Metadata'!$A$4:$S$4,0),FALSE)</f>
        <v>SH</v>
      </c>
      <c r="AG65" s="143">
        <f t="shared" si="9"/>
        <v>29.1</v>
      </c>
      <c r="AH65" s="143">
        <f t="shared" si="10"/>
        <v>50.6</v>
      </c>
      <c r="AI65" s="144">
        <f t="shared" si="11"/>
        <v>27.46168181818182</v>
      </c>
    </row>
    <row r="66" spans="1:35" ht="12" customHeight="1" x14ac:dyDescent="0.2">
      <c r="A66" s="202"/>
      <c r="B66" s="193" t="s">
        <v>35</v>
      </c>
      <c r="C66" s="190">
        <v>20.6</v>
      </c>
      <c r="D66" s="190">
        <v>17.100000000000001</v>
      </c>
      <c r="E66" s="190">
        <v>23.1</v>
      </c>
      <c r="F66" s="190">
        <v>23.4</v>
      </c>
      <c r="G66" s="190">
        <v>25.6</v>
      </c>
      <c r="H66" s="190">
        <v>27.3</v>
      </c>
      <c r="I66" s="190">
        <v>25.2</v>
      </c>
      <c r="J66" s="190">
        <v>21.8</v>
      </c>
      <c r="K66" s="190">
        <v>23.6</v>
      </c>
      <c r="L66" s="190">
        <v>21.8</v>
      </c>
      <c r="M66" s="190">
        <v>15.1</v>
      </c>
      <c r="N66" s="190">
        <v>17.2</v>
      </c>
      <c r="O66" s="191">
        <f t="shared" si="0"/>
        <v>21.816666666666666</v>
      </c>
      <c r="P66" s="191">
        <f t="shared" si="1"/>
        <v>16.38383875236093</v>
      </c>
      <c r="Q66" s="192">
        <f t="shared" si="2"/>
        <v>1</v>
      </c>
      <c r="R66" s="140">
        <f t="shared" si="53"/>
        <v>20.266666666666669</v>
      </c>
      <c r="S66" s="150">
        <f t="shared" si="6"/>
        <v>1</v>
      </c>
      <c r="T66" s="140">
        <f t="shared" si="54"/>
        <v>23.533333333333331</v>
      </c>
      <c r="U66" s="150">
        <f t="shared" si="7"/>
        <v>1</v>
      </c>
      <c r="V66" s="141">
        <f t="shared" si="55"/>
        <v>21.816666666666666</v>
      </c>
      <c r="W66" s="142">
        <f t="shared" si="8"/>
        <v>1</v>
      </c>
      <c r="X66" s="144">
        <f t="shared" si="50"/>
        <v>25.585000000000001</v>
      </c>
      <c r="Y66" s="144">
        <f t="shared" si="51"/>
        <v>27.381666666666661</v>
      </c>
      <c r="Z66" s="144">
        <f t="shared" si="52"/>
        <v>27.46168181818182</v>
      </c>
      <c r="AA66" s="10"/>
      <c r="AB66" s="357" t="str">
        <f>VLOOKUP($B66,'2007-2020 Metadata'!$A$4:$S$214,MATCH("Urban Area /Monitoring Zone",'2007-2020 Metadata'!$A$4:$S$4,0),FALSE)</f>
        <v>Cambridge</v>
      </c>
      <c r="AC66" s="87" t="str">
        <f>VLOOKUP(B66,'2007-2020 Metadata'!$A$6:$A$214,1,FALSE)</f>
        <v>HAM004</v>
      </c>
      <c r="AD66" s="230" t="str">
        <f>VLOOKUP($AC66,'2007-2020 Metadata'!$A$6:$S$214,9,FALSE)</f>
        <v>Hamilton</v>
      </c>
      <c r="AE66" s="248">
        <f>IF(ISBLANK(VLOOKUP($AC66,'2007-2020 Metadata'!$A$6:$S$214,19,FALSE)),"",VLOOKUP($AC66,'2007-2020 Metadata'!$A$6:$S$214,19,FALSE))</f>
        <v>3</v>
      </c>
      <c r="AF66" s="88" t="str">
        <f>VLOOKUP($B66,'2007-2020 Metadata'!$A$4:$S$214,MATCH("Site type",'2007-2020 Metadata'!$A$4:$S$4,0),FALSE)</f>
        <v>Local (ex SH)</v>
      </c>
      <c r="AG66" s="143">
        <f t="shared" si="9"/>
        <v>15.1</v>
      </c>
      <c r="AH66" s="143">
        <f t="shared" si="10"/>
        <v>27.3</v>
      </c>
      <c r="AI66" s="144">
        <f t="shared" si="11"/>
        <v>27.46168181818182</v>
      </c>
    </row>
    <row r="67" spans="1:35" ht="12" customHeight="1" x14ac:dyDescent="0.2">
      <c r="A67" s="202"/>
      <c r="B67" s="193" t="s">
        <v>36</v>
      </c>
      <c r="C67" s="190">
        <v>7.3</v>
      </c>
      <c r="D67" s="190">
        <v>15.6</v>
      </c>
      <c r="E67" s="190">
        <v>13.5</v>
      </c>
      <c r="F67" s="190">
        <v>22.4</v>
      </c>
      <c r="G67" s="190">
        <v>20.5</v>
      </c>
      <c r="H67" s="190">
        <v>22.8</v>
      </c>
      <c r="I67" s="190">
        <v>18</v>
      </c>
      <c r="J67" s="190">
        <v>18.2</v>
      </c>
      <c r="K67" s="190">
        <v>18.600000000000001</v>
      </c>
      <c r="L67" s="190">
        <v>15.1</v>
      </c>
      <c r="M67" s="190">
        <v>10.5</v>
      </c>
      <c r="N67" s="190">
        <v>13.5</v>
      </c>
      <c r="O67" s="191">
        <f t="shared" si="0"/>
        <v>16.333333333333332</v>
      </c>
      <c r="P67" s="191">
        <f t="shared" si="1"/>
        <v>27.444616905407027</v>
      </c>
      <c r="Q67" s="192">
        <f t="shared" si="2"/>
        <v>1</v>
      </c>
      <c r="R67" s="140">
        <f t="shared" si="12"/>
        <v>12.133333333333333</v>
      </c>
      <c r="S67" s="150">
        <f t="shared" si="6"/>
        <v>1</v>
      </c>
      <c r="T67" s="140">
        <f t="shared" si="13"/>
        <v>18.266666666666669</v>
      </c>
      <c r="U67" s="150">
        <f t="shared" si="7"/>
        <v>1</v>
      </c>
      <c r="V67" s="141">
        <f t="shared" si="14"/>
        <v>16.333333333333332</v>
      </c>
      <c r="W67" s="142">
        <f t="shared" si="8"/>
        <v>1</v>
      </c>
      <c r="X67" s="144">
        <f t="shared" si="50"/>
        <v>12.133333333333333</v>
      </c>
      <c r="Y67" s="144">
        <f t="shared" si="51"/>
        <v>18.266666666666669</v>
      </c>
      <c r="Z67" s="144">
        <f t="shared" si="52"/>
        <v>16.333333333333332</v>
      </c>
      <c r="AA67" s="10"/>
      <c r="AB67" s="357" t="str">
        <f>VLOOKUP($B67,'2007-2020 Metadata'!$A$4:$S$214,MATCH("Urban Area /Monitoring Zone",'2007-2020 Metadata'!$A$4:$S$4,0),FALSE)</f>
        <v>Taupo</v>
      </c>
      <c r="AC67" s="87" t="str">
        <f>VLOOKUP(B67,'2007-2020 Metadata'!$A$6:$A$214,1,FALSE)</f>
        <v>HAM005</v>
      </c>
      <c r="AD67" s="230" t="str">
        <f>VLOOKUP($AC67,'2007-2020 Metadata'!$A$6:$S$214,9,FALSE)</f>
        <v>Taupo</v>
      </c>
      <c r="AE67" s="248">
        <f>IF(ISBLANK(VLOOKUP($AC67,'2007-2020 Metadata'!$A$6:$S$214,19,FALSE)),"",VLOOKUP($AC67,'2007-2020 Metadata'!$A$6:$S$214,19,FALSE))</f>
        <v>3.5</v>
      </c>
      <c r="AF67" s="88" t="str">
        <f>VLOOKUP($B67,'2007-2020 Metadata'!$A$4:$S$214,MATCH("Site type",'2007-2020 Metadata'!$A$4:$S$4,0),FALSE)</f>
        <v>Local (ex SH)</v>
      </c>
      <c r="AG67" s="143">
        <f t="shared" si="9"/>
        <v>7.3</v>
      </c>
      <c r="AH67" s="143">
        <f t="shared" si="10"/>
        <v>22.8</v>
      </c>
      <c r="AI67" s="144">
        <f t="shared" si="11"/>
        <v>16.333333333333332</v>
      </c>
    </row>
    <row r="68" spans="1:35" ht="12" customHeight="1" x14ac:dyDescent="0.2">
      <c r="A68" s="202"/>
      <c r="B68" s="193" t="s">
        <v>37</v>
      </c>
      <c r="C68" s="190">
        <v>16.3</v>
      </c>
      <c r="D68" s="190">
        <v>18.100000000000001</v>
      </c>
      <c r="E68" s="190">
        <v>17.2</v>
      </c>
      <c r="F68" s="190">
        <v>23.8</v>
      </c>
      <c r="G68" s="190">
        <v>25.3</v>
      </c>
      <c r="H68" s="190">
        <v>27</v>
      </c>
      <c r="I68" s="190">
        <v>27.5</v>
      </c>
      <c r="J68" s="190">
        <v>21</v>
      </c>
      <c r="K68" s="190">
        <v>22.4</v>
      </c>
      <c r="L68" s="190">
        <v>19.7</v>
      </c>
      <c r="M68" s="190">
        <v>19.7</v>
      </c>
      <c r="N68" s="190">
        <v>13.4</v>
      </c>
      <c r="O68" s="191">
        <f t="shared" si="0"/>
        <v>20.95</v>
      </c>
      <c r="P68" s="191">
        <f t="shared" si="1"/>
        <v>20.090778501691155</v>
      </c>
      <c r="Q68" s="192">
        <f t="shared" si="2"/>
        <v>1</v>
      </c>
      <c r="R68" s="140">
        <f t="shared" si="12"/>
        <v>17.200000000000003</v>
      </c>
      <c r="S68" s="150">
        <f t="shared" si="6"/>
        <v>1</v>
      </c>
      <c r="T68" s="140">
        <f t="shared" si="13"/>
        <v>23.633333333333336</v>
      </c>
      <c r="U68" s="150">
        <f t="shared" si="7"/>
        <v>1</v>
      </c>
      <c r="V68" s="141">
        <f t="shared" si="14"/>
        <v>20.95</v>
      </c>
      <c r="W68" s="142">
        <f t="shared" si="8"/>
        <v>1</v>
      </c>
      <c r="X68" s="144">
        <f t="shared" si="50"/>
        <v>12.433333333333335</v>
      </c>
      <c r="Y68" s="144">
        <f t="shared" si="51"/>
        <v>16.600000000000001</v>
      </c>
      <c r="Z68" s="144">
        <f t="shared" si="52"/>
        <v>14.75</v>
      </c>
      <c r="AA68" s="10"/>
      <c r="AB68" s="357" t="str">
        <f>VLOOKUP($B68,'2007-2020 Metadata'!$A$4:$S$214,MATCH("Urban Area /Monitoring Zone",'2007-2020 Metadata'!$A$4:$S$4,0),FALSE)</f>
        <v>Rotorua</v>
      </c>
      <c r="AC68" s="87" t="str">
        <f>VLOOKUP(B68,'2007-2020 Metadata'!$A$6:$A$214,1,FALSE)</f>
        <v>HAM006</v>
      </c>
      <c r="AD68" s="230" t="str">
        <f>VLOOKUP($AC68,'2007-2020 Metadata'!$A$6:$S$214,9,FALSE)</f>
        <v>Rotorua</v>
      </c>
      <c r="AE68" s="248">
        <f>IF(ISBLANK(VLOOKUP($AC68,'2007-2020 Metadata'!$A$6:$S$214,19,FALSE)),"",VLOOKUP($AC68,'2007-2020 Metadata'!$A$6:$S$214,19,FALSE))</f>
        <v>3</v>
      </c>
      <c r="AF68" s="88" t="str">
        <f>VLOOKUP($B68,'2007-2020 Metadata'!$A$4:$S$214,MATCH("Site type",'2007-2020 Metadata'!$A$4:$S$4,0),FALSE)</f>
        <v>SH</v>
      </c>
      <c r="AG68" s="143">
        <f t="shared" si="9"/>
        <v>13.4</v>
      </c>
      <c r="AH68" s="143">
        <f t="shared" si="10"/>
        <v>27.5</v>
      </c>
      <c r="AI68" s="144">
        <f t="shared" si="11"/>
        <v>14.75</v>
      </c>
    </row>
    <row r="69" spans="1:35" ht="12" customHeight="1" x14ac:dyDescent="0.2">
      <c r="A69" s="202"/>
      <c r="B69" s="193" t="s">
        <v>39</v>
      </c>
      <c r="C69" s="190">
        <v>37.5</v>
      </c>
      <c r="D69" s="190">
        <v>23.3</v>
      </c>
      <c r="E69" s="190">
        <v>26.2</v>
      </c>
      <c r="F69" s="190">
        <v>37.299999999999997</v>
      </c>
      <c r="G69" s="190">
        <v>35.6</v>
      </c>
      <c r="H69" s="190">
        <v>40.5</v>
      </c>
      <c r="I69" s="190">
        <v>35.4</v>
      </c>
      <c r="J69" s="190">
        <v>28.8</v>
      </c>
      <c r="K69" s="190">
        <v>34.9</v>
      </c>
      <c r="L69" s="190">
        <v>28</v>
      </c>
      <c r="M69" s="190">
        <v>24.3</v>
      </c>
      <c r="N69" s="190">
        <v>19.399999999999999</v>
      </c>
      <c r="O69" s="191">
        <f t="shared" si="0"/>
        <v>30.933333333333334</v>
      </c>
      <c r="P69" s="191">
        <f t="shared" si="1"/>
        <v>20.939998320253025</v>
      </c>
      <c r="Q69" s="192">
        <f t="shared" si="2"/>
        <v>1</v>
      </c>
      <c r="R69" s="140">
        <f t="shared" si="12"/>
        <v>29</v>
      </c>
      <c r="S69" s="150">
        <f t="shared" si="6"/>
        <v>1</v>
      </c>
      <c r="T69" s="140">
        <f t="shared" si="13"/>
        <v>33.033333333333331</v>
      </c>
      <c r="U69" s="150">
        <f t="shared" si="7"/>
        <v>1</v>
      </c>
      <c r="V69" s="141">
        <f t="shared" si="14"/>
        <v>30.933333333333334</v>
      </c>
      <c r="W69" s="142">
        <f t="shared" si="8"/>
        <v>1</v>
      </c>
      <c r="X69" s="144">
        <f t="shared" si="50"/>
        <v>22.369047619047617</v>
      </c>
      <c r="Y69" s="144">
        <f t="shared" si="51"/>
        <v>25.161904761904761</v>
      </c>
      <c r="Z69" s="144">
        <f t="shared" si="52"/>
        <v>24.148160173160171</v>
      </c>
      <c r="AA69" s="10"/>
      <c r="AB69" s="357" t="str">
        <f>VLOOKUP($B69,'2007-2020 Metadata'!$A$4:$S$214,MATCH("Urban Area /Monitoring Zone",'2007-2020 Metadata'!$A$4:$S$4,0),FALSE)</f>
        <v>Tauranga</v>
      </c>
      <c r="AC69" s="87" t="str">
        <f>VLOOKUP(B69,'2007-2020 Metadata'!$A$6:$A$214,1,FALSE)</f>
        <v>HAM007</v>
      </c>
      <c r="AD69" s="230" t="str">
        <f>VLOOKUP($AC69,'2007-2020 Metadata'!$A$6:$S$214,9,FALSE)</f>
        <v>Tauranga</v>
      </c>
      <c r="AE69" s="248">
        <f>IF(ISBLANK(VLOOKUP($AC69,'2007-2020 Metadata'!$A$6:$S$214,19,FALSE)),"",VLOOKUP($AC69,'2007-2020 Metadata'!$A$6:$S$214,19,FALSE))</f>
        <v>2.9</v>
      </c>
      <c r="AF69" s="88" t="str">
        <f>VLOOKUP($B69,'2007-2020 Metadata'!$A$4:$S$214,MATCH("Site type",'2007-2020 Metadata'!$A$4:$S$4,0),FALSE)</f>
        <v>SH</v>
      </c>
      <c r="AG69" s="143">
        <f t="shared" si="9"/>
        <v>19.399999999999999</v>
      </c>
      <c r="AH69" s="143">
        <f t="shared" si="10"/>
        <v>40.5</v>
      </c>
      <c r="AI69" s="144">
        <f t="shared" si="11"/>
        <v>24.148160173160171</v>
      </c>
    </row>
    <row r="70" spans="1:35" ht="12" customHeight="1" x14ac:dyDescent="0.2">
      <c r="A70" s="202"/>
      <c r="B70" s="193" t="s">
        <v>40</v>
      </c>
      <c r="C70" s="190">
        <v>42.2</v>
      </c>
      <c r="D70" s="190">
        <v>23</v>
      </c>
      <c r="E70" s="190">
        <v>30.2</v>
      </c>
      <c r="F70" s="190">
        <v>39.5</v>
      </c>
      <c r="G70" s="190">
        <v>39.4</v>
      </c>
      <c r="H70" s="190">
        <v>42</v>
      </c>
      <c r="I70" s="190">
        <v>39.4</v>
      </c>
      <c r="J70" s="190">
        <v>28</v>
      </c>
      <c r="K70" s="190">
        <v>33.299999999999997</v>
      </c>
      <c r="L70" s="190">
        <v>29.2</v>
      </c>
      <c r="M70" s="190">
        <v>26.7</v>
      </c>
      <c r="N70" s="190">
        <v>12.6</v>
      </c>
      <c r="O70" s="191">
        <f t="shared" si="0"/>
        <v>32.125000000000007</v>
      </c>
      <c r="P70" s="191">
        <f t="shared" si="1"/>
        <v>26.714907890593143</v>
      </c>
      <c r="Q70" s="192">
        <f t="shared" si="2"/>
        <v>1</v>
      </c>
      <c r="R70" s="140">
        <f t="shared" si="12"/>
        <v>31.8</v>
      </c>
      <c r="S70" s="150">
        <f t="shared" si="6"/>
        <v>1</v>
      </c>
      <c r="T70" s="140">
        <f t="shared" si="13"/>
        <v>33.56666666666667</v>
      </c>
      <c r="U70" s="150">
        <f t="shared" si="7"/>
        <v>1</v>
      </c>
      <c r="V70" s="141">
        <f t="shared" si="14"/>
        <v>32.125000000000007</v>
      </c>
      <c r="W70" s="142">
        <f t="shared" si="8"/>
        <v>1</v>
      </c>
      <c r="X70" s="144">
        <f t="shared" si="50"/>
        <v>22.369047619047617</v>
      </c>
      <c r="Y70" s="144">
        <f t="shared" si="51"/>
        <v>25.161904761904761</v>
      </c>
      <c r="Z70" s="144">
        <f t="shared" si="52"/>
        <v>24.148160173160171</v>
      </c>
      <c r="AA70" s="10"/>
      <c r="AB70" s="357" t="str">
        <f>VLOOKUP($B70,'2007-2020 Metadata'!$A$4:$S$214,MATCH("Urban Area /Monitoring Zone",'2007-2020 Metadata'!$A$4:$S$4,0),FALSE)</f>
        <v>Tauranga</v>
      </c>
      <c r="AC70" s="87" t="str">
        <f>VLOOKUP(B70,'2007-2020 Metadata'!$A$6:$A$214,1,FALSE)</f>
        <v>HAM008</v>
      </c>
      <c r="AD70" s="230" t="str">
        <f>VLOOKUP($AC70,'2007-2020 Metadata'!$A$6:$S$214,9,FALSE)</f>
        <v>Tauranga</v>
      </c>
      <c r="AE70" s="248">
        <f>IF(ISBLANK(VLOOKUP($AC70,'2007-2020 Metadata'!$A$6:$S$214,19,FALSE)),"",VLOOKUP($AC70,'2007-2020 Metadata'!$A$6:$S$214,19,FALSE))</f>
        <v>2.9</v>
      </c>
      <c r="AF70" s="88" t="str">
        <f>VLOOKUP($B70,'2007-2020 Metadata'!$A$4:$S$214,MATCH("Site type",'2007-2020 Metadata'!$A$4:$S$4,0),FALSE)</f>
        <v>SH</v>
      </c>
      <c r="AG70" s="143">
        <f t="shared" si="9"/>
        <v>12.6</v>
      </c>
      <c r="AH70" s="143">
        <f t="shared" si="10"/>
        <v>42.2</v>
      </c>
      <c r="AI70" s="144">
        <f t="shared" si="11"/>
        <v>24.148160173160171</v>
      </c>
    </row>
    <row r="71" spans="1:35" ht="12" customHeight="1" x14ac:dyDescent="0.2">
      <c r="A71" s="202"/>
      <c r="B71" s="193" t="s">
        <v>41</v>
      </c>
      <c r="C71" s="190">
        <v>47.5</v>
      </c>
      <c r="D71" s="190">
        <v>26.1</v>
      </c>
      <c r="E71" s="190">
        <v>26.6</v>
      </c>
      <c r="F71" s="190">
        <v>35.4</v>
      </c>
      <c r="G71" s="190">
        <v>34</v>
      </c>
      <c r="H71" s="190">
        <v>38.299999999999997</v>
      </c>
      <c r="I71" s="190">
        <v>30.5</v>
      </c>
      <c r="J71" s="190">
        <v>25.9</v>
      </c>
      <c r="K71" s="190">
        <v>31.3</v>
      </c>
      <c r="L71" s="190">
        <v>26.3</v>
      </c>
      <c r="M71" s="190">
        <v>27.1</v>
      </c>
      <c r="N71" s="190">
        <v>20.5</v>
      </c>
      <c r="O71" s="191">
        <f t="shared" si="0"/>
        <v>30.791666666666668</v>
      </c>
      <c r="P71" s="191">
        <f t="shared" si="1"/>
        <v>22.395500571296154</v>
      </c>
      <c r="Q71" s="192">
        <f t="shared" si="2"/>
        <v>1</v>
      </c>
      <c r="R71" s="140">
        <f t="shared" si="12"/>
        <v>33.4</v>
      </c>
      <c r="S71" s="150">
        <f t="shared" si="6"/>
        <v>1</v>
      </c>
      <c r="T71" s="140">
        <f t="shared" si="13"/>
        <v>29.233333333333334</v>
      </c>
      <c r="U71" s="150">
        <f t="shared" si="7"/>
        <v>1</v>
      </c>
      <c r="V71" s="141">
        <f t="shared" si="14"/>
        <v>30.791666666666668</v>
      </c>
      <c r="W71" s="142">
        <f t="shared" si="8"/>
        <v>1</v>
      </c>
      <c r="X71" s="144">
        <f t="shared" si="50"/>
        <v>22.369047619047617</v>
      </c>
      <c r="Y71" s="144">
        <f t="shared" si="51"/>
        <v>25.161904761904761</v>
      </c>
      <c r="Z71" s="144">
        <f t="shared" si="52"/>
        <v>24.148160173160171</v>
      </c>
      <c r="AA71" s="10"/>
      <c r="AB71" s="357" t="str">
        <f>VLOOKUP($B71,'2007-2020 Metadata'!$A$4:$S$214,MATCH("Urban Area /Monitoring Zone",'2007-2020 Metadata'!$A$4:$S$4,0),FALSE)</f>
        <v>Tauranga</v>
      </c>
      <c r="AC71" s="87" t="str">
        <f>VLOOKUP(B71,'2007-2020 Metadata'!$A$6:$A$214,1,FALSE)</f>
        <v>HAM010</v>
      </c>
      <c r="AD71" s="230" t="str">
        <f>VLOOKUP($AC71,'2007-2020 Metadata'!$A$6:$S$214,9,FALSE)</f>
        <v>Tauranga</v>
      </c>
      <c r="AE71" s="248">
        <f>IF(ISBLANK(VLOOKUP($AC71,'2007-2020 Metadata'!$A$6:$S$214,19,FALSE)),"",VLOOKUP($AC71,'2007-2020 Metadata'!$A$6:$S$214,19,FALSE))</f>
        <v>2.7</v>
      </c>
      <c r="AF71" s="88" t="str">
        <f>VLOOKUP($B71,'2007-2020 Metadata'!$A$4:$S$214,MATCH("Site type",'2007-2020 Metadata'!$A$4:$S$4,0),FALSE)</f>
        <v>SH</v>
      </c>
      <c r="AG71" s="143">
        <f t="shared" si="9"/>
        <v>20.5</v>
      </c>
      <c r="AH71" s="143">
        <f t="shared" si="10"/>
        <v>47.5</v>
      </c>
      <c r="AI71" s="144">
        <f t="shared" si="11"/>
        <v>24.148160173160171</v>
      </c>
    </row>
    <row r="72" spans="1:35" ht="12" customHeight="1" x14ac:dyDescent="0.2">
      <c r="A72" s="202"/>
      <c r="B72" s="193" t="s">
        <v>95</v>
      </c>
      <c r="C72" s="190">
        <v>18.2</v>
      </c>
      <c r="D72" s="190">
        <v>18.600000000000001</v>
      </c>
      <c r="E72" s="190">
        <v>19.8</v>
      </c>
      <c r="F72" s="190">
        <v>26.6</v>
      </c>
      <c r="G72" s="190">
        <v>25.2</v>
      </c>
      <c r="H72" s="190">
        <v>27.4</v>
      </c>
      <c r="I72" s="190">
        <v>22.2</v>
      </c>
      <c r="J72" s="190">
        <v>21.7</v>
      </c>
      <c r="K72" s="190">
        <v>22.8</v>
      </c>
      <c r="L72" s="190">
        <v>14.9</v>
      </c>
      <c r="M72" s="190">
        <v>13.2</v>
      </c>
      <c r="N72" s="190">
        <v>11.7</v>
      </c>
      <c r="O72" s="191">
        <f t="shared" si="0"/>
        <v>20.191666666666663</v>
      </c>
      <c r="P72" s="191">
        <f t="shared" si="1"/>
        <v>24.214702895363963</v>
      </c>
      <c r="Q72" s="192">
        <f t="shared" si="2"/>
        <v>1</v>
      </c>
      <c r="R72" s="140">
        <f t="shared" si="12"/>
        <v>18.866666666666664</v>
      </c>
      <c r="S72" s="150">
        <f t="shared" si="6"/>
        <v>1</v>
      </c>
      <c r="T72" s="140">
        <f t="shared" si="13"/>
        <v>22.233333333333334</v>
      </c>
      <c r="U72" s="150">
        <f t="shared" si="7"/>
        <v>1</v>
      </c>
      <c r="V72" s="141">
        <f t="shared" si="14"/>
        <v>20.191666666666663</v>
      </c>
      <c r="W72" s="142">
        <f t="shared" si="8"/>
        <v>1</v>
      </c>
      <c r="X72" s="144">
        <f t="shared" si="50"/>
        <v>25.585000000000001</v>
      </c>
      <c r="Y72" s="144">
        <f t="shared" si="51"/>
        <v>27.381666666666661</v>
      </c>
      <c r="Z72" s="144">
        <f t="shared" si="52"/>
        <v>27.46168181818182</v>
      </c>
      <c r="AA72" s="10"/>
      <c r="AB72" s="357" t="str">
        <f>VLOOKUP($B72,'2007-2020 Metadata'!$A$4:$S$214,MATCH("Urban Area /Monitoring Zone",'2007-2020 Metadata'!$A$4:$S$4,0),FALSE)</f>
        <v>Hamilton</v>
      </c>
      <c r="AC72" s="87" t="str">
        <f>VLOOKUP(B72,'2007-2020 Metadata'!$A$6:$A$214,1,FALSE)</f>
        <v>HAM012</v>
      </c>
      <c r="AD72" s="230" t="str">
        <f>VLOOKUP($AC72,'2007-2020 Metadata'!$A$6:$S$214,9,FALSE)</f>
        <v>Hamilton</v>
      </c>
      <c r="AE72" s="248">
        <f>IF(ISBLANK(VLOOKUP($AC72,'2007-2020 Metadata'!$A$6:$S$214,19,FALSE)),"",VLOOKUP($AC72,'2007-2020 Metadata'!$A$6:$S$214,19,FALSE))</f>
        <v>2.8</v>
      </c>
      <c r="AF72" s="88" t="str">
        <f>VLOOKUP($B72,'2007-2020 Metadata'!$A$4:$S$214,MATCH("Site type",'2007-2020 Metadata'!$A$4:$S$4,0),FALSE)</f>
        <v>Local (ex SH)</v>
      </c>
      <c r="AG72" s="143">
        <f t="shared" si="9"/>
        <v>11.7</v>
      </c>
      <c r="AH72" s="143">
        <f t="shared" si="10"/>
        <v>27.4</v>
      </c>
      <c r="AI72" s="144">
        <f t="shared" si="11"/>
        <v>27.46168181818182</v>
      </c>
    </row>
    <row r="73" spans="1:35" ht="12" customHeight="1" x14ac:dyDescent="0.2">
      <c r="A73" s="202"/>
      <c r="B73" s="193" t="s">
        <v>96</v>
      </c>
      <c r="C73" s="190">
        <v>38.200000000000003</v>
      </c>
      <c r="D73" s="190">
        <v>34.6</v>
      </c>
      <c r="E73" s="190">
        <v>36.299999999999997</v>
      </c>
      <c r="F73" s="190">
        <v>45.3</v>
      </c>
      <c r="G73" s="190">
        <v>52.8</v>
      </c>
      <c r="H73" s="190">
        <v>53.1</v>
      </c>
      <c r="I73" s="190">
        <v>40.700000000000003</v>
      </c>
      <c r="J73" s="190">
        <v>32</v>
      </c>
      <c r="K73" s="190">
        <v>38.9</v>
      </c>
      <c r="L73" s="190">
        <v>47.5</v>
      </c>
      <c r="M73" s="190">
        <v>38.299999999999997</v>
      </c>
      <c r="N73" s="190">
        <v>27</v>
      </c>
      <c r="O73" s="191">
        <f t="shared" si="0"/>
        <v>40.391666666666666</v>
      </c>
      <c r="P73" s="191">
        <f t="shared" si="1"/>
        <v>18.930906933971638</v>
      </c>
      <c r="Q73" s="192">
        <f t="shared" si="2"/>
        <v>1</v>
      </c>
      <c r="R73" s="140">
        <f t="shared" si="12"/>
        <v>36.366666666666667</v>
      </c>
      <c r="S73" s="150">
        <f t="shared" si="6"/>
        <v>1</v>
      </c>
      <c r="T73" s="140">
        <f t="shared" si="13"/>
        <v>37.199999999999996</v>
      </c>
      <c r="U73" s="150">
        <f t="shared" si="7"/>
        <v>1</v>
      </c>
      <c r="V73" s="141">
        <f t="shared" si="14"/>
        <v>40.391666666666666</v>
      </c>
      <c r="W73" s="142">
        <f t="shared" si="8"/>
        <v>1</v>
      </c>
      <c r="X73" s="144">
        <f t="shared" si="50"/>
        <v>25.585000000000001</v>
      </c>
      <c r="Y73" s="144">
        <f t="shared" si="51"/>
        <v>27.381666666666661</v>
      </c>
      <c r="Z73" s="144">
        <f t="shared" si="52"/>
        <v>27.46168181818182</v>
      </c>
      <c r="AA73" s="10"/>
      <c r="AB73" s="357" t="str">
        <f>VLOOKUP($B73,'2007-2020 Metadata'!$A$4:$S$214,MATCH("Urban Area /Monitoring Zone",'2007-2020 Metadata'!$A$4:$S$4,0),FALSE)</f>
        <v>Hamilton</v>
      </c>
      <c r="AC73" s="87" t="str">
        <f>VLOOKUP(B73,'2007-2020 Metadata'!$A$6:$A$214,1,FALSE)</f>
        <v>HAM013</v>
      </c>
      <c r="AD73" s="230" t="str">
        <f>VLOOKUP($AC73,'2007-2020 Metadata'!$A$6:$S$214,9,FALSE)</f>
        <v>Hamilton</v>
      </c>
      <c r="AE73" s="248">
        <f>IF(ISBLANK(VLOOKUP($AC73,'2007-2020 Metadata'!$A$6:$S$214,19,FALSE)),"",VLOOKUP($AC73,'2007-2020 Metadata'!$A$6:$S$214,19,FALSE))</f>
        <v>2.8</v>
      </c>
      <c r="AF73" s="88" t="str">
        <f>VLOOKUP($B73,'2007-2020 Metadata'!$A$4:$S$214,MATCH("Site type",'2007-2020 Metadata'!$A$4:$S$4,0),FALSE)</f>
        <v>SH</v>
      </c>
      <c r="AG73" s="143">
        <f t="shared" si="9"/>
        <v>27</v>
      </c>
      <c r="AH73" s="143">
        <f t="shared" si="10"/>
        <v>53.1</v>
      </c>
      <c r="AI73" s="144">
        <f t="shared" si="11"/>
        <v>27.46168181818182</v>
      </c>
    </row>
    <row r="74" spans="1:35" ht="12" customHeight="1" x14ac:dyDescent="0.2">
      <c r="A74" s="202"/>
      <c r="B74" s="193" t="s">
        <v>97</v>
      </c>
      <c r="C74" s="190">
        <v>35.4</v>
      </c>
      <c r="D74" s="190">
        <v>34.299999999999997</v>
      </c>
      <c r="E74" s="190">
        <v>34.700000000000003</v>
      </c>
      <c r="F74" s="190">
        <v>40.9</v>
      </c>
      <c r="G74" s="190">
        <v>43.3</v>
      </c>
      <c r="H74" s="190">
        <v>45.4</v>
      </c>
      <c r="I74" s="190">
        <v>36</v>
      </c>
      <c r="J74" s="190">
        <v>33.200000000000003</v>
      </c>
      <c r="K74" s="190">
        <v>38.5</v>
      </c>
      <c r="L74" s="190">
        <v>37.6</v>
      </c>
      <c r="M74" s="190">
        <v>26.1</v>
      </c>
      <c r="N74" s="190">
        <v>26.9</v>
      </c>
      <c r="O74" s="191">
        <f t="shared" ref="O74:O126" si="56">(AVERAGE(C74:N74))</f>
        <v>36.024999999999999</v>
      </c>
      <c r="P74" s="191">
        <f t="shared" ref="P74:P126" si="57">IFERROR((STDEVP(C74:N74)/O74)*100,"")</f>
        <v>15.373267117887334</v>
      </c>
      <c r="Q74" s="192">
        <f t="shared" ref="Q74:Q126" si="58">COUNT(C74:N74)/COUNT($C$6:$N$6)</f>
        <v>1</v>
      </c>
      <c r="R74" s="140">
        <f t="shared" si="12"/>
        <v>34.799999999999997</v>
      </c>
      <c r="S74" s="150">
        <f t="shared" si="6"/>
        <v>1</v>
      </c>
      <c r="T74" s="140">
        <f t="shared" si="13"/>
        <v>35.9</v>
      </c>
      <c r="U74" s="150">
        <f t="shared" si="7"/>
        <v>1</v>
      </c>
      <c r="V74" s="141">
        <f t="shared" si="14"/>
        <v>36.024999999999999</v>
      </c>
      <c r="W74" s="142">
        <f t="shared" si="8"/>
        <v>1</v>
      </c>
      <c r="X74" s="144">
        <f t="shared" ref="X74:X105" si="59">IF(VLOOKUP($B74,$AC$6:$AI$161,3,FALSE)="",$R74,IF(ISERROR(AVERAGEIF($AD$6:$AD$161,VLOOKUP($B74,$AC$6:$AI$161,2,FALSE),$R$6:$R$161)),"",AVERAGEIF($AD$6:$AD$161,VLOOKUP($B74,$AC$6:$AI$161,2,FALSE),$R$6:$R$161)))</f>
        <v>25.585000000000001</v>
      </c>
      <c r="Y74" s="144">
        <f t="shared" ref="Y74:Y105" si="60">IF(VLOOKUP($B74,$AC$6:$AI$161,3,FALSE)="",$T74,IF(ISERROR(AVERAGEIF($AD$6:$AD$161,VLOOKUP($B74,$AC$6:$AI$161,2,FALSE),$T$6:$T$161)),"",AVERAGEIF($AD$6:$AD$161,VLOOKUP($B74,$AC$6:$AI$161,2,FALSE),$T$6:$T$161)))</f>
        <v>27.381666666666661</v>
      </c>
      <c r="Z74" s="144">
        <f t="shared" ref="Z74:Z105" si="61">IF(VLOOKUP($B74,$AC$6:$AI$161,3,FALSE)="",$V74,IF(ISERROR(AVERAGEIF($AD$6:$AD$161,VLOOKUP($B74,$AC$6:$AI$161,2,FALSE),$V$6:$V$161)),"",AVERAGEIF($AD$6:$AD$161,VLOOKUP($B74,$AC$6:$AI$161,2,FALSE),$V$6:$V$161)))</f>
        <v>27.46168181818182</v>
      </c>
      <c r="AA74" s="10"/>
      <c r="AB74" s="357" t="str">
        <f>VLOOKUP($B74,'2007-2020 Metadata'!$A$4:$S$214,MATCH("Urban Area /Monitoring Zone",'2007-2020 Metadata'!$A$4:$S$4,0),FALSE)</f>
        <v>Hamilton</v>
      </c>
      <c r="AC74" s="87" t="str">
        <f>VLOOKUP(B74,'2007-2020 Metadata'!$A$6:$A$214,1,FALSE)</f>
        <v>HAM014</v>
      </c>
      <c r="AD74" s="230" t="str">
        <f>VLOOKUP($AC74,'2007-2020 Metadata'!$A$6:$S$214,9,FALSE)</f>
        <v>Hamilton</v>
      </c>
      <c r="AE74" s="248">
        <f>IF(ISBLANK(VLOOKUP($AC74,'2007-2020 Metadata'!$A$6:$S$214,19,FALSE)),"",VLOOKUP($AC74,'2007-2020 Metadata'!$A$6:$S$214,19,FALSE))</f>
        <v>2.2000000000000002</v>
      </c>
      <c r="AF74" s="88" t="str">
        <f>VLOOKUP($B74,'2007-2020 Metadata'!$A$4:$S$214,MATCH("Site type",'2007-2020 Metadata'!$A$4:$S$4,0),FALSE)</f>
        <v>Local</v>
      </c>
      <c r="AG74" s="143">
        <f t="shared" si="9"/>
        <v>26.1</v>
      </c>
      <c r="AH74" s="143">
        <f t="shared" si="10"/>
        <v>45.4</v>
      </c>
      <c r="AI74" s="144">
        <f t="shared" si="11"/>
        <v>27.46168181818182</v>
      </c>
    </row>
    <row r="75" spans="1:35" ht="12" customHeight="1" x14ac:dyDescent="0.2">
      <c r="A75" s="202"/>
      <c r="B75" s="193" t="s">
        <v>98</v>
      </c>
      <c r="C75" s="190">
        <v>25</v>
      </c>
      <c r="D75" s="190"/>
      <c r="E75" s="190">
        <v>25.7</v>
      </c>
      <c r="F75" s="190"/>
      <c r="G75" s="190">
        <v>29.3</v>
      </c>
      <c r="H75" s="190">
        <v>37.200000000000003</v>
      </c>
      <c r="I75" s="190">
        <v>28.6</v>
      </c>
      <c r="J75" s="190">
        <v>24.6</v>
      </c>
      <c r="K75" s="190">
        <v>28.5</v>
      </c>
      <c r="L75" s="190">
        <v>25.8</v>
      </c>
      <c r="M75" s="190">
        <v>15.4</v>
      </c>
      <c r="N75" s="190">
        <v>19</v>
      </c>
      <c r="O75" s="191">
        <f t="shared" si="56"/>
        <v>25.910000000000004</v>
      </c>
      <c r="P75" s="191">
        <f t="shared" si="57"/>
        <v>21.617032534673069</v>
      </c>
      <c r="Q75" s="192">
        <f t="shared" si="58"/>
        <v>0.83333333333333337</v>
      </c>
      <c r="R75" s="140">
        <f t="shared" ref="R75:R124" si="62">IF($S75=0%,"",IF($S75&gt;66%,AVERAGE($C75:$E75),"-"))</f>
        <v>25.35</v>
      </c>
      <c r="S75" s="150">
        <f t="shared" ref="S75:S124" si="63">COUNT(C75:E75)/3</f>
        <v>0.66666666666666663</v>
      </c>
      <c r="T75" s="140">
        <f t="shared" ref="T75:T124" si="64">IF($U75=0%,"",IF($U75&gt;66%,AVERAGE($I75:$K75),"-"))</f>
        <v>27.233333333333334</v>
      </c>
      <c r="U75" s="150">
        <f t="shared" ref="U75:U124" si="65">COUNT(I75:K75)/3</f>
        <v>1</v>
      </c>
      <c r="V75" s="141">
        <f t="shared" ref="V75:V124" si="66">IF(AND(($S75&gt;33%),($U75&gt;33%),($W75&gt;=75%)),AVERAGE($C75:$N75),"-")</f>
        <v>25.910000000000004</v>
      </c>
      <c r="W75" s="142">
        <f t="shared" ref="W75:W124" si="67">Q75</f>
        <v>0.83333333333333337</v>
      </c>
      <c r="X75" s="144">
        <f t="shared" si="59"/>
        <v>25.585000000000001</v>
      </c>
      <c r="Y75" s="144">
        <f t="shared" si="60"/>
        <v>27.381666666666661</v>
      </c>
      <c r="Z75" s="144">
        <f t="shared" si="61"/>
        <v>27.46168181818182</v>
      </c>
      <c r="AA75" s="10"/>
      <c r="AB75" s="357" t="str">
        <f>VLOOKUP($B75,'2007-2020 Metadata'!$A$4:$S$214,MATCH("Urban Area /Monitoring Zone",'2007-2020 Metadata'!$A$4:$S$4,0),FALSE)</f>
        <v>Hamilton</v>
      </c>
      <c r="AC75" s="87" t="str">
        <f>VLOOKUP(B75,'2007-2020 Metadata'!$A$6:$A$214,1,FALSE)</f>
        <v>HAM015</v>
      </c>
      <c r="AD75" s="230" t="str">
        <f>VLOOKUP($AC75,'2007-2020 Metadata'!$A$6:$S$214,9,FALSE)</f>
        <v>Hamilton</v>
      </c>
      <c r="AE75" s="248">
        <f>IF(ISBLANK(VLOOKUP($AC75,'2007-2020 Metadata'!$A$6:$S$214,19,FALSE)),"",VLOOKUP($AC75,'2007-2020 Metadata'!$A$6:$S$214,19,FALSE))</f>
        <v>2.7</v>
      </c>
      <c r="AF75" s="88" t="str">
        <f>VLOOKUP($B75,'2007-2020 Metadata'!$A$4:$S$214,MATCH("Site type",'2007-2020 Metadata'!$A$4:$S$4,0),FALSE)</f>
        <v>Local</v>
      </c>
      <c r="AG75" s="143">
        <f t="shared" ref="AG75:AG124" si="68">MIN(C75:N75)</f>
        <v>15.4</v>
      </c>
      <c r="AH75" s="143">
        <f t="shared" ref="AH75:AH124" si="69">MAX(C75:N75)</f>
        <v>37.200000000000003</v>
      </c>
      <c r="AI75" s="144">
        <f t="shared" ref="AI75:AI138" si="70">IF(W75&gt;=75%,Z75," ")</f>
        <v>27.46168181818182</v>
      </c>
    </row>
    <row r="76" spans="1:35" ht="12" customHeight="1" x14ac:dyDescent="0.2">
      <c r="A76" s="202"/>
      <c r="B76" s="193" t="s">
        <v>99</v>
      </c>
      <c r="C76" s="190">
        <v>25.8</v>
      </c>
      <c r="D76" s="190">
        <v>32.299999999999997</v>
      </c>
      <c r="E76" s="190">
        <v>22.4</v>
      </c>
      <c r="F76" s="190">
        <v>27.7</v>
      </c>
      <c r="G76" s="190">
        <v>27.8</v>
      </c>
      <c r="H76" s="190">
        <v>31.7</v>
      </c>
      <c r="I76" s="190">
        <v>24.7</v>
      </c>
      <c r="J76" s="190">
        <v>23</v>
      </c>
      <c r="K76" s="190">
        <v>24.4</v>
      </c>
      <c r="L76" s="190">
        <v>17.2</v>
      </c>
      <c r="M76" s="190">
        <v>14.1</v>
      </c>
      <c r="N76" s="190">
        <v>12.4</v>
      </c>
      <c r="O76" s="191">
        <f t="shared" si="56"/>
        <v>23.625</v>
      </c>
      <c r="P76" s="191">
        <f t="shared" si="57"/>
        <v>25.656593310621677</v>
      </c>
      <c r="Q76" s="192">
        <f t="shared" si="58"/>
        <v>1</v>
      </c>
      <c r="R76" s="140">
        <f t="shared" si="62"/>
        <v>26.833333333333332</v>
      </c>
      <c r="S76" s="150">
        <f t="shared" si="63"/>
        <v>1</v>
      </c>
      <c r="T76" s="140">
        <f t="shared" si="64"/>
        <v>24.033333333333331</v>
      </c>
      <c r="U76" s="150">
        <f t="shared" si="65"/>
        <v>1</v>
      </c>
      <c r="V76" s="141">
        <f t="shared" si="66"/>
        <v>23.625</v>
      </c>
      <c r="W76" s="142">
        <f t="shared" si="67"/>
        <v>1</v>
      </c>
      <c r="X76" s="144">
        <f t="shared" si="59"/>
        <v>25.585000000000001</v>
      </c>
      <c r="Y76" s="144">
        <f t="shared" si="60"/>
        <v>27.381666666666661</v>
      </c>
      <c r="Z76" s="144">
        <f t="shared" si="61"/>
        <v>27.46168181818182</v>
      </c>
      <c r="AA76" s="10"/>
      <c r="AB76" s="357" t="str">
        <f>VLOOKUP($B76,'2007-2020 Metadata'!$A$4:$S$214,MATCH("Urban Area /Monitoring Zone",'2007-2020 Metadata'!$A$4:$S$4,0),FALSE)</f>
        <v>Hamilton</v>
      </c>
      <c r="AC76" s="87" t="str">
        <f>VLOOKUP(B76,'2007-2020 Metadata'!$A$6:$A$214,1,FALSE)</f>
        <v>HAM016</v>
      </c>
      <c r="AD76" s="230" t="str">
        <f>VLOOKUP($AC76,'2007-2020 Metadata'!$A$6:$S$214,9,FALSE)</f>
        <v>Hamilton</v>
      </c>
      <c r="AE76" s="248">
        <f>IF(ISBLANK(VLOOKUP($AC76,'2007-2020 Metadata'!$A$6:$S$214,19,FALSE)),"",VLOOKUP($AC76,'2007-2020 Metadata'!$A$6:$S$214,19,FALSE))</f>
        <v>2.6</v>
      </c>
      <c r="AF76" s="88" t="str">
        <f>VLOOKUP($B76,'2007-2020 Metadata'!$A$4:$S$214,MATCH("Site type",'2007-2020 Metadata'!$A$4:$S$4,0),FALSE)</f>
        <v>Local</v>
      </c>
      <c r="AG76" s="143">
        <f t="shared" si="68"/>
        <v>12.4</v>
      </c>
      <c r="AH76" s="143">
        <f t="shared" si="69"/>
        <v>32.299999999999997</v>
      </c>
      <c r="AI76" s="144">
        <f t="shared" si="70"/>
        <v>27.46168181818182</v>
      </c>
    </row>
    <row r="77" spans="1:35" ht="12" customHeight="1" x14ac:dyDescent="0.2">
      <c r="A77" s="202"/>
      <c r="B77" s="193" t="s">
        <v>100</v>
      </c>
      <c r="C77" s="190">
        <v>9.3000000000000007</v>
      </c>
      <c r="D77" s="190">
        <v>9.4</v>
      </c>
      <c r="E77" s="190">
        <v>10.9</v>
      </c>
      <c r="F77" s="190">
        <v>15.3</v>
      </c>
      <c r="G77" s="190">
        <v>14.5</v>
      </c>
      <c r="H77" s="190">
        <v>17.600000000000001</v>
      </c>
      <c r="I77" s="190"/>
      <c r="J77" s="190">
        <v>13.1</v>
      </c>
      <c r="K77" s="190">
        <v>9.4</v>
      </c>
      <c r="L77" s="190">
        <v>8.5</v>
      </c>
      <c r="M77" s="190">
        <v>7.3</v>
      </c>
      <c r="N77" s="190">
        <v>6.4</v>
      </c>
      <c r="O77" s="191">
        <f t="shared" si="56"/>
        <v>11.063636363636364</v>
      </c>
      <c r="P77" s="191">
        <f t="shared" si="57"/>
        <v>30.80679193464297</v>
      </c>
      <c r="Q77" s="192">
        <f t="shared" si="58"/>
        <v>0.91666666666666663</v>
      </c>
      <c r="R77" s="140">
        <f t="shared" si="62"/>
        <v>9.8666666666666671</v>
      </c>
      <c r="S77" s="150">
        <f t="shared" si="63"/>
        <v>1</v>
      </c>
      <c r="T77" s="140">
        <f t="shared" si="64"/>
        <v>11.25</v>
      </c>
      <c r="U77" s="150">
        <f t="shared" si="65"/>
        <v>0.66666666666666663</v>
      </c>
      <c r="V77" s="141">
        <f t="shared" si="66"/>
        <v>11.063636363636364</v>
      </c>
      <c r="W77" s="142">
        <f t="shared" si="67"/>
        <v>0.91666666666666663</v>
      </c>
      <c r="X77" s="144">
        <f t="shared" si="59"/>
        <v>25.585000000000001</v>
      </c>
      <c r="Y77" s="144">
        <f t="shared" si="60"/>
        <v>27.381666666666661</v>
      </c>
      <c r="Z77" s="144">
        <f t="shared" si="61"/>
        <v>27.46168181818182</v>
      </c>
      <c r="AA77" s="10"/>
      <c r="AB77" s="357" t="str">
        <f>VLOOKUP($B77,'2007-2020 Metadata'!$A$4:$S$214,MATCH("Urban Area /Monitoring Zone",'2007-2020 Metadata'!$A$4:$S$4,0),FALSE)</f>
        <v>Hamilton</v>
      </c>
      <c r="AC77" s="87" t="str">
        <f>VLOOKUP(B77,'2007-2020 Metadata'!$A$6:$A$214,1,FALSE)</f>
        <v>HAM017</v>
      </c>
      <c r="AD77" s="230" t="str">
        <f>VLOOKUP($AC77,'2007-2020 Metadata'!$A$6:$S$214,9,FALSE)</f>
        <v>Hamilton</v>
      </c>
      <c r="AE77" s="248">
        <f>IF(ISBLANK(VLOOKUP($AC77,'2007-2020 Metadata'!$A$6:$S$214,19,FALSE)),"",VLOOKUP($AC77,'2007-2020 Metadata'!$A$6:$S$214,19,FALSE))</f>
        <v>5</v>
      </c>
      <c r="AF77" s="88" t="str">
        <f>VLOOKUP($B77,'2007-2020 Metadata'!$A$4:$S$214,MATCH("Site type",'2007-2020 Metadata'!$A$4:$S$4,0),FALSE)</f>
        <v>Background</v>
      </c>
      <c r="AG77" s="143">
        <f t="shared" si="68"/>
        <v>6.4</v>
      </c>
      <c r="AH77" s="143">
        <f t="shared" si="69"/>
        <v>17.600000000000001</v>
      </c>
      <c r="AI77" s="144">
        <f t="shared" si="70"/>
        <v>27.46168181818182</v>
      </c>
    </row>
    <row r="78" spans="1:35" ht="12" customHeight="1" x14ac:dyDescent="0.2">
      <c r="A78" s="202"/>
      <c r="B78" s="193" t="s">
        <v>101</v>
      </c>
      <c r="C78" s="190">
        <v>23.1</v>
      </c>
      <c r="D78" s="190">
        <v>23</v>
      </c>
      <c r="E78" s="190">
        <v>23.1</v>
      </c>
      <c r="F78" s="190">
        <v>33.299999999999997</v>
      </c>
      <c r="G78" s="190">
        <v>31.5</v>
      </c>
      <c r="H78" s="190">
        <v>38.299999999999997</v>
      </c>
      <c r="I78" s="190">
        <v>27.1</v>
      </c>
      <c r="J78" s="190">
        <v>24.8</v>
      </c>
      <c r="K78" s="190">
        <v>26.7</v>
      </c>
      <c r="L78" s="190">
        <v>23.9</v>
      </c>
      <c r="M78" s="190">
        <v>27</v>
      </c>
      <c r="N78" s="190">
        <v>21</v>
      </c>
      <c r="O78" s="191">
        <f t="shared" si="56"/>
        <v>26.900000000000002</v>
      </c>
      <c r="P78" s="191">
        <f t="shared" si="57"/>
        <v>18.100183034954309</v>
      </c>
      <c r="Q78" s="192">
        <f t="shared" si="58"/>
        <v>1</v>
      </c>
      <c r="R78" s="140">
        <f t="shared" si="62"/>
        <v>23.066666666666666</v>
      </c>
      <c r="S78" s="150">
        <f t="shared" si="63"/>
        <v>1</v>
      </c>
      <c r="T78" s="140">
        <f t="shared" si="64"/>
        <v>26.200000000000003</v>
      </c>
      <c r="U78" s="150">
        <f t="shared" si="65"/>
        <v>1</v>
      </c>
      <c r="V78" s="141">
        <f t="shared" si="66"/>
        <v>26.900000000000002</v>
      </c>
      <c r="W78" s="142">
        <f t="shared" si="67"/>
        <v>1</v>
      </c>
      <c r="X78" s="144">
        <f t="shared" si="59"/>
        <v>22.369047619047617</v>
      </c>
      <c r="Y78" s="144">
        <f t="shared" si="60"/>
        <v>25.161904761904761</v>
      </c>
      <c r="Z78" s="144">
        <f t="shared" si="61"/>
        <v>24.148160173160171</v>
      </c>
      <c r="AA78" s="10"/>
      <c r="AB78" s="357" t="str">
        <f>VLOOKUP($B78,'2007-2020 Metadata'!$A$4:$S$214,MATCH("Urban Area /Monitoring Zone",'2007-2020 Metadata'!$A$4:$S$4,0),FALSE)</f>
        <v>Tauranga</v>
      </c>
      <c r="AC78" s="87" t="str">
        <f>VLOOKUP(B78,'2007-2020 Metadata'!$A$6:$A$214,1,FALSE)</f>
        <v>HAM018</v>
      </c>
      <c r="AD78" s="230" t="str">
        <f>VLOOKUP($AC78,'2007-2020 Metadata'!$A$6:$S$214,9,FALSE)</f>
        <v>Tauranga</v>
      </c>
      <c r="AE78" s="248">
        <f>IF(ISBLANK(VLOOKUP($AC78,'2007-2020 Metadata'!$A$6:$S$214,19,FALSE)),"",VLOOKUP($AC78,'2007-2020 Metadata'!$A$6:$S$214,19,FALSE))</f>
        <v>2.5</v>
      </c>
      <c r="AF78" s="88" t="str">
        <f>VLOOKUP($B78,'2007-2020 Metadata'!$A$4:$S$214,MATCH("Site type",'2007-2020 Metadata'!$A$4:$S$4,0),FALSE)</f>
        <v>SH</v>
      </c>
      <c r="AG78" s="143">
        <f t="shared" si="68"/>
        <v>21</v>
      </c>
      <c r="AH78" s="143">
        <f t="shared" si="69"/>
        <v>38.299999999999997</v>
      </c>
      <c r="AI78" s="144">
        <f t="shared" si="70"/>
        <v>24.148160173160171</v>
      </c>
    </row>
    <row r="79" spans="1:35" ht="12" customHeight="1" x14ac:dyDescent="0.2">
      <c r="A79" s="202"/>
      <c r="B79" s="193" t="s">
        <v>102</v>
      </c>
      <c r="C79" s="190">
        <v>12.7</v>
      </c>
      <c r="D79" s="190"/>
      <c r="E79" s="190">
        <v>16.8</v>
      </c>
      <c r="F79" s="190">
        <v>21.8</v>
      </c>
      <c r="G79" s="190">
        <v>21.6</v>
      </c>
      <c r="H79" s="190">
        <v>26.8</v>
      </c>
      <c r="I79" s="190">
        <v>20.7</v>
      </c>
      <c r="J79" s="190">
        <v>19.7</v>
      </c>
      <c r="K79" s="190">
        <v>21.4</v>
      </c>
      <c r="L79" s="190">
        <v>15.4</v>
      </c>
      <c r="M79" s="190">
        <v>14.5</v>
      </c>
      <c r="N79" s="190">
        <v>13</v>
      </c>
      <c r="O79" s="191">
        <f t="shared" si="56"/>
        <v>18.581818181818182</v>
      </c>
      <c r="P79" s="191">
        <f t="shared" si="57"/>
        <v>22.739566035457081</v>
      </c>
      <c r="Q79" s="192">
        <f t="shared" si="58"/>
        <v>0.91666666666666663</v>
      </c>
      <c r="R79" s="140">
        <f t="shared" si="62"/>
        <v>14.75</v>
      </c>
      <c r="S79" s="150">
        <f t="shared" si="63"/>
        <v>0.66666666666666663</v>
      </c>
      <c r="T79" s="140">
        <f t="shared" si="64"/>
        <v>20.599999999999998</v>
      </c>
      <c r="U79" s="150">
        <f t="shared" si="65"/>
        <v>1</v>
      </c>
      <c r="V79" s="141">
        <f t="shared" si="66"/>
        <v>18.581818181818182</v>
      </c>
      <c r="W79" s="142">
        <f t="shared" si="67"/>
        <v>0.91666666666666663</v>
      </c>
      <c r="X79" s="144">
        <f t="shared" si="59"/>
        <v>22.369047619047617</v>
      </c>
      <c r="Y79" s="144">
        <f t="shared" si="60"/>
        <v>25.161904761904761</v>
      </c>
      <c r="Z79" s="144">
        <f t="shared" si="61"/>
        <v>24.148160173160171</v>
      </c>
      <c r="AA79" s="10"/>
      <c r="AB79" s="357" t="str">
        <f>VLOOKUP($B79,'2007-2020 Metadata'!$A$4:$S$214,MATCH("Urban Area /Monitoring Zone",'2007-2020 Metadata'!$A$4:$S$4,0),FALSE)</f>
        <v>Tauranga</v>
      </c>
      <c r="AC79" s="87" t="str">
        <f>VLOOKUP(B79,'2007-2020 Metadata'!$A$6:$A$214,1,FALSE)</f>
        <v>HAM019</v>
      </c>
      <c r="AD79" s="230" t="str">
        <f>VLOOKUP($AC79,'2007-2020 Metadata'!$A$6:$S$214,9,FALSE)</f>
        <v>Tauranga</v>
      </c>
      <c r="AE79" s="248">
        <f>IF(ISBLANK(VLOOKUP($AC79,'2007-2020 Metadata'!$A$6:$S$214,19,FALSE)),"",VLOOKUP($AC79,'2007-2020 Metadata'!$A$6:$S$214,19,FALSE))</f>
        <v>2.7</v>
      </c>
      <c r="AF79" s="88" t="str">
        <f>VLOOKUP($B79,'2007-2020 Metadata'!$A$4:$S$214,MATCH("Site type",'2007-2020 Metadata'!$A$4:$S$4,0),FALSE)</f>
        <v>Local</v>
      </c>
      <c r="AG79" s="143">
        <f t="shared" si="68"/>
        <v>12.7</v>
      </c>
      <c r="AH79" s="143">
        <f t="shared" si="69"/>
        <v>26.8</v>
      </c>
      <c r="AI79" s="144">
        <f t="shared" si="70"/>
        <v>24.148160173160171</v>
      </c>
    </row>
    <row r="80" spans="1:35" ht="12" customHeight="1" x14ac:dyDescent="0.2">
      <c r="A80" s="202"/>
      <c r="B80" s="193" t="s">
        <v>103</v>
      </c>
      <c r="C80" s="190">
        <v>13.6</v>
      </c>
      <c r="D80" s="190">
        <v>15.9</v>
      </c>
      <c r="E80" s="190">
        <v>18</v>
      </c>
      <c r="F80" s="190">
        <v>21.8</v>
      </c>
      <c r="G80" s="190">
        <v>21.4</v>
      </c>
      <c r="H80" s="190">
        <v>25</v>
      </c>
      <c r="I80" s="190">
        <v>23.7</v>
      </c>
      <c r="J80" s="190">
        <v>18.3</v>
      </c>
      <c r="K80" s="190">
        <v>22.1</v>
      </c>
      <c r="L80" s="190">
        <v>14.7</v>
      </c>
      <c r="M80" s="190"/>
      <c r="N80" s="190">
        <v>10.8</v>
      </c>
      <c r="O80" s="191">
        <f t="shared" si="56"/>
        <v>18.66363636363636</v>
      </c>
      <c r="P80" s="191">
        <f t="shared" si="57"/>
        <v>23.189367985713901</v>
      </c>
      <c r="Q80" s="192">
        <f t="shared" si="58"/>
        <v>0.91666666666666663</v>
      </c>
      <c r="R80" s="140">
        <f t="shared" si="62"/>
        <v>15.833333333333334</v>
      </c>
      <c r="S80" s="150">
        <f t="shared" si="63"/>
        <v>1</v>
      </c>
      <c r="T80" s="140">
        <f t="shared" si="64"/>
        <v>21.366666666666664</v>
      </c>
      <c r="U80" s="150">
        <f t="shared" si="65"/>
        <v>1</v>
      </c>
      <c r="V80" s="141">
        <f t="shared" si="66"/>
        <v>18.66363636363636</v>
      </c>
      <c r="W80" s="142">
        <f t="shared" si="67"/>
        <v>0.91666666666666663</v>
      </c>
      <c r="X80" s="144">
        <f t="shared" si="59"/>
        <v>22.369047619047617</v>
      </c>
      <c r="Y80" s="144">
        <f t="shared" si="60"/>
        <v>25.161904761904761</v>
      </c>
      <c r="Z80" s="144">
        <f t="shared" si="61"/>
        <v>24.148160173160171</v>
      </c>
      <c r="AA80" s="10"/>
      <c r="AB80" s="357" t="str">
        <f>VLOOKUP($B80,'2007-2020 Metadata'!$A$4:$S$214,MATCH("Urban Area /Monitoring Zone",'2007-2020 Metadata'!$A$4:$S$4,0),FALSE)</f>
        <v>Tauranga</v>
      </c>
      <c r="AC80" s="87" t="str">
        <f>VLOOKUP(B80,'2007-2020 Metadata'!$A$6:$A$214,1,FALSE)</f>
        <v>HAM020</v>
      </c>
      <c r="AD80" s="230" t="str">
        <f>VLOOKUP($AC80,'2007-2020 Metadata'!$A$6:$S$214,9,FALSE)</f>
        <v>Tauranga</v>
      </c>
      <c r="AE80" s="248">
        <f>IF(ISBLANK(VLOOKUP($AC80,'2007-2020 Metadata'!$A$6:$S$214,19,FALSE)),"",VLOOKUP($AC80,'2007-2020 Metadata'!$A$6:$S$214,19,FALSE))</f>
        <v>2.8</v>
      </c>
      <c r="AF80" s="88" t="str">
        <f>VLOOKUP($B80,'2007-2020 Metadata'!$A$4:$S$214,MATCH("Site type",'2007-2020 Metadata'!$A$4:$S$4,0),FALSE)</f>
        <v>Local</v>
      </c>
      <c r="AG80" s="143">
        <f t="shared" si="68"/>
        <v>10.8</v>
      </c>
      <c r="AH80" s="143">
        <f t="shared" si="69"/>
        <v>25</v>
      </c>
      <c r="AI80" s="144">
        <f t="shared" si="70"/>
        <v>24.148160173160171</v>
      </c>
    </row>
    <row r="81" spans="1:35" ht="12" customHeight="1" x14ac:dyDescent="0.2">
      <c r="A81" s="202"/>
      <c r="B81" s="193" t="s">
        <v>104</v>
      </c>
      <c r="C81" s="190">
        <v>7.2</v>
      </c>
      <c r="D81" s="190">
        <v>9</v>
      </c>
      <c r="E81" s="190">
        <v>10</v>
      </c>
      <c r="F81" s="190">
        <v>14</v>
      </c>
      <c r="G81" s="190">
        <v>13.4</v>
      </c>
      <c r="H81" s="190">
        <v>14.8</v>
      </c>
      <c r="I81" s="190">
        <v>12.2</v>
      </c>
      <c r="J81" s="190">
        <v>12.2</v>
      </c>
      <c r="K81" s="190">
        <v>12</v>
      </c>
      <c r="L81" s="190">
        <v>8.6</v>
      </c>
      <c r="M81" s="190">
        <v>11</v>
      </c>
      <c r="N81" s="190">
        <v>8.1</v>
      </c>
      <c r="O81" s="191">
        <f t="shared" si="56"/>
        <v>11.041666666666666</v>
      </c>
      <c r="P81" s="191">
        <f t="shared" si="57"/>
        <v>21.347020054774354</v>
      </c>
      <c r="Q81" s="192">
        <f t="shared" si="58"/>
        <v>1</v>
      </c>
      <c r="R81" s="140">
        <f t="shared" si="62"/>
        <v>8.7333333333333325</v>
      </c>
      <c r="S81" s="150">
        <f t="shared" si="63"/>
        <v>1</v>
      </c>
      <c r="T81" s="140">
        <f t="shared" si="64"/>
        <v>12.133333333333333</v>
      </c>
      <c r="U81" s="150">
        <f t="shared" si="65"/>
        <v>1</v>
      </c>
      <c r="V81" s="141">
        <f t="shared" si="66"/>
        <v>11.041666666666666</v>
      </c>
      <c r="W81" s="142">
        <f t="shared" si="67"/>
        <v>1</v>
      </c>
      <c r="X81" s="144">
        <f t="shared" si="59"/>
        <v>22.369047619047617</v>
      </c>
      <c r="Y81" s="144">
        <f t="shared" si="60"/>
        <v>25.161904761904761</v>
      </c>
      <c r="Z81" s="144">
        <f t="shared" si="61"/>
        <v>24.148160173160171</v>
      </c>
      <c r="AA81" s="10"/>
      <c r="AB81" s="357" t="str">
        <f>VLOOKUP($B81,'2007-2020 Metadata'!$A$4:$S$214,MATCH("Urban Area /Monitoring Zone",'2007-2020 Metadata'!$A$4:$S$4,0),FALSE)</f>
        <v>Tauranga</v>
      </c>
      <c r="AC81" s="87" t="str">
        <f>VLOOKUP(B81,'2007-2020 Metadata'!$A$6:$A$214,1,FALSE)</f>
        <v>HAM021</v>
      </c>
      <c r="AD81" s="230" t="str">
        <f>VLOOKUP($AC81,'2007-2020 Metadata'!$A$6:$S$214,9,FALSE)</f>
        <v>Tauranga</v>
      </c>
      <c r="AE81" s="248">
        <f>IF(ISBLANK(VLOOKUP($AC81,'2007-2020 Metadata'!$A$6:$S$214,19,FALSE)),"",VLOOKUP($AC81,'2007-2020 Metadata'!$A$6:$S$214,19,FALSE))</f>
        <v>3</v>
      </c>
      <c r="AF81" s="88" t="str">
        <f>VLOOKUP($B81,'2007-2020 Metadata'!$A$4:$S$214,MATCH("Site type",'2007-2020 Metadata'!$A$4:$S$4,0),FALSE)</f>
        <v>Background</v>
      </c>
      <c r="AG81" s="143">
        <f t="shared" si="68"/>
        <v>7.2</v>
      </c>
      <c r="AH81" s="143">
        <f t="shared" si="69"/>
        <v>14.8</v>
      </c>
      <c r="AI81" s="144">
        <f t="shared" si="70"/>
        <v>24.148160173160171</v>
      </c>
    </row>
    <row r="82" spans="1:35" ht="12" customHeight="1" x14ac:dyDescent="0.2">
      <c r="A82" s="202"/>
      <c r="B82" s="193" t="s">
        <v>105</v>
      </c>
      <c r="C82" s="190">
        <v>15.1</v>
      </c>
      <c r="D82" s="190">
        <v>17</v>
      </c>
      <c r="E82" s="190">
        <v>17.8</v>
      </c>
      <c r="F82" s="190">
        <v>24.7</v>
      </c>
      <c r="G82" s="190">
        <v>25.2</v>
      </c>
      <c r="H82" s="190">
        <v>25.1</v>
      </c>
      <c r="I82" s="190">
        <v>23.9</v>
      </c>
      <c r="J82" s="190">
        <v>20.100000000000001</v>
      </c>
      <c r="K82" s="190">
        <v>18.899999999999999</v>
      </c>
      <c r="L82" s="190">
        <v>18.600000000000001</v>
      </c>
      <c r="M82" s="190">
        <v>10.7</v>
      </c>
      <c r="N82" s="190">
        <v>7.8</v>
      </c>
      <c r="O82" s="191">
        <f t="shared" si="56"/>
        <v>18.741666666666667</v>
      </c>
      <c r="P82" s="191">
        <f t="shared" si="57"/>
        <v>28.721640215353645</v>
      </c>
      <c r="Q82" s="192">
        <f t="shared" si="58"/>
        <v>1</v>
      </c>
      <c r="R82" s="140">
        <f t="shared" si="62"/>
        <v>16.633333333333336</v>
      </c>
      <c r="S82" s="150">
        <f t="shared" si="63"/>
        <v>1</v>
      </c>
      <c r="T82" s="140">
        <f t="shared" si="64"/>
        <v>20.966666666666665</v>
      </c>
      <c r="U82" s="150">
        <f t="shared" si="65"/>
        <v>1</v>
      </c>
      <c r="V82" s="141">
        <f t="shared" si="66"/>
        <v>18.741666666666667</v>
      </c>
      <c r="W82" s="142">
        <f t="shared" si="67"/>
        <v>1</v>
      </c>
      <c r="X82" s="144">
        <f t="shared" si="59"/>
        <v>16.633333333333336</v>
      </c>
      <c r="Y82" s="144">
        <f t="shared" si="60"/>
        <v>20.966666666666665</v>
      </c>
      <c r="Z82" s="144">
        <f t="shared" si="61"/>
        <v>18.741666666666667</v>
      </c>
      <c r="AA82" s="10"/>
      <c r="AB82" s="357" t="str">
        <f>VLOOKUP($B82,'2007-2020 Metadata'!$A$4:$S$214,MATCH("Urban Area /Monitoring Zone",'2007-2020 Metadata'!$A$4:$S$4,0),FALSE)</f>
        <v>Te Awamutu</v>
      </c>
      <c r="AC82" s="87" t="str">
        <f>VLOOKUP(B82,'2007-2020 Metadata'!$A$6:$A$214,1,FALSE)</f>
        <v>HAM022</v>
      </c>
      <c r="AD82" s="230" t="str">
        <f>VLOOKUP($AC82,'2007-2020 Metadata'!$A$6:$S$214,9,FALSE)</f>
        <v>Te Awamutu</v>
      </c>
      <c r="AE82" s="248">
        <f>IF(ISBLANK(VLOOKUP($AC82,'2007-2020 Metadata'!$A$6:$S$214,19,FALSE)),"",VLOOKUP($AC82,'2007-2020 Metadata'!$A$6:$S$214,19,FALSE))</f>
        <v>3</v>
      </c>
      <c r="AF82" s="88" t="str">
        <f>VLOOKUP($B82,'2007-2020 Metadata'!$A$4:$S$214,MATCH("Site type",'2007-2020 Metadata'!$A$4:$S$4,0),FALSE)</f>
        <v>SH</v>
      </c>
      <c r="AG82" s="143">
        <f t="shared" si="68"/>
        <v>7.8</v>
      </c>
      <c r="AH82" s="143">
        <f t="shared" si="69"/>
        <v>25.2</v>
      </c>
      <c r="AI82" s="144">
        <f t="shared" si="70"/>
        <v>18.741666666666667</v>
      </c>
    </row>
    <row r="83" spans="1:35" ht="12" customHeight="1" x14ac:dyDescent="0.2">
      <c r="A83" s="202"/>
      <c r="B83" s="193" t="s">
        <v>106</v>
      </c>
      <c r="C83" s="190">
        <v>8.5</v>
      </c>
      <c r="D83" s="190">
        <v>7.2</v>
      </c>
      <c r="E83" s="190">
        <v>7.3</v>
      </c>
      <c r="F83" s="190">
        <v>11</v>
      </c>
      <c r="G83" s="190">
        <v>11.1</v>
      </c>
      <c r="H83" s="190">
        <v>11.8</v>
      </c>
      <c r="I83" s="190">
        <v>11</v>
      </c>
      <c r="J83" s="190">
        <v>9.6999999999999993</v>
      </c>
      <c r="K83" s="190">
        <v>8</v>
      </c>
      <c r="L83" s="190">
        <v>6.4</v>
      </c>
      <c r="M83" s="190">
        <v>5.6</v>
      </c>
      <c r="N83" s="190">
        <v>5</v>
      </c>
      <c r="O83" s="191">
        <f t="shared" si="56"/>
        <v>8.5500000000000007</v>
      </c>
      <c r="P83" s="191">
        <f t="shared" si="57"/>
        <v>26.155021154788709</v>
      </c>
      <c r="Q83" s="192">
        <f t="shared" si="58"/>
        <v>1</v>
      </c>
      <c r="R83" s="140">
        <f t="shared" si="62"/>
        <v>7.666666666666667</v>
      </c>
      <c r="S83" s="150">
        <f t="shared" si="63"/>
        <v>1</v>
      </c>
      <c r="T83" s="140">
        <f t="shared" si="64"/>
        <v>9.5666666666666664</v>
      </c>
      <c r="U83" s="150">
        <f t="shared" si="65"/>
        <v>1</v>
      </c>
      <c r="V83" s="141">
        <f t="shared" si="66"/>
        <v>8.5500000000000007</v>
      </c>
      <c r="W83" s="142">
        <f t="shared" si="67"/>
        <v>1</v>
      </c>
      <c r="X83" s="144">
        <f t="shared" si="59"/>
        <v>12.433333333333335</v>
      </c>
      <c r="Y83" s="144">
        <f t="shared" si="60"/>
        <v>16.600000000000001</v>
      </c>
      <c r="Z83" s="144">
        <f t="shared" si="61"/>
        <v>14.75</v>
      </c>
      <c r="AA83" s="10"/>
      <c r="AB83" s="357" t="str">
        <f>VLOOKUP($B83,'2007-2020 Metadata'!$A$4:$S$214,MATCH("Urban Area /Monitoring Zone",'2007-2020 Metadata'!$A$4:$S$4,0),FALSE)</f>
        <v>Rotorua</v>
      </c>
      <c r="AC83" s="87" t="str">
        <f>VLOOKUP(B83,'2007-2020 Metadata'!$A$6:$A$214,1,FALSE)</f>
        <v>HAM023</v>
      </c>
      <c r="AD83" s="230" t="str">
        <f>VLOOKUP($AC83,'2007-2020 Metadata'!$A$6:$S$214,9,FALSE)</f>
        <v>Rotorua</v>
      </c>
      <c r="AE83" s="248">
        <f>IF(ISBLANK(VLOOKUP($AC83,'2007-2020 Metadata'!$A$6:$S$214,19,FALSE)),"",VLOOKUP($AC83,'2007-2020 Metadata'!$A$6:$S$214,19,FALSE))</f>
        <v>2.5</v>
      </c>
      <c r="AF83" s="88" t="str">
        <f>VLOOKUP($B83,'2007-2020 Metadata'!$A$4:$S$214,MATCH("Site type",'2007-2020 Metadata'!$A$4:$S$4,0),FALSE)</f>
        <v>Background</v>
      </c>
      <c r="AG83" s="143">
        <f t="shared" si="68"/>
        <v>5</v>
      </c>
      <c r="AH83" s="143">
        <f t="shared" si="69"/>
        <v>11.8</v>
      </c>
      <c r="AI83" s="144">
        <f t="shared" si="70"/>
        <v>14.75</v>
      </c>
    </row>
    <row r="84" spans="1:35" ht="12" customHeight="1" x14ac:dyDescent="0.2">
      <c r="A84" s="202"/>
      <c r="B84" s="193" t="s">
        <v>42</v>
      </c>
      <c r="C84" s="190">
        <v>13.7</v>
      </c>
      <c r="D84" s="190">
        <v>14.8</v>
      </c>
      <c r="E84" s="190">
        <v>15.3</v>
      </c>
      <c r="F84" s="190">
        <v>18.7</v>
      </c>
      <c r="G84" s="190">
        <v>20.6</v>
      </c>
      <c r="H84" s="190">
        <v>24.7</v>
      </c>
      <c r="I84" s="190">
        <v>18.3</v>
      </c>
      <c r="J84" s="190">
        <v>17.3</v>
      </c>
      <c r="K84" s="190">
        <v>15</v>
      </c>
      <c r="L84" s="190">
        <v>15.5</v>
      </c>
      <c r="M84" s="190">
        <v>15.7</v>
      </c>
      <c r="N84" s="190">
        <v>10.8</v>
      </c>
      <c r="O84" s="191">
        <f t="shared" si="56"/>
        <v>16.7</v>
      </c>
      <c r="P84" s="191">
        <f t="shared" si="57"/>
        <v>20.514262764064359</v>
      </c>
      <c r="Q84" s="192">
        <f t="shared" si="58"/>
        <v>1</v>
      </c>
      <c r="R84" s="140">
        <f t="shared" si="62"/>
        <v>14.6</v>
      </c>
      <c r="S84" s="150">
        <f t="shared" si="63"/>
        <v>1</v>
      </c>
      <c r="T84" s="140">
        <f t="shared" si="64"/>
        <v>16.866666666666667</v>
      </c>
      <c r="U84" s="150">
        <f t="shared" si="65"/>
        <v>1</v>
      </c>
      <c r="V84" s="141">
        <f t="shared" si="66"/>
        <v>16.7</v>
      </c>
      <c r="W84" s="142">
        <f t="shared" si="67"/>
        <v>1</v>
      </c>
      <c r="X84" s="144">
        <f t="shared" si="59"/>
        <v>14.6</v>
      </c>
      <c r="Y84" s="144">
        <f t="shared" si="60"/>
        <v>16.866666666666667</v>
      </c>
      <c r="Z84" s="144">
        <f t="shared" si="61"/>
        <v>16.7</v>
      </c>
      <c r="AA84" s="10"/>
      <c r="AB84" s="357" t="str">
        <f>VLOOKUP($B84,'2007-2020 Metadata'!$A$4:$S$214,MATCH("Urban Area /Monitoring Zone",'2007-2020 Metadata'!$A$4:$S$4,0),FALSE)</f>
        <v>Gisborne</v>
      </c>
      <c r="AC84" s="87" t="str">
        <f>VLOOKUP(B84,'2007-2020 Metadata'!$A$6:$A$214,1,FALSE)</f>
        <v>NAP001</v>
      </c>
      <c r="AD84" s="230" t="str">
        <f>VLOOKUP($AC84,'2007-2020 Metadata'!$A$6:$S$214,9,FALSE)</f>
        <v>Gisborne</v>
      </c>
      <c r="AE84" s="248">
        <f>IF(ISBLANK(VLOOKUP($AC84,'2007-2020 Metadata'!$A$6:$S$214,19,FALSE)),"",VLOOKUP($AC84,'2007-2020 Metadata'!$A$6:$S$214,19,FALSE))</f>
        <v>3</v>
      </c>
      <c r="AF84" s="88" t="str">
        <f>VLOOKUP($B84,'2007-2020 Metadata'!$A$4:$S$214,MATCH("Site type",'2007-2020 Metadata'!$A$4:$S$4,0),FALSE)</f>
        <v>SH</v>
      </c>
      <c r="AG84" s="143">
        <f t="shared" si="68"/>
        <v>10.8</v>
      </c>
      <c r="AH84" s="143">
        <f t="shared" si="69"/>
        <v>24.7</v>
      </c>
      <c r="AI84" s="144">
        <f t="shared" si="70"/>
        <v>16.7</v>
      </c>
    </row>
    <row r="85" spans="1:35" ht="12" customHeight="1" x14ac:dyDescent="0.2">
      <c r="A85" s="202"/>
      <c r="B85" s="193" t="s">
        <v>43</v>
      </c>
      <c r="C85" s="190">
        <v>11.5</v>
      </c>
      <c r="D85" s="190">
        <v>16.899999999999999</v>
      </c>
      <c r="E85" s="190">
        <v>19.899999999999999</v>
      </c>
      <c r="F85" s="190">
        <v>25.4</v>
      </c>
      <c r="G85" s="190">
        <v>26.4</v>
      </c>
      <c r="H85" s="190">
        <v>28.8</v>
      </c>
      <c r="I85" s="190">
        <v>18.7</v>
      </c>
      <c r="J85" s="190">
        <v>21.4</v>
      </c>
      <c r="K85" s="190">
        <v>20.5</v>
      </c>
      <c r="L85" s="190">
        <v>19.600000000000001</v>
      </c>
      <c r="M85" s="190">
        <v>15.7</v>
      </c>
      <c r="N85" s="190">
        <v>13.2</v>
      </c>
      <c r="O85" s="191">
        <f t="shared" si="56"/>
        <v>19.833333333333332</v>
      </c>
      <c r="P85" s="191">
        <f t="shared" si="57"/>
        <v>25.121131583394586</v>
      </c>
      <c r="Q85" s="192">
        <f t="shared" si="58"/>
        <v>1</v>
      </c>
      <c r="R85" s="140">
        <f t="shared" si="62"/>
        <v>16.099999999999998</v>
      </c>
      <c r="S85" s="150">
        <f t="shared" si="63"/>
        <v>1</v>
      </c>
      <c r="T85" s="140">
        <f t="shared" si="64"/>
        <v>20.2</v>
      </c>
      <c r="U85" s="150">
        <f t="shared" si="65"/>
        <v>1</v>
      </c>
      <c r="V85" s="141">
        <f t="shared" si="66"/>
        <v>19.833333333333332</v>
      </c>
      <c r="W85" s="142">
        <f t="shared" si="67"/>
        <v>1</v>
      </c>
      <c r="X85" s="144">
        <f t="shared" si="59"/>
        <v>16.755555555555556</v>
      </c>
      <c r="Y85" s="144">
        <f t="shared" si="60"/>
        <v>18.766666666666666</v>
      </c>
      <c r="Z85" s="144">
        <f t="shared" si="61"/>
        <v>18.436111111111106</v>
      </c>
      <c r="AA85" s="10"/>
      <c r="AB85" s="357" t="str">
        <f>VLOOKUP($B85,'2007-2020 Metadata'!$A$4:$S$214,MATCH("Urban Area /Monitoring Zone",'2007-2020 Metadata'!$A$4:$S$4,0),FALSE)</f>
        <v>Napier</v>
      </c>
      <c r="AC85" s="87" t="str">
        <f>VLOOKUP(B85,'2007-2020 Metadata'!$A$6:$A$214,1,FALSE)</f>
        <v>NAP002</v>
      </c>
      <c r="AD85" s="230" t="str">
        <f>VLOOKUP($AC85,'2007-2020 Metadata'!$A$6:$S$214,9,FALSE)</f>
        <v>Napier</v>
      </c>
      <c r="AE85" s="248">
        <f>IF(ISBLANK(VLOOKUP($AC85,'2007-2020 Metadata'!$A$6:$S$214,19,FALSE)),"",VLOOKUP($AC85,'2007-2020 Metadata'!$A$6:$S$214,19,FALSE))</f>
        <v>3</v>
      </c>
      <c r="AF85" s="88" t="str">
        <f>VLOOKUP($B85,'2007-2020 Metadata'!$A$4:$S$214,MATCH("Site type",'2007-2020 Metadata'!$A$4:$S$4,0),FALSE)</f>
        <v>SH</v>
      </c>
      <c r="AG85" s="143">
        <f t="shared" si="68"/>
        <v>11.5</v>
      </c>
      <c r="AH85" s="143">
        <f t="shared" si="69"/>
        <v>28.8</v>
      </c>
      <c r="AI85" s="144">
        <f t="shared" si="70"/>
        <v>18.436111111111106</v>
      </c>
    </row>
    <row r="86" spans="1:35" ht="12" customHeight="1" x14ac:dyDescent="0.2">
      <c r="A86" s="202"/>
      <c r="B86" s="193" t="s">
        <v>44</v>
      </c>
      <c r="C86" s="190">
        <v>26.1</v>
      </c>
      <c r="D86" s="190">
        <v>26.6</v>
      </c>
      <c r="E86" s="190">
        <v>23</v>
      </c>
      <c r="F86" s="190">
        <v>31.3</v>
      </c>
      <c r="G86" s="190">
        <v>28.7</v>
      </c>
      <c r="H86" s="190">
        <v>34.6</v>
      </c>
      <c r="I86" s="190">
        <v>23.8</v>
      </c>
      <c r="J86" s="190">
        <v>23.2</v>
      </c>
      <c r="K86" s="190">
        <v>31.6</v>
      </c>
      <c r="L86" s="190">
        <v>19.899999999999999</v>
      </c>
      <c r="M86" s="190">
        <v>22.1</v>
      </c>
      <c r="N86" s="190">
        <v>15.7</v>
      </c>
      <c r="O86" s="191">
        <f t="shared" si="56"/>
        <v>25.549999999999997</v>
      </c>
      <c r="P86" s="191">
        <f t="shared" si="57"/>
        <v>20.174280834101062</v>
      </c>
      <c r="Q86" s="192">
        <f t="shared" si="58"/>
        <v>1</v>
      </c>
      <c r="R86" s="140">
        <f t="shared" si="62"/>
        <v>25.233333333333334</v>
      </c>
      <c r="S86" s="150">
        <f t="shared" si="63"/>
        <v>1</v>
      </c>
      <c r="T86" s="140">
        <f t="shared" si="64"/>
        <v>26.2</v>
      </c>
      <c r="U86" s="150">
        <f t="shared" si="65"/>
        <v>1</v>
      </c>
      <c r="V86" s="141">
        <f t="shared" si="66"/>
        <v>25.549999999999997</v>
      </c>
      <c r="W86" s="142">
        <f t="shared" si="67"/>
        <v>1</v>
      </c>
      <c r="X86" s="144">
        <f t="shared" si="59"/>
        <v>16.755555555555556</v>
      </c>
      <c r="Y86" s="144">
        <f t="shared" si="60"/>
        <v>18.766666666666666</v>
      </c>
      <c r="Z86" s="144">
        <f t="shared" si="61"/>
        <v>18.436111111111106</v>
      </c>
      <c r="AA86" s="10"/>
      <c r="AB86" s="357" t="str">
        <f>VLOOKUP($B86,'2007-2020 Metadata'!$A$4:$S$214,MATCH("Urban Area /Monitoring Zone",'2007-2020 Metadata'!$A$4:$S$4,0),FALSE)</f>
        <v>Napier</v>
      </c>
      <c r="AC86" s="87" t="str">
        <f>VLOOKUP(B86,'2007-2020 Metadata'!$A$6:$A$214,1,FALSE)</f>
        <v>NAP003</v>
      </c>
      <c r="AD86" s="230" t="str">
        <f>VLOOKUP($AC86,'2007-2020 Metadata'!$A$6:$S$214,9,FALSE)</f>
        <v>Napier</v>
      </c>
      <c r="AE86" s="248">
        <f>IF(ISBLANK(VLOOKUP($AC86,'2007-2020 Metadata'!$A$6:$S$214,19,FALSE)),"",VLOOKUP($AC86,'2007-2020 Metadata'!$A$6:$S$214,19,FALSE))</f>
        <v>3</v>
      </c>
      <c r="AF86" s="88" t="str">
        <f>VLOOKUP($B86,'2007-2020 Metadata'!$A$4:$S$214,MATCH("Site type",'2007-2020 Metadata'!$A$4:$S$4,0),FALSE)</f>
        <v>SH</v>
      </c>
      <c r="AG86" s="143">
        <f t="shared" si="68"/>
        <v>15.7</v>
      </c>
      <c r="AH86" s="143">
        <f t="shared" si="69"/>
        <v>34.6</v>
      </c>
      <c r="AI86" s="144">
        <f t="shared" si="70"/>
        <v>18.436111111111106</v>
      </c>
    </row>
    <row r="87" spans="1:35" ht="12" customHeight="1" x14ac:dyDescent="0.2">
      <c r="A87" s="202"/>
      <c r="B87" s="193" t="s">
        <v>45</v>
      </c>
      <c r="C87" s="190">
        <v>24.4</v>
      </c>
      <c r="D87" s="190">
        <v>25.5</v>
      </c>
      <c r="E87" s="190">
        <v>28.8</v>
      </c>
      <c r="F87" s="190">
        <v>32.9</v>
      </c>
      <c r="G87" s="190">
        <v>21.7</v>
      </c>
      <c r="H87" s="190">
        <v>37.5</v>
      </c>
      <c r="I87" s="190">
        <v>23.5</v>
      </c>
      <c r="J87" s="190">
        <v>23.4</v>
      </c>
      <c r="K87" s="190">
        <v>27.1</v>
      </c>
      <c r="L87" s="190">
        <v>20.2</v>
      </c>
      <c r="M87" s="190">
        <v>21.4</v>
      </c>
      <c r="N87" s="190">
        <v>16.399999999999999</v>
      </c>
      <c r="O87" s="191">
        <f t="shared" si="56"/>
        <v>25.233333333333331</v>
      </c>
      <c r="P87" s="191">
        <f t="shared" si="57"/>
        <v>21.800367948201757</v>
      </c>
      <c r="Q87" s="192">
        <f t="shared" si="58"/>
        <v>1</v>
      </c>
      <c r="R87" s="140">
        <f t="shared" si="62"/>
        <v>26.233333333333334</v>
      </c>
      <c r="S87" s="150">
        <f t="shared" si="63"/>
        <v>1</v>
      </c>
      <c r="T87" s="140">
        <f t="shared" si="64"/>
        <v>24.666666666666668</v>
      </c>
      <c r="U87" s="150">
        <f t="shared" si="65"/>
        <v>1</v>
      </c>
      <c r="V87" s="141">
        <f t="shared" si="66"/>
        <v>25.233333333333331</v>
      </c>
      <c r="W87" s="142">
        <f t="shared" si="67"/>
        <v>1</v>
      </c>
      <c r="X87" s="144">
        <f t="shared" si="59"/>
        <v>17.916666666666668</v>
      </c>
      <c r="Y87" s="144">
        <f t="shared" si="60"/>
        <v>18.55</v>
      </c>
      <c r="Z87" s="144">
        <f t="shared" si="61"/>
        <v>18.399999999999999</v>
      </c>
      <c r="AA87" s="10"/>
      <c r="AB87" s="357" t="str">
        <f>VLOOKUP($B87,'2007-2020 Metadata'!$A$4:$S$214,MATCH("Urban Area /Monitoring Zone",'2007-2020 Metadata'!$A$4:$S$4,0),FALSE)</f>
        <v>Hastings</v>
      </c>
      <c r="AC87" s="87" t="str">
        <f>VLOOKUP(B87,'2007-2020 Metadata'!$A$6:$A$214,1,FALSE)</f>
        <v>NAP004</v>
      </c>
      <c r="AD87" s="230" t="str">
        <f>VLOOKUP($AC87,'2007-2020 Metadata'!$A$6:$S$214,9,FALSE)</f>
        <v>Hastings</v>
      </c>
      <c r="AE87" s="248">
        <f>IF(ISBLANK(VLOOKUP($AC87,'2007-2020 Metadata'!$A$6:$S$214,19,FALSE)),"",VLOOKUP($AC87,'2007-2020 Metadata'!$A$6:$S$214,19,FALSE))</f>
        <v>3</v>
      </c>
      <c r="AF87" s="88" t="str">
        <f>VLOOKUP($B87,'2007-2020 Metadata'!$A$4:$S$214,MATCH("Site type",'2007-2020 Metadata'!$A$4:$S$4,0),FALSE)</f>
        <v>SH</v>
      </c>
      <c r="AG87" s="143">
        <f t="shared" si="68"/>
        <v>16.399999999999999</v>
      </c>
      <c r="AH87" s="143">
        <f t="shared" si="69"/>
        <v>37.5</v>
      </c>
      <c r="AI87" s="144">
        <f t="shared" si="70"/>
        <v>18.399999999999999</v>
      </c>
    </row>
    <row r="88" spans="1:35" ht="12" customHeight="1" x14ac:dyDescent="0.2">
      <c r="A88" s="202"/>
      <c r="B88" s="193" t="s">
        <v>107</v>
      </c>
      <c r="C88" s="190">
        <v>9</v>
      </c>
      <c r="D88" s="190">
        <v>9.5</v>
      </c>
      <c r="E88" s="190">
        <v>10.3</v>
      </c>
      <c r="F88" s="190">
        <v>14.2</v>
      </c>
      <c r="G88" s="190">
        <v>17.2</v>
      </c>
      <c r="H88" s="190">
        <v>20.2</v>
      </c>
      <c r="I88" s="190">
        <v>13.9</v>
      </c>
      <c r="J88" s="190">
        <v>13.3</v>
      </c>
      <c r="K88" s="190">
        <v>10.1</v>
      </c>
      <c r="L88" s="190">
        <v>9.6999999999999993</v>
      </c>
      <c r="M88" s="190">
        <v>7.1</v>
      </c>
      <c r="N88" s="190">
        <v>4.3</v>
      </c>
      <c r="O88" s="191">
        <f t="shared" si="56"/>
        <v>11.566666666666668</v>
      </c>
      <c r="P88" s="191">
        <f t="shared" si="57"/>
        <v>36.382072625095205</v>
      </c>
      <c r="Q88" s="192">
        <f t="shared" si="58"/>
        <v>1</v>
      </c>
      <c r="R88" s="140">
        <f t="shared" si="62"/>
        <v>9.6</v>
      </c>
      <c r="S88" s="150">
        <f t="shared" si="63"/>
        <v>1</v>
      </c>
      <c r="T88" s="140">
        <f t="shared" si="64"/>
        <v>12.433333333333335</v>
      </c>
      <c r="U88" s="150">
        <f t="shared" si="65"/>
        <v>1</v>
      </c>
      <c r="V88" s="141">
        <f t="shared" si="66"/>
        <v>11.566666666666668</v>
      </c>
      <c r="W88" s="142">
        <f t="shared" si="67"/>
        <v>1</v>
      </c>
      <c r="X88" s="144">
        <f t="shared" si="59"/>
        <v>17.916666666666668</v>
      </c>
      <c r="Y88" s="144">
        <f t="shared" si="60"/>
        <v>18.55</v>
      </c>
      <c r="Z88" s="144">
        <f t="shared" si="61"/>
        <v>18.399999999999999</v>
      </c>
      <c r="AA88" s="10"/>
      <c r="AB88" s="357" t="str">
        <f>VLOOKUP($B88,'2007-2020 Metadata'!$A$4:$S$214,MATCH("Urban Area /Monitoring Zone",'2007-2020 Metadata'!$A$4:$S$4,0),FALSE)</f>
        <v>Hastings</v>
      </c>
      <c r="AC88" s="87" t="str">
        <f>VLOOKUP(B88,'2007-2020 Metadata'!$A$6:$A$214,1,FALSE)</f>
        <v>NAP005</v>
      </c>
      <c r="AD88" s="230" t="str">
        <f>VLOOKUP($AC88,'2007-2020 Metadata'!$A$6:$S$214,9,FALSE)</f>
        <v>Hastings</v>
      </c>
      <c r="AE88" s="248">
        <f>IF(ISBLANK(VLOOKUP($AC88,'2007-2020 Metadata'!$A$6:$S$214,19,FALSE)),"",VLOOKUP($AC88,'2007-2020 Metadata'!$A$6:$S$214,19,FALSE))</f>
        <v>2.7</v>
      </c>
      <c r="AF88" s="88" t="str">
        <f>VLOOKUP($B88,'2007-2020 Metadata'!$A$4:$S$214,MATCH("Site type",'2007-2020 Metadata'!$A$4:$S$4,0),FALSE)</f>
        <v>Background</v>
      </c>
      <c r="AG88" s="143">
        <f t="shared" si="68"/>
        <v>4.3</v>
      </c>
      <c r="AH88" s="143">
        <f t="shared" si="69"/>
        <v>20.2</v>
      </c>
      <c r="AI88" s="144">
        <f t="shared" si="70"/>
        <v>18.399999999999999</v>
      </c>
    </row>
    <row r="89" spans="1:35" ht="12" customHeight="1" x14ac:dyDescent="0.2">
      <c r="A89" s="202"/>
      <c r="B89" s="193" t="s">
        <v>108</v>
      </c>
      <c r="C89" s="190">
        <v>8.8000000000000007</v>
      </c>
      <c r="D89" s="190">
        <v>9.4</v>
      </c>
      <c r="E89" s="190">
        <v>8.6</v>
      </c>
      <c r="F89" s="190">
        <v>13.4</v>
      </c>
      <c r="G89" s="190">
        <v>12.6</v>
      </c>
      <c r="H89" s="190">
        <v>16.2</v>
      </c>
      <c r="I89" s="190">
        <v>9.4</v>
      </c>
      <c r="J89" s="190">
        <v>11.7</v>
      </c>
      <c r="K89" s="190">
        <v>8.6</v>
      </c>
      <c r="L89" s="190">
        <v>6.1</v>
      </c>
      <c r="M89" s="190">
        <v>7.4</v>
      </c>
      <c r="N89" s="190">
        <v>6.9</v>
      </c>
      <c r="O89" s="191">
        <f t="shared" si="56"/>
        <v>9.9250000000000007</v>
      </c>
      <c r="P89" s="191">
        <f t="shared" si="57"/>
        <v>28.681834091309454</v>
      </c>
      <c r="Q89" s="192">
        <f t="shared" si="58"/>
        <v>1</v>
      </c>
      <c r="R89" s="140">
        <f t="shared" si="62"/>
        <v>8.9333333333333353</v>
      </c>
      <c r="S89" s="150">
        <f t="shared" si="63"/>
        <v>1</v>
      </c>
      <c r="T89" s="140">
        <f t="shared" si="64"/>
        <v>9.9</v>
      </c>
      <c r="U89" s="150">
        <f t="shared" si="65"/>
        <v>1</v>
      </c>
      <c r="V89" s="141">
        <f t="shared" si="66"/>
        <v>9.9250000000000007</v>
      </c>
      <c r="W89" s="142">
        <f t="shared" si="67"/>
        <v>1</v>
      </c>
      <c r="X89" s="144">
        <f t="shared" si="59"/>
        <v>16.755555555555556</v>
      </c>
      <c r="Y89" s="144">
        <f t="shared" si="60"/>
        <v>18.766666666666666</v>
      </c>
      <c r="Z89" s="144">
        <f t="shared" si="61"/>
        <v>18.436111111111106</v>
      </c>
      <c r="AA89" s="10"/>
      <c r="AB89" s="357" t="str">
        <f>VLOOKUP($B89,'2007-2020 Metadata'!$A$4:$S$214,MATCH("Urban Area /Monitoring Zone",'2007-2020 Metadata'!$A$4:$S$4,0),FALSE)</f>
        <v>Napier</v>
      </c>
      <c r="AC89" s="87" t="str">
        <f>VLOOKUP(B89,'2007-2020 Metadata'!$A$6:$A$214,1,FALSE)</f>
        <v>NAP006</v>
      </c>
      <c r="AD89" s="230" t="str">
        <f>VLOOKUP($AC89,'2007-2020 Metadata'!$A$6:$S$214,9,FALSE)</f>
        <v>Napier</v>
      </c>
      <c r="AE89" s="248">
        <f>IF(ISBLANK(VLOOKUP($AC89,'2007-2020 Metadata'!$A$6:$S$214,19,FALSE)),"",VLOOKUP($AC89,'2007-2020 Metadata'!$A$6:$S$214,19,FALSE))</f>
        <v>3</v>
      </c>
      <c r="AF89" s="88" t="str">
        <f>VLOOKUP($B89,'2007-2020 Metadata'!$A$4:$S$214,MATCH("Site type",'2007-2020 Metadata'!$A$4:$S$4,0),FALSE)</f>
        <v>Background</v>
      </c>
      <c r="AG89" s="143">
        <f t="shared" si="68"/>
        <v>6.1</v>
      </c>
      <c r="AH89" s="143">
        <f t="shared" si="69"/>
        <v>16.2</v>
      </c>
      <c r="AI89" s="144">
        <f t="shared" si="70"/>
        <v>18.436111111111106</v>
      </c>
    </row>
    <row r="90" spans="1:35" ht="12" customHeight="1" x14ac:dyDescent="0.2">
      <c r="A90" s="202"/>
      <c r="B90" s="193" t="s">
        <v>48</v>
      </c>
      <c r="C90" s="190">
        <v>16.8</v>
      </c>
      <c r="D90" s="190">
        <v>16.5</v>
      </c>
      <c r="E90" s="190"/>
      <c r="F90" s="190">
        <v>27.8</v>
      </c>
      <c r="G90" s="190">
        <v>30.1</v>
      </c>
      <c r="H90" s="190">
        <v>33.299999999999997</v>
      </c>
      <c r="I90" s="190">
        <v>21.1</v>
      </c>
      <c r="J90" s="190">
        <v>21</v>
      </c>
      <c r="K90" s="190">
        <v>22.3</v>
      </c>
      <c r="L90" s="190">
        <v>18.7</v>
      </c>
      <c r="M90" s="190">
        <v>18</v>
      </c>
      <c r="N90" s="190">
        <v>15.1</v>
      </c>
      <c r="O90" s="191">
        <f t="shared" si="56"/>
        <v>21.881818181818179</v>
      </c>
      <c r="P90" s="191">
        <f t="shared" si="57"/>
        <v>26.161259517797188</v>
      </c>
      <c r="Q90" s="192">
        <f t="shared" si="58"/>
        <v>0.91666666666666663</v>
      </c>
      <c r="R90" s="140">
        <f t="shared" si="62"/>
        <v>16.649999999999999</v>
      </c>
      <c r="S90" s="150">
        <f t="shared" si="63"/>
        <v>0.66666666666666663</v>
      </c>
      <c r="T90" s="140">
        <f t="shared" si="64"/>
        <v>21.466666666666669</v>
      </c>
      <c r="U90" s="150">
        <f t="shared" si="65"/>
        <v>1</v>
      </c>
      <c r="V90" s="141">
        <f t="shared" si="66"/>
        <v>21.881818181818179</v>
      </c>
      <c r="W90" s="142">
        <f t="shared" si="67"/>
        <v>0.91666666666666663</v>
      </c>
      <c r="X90" s="144">
        <f t="shared" si="59"/>
        <v>13.863333333333333</v>
      </c>
      <c r="Y90" s="144">
        <f t="shared" si="60"/>
        <v>17.873333333333331</v>
      </c>
      <c r="Z90" s="144">
        <f t="shared" si="61"/>
        <v>17.178030303030305</v>
      </c>
      <c r="AA90" s="10"/>
      <c r="AB90" s="357" t="str">
        <f>VLOOKUP($B90,'2007-2020 Metadata'!$A$4:$S$214,MATCH("Urban Area /Monitoring Zone",'2007-2020 Metadata'!$A$4:$S$4,0),FALSE)</f>
        <v>Palmerston North</v>
      </c>
      <c r="AC90" s="87" t="str">
        <f>VLOOKUP(B90,'2007-2020 Metadata'!$A$6:$A$214,1,FALSE)</f>
        <v>WAN004</v>
      </c>
      <c r="AD90" s="230" t="str">
        <f>VLOOKUP($AC90,'2007-2020 Metadata'!$A$6:$S$214,9,FALSE)</f>
        <v>Palmerston North</v>
      </c>
      <c r="AE90" s="248">
        <f>IF(ISBLANK(VLOOKUP($AC90,'2007-2020 Metadata'!$A$6:$S$214,19,FALSE)),"",VLOOKUP($AC90,'2007-2020 Metadata'!$A$6:$S$214,19,FALSE))</f>
        <v>3</v>
      </c>
      <c r="AF90" s="88" t="str">
        <f>VLOOKUP($B90,'2007-2020 Metadata'!$A$4:$S$214,MATCH("Site type",'2007-2020 Metadata'!$A$4:$S$4,0),FALSE)</f>
        <v>SH</v>
      </c>
      <c r="AG90" s="143">
        <f t="shared" si="68"/>
        <v>15.1</v>
      </c>
      <c r="AH90" s="143">
        <f t="shared" si="69"/>
        <v>33.299999999999997</v>
      </c>
      <c r="AI90" s="144">
        <f t="shared" si="70"/>
        <v>17.178030303030305</v>
      </c>
    </row>
    <row r="91" spans="1:35" ht="12" customHeight="1" x14ac:dyDescent="0.2">
      <c r="A91" s="202"/>
      <c r="B91" s="193" t="s">
        <v>109</v>
      </c>
      <c r="C91" s="190">
        <v>8.1</v>
      </c>
      <c r="D91" s="190">
        <v>10.5</v>
      </c>
      <c r="E91" s="190">
        <v>10.3</v>
      </c>
      <c r="F91" s="190">
        <v>12.9</v>
      </c>
      <c r="G91" s="190">
        <v>16.600000000000001</v>
      </c>
      <c r="H91" s="190">
        <v>15.5</v>
      </c>
      <c r="I91" s="190">
        <v>13.1</v>
      </c>
      <c r="J91" s="190">
        <v>13.9</v>
      </c>
      <c r="K91" s="190">
        <v>11.8</v>
      </c>
      <c r="L91" s="190">
        <v>10.6</v>
      </c>
      <c r="M91" s="190">
        <v>7.1</v>
      </c>
      <c r="N91" s="190">
        <v>6.3</v>
      </c>
      <c r="O91" s="191">
        <f t="shared" si="56"/>
        <v>11.391666666666667</v>
      </c>
      <c r="P91" s="191">
        <f t="shared" si="57"/>
        <v>26.991235442403887</v>
      </c>
      <c r="Q91" s="192">
        <f t="shared" si="58"/>
        <v>1</v>
      </c>
      <c r="R91" s="140">
        <f t="shared" si="62"/>
        <v>9.6333333333333346</v>
      </c>
      <c r="S91" s="150">
        <f t="shared" si="63"/>
        <v>1</v>
      </c>
      <c r="T91" s="140">
        <f t="shared" si="64"/>
        <v>12.933333333333332</v>
      </c>
      <c r="U91" s="150">
        <f t="shared" si="65"/>
        <v>1</v>
      </c>
      <c r="V91" s="141">
        <f t="shared" si="66"/>
        <v>11.391666666666667</v>
      </c>
      <c r="W91" s="142">
        <f t="shared" si="67"/>
        <v>1</v>
      </c>
      <c r="X91" s="144">
        <f t="shared" si="59"/>
        <v>13.863333333333333</v>
      </c>
      <c r="Y91" s="144">
        <f t="shared" si="60"/>
        <v>17.873333333333331</v>
      </c>
      <c r="Z91" s="144">
        <f t="shared" si="61"/>
        <v>17.178030303030305</v>
      </c>
      <c r="AA91" s="10"/>
      <c r="AB91" s="357" t="str">
        <f>VLOOKUP($B91,'2007-2020 Metadata'!$A$4:$S$214,MATCH("Urban Area /Monitoring Zone",'2007-2020 Metadata'!$A$4:$S$4,0),FALSE)</f>
        <v>Palmerston North</v>
      </c>
      <c r="AC91" s="87" t="str">
        <f>VLOOKUP(B91,'2007-2020 Metadata'!$A$6:$A$214,1,FALSE)</f>
        <v>WAN005</v>
      </c>
      <c r="AD91" s="230" t="str">
        <f>VLOOKUP($AC91,'2007-2020 Metadata'!$A$6:$S$214,9,FALSE)</f>
        <v>Palmerston North</v>
      </c>
      <c r="AE91" s="248">
        <f>IF(ISBLANK(VLOOKUP($AC91,'2007-2020 Metadata'!$A$6:$S$214,19,FALSE)),"",VLOOKUP($AC91,'2007-2020 Metadata'!$A$6:$S$214,19,FALSE))</f>
        <v>2.5</v>
      </c>
      <c r="AF91" s="88" t="str">
        <f>VLOOKUP($B91,'2007-2020 Metadata'!$A$4:$S$214,MATCH("Site type",'2007-2020 Metadata'!$A$4:$S$4,0),FALSE)</f>
        <v>SH</v>
      </c>
      <c r="AG91" s="143">
        <f t="shared" si="68"/>
        <v>6.3</v>
      </c>
      <c r="AH91" s="143">
        <f t="shared" si="69"/>
        <v>16.600000000000001</v>
      </c>
      <c r="AI91" s="144">
        <f t="shared" si="70"/>
        <v>17.178030303030305</v>
      </c>
    </row>
    <row r="92" spans="1:35" ht="12" customHeight="1" x14ac:dyDescent="0.2">
      <c r="A92" s="202"/>
      <c r="B92" s="193" t="s">
        <v>110</v>
      </c>
      <c r="C92" s="190">
        <v>14.4</v>
      </c>
      <c r="D92" s="190">
        <v>23.1</v>
      </c>
      <c r="E92" s="190">
        <v>23.5</v>
      </c>
      <c r="F92" s="190">
        <v>28.4</v>
      </c>
      <c r="G92" s="190">
        <v>32.1</v>
      </c>
      <c r="H92" s="190">
        <v>30.5</v>
      </c>
      <c r="I92" s="190">
        <v>22.3</v>
      </c>
      <c r="J92" s="190">
        <v>25.8</v>
      </c>
      <c r="K92" s="190">
        <v>22.5</v>
      </c>
      <c r="L92" s="190">
        <v>22.6</v>
      </c>
      <c r="M92" s="190">
        <v>18.399999999999999</v>
      </c>
      <c r="N92" s="190">
        <v>13.5</v>
      </c>
      <c r="O92" s="191">
        <f t="shared" si="56"/>
        <v>23.091666666666669</v>
      </c>
      <c r="P92" s="191">
        <f t="shared" si="57"/>
        <v>23.801351229355667</v>
      </c>
      <c r="Q92" s="192">
        <f t="shared" si="58"/>
        <v>1</v>
      </c>
      <c r="R92" s="140">
        <f t="shared" si="62"/>
        <v>20.333333333333332</v>
      </c>
      <c r="S92" s="150">
        <f t="shared" si="63"/>
        <v>1</v>
      </c>
      <c r="T92" s="140">
        <f t="shared" si="64"/>
        <v>23.533333333333331</v>
      </c>
      <c r="U92" s="150">
        <f t="shared" si="65"/>
        <v>1</v>
      </c>
      <c r="V92" s="141">
        <f t="shared" si="66"/>
        <v>23.091666666666669</v>
      </c>
      <c r="W92" s="142">
        <f t="shared" si="67"/>
        <v>1</v>
      </c>
      <c r="X92" s="144">
        <f t="shared" si="59"/>
        <v>13.863333333333333</v>
      </c>
      <c r="Y92" s="144">
        <f t="shared" si="60"/>
        <v>17.873333333333331</v>
      </c>
      <c r="Z92" s="144">
        <f t="shared" si="61"/>
        <v>17.178030303030305</v>
      </c>
      <c r="AA92" s="10"/>
      <c r="AB92" s="357" t="str">
        <f>VLOOKUP($B92,'2007-2020 Metadata'!$A$4:$S$214,MATCH("Urban Area /Monitoring Zone",'2007-2020 Metadata'!$A$4:$S$4,0),FALSE)</f>
        <v>Palmerston North</v>
      </c>
      <c r="AC92" s="87" t="str">
        <f>VLOOKUP(B92,'2007-2020 Metadata'!$A$6:$A$214,1,FALSE)</f>
        <v>WAN006</v>
      </c>
      <c r="AD92" s="230" t="str">
        <f>VLOOKUP($AC92,'2007-2020 Metadata'!$A$6:$S$214,9,FALSE)</f>
        <v>Palmerston North</v>
      </c>
      <c r="AE92" s="248">
        <f>IF(ISBLANK(VLOOKUP($AC92,'2007-2020 Metadata'!$A$6:$S$214,19,FALSE)),"",VLOOKUP($AC92,'2007-2020 Metadata'!$A$6:$S$214,19,FALSE))</f>
        <v>2.5</v>
      </c>
      <c r="AF92" s="88" t="str">
        <f>VLOOKUP($B92,'2007-2020 Metadata'!$A$4:$S$214,MATCH("Site type",'2007-2020 Metadata'!$A$4:$S$4,0),FALSE)</f>
        <v>SH</v>
      </c>
      <c r="AG92" s="143">
        <f t="shared" si="68"/>
        <v>13.5</v>
      </c>
      <c r="AH92" s="143">
        <f t="shared" si="69"/>
        <v>32.1</v>
      </c>
      <c r="AI92" s="144">
        <f t="shared" si="70"/>
        <v>17.178030303030305</v>
      </c>
    </row>
    <row r="93" spans="1:35" ht="12" customHeight="1" x14ac:dyDescent="0.2">
      <c r="A93" s="202"/>
      <c r="B93" s="193" t="s">
        <v>111</v>
      </c>
      <c r="C93" s="190">
        <v>9.5</v>
      </c>
      <c r="D93" s="190">
        <v>13.2</v>
      </c>
      <c r="E93" s="190">
        <v>11.9</v>
      </c>
      <c r="F93" s="190">
        <v>16.8</v>
      </c>
      <c r="G93" s="190">
        <v>20.7</v>
      </c>
      <c r="H93" s="190">
        <v>24</v>
      </c>
      <c r="I93" s="190">
        <v>19.2</v>
      </c>
      <c r="J93" s="190">
        <v>18.8</v>
      </c>
      <c r="K93" s="190">
        <v>14.8</v>
      </c>
      <c r="L93" s="190">
        <v>14.8</v>
      </c>
      <c r="M93" s="190">
        <v>11.7</v>
      </c>
      <c r="N93" s="190">
        <v>8.8000000000000007</v>
      </c>
      <c r="O93" s="191">
        <f t="shared" si="56"/>
        <v>15.350000000000003</v>
      </c>
      <c r="P93" s="191">
        <f t="shared" si="57"/>
        <v>29.12533025458859</v>
      </c>
      <c r="Q93" s="192">
        <f t="shared" si="58"/>
        <v>1</v>
      </c>
      <c r="R93" s="140">
        <f t="shared" si="62"/>
        <v>11.533333333333333</v>
      </c>
      <c r="S93" s="150">
        <f t="shared" si="63"/>
        <v>1</v>
      </c>
      <c r="T93" s="140">
        <f t="shared" si="64"/>
        <v>17.599999999999998</v>
      </c>
      <c r="U93" s="150">
        <f t="shared" si="65"/>
        <v>1</v>
      </c>
      <c r="V93" s="141">
        <f t="shared" si="66"/>
        <v>15.350000000000003</v>
      </c>
      <c r="W93" s="142">
        <f t="shared" si="67"/>
        <v>1</v>
      </c>
      <c r="X93" s="144">
        <f t="shared" si="59"/>
        <v>13.863333333333333</v>
      </c>
      <c r="Y93" s="144">
        <f t="shared" si="60"/>
        <v>17.873333333333331</v>
      </c>
      <c r="Z93" s="144">
        <f t="shared" si="61"/>
        <v>17.178030303030305</v>
      </c>
      <c r="AA93" s="10"/>
      <c r="AB93" s="357" t="str">
        <f>VLOOKUP($B93,'2007-2020 Metadata'!$A$4:$S$214,MATCH("Urban Area /Monitoring Zone",'2007-2020 Metadata'!$A$4:$S$4,0),FALSE)</f>
        <v>Palmerston North</v>
      </c>
      <c r="AC93" s="87" t="str">
        <f>VLOOKUP(B93,'2007-2020 Metadata'!$A$6:$A$214,1,FALSE)</f>
        <v>WAN007</v>
      </c>
      <c r="AD93" s="230" t="str">
        <f>VLOOKUP($AC93,'2007-2020 Metadata'!$A$6:$S$214,9,FALSE)</f>
        <v>Palmerston North</v>
      </c>
      <c r="AE93" s="248">
        <f>IF(ISBLANK(VLOOKUP($AC93,'2007-2020 Metadata'!$A$6:$S$214,19,FALSE)),"",VLOOKUP($AC93,'2007-2020 Metadata'!$A$6:$S$214,19,FALSE))</f>
        <v>2.5</v>
      </c>
      <c r="AF93" s="88" t="str">
        <f>VLOOKUP($B93,'2007-2020 Metadata'!$A$4:$S$214,MATCH("Site type",'2007-2020 Metadata'!$A$4:$S$4,0),FALSE)</f>
        <v>Local</v>
      </c>
      <c r="AG93" s="143">
        <f t="shared" si="68"/>
        <v>8.8000000000000007</v>
      </c>
      <c r="AH93" s="143">
        <f t="shared" si="69"/>
        <v>24</v>
      </c>
      <c r="AI93" s="144">
        <f t="shared" si="70"/>
        <v>17.178030303030305</v>
      </c>
    </row>
    <row r="94" spans="1:35" ht="12" customHeight="1" x14ac:dyDescent="0.2">
      <c r="A94" s="202"/>
      <c r="B94" s="193" t="s">
        <v>112</v>
      </c>
      <c r="C94" s="190">
        <v>11.4</v>
      </c>
      <c r="D94" s="190">
        <v>11.8</v>
      </c>
      <c r="E94" s="190">
        <v>10.3</v>
      </c>
      <c r="F94" s="190">
        <v>16.8</v>
      </c>
      <c r="G94" s="190">
        <v>18.600000000000001</v>
      </c>
      <c r="H94" s="190">
        <v>20.5</v>
      </c>
      <c r="I94" s="190">
        <v>14.8</v>
      </c>
      <c r="J94" s="190">
        <v>15.6</v>
      </c>
      <c r="K94" s="190">
        <v>11.1</v>
      </c>
      <c r="L94" s="190">
        <v>15.4</v>
      </c>
      <c r="M94" s="190">
        <v>13</v>
      </c>
      <c r="N94" s="190">
        <v>10.8</v>
      </c>
      <c r="O94" s="191">
        <f t="shared" si="56"/>
        <v>14.175000000000002</v>
      </c>
      <c r="P94" s="191">
        <f t="shared" si="57"/>
        <v>22.399977737507562</v>
      </c>
      <c r="Q94" s="192">
        <f t="shared" si="58"/>
        <v>1</v>
      </c>
      <c r="R94" s="140">
        <f t="shared" si="62"/>
        <v>11.166666666666666</v>
      </c>
      <c r="S94" s="150">
        <f t="shared" si="63"/>
        <v>1</v>
      </c>
      <c r="T94" s="140">
        <f t="shared" si="64"/>
        <v>13.833333333333334</v>
      </c>
      <c r="U94" s="150">
        <f t="shared" si="65"/>
        <v>1</v>
      </c>
      <c r="V94" s="141">
        <f t="shared" si="66"/>
        <v>14.175000000000002</v>
      </c>
      <c r="W94" s="142">
        <f t="shared" si="67"/>
        <v>1</v>
      </c>
      <c r="X94" s="144">
        <f t="shared" si="59"/>
        <v>13.863333333333333</v>
      </c>
      <c r="Y94" s="144">
        <f t="shared" si="60"/>
        <v>17.873333333333331</v>
      </c>
      <c r="Z94" s="144">
        <f t="shared" si="61"/>
        <v>17.178030303030305</v>
      </c>
      <c r="AA94" s="10"/>
      <c r="AB94" s="357" t="str">
        <f>VLOOKUP($B94,'2007-2020 Metadata'!$A$4:$S$214,MATCH("Urban Area /Monitoring Zone",'2007-2020 Metadata'!$A$4:$S$4,0),FALSE)</f>
        <v>Palmerston North</v>
      </c>
      <c r="AC94" s="87" t="str">
        <f>VLOOKUP(B94,'2007-2020 Metadata'!$A$6:$A$214,1,FALSE)</f>
        <v>WAN008</v>
      </c>
      <c r="AD94" s="230" t="str">
        <f>VLOOKUP($AC94,'2007-2020 Metadata'!$A$6:$S$214,9,FALSE)</f>
        <v>Palmerston North</v>
      </c>
      <c r="AE94" s="248">
        <f>IF(ISBLANK(VLOOKUP($AC94,'2007-2020 Metadata'!$A$6:$S$214,19,FALSE)),"",VLOOKUP($AC94,'2007-2020 Metadata'!$A$6:$S$214,19,FALSE))</f>
        <v>2.5</v>
      </c>
      <c r="AF94" s="88" t="str">
        <f>VLOOKUP($B94,'2007-2020 Metadata'!$A$4:$S$214,MATCH("Site type",'2007-2020 Metadata'!$A$4:$S$4,0),FALSE)</f>
        <v>Background</v>
      </c>
      <c r="AG94" s="143">
        <f t="shared" si="68"/>
        <v>10.3</v>
      </c>
      <c r="AH94" s="143">
        <f t="shared" si="69"/>
        <v>20.5</v>
      </c>
      <c r="AI94" s="144">
        <f t="shared" si="70"/>
        <v>17.178030303030305</v>
      </c>
    </row>
    <row r="95" spans="1:35" ht="12" customHeight="1" x14ac:dyDescent="0.2">
      <c r="A95" s="202"/>
      <c r="B95" s="193" t="s">
        <v>113</v>
      </c>
      <c r="C95" s="190">
        <v>4.4000000000000004</v>
      </c>
      <c r="D95" s="190">
        <v>7.3</v>
      </c>
      <c r="E95" s="190">
        <v>7.6</v>
      </c>
      <c r="F95" s="190">
        <v>8.1999999999999993</v>
      </c>
      <c r="G95" s="190">
        <v>9.1</v>
      </c>
      <c r="H95" s="190">
        <v>9.9</v>
      </c>
      <c r="I95" s="190">
        <v>8.4</v>
      </c>
      <c r="J95" s="190">
        <v>7.7</v>
      </c>
      <c r="K95" s="190">
        <v>8</v>
      </c>
      <c r="L95" s="190">
        <v>5.7</v>
      </c>
      <c r="M95" s="190">
        <v>5.3</v>
      </c>
      <c r="N95" s="190">
        <v>5.4</v>
      </c>
      <c r="O95" s="191">
        <f t="shared" si="56"/>
        <v>7.25</v>
      </c>
      <c r="P95" s="191">
        <f t="shared" si="57"/>
        <v>22.279882915288951</v>
      </c>
      <c r="Q95" s="192">
        <f t="shared" si="58"/>
        <v>1</v>
      </c>
      <c r="R95" s="140">
        <f t="shared" si="62"/>
        <v>6.4333333333333327</v>
      </c>
      <c r="S95" s="150">
        <f t="shared" si="63"/>
        <v>1</v>
      </c>
      <c r="T95" s="140">
        <f t="shared" si="64"/>
        <v>8.0333333333333332</v>
      </c>
      <c r="U95" s="150">
        <f t="shared" si="65"/>
        <v>1</v>
      </c>
      <c r="V95" s="141">
        <f t="shared" si="66"/>
        <v>7.25</v>
      </c>
      <c r="W95" s="142">
        <f t="shared" si="67"/>
        <v>1</v>
      </c>
      <c r="X95" s="144">
        <f t="shared" si="59"/>
        <v>8.6333333333333329</v>
      </c>
      <c r="Y95" s="144">
        <f t="shared" si="60"/>
        <v>9.4499999999999993</v>
      </c>
      <c r="Z95" s="144">
        <f t="shared" si="61"/>
        <v>9.0124999999999993</v>
      </c>
      <c r="AA95" s="10"/>
      <c r="AB95" s="357" t="str">
        <f>VLOOKUP($B95,'2007-2020 Metadata'!$A$4:$S$214,MATCH("Urban Area /Monitoring Zone",'2007-2020 Metadata'!$A$4:$S$4,0),FALSE)</f>
        <v>New Plymouth</v>
      </c>
      <c r="AC95" s="87" t="str">
        <f>VLOOKUP(B95,'2007-2020 Metadata'!$A$6:$A$214,1,FALSE)</f>
        <v>WAN009</v>
      </c>
      <c r="AD95" s="230" t="str">
        <f>VLOOKUP($AC95,'2007-2020 Metadata'!$A$6:$S$214,9,FALSE)</f>
        <v>New Plymouth</v>
      </c>
      <c r="AE95" s="248">
        <f>IF(ISBLANK(VLOOKUP($AC95,'2007-2020 Metadata'!$A$6:$S$214,19,FALSE)),"",VLOOKUP($AC95,'2007-2020 Metadata'!$A$6:$S$214,19,FALSE))</f>
        <v>2.5</v>
      </c>
      <c r="AF95" s="88" t="str">
        <f>VLOOKUP($B95,'2007-2020 Metadata'!$A$4:$S$214,MATCH("Site type",'2007-2020 Metadata'!$A$4:$S$4,0),FALSE)</f>
        <v>Background</v>
      </c>
      <c r="AG95" s="143">
        <f t="shared" si="68"/>
        <v>4.4000000000000004</v>
      </c>
      <c r="AH95" s="143">
        <f t="shared" si="69"/>
        <v>9.9</v>
      </c>
      <c r="AI95" s="144">
        <f t="shared" si="70"/>
        <v>9.0124999999999993</v>
      </c>
    </row>
    <row r="96" spans="1:35" ht="12" customHeight="1" x14ac:dyDescent="0.2">
      <c r="A96" s="202"/>
      <c r="B96" s="193" t="s">
        <v>114</v>
      </c>
      <c r="C96" s="190">
        <v>20.8</v>
      </c>
      <c r="D96" s="190">
        <v>22</v>
      </c>
      <c r="E96" s="190">
        <v>22.9</v>
      </c>
      <c r="F96" s="190">
        <v>26.4</v>
      </c>
      <c r="G96" s="190">
        <v>25.9</v>
      </c>
      <c r="H96" s="190">
        <v>29.1</v>
      </c>
      <c r="I96" s="190">
        <v>23.1</v>
      </c>
      <c r="J96" s="190">
        <v>21.6</v>
      </c>
      <c r="K96" s="190">
        <v>21.9</v>
      </c>
      <c r="L96" s="190">
        <v>23.7</v>
      </c>
      <c r="M96" s="190">
        <v>16.3</v>
      </c>
      <c r="N96" s="190">
        <v>15.3</v>
      </c>
      <c r="O96" s="191">
        <f t="shared" si="56"/>
        <v>22.416666666666668</v>
      </c>
      <c r="P96" s="191">
        <f t="shared" si="57"/>
        <v>16.631523226946705</v>
      </c>
      <c r="Q96" s="192">
        <f t="shared" si="58"/>
        <v>1</v>
      </c>
      <c r="R96" s="140">
        <f t="shared" si="62"/>
        <v>21.899999999999995</v>
      </c>
      <c r="S96" s="150">
        <f t="shared" si="63"/>
        <v>1</v>
      </c>
      <c r="T96" s="140">
        <f t="shared" si="64"/>
        <v>22.2</v>
      </c>
      <c r="U96" s="150">
        <f t="shared" si="65"/>
        <v>1</v>
      </c>
      <c r="V96" s="141">
        <f t="shared" si="66"/>
        <v>22.416666666666668</v>
      </c>
      <c r="W96" s="142">
        <f t="shared" si="67"/>
        <v>1</v>
      </c>
      <c r="X96" s="144">
        <f t="shared" si="59"/>
        <v>21.899999999999995</v>
      </c>
      <c r="Y96" s="144">
        <f t="shared" si="60"/>
        <v>22.2</v>
      </c>
      <c r="Z96" s="144">
        <f t="shared" si="61"/>
        <v>22.416666666666668</v>
      </c>
      <c r="AA96" s="10"/>
      <c r="AB96" s="357" t="str">
        <f>VLOOKUP($B96,'2007-2020 Metadata'!$A$4:$S$214,MATCH("Urban Area /Monitoring Zone",'2007-2020 Metadata'!$A$4:$S$4,0),FALSE)</f>
        <v>Whanganui</v>
      </c>
      <c r="AC96" s="87" t="str">
        <f>VLOOKUP(B96,'2007-2020 Metadata'!$A$6:$A$214,1,FALSE)</f>
        <v>WAN010</v>
      </c>
      <c r="AD96" s="230" t="str">
        <f>VLOOKUP($AC96,'2007-2020 Metadata'!$A$6:$S$214,9,FALSE)</f>
        <v>Whanganui</v>
      </c>
      <c r="AE96" s="248">
        <f>IF(ISBLANK(VLOOKUP($AC96,'2007-2020 Metadata'!$A$6:$S$214,19,FALSE)),"",VLOOKUP($AC96,'2007-2020 Metadata'!$A$6:$S$214,19,FALSE))</f>
        <v>3</v>
      </c>
      <c r="AF96" s="88" t="str">
        <f>VLOOKUP($B96,'2007-2020 Metadata'!$A$4:$S$214,MATCH("Site type",'2007-2020 Metadata'!$A$4:$S$4,0),FALSE)</f>
        <v>SH</v>
      </c>
      <c r="AG96" s="143">
        <f t="shared" si="68"/>
        <v>15.3</v>
      </c>
      <c r="AH96" s="143">
        <f t="shared" si="69"/>
        <v>29.1</v>
      </c>
      <c r="AI96" s="144">
        <f t="shared" si="70"/>
        <v>22.416666666666668</v>
      </c>
    </row>
    <row r="97" spans="1:35" ht="12" customHeight="1" x14ac:dyDescent="0.2">
      <c r="A97" s="202"/>
      <c r="B97" s="193" t="s">
        <v>486</v>
      </c>
      <c r="C97" s="190">
        <v>11.4</v>
      </c>
      <c r="D97" s="190">
        <v>11</v>
      </c>
      <c r="E97" s="190">
        <v>10.1</v>
      </c>
      <c r="F97" s="190">
        <v>11.5</v>
      </c>
      <c r="G97" s="190">
        <v>13.2</v>
      </c>
      <c r="H97" s="190">
        <v>13.1</v>
      </c>
      <c r="I97" s="190">
        <v>10.8</v>
      </c>
      <c r="J97" s="190">
        <v>11.1</v>
      </c>
      <c r="K97" s="190">
        <v>10.7</v>
      </c>
      <c r="L97" s="190">
        <v>9.6</v>
      </c>
      <c r="M97" s="190">
        <v>8.1999999999999993</v>
      </c>
      <c r="N97" s="190">
        <v>8.6</v>
      </c>
      <c r="O97" s="191">
        <f t="shared" si="56"/>
        <v>10.774999999999999</v>
      </c>
      <c r="P97" s="191">
        <f t="shared" si="57"/>
        <v>13.545460083632793</v>
      </c>
      <c r="Q97" s="192">
        <f t="shared" si="58"/>
        <v>1</v>
      </c>
      <c r="R97" s="140">
        <f t="shared" si="62"/>
        <v>10.833333333333334</v>
      </c>
      <c r="S97" s="150">
        <f t="shared" si="63"/>
        <v>1</v>
      </c>
      <c r="T97" s="140">
        <f t="shared" si="64"/>
        <v>10.866666666666665</v>
      </c>
      <c r="U97" s="150">
        <f t="shared" si="65"/>
        <v>1</v>
      </c>
      <c r="V97" s="141">
        <f t="shared" si="66"/>
        <v>10.774999999999999</v>
      </c>
      <c r="W97" s="142">
        <f t="shared" si="67"/>
        <v>1</v>
      </c>
      <c r="X97" s="144">
        <f t="shared" si="59"/>
        <v>8.6333333333333329</v>
      </c>
      <c r="Y97" s="144">
        <f t="shared" si="60"/>
        <v>9.4499999999999993</v>
      </c>
      <c r="Z97" s="144">
        <f t="shared" si="61"/>
        <v>9.0124999999999993</v>
      </c>
      <c r="AA97" s="10"/>
      <c r="AB97" s="357" t="str">
        <f>VLOOKUP($B97,'2007-2020 Metadata'!$A$4:$S$214,MATCH("Urban Area /Monitoring Zone",'2007-2020 Metadata'!$A$4:$S$4,0),FALSE)</f>
        <v>New Plymouth</v>
      </c>
      <c r="AC97" s="87" t="str">
        <f>VLOOKUP(B97,'2007-2020 Metadata'!$A$6:$A$214,1,FALSE)</f>
        <v>WAN011</v>
      </c>
      <c r="AD97" s="230" t="str">
        <f>VLOOKUP($AC97,'2007-2020 Metadata'!$A$6:$S$214,9,FALSE)</f>
        <v>New Plymouth</v>
      </c>
      <c r="AE97" s="248">
        <f>IF(ISBLANK(VLOOKUP($AC97,'2007-2020 Metadata'!$A$6:$S$214,19,FALSE)),"",VLOOKUP($AC97,'2007-2020 Metadata'!$A$6:$S$214,19,FALSE))</f>
        <v>2</v>
      </c>
      <c r="AF97" s="88" t="str">
        <f>VLOOKUP($B97,'2007-2020 Metadata'!$A$4:$S$214,MATCH("Site type",'2007-2020 Metadata'!$A$4:$S$4,0),FALSE)</f>
        <v>SH</v>
      </c>
      <c r="AG97" s="143">
        <f t="shared" si="68"/>
        <v>8.1999999999999993</v>
      </c>
      <c r="AH97" s="143">
        <f t="shared" si="69"/>
        <v>13.2</v>
      </c>
      <c r="AI97" s="144">
        <f t="shared" si="70"/>
        <v>9.0124999999999993</v>
      </c>
    </row>
    <row r="98" spans="1:35" ht="12" customHeight="1" x14ac:dyDescent="0.2">
      <c r="A98" s="202"/>
      <c r="B98" s="193" t="s">
        <v>49</v>
      </c>
      <c r="C98" s="190">
        <v>21</v>
      </c>
      <c r="D98" s="190">
        <v>19.8</v>
      </c>
      <c r="E98" s="194"/>
      <c r="F98" s="194"/>
      <c r="G98" s="194"/>
      <c r="H98" s="194"/>
      <c r="I98" s="194"/>
      <c r="J98" s="194"/>
      <c r="K98" s="194"/>
      <c r="L98" s="194"/>
      <c r="M98" s="194"/>
      <c r="N98" s="194"/>
      <c r="O98" s="191">
        <f t="shared" si="56"/>
        <v>20.399999999999999</v>
      </c>
      <c r="P98" s="191">
        <f t="shared" si="57"/>
        <v>2.9411764705882337</v>
      </c>
      <c r="Q98" s="192">
        <f t="shared" si="58"/>
        <v>0.16666666666666666</v>
      </c>
      <c r="R98" s="140">
        <f t="shared" si="62"/>
        <v>20.399999999999999</v>
      </c>
      <c r="S98" s="150">
        <f t="shared" si="63"/>
        <v>0.66666666666666663</v>
      </c>
      <c r="T98" s="140" t="str">
        <f t="shared" si="64"/>
        <v/>
      </c>
      <c r="U98" s="150">
        <f t="shared" si="65"/>
        <v>0</v>
      </c>
      <c r="V98" s="141" t="str">
        <f t="shared" si="66"/>
        <v>-</v>
      </c>
      <c r="W98" s="142">
        <f t="shared" si="67"/>
        <v>0.16666666666666666</v>
      </c>
      <c r="X98" s="144">
        <f t="shared" si="59"/>
        <v>14.926666666666668</v>
      </c>
      <c r="Y98" s="144">
        <f t="shared" si="60"/>
        <v>20.086666666666666</v>
      </c>
      <c r="Z98" s="144">
        <f t="shared" si="61"/>
        <v>16.996454545454547</v>
      </c>
      <c r="AA98" s="10"/>
      <c r="AB98" s="357" t="str">
        <f>VLOOKUP($B98,'2007-2020 Metadata'!$A$4:$S$214,MATCH("Urban Area /Monitoring Zone",'2007-2020 Metadata'!$A$4:$S$4,0),FALSE)</f>
        <v>Lower Hutt</v>
      </c>
      <c r="AC98" s="87" t="str">
        <f>VLOOKUP(B98,'2007-2020 Metadata'!$A$6:$A$214,1,FALSE)</f>
        <v>WEL002</v>
      </c>
      <c r="AD98" s="230" t="str">
        <f>VLOOKUP($AC98,'2007-2020 Metadata'!$A$6:$S$214,9,FALSE)</f>
        <v>Lower Hutt</v>
      </c>
      <c r="AE98" s="248">
        <f>IF(ISBLANK(VLOOKUP($AC98,'2007-2020 Metadata'!$A$6:$S$214,19,FALSE)),"",VLOOKUP($AC98,'2007-2020 Metadata'!$A$6:$S$214,19,FALSE))</f>
        <v>3.2</v>
      </c>
      <c r="AF98" s="88" t="str">
        <f>VLOOKUP($B98,'2007-2020 Metadata'!$A$4:$S$214,MATCH("Site type",'2007-2020 Metadata'!$A$4:$S$4,0),FALSE)</f>
        <v>SH</v>
      </c>
      <c r="AG98" s="143">
        <f t="shared" si="68"/>
        <v>19.8</v>
      </c>
      <c r="AH98" s="143">
        <f t="shared" si="69"/>
        <v>21</v>
      </c>
      <c r="AI98" s="144" t="str">
        <f t="shared" si="70"/>
        <v xml:space="preserve"> </v>
      </c>
    </row>
    <row r="99" spans="1:35" ht="12" customHeight="1" x14ac:dyDescent="0.2">
      <c r="A99" s="202"/>
      <c r="B99" s="193" t="s">
        <v>50</v>
      </c>
      <c r="C99" s="190">
        <v>8.4</v>
      </c>
      <c r="D99" s="190">
        <v>11.1</v>
      </c>
      <c r="E99" s="190">
        <v>13.1</v>
      </c>
      <c r="F99" s="190">
        <v>18.399999999999999</v>
      </c>
      <c r="G99" s="190">
        <v>15.4</v>
      </c>
      <c r="H99" s="190">
        <v>20.7</v>
      </c>
      <c r="I99" s="190">
        <v>20.399999999999999</v>
      </c>
      <c r="J99" s="190">
        <v>21.1</v>
      </c>
      <c r="K99" s="190">
        <v>15.4</v>
      </c>
      <c r="L99" s="190">
        <v>12.3</v>
      </c>
      <c r="M99" s="190">
        <v>11</v>
      </c>
      <c r="N99" s="190">
        <v>8.6</v>
      </c>
      <c r="O99" s="191">
        <f t="shared" si="56"/>
        <v>14.658333333333333</v>
      </c>
      <c r="P99" s="191">
        <f t="shared" si="57"/>
        <v>30.251883062061914</v>
      </c>
      <c r="Q99" s="192">
        <f t="shared" si="58"/>
        <v>1</v>
      </c>
      <c r="R99" s="140">
        <f t="shared" si="62"/>
        <v>10.866666666666667</v>
      </c>
      <c r="S99" s="150">
        <f t="shared" si="63"/>
        <v>1</v>
      </c>
      <c r="T99" s="140">
        <f t="shared" si="64"/>
        <v>18.966666666666665</v>
      </c>
      <c r="U99" s="150">
        <f t="shared" si="65"/>
        <v>1</v>
      </c>
      <c r="V99" s="141">
        <f t="shared" si="66"/>
        <v>14.658333333333333</v>
      </c>
      <c r="W99" s="142">
        <f t="shared" si="67"/>
        <v>1</v>
      </c>
      <c r="X99" s="144">
        <f t="shared" si="59"/>
        <v>14.926666666666668</v>
      </c>
      <c r="Y99" s="144">
        <f t="shared" si="60"/>
        <v>20.086666666666666</v>
      </c>
      <c r="Z99" s="144">
        <f t="shared" si="61"/>
        <v>16.996454545454547</v>
      </c>
      <c r="AA99" s="10"/>
      <c r="AB99" s="357" t="str">
        <f>VLOOKUP($B99,'2007-2020 Metadata'!$A$4:$S$214,MATCH("Urban Area /Monitoring Zone",'2007-2020 Metadata'!$A$4:$S$4,0),FALSE)</f>
        <v>Lower Hutt</v>
      </c>
      <c r="AC99" s="87" t="str">
        <f>VLOOKUP(B99,'2007-2020 Metadata'!$A$6:$A$214,1,FALSE)</f>
        <v>WEL003</v>
      </c>
      <c r="AD99" s="230" t="str">
        <f>VLOOKUP($AC99,'2007-2020 Metadata'!$A$6:$S$214,9,FALSE)</f>
        <v>Lower Hutt</v>
      </c>
      <c r="AE99" s="248">
        <f>IF(ISBLANK(VLOOKUP($AC99,'2007-2020 Metadata'!$A$6:$S$214,19,FALSE)),"",VLOOKUP($AC99,'2007-2020 Metadata'!$A$6:$S$214,19,FALSE))</f>
        <v>3.3</v>
      </c>
      <c r="AF99" s="88" t="str">
        <f>VLOOKUP($B99,'2007-2020 Metadata'!$A$4:$S$214,MATCH("Site type",'2007-2020 Metadata'!$A$4:$S$4,0),FALSE)</f>
        <v>SH</v>
      </c>
      <c r="AG99" s="143">
        <f t="shared" si="68"/>
        <v>8.4</v>
      </c>
      <c r="AH99" s="143">
        <f t="shared" si="69"/>
        <v>21.1</v>
      </c>
      <c r="AI99" s="144">
        <f t="shared" si="70"/>
        <v>16.996454545454547</v>
      </c>
    </row>
    <row r="100" spans="1:35" ht="12" customHeight="1" x14ac:dyDescent="0.2">
      <c r="A100" s="202"/>
      <c r="B100" s="193" t="s">
        <v>52</v>
      </c>
      <c r="C100" s="190">
        <v>13.1</v>
      </c>
      <c r="D100" s="190">
        <v>16</v>
      </c>
      <c r="E100" s="190">
        <v>18.7</v>
      </c>
      <c r="F100" s="190">
        <v>21.6</v>
      </c>
      <c r="G100" s="190">
        <v>24.2</v>
      </c>
      <c r="H100" s="190">
        <v>23.7</v>
      </c>
      <c r="I100" s="190">
        <v>21.3</v>
      </c>
      <c r="J100" s="190">
        <v>20.399999999999999</v>
      </c>
      <c r="K100" s="190">
        <v>19.899999999999999</v>
      </c>
      <c r="L100" s="190">
        <v>17.100000000000001</v>
      </c>
      <c r="M100" s="190">
        <v>17.7</v>
      </c>
      <c r="N100" s="190">
        <v>11.3</v>
      </c>
      <c r="O100" s="191">
        <f t="shared" si="56"/>
        <v>18.750000000000004</v>
      </c>
      <c r="P100" s="191">
        <f t="shared" si="57"/>
        <v>20.173469926834244</v>
      </c>
      <c r="Q100" s="192">
        <f t="shared" si="58"/>
        <v>1</v>
      </c>
      <c r="R100" s="140">
        <f t="shared" si="62"/>
        <v>15.933333333333332</v>
      </c>
      <c r="S100" s="150">
        <f t="shared" si="63"/>
        <v>1</v>
      </c>
      <c r="T100" s="140">
        <f t="shared" si="64"/>
        <v>20.533333333333335</v>
      </c>
      <c r="U100" s="150">
        <f t="shared" si="65"/>
        <v>1</v>
      </c>
      <c r="V100" s="141">
        <f t="shared" si="66"/>
        <v>18.750000000000004</v>
      </c>
      <c r="W100" s="142">
        <f t="shared" si="67"/>
        <v>1</v>
      </c>
      <c r="X100" s="144">
        <f t="shared" si="59"/>
        <v>11.833333333333332</v>
      </c>
      <c r="Y100" s="144">
        <f t="shared" si="60"/>
        <v>14.133333333333335</v>
      </c>
      <c r="Z100" s="144">
        <f t="shared" si="61"/>
        <v>13.216666666666669</v>
      </c>
      <c r="AA100" s="10"/>
      <c r="AB100" s="357" t="str">
        <f>VLOOKUP($B100,'2007-2020 Metadata'!$A$4:$S$214,MATCH("Urban Area /Monitoring Zone",'2007-2020 Metadata'!$A$4:$S$4,0),FALSE)</f>
        <v>Porirua</v>
      </c>
      <c r="AC100" s="87" t="str">
        <f>VLOOKUP(B100,'2007-2020 Metadata'!$A$6:$A$214,1,FALSE)</f>
        <v>WEL005</v>
      </c>
      <c r="AD100" s="230" t="str">
        <f>VLOOKUP($AC100,'2007-2020 Metadata'!$A$6:$S$214,9,FALSE)</f>
        <v>Porirua</v>
      </c>
      <c r="AE100" s="248">
        <f>IF(ISBLANK(VLOOKUP($AC100,'2007-2020 Metadata'!$A$6:$S$214,19,FALSE)),"",VLOOKUP($AC100,'2007-2020 Metadata'!$A$6:$S$214,19,FALSE))</f>
        <v>3.2</v>
      </c>
      <c r="AF100" s="88" t="str">
        <f>VLOOKUP($B100,'2007-2020 Metadata'!$A$4:$S$214,MATCH("Site type",'2007-2020 Metadata'!$A$4:$S$4,0),FALSE)</f>
        <v>SH</v>
      </c>
      <c r="AG100" s="143">
        <f t="shared" si="68"/>
        <v>11.3</v>
      </c>
      <c r="AH100" s="143">
        <f t="shared" si="69"/>
        <v>24.2</v>
      </c>
      <c r="AI100" s="144">
        <f t="shared" si="70"/>
        <v>13.216666666666669</v>
      </c>
    </row>
    <row r="101" spans="1:35" ht="12" customHeight="1" x14ac:dyDescent="0.2">
      <c r="A101" s="202"/>
      <c r="B101" s="193" t="s">
        <v>53</v>
      </c>
      <c r="C101" s="190">
        <v>10.1</v>
      </c>
      <c r="D101" s="190">
        <v>14.5</v>
      </c>
      <c r="E101" s="190">
        <v>16.2</v>
      </c>
      <c r="F101" s="190">
        <v>19.899999999999999</v>
      </c>
      <c r="G101" s="190">
        <v>19.100000000000001</v>
      </c>
      <c r="H101" s="190">
        <v>23.1</v>
      </c>
      <c r="I101" s="190">
        <v>18.8</v>
      </c>
      <c r="J101" s="190">
        <v>18.899999999999999</v>
      </c>
      <c r="K101" s="190">
        <v>20.8</v>
      </c>
      <c r="L101" s="190">
        <v>14.1</v>
      </c>
      <c r="M101" s="190">
        <v>14.8</v>
      </c>
      <c r="N101" s="190">
        <v>9.6999999999999993</v>
      </c>
      <c r="O101" s="191">
        <f t="shared" si="56"/>
        <v>16.666666666666668</v>
      </c>
      <c r="P101" s="191">
        <f t="shared" si="57"/>
        <v>23.939089372822846</v>
      </c>
      <c r="Q101" s="192">
        <f t="shared" si="58"/>
        <v>1</v>
      </c>
      <c r="R101" s="140">
        <f t="shared" si="62"/>
        <v>13.6</v>
      </c>
      <c r="S101" s="150">
        <f t="shared" si="63"/>
        <v>1</v>
      </c>
      <c r="T101" s="140">
        <f t="shared" si="64"/>
        <v>19.5</v>
      </c>
      <c r="U101" s="150">
        <f t="shared" si="65"/>
        <v>1</v>
      </c>
      <c r="V101" s="141">
        <f t="shared" si="66"/>
        <v>16.666666666666668</v>
      </c>
      <c r="W101" s="142">
        <f t="shared" si="67"/>
        <v>1</v>
      </c>
      <c r="X101" s="144">
        <f t="shared" si="59"/>
        <v>17.3</v>
      </c>
      <c r="Y101" s="144">
        <f t="shared" si="60"/>
        <v>21.748484848484846</v>
      </c>
      <c r="Z101" s="144">
        <f t="shared" si="61"/>
        <v>20.304848484848485</v>
      </c>
      <c r="AA101" s="10"/>
      <c r="AB101" s="357" t="str">
        <f>VLOOKUP($B101,'2007-2020 Metadata'!$A$4:$S$214,MATCH("Urban Area /Monitoring Zone",'2007-2020 Metadata'!$A$4:$S$4,0),FALSE)</f>
        <v>Wellington</v>
      </c>
      <c r="AC101" s="87" t="str">
        <f>VLOOKUP(B101,'2007-2020 Metadata'!$A$6:$A$214,1,FALSE)</f>
        <v>WEL007</v>
      </c>
      <c r="AD101" s="230" t="str">
        <f>VLOOKUP($AC101,'2007-2020 Metadata'!$A$6:$S$214,9,FALSE)</f>
        <v>Wellington</v>
      </c>
      <c r="AE101" s="248">
        <f>IF(ISBLANK(VLOOKUP($AC101,'2007-2020 Metadata'!$A$6:$S$214,19,FALSE)),"",VLOOKUP($AC101,'2007-2020 Metadata'!$A$6:$S$214,19,FALSE))</f>
        <v>1</v>
      </c>
      <c r="AF101" s="88" t="str">
        <f>VLOOKUP($B101,'2007-2020 Metadata'!$A$4:$S$214,MATCH("Site type",'2007-2020 Metadata'!$A$4:$S$4,0),FALSE)</f>
        <v>SH</v>
      </c>
      <c r="AG101" s="143">
        <f t="shared" si="68"/>
        <v>9.6999999999999993</v>
      </c>
      <c r="AH101" s="143">
        <f t="shared" si="69"/>
        <v>23.1</v>
      </c>
      <c r="AI101" s="144">
        <f t="shared" si="70"/>
        <v>20.304848484848485</v>
      </c>
    </row>
    <row r="102" spans="1:35" ht="12" customHeight="1" x14ac:dyDescent="0.2">
      <c r="A102" s="202"/>
      <c r="B102" s="193" t="s">
        <v>54</v>
      </c>
      <c r="C102" s="190">
        <v>32.5</v>
      </c>
      <c r="D102" s="190">
        <v>33.5</v>
      </c>
      <c r="E102" s="190">
        <v>39.700000000000003</v>
      </c>
      <c r="F102" s="190">
        <v>42.8</v>
      </c>
      <c r="G102" s="190">
        <v>43.7</v>
      </c>
      <c r="H102" s="190">
        <v>48.8</v>
      </c>
      <c r="I102" s="190">
        <v>36.200000000000003</v>
      </c>
      <c r="J102" s="190">
        <v>35.700000000000003</v>
      </c>
      <c r="K102" s="190">
        <v>40.200000000000003</v>
      </c>
      <c r="L102" s="190">
        <v>41.1</v>
      </c>
      <c r="M102" s="190">
        <v>35.5</v>
      </c>
      <c r="N102" s="190">
        <v>28.9</v>
      </c>
      <c r="O102" s="191">
        <f t="shared" si="56"/>
        <v>38.216666666666661</v>
      </c>
      <c r="P102" s="191">
        <f t="shared" si="57"/>
        <v>13.867403362035041</v>
      </c>
      <c r="Q102" s="192">
        <f t="shared" si="58"/>
        <v>1</v>
      </c>
      <c r="R102" s="140">
        <f t="shared" si="62"/>
        <v>35.233333333333334</v>
      </c>
      <c r="S102" s="150">
        <f t="shared" si="63"/>
        <v>1</v>
      </c>
      <c r="T102" s="140">
        <f t="shared" si="64"/>
        <v>37.366666666666667</v>
      </c>
      <c r="U102" s="150">
        <f t="shared" si="65"/>
        <v>1</v>
      </c>
      <c r="V102" s="141">
        <f t="shared" si="66"/>
        <v>38.216666666666661</v>
      </c>
      <c r="W102" s="142">
        <f t="shared" si="67"/>
        <v>1</v>
      </c>
      <c r="X102" s="144">
        <f t="shared" si="59"/>
        <v>17.3</v>
      </c>
      <c r="Y102" s="144">
        <f t="shared" si="60"/>
        <v>21.748484848484846</v>
      </c>
      <c r="Z102" s="144">
        <f t="shared" si="61"/>
        <v>20.304848484848485</v>
      </c>
      <c r="AA102" s="10"/>
      <c r="AB102" s="357" t="str">
        <f>VLOOKUP($B102,'2007-2020 Metadata'!$A$4:$S$214,MATCH("Urban Area /Monitoring Zone",'2007-2020 Metadata'!$A$4:$S$4,0),FALSE)</f>
        <v>Wellington</v>
      </c>
      <c r="AC102" s="87" t="str">
        <f>VLOOKUP(B102,'2007-2020 Metadata'!$A$6:$A$214,1,FALSE)</f>
        <v>WEL008</v>
      </c>
      <c r="AD102" s="230" t="str">
        <f>VLOOKUP($AC102,'2007-2020 Metadata'!$A$6:$S$214,9,FALSE)</f>
        <v>Wellington</v>
      </c>
      <c r="AE102" s="248">
        <f>IF(ISBLANK(VLOOKUP($AC102,'2007-2020 Metadata'!$A$6:$S$214,19,FALSE)),"",VLOOKUP($AC102,'2007-2020 Metadata'!$A$6:$S$214,19,FALSE))</f>
        <v>3.1</v>
      </c>
      <c r="AF102" s="88" t="str">
        <f>VLOOKUP($B102,'2007-2020 Metadata'!$A$4:$S$214,MATCH("Site type",'2007-2020 Metadata'!$A$4:$S$4,0),FALSE)</f>
        <v>SH</v>
      </c>
      <c r="AG102" s="143">
        <f t="shared" si="68"/>
        <v>28.9</v>
      </c>
      <c r="AH102" s="143">
        <f t="shared" si="69"/>
        <v>48.8</v>
      </c>
      <c r="AI102" s="144">
        <f t="shared" si="70"/>
        <v>20.304848484848485</v>
      </c>
    </row>
    <row r="103" spans="1:35" ht="12" customHeight="1" x14ac:dyDescent="0.2">
      <c r="A103" s="202"/>
      <c r="B103" s="193" t="s">
        <v>55</v>
      </c>
      <c r="C103" s="190">
        <v>18.600000000000001</v>
      </c>
      <c r="D103" s="190">
        <v>21.4</v>
      </c>
      <c r="E103" s="190">
        <v>20.7</v>
      </c>
      <c r="F103" s="190">
        <v>28.1</v>
      </c>
      <c r="G103" s="190">
        <v>30.2</v>
      </c>
      <c r="H103" s="190">
        <v>28.8</v>
      </c>
      <c r="I103" s="190">
        <v>27.3</v>
      </c>
      <c r="J103" s="190">
        <v>25.1</v>
      </c>
      <c r="K103" s="190">
        <v>28</v>
      </c>
      <c r="L103" s="190">
        <v>24.2</v>
      </c>
      <c r="M103" s="190">
        <v>22.3</v>
      </c>
      <c r="N103" s="190">
        <v>16.8</v>
      </c>
      <c r="O103" s="191">
        <f t="shared" si="56"/>
        <v>24.291666666666668</v>
      </c>
      <c r="P103" s="191">
        <f t="shared" si="57"/>
        <v>17.095582568632185</v>
      </c>
      <c r="Q103" s="192">
        <f t="shared" si="58"/>
        <v>1</v>
      </c>
      <c r="R103" s="140">
        <f t="shared" si="62"/>
        <v>20.233333333333334</v>
      </c>
      <c r="S103" s="150">
        <f t="shared" si="63"/>
        <v>1</v>
      </c>
      <c r="T103" s="140">
        <f t="shared" si="64"/>
        <v>26.8</v>
      </c>
      <c r="U103" s="150">
        <f t="shared" si="65"/>
        <v>1</v>
      </c>
      <c r="V103" s="141">
        <f t="shared" si="66"/>
        <v>24.291666666666668</v>
      </c>
      <c r="W103" s="142">
        <f t="shared" si="67"/>
        <v>1</v>
      </c>
      <c r="X103" s="144">
        <f t="shared" si="59"/>
        <v>15.200000000000001</v>
      </c>
      <c r="Y103" s="144">
        <f t="shared" si="60"/>
        <v>21.144444444444442</v>
      </c>
      <c r="Z103" s="144">
        <f t="shared" si="61"/>
        <v>18.704545454545457</v>
      </c>
      <c r="AA103" s="10"/>
      <c r="AB103" s="357" t="str">
        <f>VLOOKUP($B103,'2007-2020 Metadata'!$A$4:$S$214,MATCH("Urban Area /Monitoring Zone",'2007-2020 Metadata'!$A$4:$S$4,0),FALSE)</f>
        <v>Nelson</v>
      </c>
      <c r="AC103" s="87" t="str">
        <f>VLOOKUP(B103,'2007-2020 Metadata'!$A$6:$A$214,1,FALSE)</f>
        <v>WEL009</v>
      </c>
      <c r="AD103" s="230" t="str">
        <f>VLOOKUP($AC103,'2007-2020 Metadata'!$A$6:$S$214,9,FALSE)</f>
        <v>Nelson</v>
      </c>
      <c r="AE103" s="248">
        <f>IF(ISBLANK(VLOOKUP($AC103,'2007-2020 Metadata'!$A$6:$S$214,19,FALSE)),"",VLOOKUP($AC103,'2007-2020 Metadata'!$A$6:$S$214,19,FALSE))</f>
        <v>3</v>
      </c>
      <c r="AF103" s="88" t="str">
        <f>VLOOKUP($B103,'2007-2020 Metadata'!$A$4:$S$214,MATCH("Site type",'2007-2020 Metadata'!$A$4:$S$4,0),FALSE)</f>
        <v>SH</v>
      </c>
      <c r="AG103" s="143">
        <f t="shared" si="68"/>
        <v>16.8</v>
      </c>
      <c r="AH103" s="143">
        <f t="shared" si="69"/>
        <v>30.2</v>
      </c>
      <c r="AI103" s="144">
        <f t="shared" si="70"/>
        <v>18.704545454545457</v>
      </c>
    </row>
    <row r="104" spans="1:35" ht="12" customHeight="1" x14ac:dyDescent="0.2">
      <c r="A104" s="202"/>
      <c r="B104" s="193" t="s">
        <v>56</v>
      </c>
      <c r="C104" s="190">
        <v>13.9</v>
      </c>
      <c r="D104" s="190">
        <v>18.2</v>
      </c>
      <c r="E104" s="190">
        <v>18.3</v>
      </c>
      <c r="F104" s="190">
        <v>23.5</v>
      </c>
      <c r="G104" s="190">
        <v>26.8</v>
      </c>
      <c r="H104" s="190">
        <v>27.7</v>
      </c>
      <c r="I104" s="190">
        <v>23.9</v>
      </c>
      <c r="J104" s="190">
        <v>22.7</v>
      </c>
      <c r="K104" s="190">
        <v>20.399999999999999</v>
      </c>
      <c r="L104" s="190">
        <v>17.8</v>
      </c>
      <c r="M104" s="190"/>
      <c r="N104" s="190">
        <v>7.5</v>
      </c>
      <c r="O104" s="191">
        <f t="shared" si="56"/>
        <v>20.063636363636366</v>
      </c>
      <c r="P104" s="191">
        <f t="shared" si="57"/>
        <v>27.905748002444948</v>
      </c>
      <c r="Q104" s="192">
        <f t="shared" si="58"/>
        <v>0.91666666666666663</v>
      </c>
      <c r="R104" s="140">
        <f t="shared" si="62"/>
        <v>16.8</v>
      </c>
      <c r="S104" s="150">
        <f t="shared" si="63"/>
        <v>1</v>
      </c>
      <c r="T104" s="140">
        <f t="shared" si="64"/>
        <v>22.333333333333332</v>
      </c>
      <c r="U104" s="150">
        <f t="shared" si="65"/>
        <v>1</v>
      </c>
      <c r="V104" s="141">
        <f t="shared" si="66"/>
        <v>20.063636363636366</v>
      </c>
      <c r="W104" s="142">
        <f t="shared" si="67"/>
        <v>0.91666666666666663</v>
      </c>
      <c r="X104" s="144">
        <f t="shared" si="59"/>
        <v>15.200000000000001</v>
      </c>
      <c r="Y104" s="144">
        <f t="shared" si="60"/>
        <v>21.144444444444442</v>
      </c>
      <c r="Z104" s="144">
        <f t="shared" si="61"/>
        <v>18.704545454545457</v>
      </c>
      <c r="AA104" s="10"/>
      <c r="AB104" s="357" t="str">
        <f>VLOOKUP($B104,'2007-2020 Metadata'!$A$4:$S$214,MATCH("Urban Area /Monitoring Zone",'2007-2020 Metadata'!$A$4:$S$4,0),FALSE)</f>
        <v>Nelson</v>
      </c>
      <c r="AC104" s="87" t="str">
        <f>VLOOKUP(B104,'2007-2020 Metadata'!$A$6:$A$214,1,FALSE)</f>
        <v>WEL010</v>
      </c>
      <c r="AD104" s="230" t="str">
        <f>VLOOKUP($AC104,'2007-2020 Metadata'!$A$6:$S$214,9,FALSE)</f>
        <v>Nelson</v>
      </c>
      <c r="AE104" s="248">
        <f>IF(ISBLANK(VLOOKUP($AC104,'2007-2020 Metadata'!$A$6:$S$214,19,FALSE)),"",VLOOKUP($AC104,'2007-2020 Metadata'!$A$6:$S$214,19,FALSE))</f>
        <v>2.4</v>
      </c>
      <c r="AF104" s="88" t="str">
        <f>VLOOKUP($B104,'2007-2020 Metadata'!$A$4:$S$214,MATCH("Site type",'2007-2020 Metadata'!$A$4:$S$4,0),FALSE)</f>
        <v>SH</v>
      </c>
      <c r="AG104" s="143">
        <f t="shared" si="68"/>
        <v>7.5</v>
      </c>
      <c r="AH104" s="143">
        <f t="shared" si="69"/>
        <v>27.7</v>
      </c>
      <c r="AI104" s="144">
        <f t="shared" si="70"/>
        <v>18.704545454545457</v>
      </c>
    </row>
    <row r="105" spans="1:35" ht="12" customHeight="1" x14ac:dyDescent="0.2">
      <c r="A105" s="202"/>
      <c r="B105" s="193" t="s">
        <v>57</v>
      </c>
      <c r="C105" s="190">
        <v>12.9</v>
      </c>
      <c r="D105" s="190">
        <v>11.5</v>
      </c>
      <c r="E105" s="190">
        <v>14.7</v>
      </c>
      <c r="F105" s="190">
        <v>17.2</v>
      </c>
      <c r="G105" s="190">
        <v>20.6</v>
      </c>
      <c r="H105" s="190">
        <v>21.8</v>
      </c>
      <c r="I105" s="190">
        <v>19</v>
      </c>
      <c r="J105" s="190">
        <v>19.899999999999999</v>
      </c>
      <c r="K105" s="190">
        <v>18</v>
      </c>
      <c r="L105" s="190">
        <v>13.3</v>
      </c>
      <c r="M105" s="190">
        <v>9.9</v>
      </c>
      <c r="N105" s="190">
        <v>8.6</v>
      </c>
      <c r="O105" s="191">
        <f t="shared" si="56"/>
        <v>15.616666666666667</v>
      </c>
      <c r="P105" s="191">
        <f t="shared" si="57"/>
        <v>27.00950256533773</v>
      </c>
      <c r="Q105" s="192">
        <f t="shared" si="58"/>
        <v>1</v>
      </c>
      <c r="R105" s="140">
        <f t="shared" si="62"/>
        <v>13.033333333333331</v>
      </c>
      <c r="S105" s="150">
        <f t="shared" si="63"/>
        <v>1</v>
      </c>
      <c r="T105" s="140">
        <f t="shared" si="64"/>
        <v>18.966666666666665</v>
      </c>
      <c r="U105" s="150">
        <f t="shared" si="65"/>
        <v>1</v>
      </c>
      <c r="V105" s="141">
        <f t="shared" si="66"/>
        <v>15.616666666666667</v>
      </c>
      <c r="W105" s="142">
        <f t="shared" si="67"/>
        <v>1</v>
      </c>
      <c r="X105" s="144">
        <f t="shared" si="59"/>
        <v>13.033333333333331</v>
      </c>
      <c r="Y105" s="144">
        <f t="shared" si="60"/>
        <v>18.966666666666665</v>
      </c>
      <c r="Z105" s="144">
        <f t="shared" si="61"/>
        <v>15.616666666666667</v>
      </c>
      <c r="AA105" s="10"/>
      <c r="AB105" s="357" t="str">
        <f>VLOOKUP($B105,'2007-2020 Metadata'!$A$4:$S$214,MATCH("Urban Area /Monitoring Zone",'2007-2020 Metadata'!$A$4:$S$4,0),FALSE)</f>
        <v>Nelson</v>
      </c>
      <c r="AC105" s="87" t="str">
        <f>VLOOKUP(B105,'2007-2020 Metadata'!$A$6:$A$214,1,FALSE)</f>
        <v>WEL011</v>
      </c>
      <c r="AD105" s="230" t="str">
        <f>VLOOKUP($AC105,'2007-2020 Metadata'!$A$6:$S$214,9,FALSE)</f>
        <v>Tasman</v>
      </c>
      <c r="AE105" s="248">
        <f>IF(ISBLANK(VLOOKUP($AC105,'2007-2020 Metadata'!$A$6:$S$214,19,FALSE)),"",VLOOKUP($AC105,'2007-2020 Metadata'!$A$6:$S$214,19,FALSE))</f>
        <v>2.4</v>
      </c>
      <c r="AF105" s="88" t="str">
        <f>VLOOKUP($B105,'2007-2020 Metadata'!$A$4:$S$214,MATCH("Site type",'2007-2020 Metadata'!$A$4:$S$4,0),FALSE)</f>
        <v>SH</v>
      </c>
      <c r="AG105" s="143">
        <f t="shared" si="68"/>
        <v>8.6</v>
      </c>
      <c r="AH105" s="143">
        <f t="shared" si="69"/>
        <v>21.8</v>
      </c>
      <c r="AI105" s="144">
        <f t="shared" si="70"/>
        <v>15.616666666666667</v>
      </c>
    </row>
    <row r="106" spans="1:35" ht="12" customHeight="1" x14ac:dyDescent="0.2">
      <c r="A106" s="202"/>
      <c r="B106" s="193" t="s">
        <v>58</v>
      </c>
      <c r="C106" s="190">
        <v>8.8000000000000007</v>
      </c>
      <c r="D106" s="190">
        <v>13.1</v>
      </c>
      <c r="E106" s="190">
        <v>16.3</v>
      </c>
      <c r="F106" s="190">
        <v>17.600000000000001</v>
      </c>
      <c r="G106" s="190">
        <v>18.5</v>
      </c>
      <c r="H106" s="190">
        <v>18.600000000000001</v>
      </c>
      <c r="I106" s="190">
        <v>12.1</v>
      </c>
      <c r="J106" s="190">
        <v>12.1</v>
      </c>
      <c r="K106" s="190">
        <v>15</v>
      </c>
      <c r="L106" s="190">
        <v>10.1</v>
      </c>
      <c r="M106" s="190">
        <v>8</v>
      </c>
      <c r="N106" s="190">
        <v>8.6</v>
      </c>
      <c r="O106" s="191">
        <f t="shared" si="56"/>
        <v>13.233333333333333</v>
      </c>
      <c r="P106" s="191">
        <f t="shared" si="57"/>
        <v>28.362429588104256</v>
      </c>
      <c r="Q106" s="192">
        <f t="shared" si="58"/>
        <v>1</v>
      </c>
      <c r="R106" s="140">
        <f t="shared" si="62"/>
        <v>12.733333333333334</v>
      </c>
      <c r="S106" s="150">
        <f t="shared" si="63"/>
        <v>1</v>
      </c>
      <c r="T106" s="140">
        <f t="shared" si="64"/>
        <v>13.066666666666668</v>
      </c>
      <c r="U106" s="150">
        <f t="shared" si="65"/>
        <v>1</v>
      </c>
      <c r="V106" s="141">
        <f t="shared" si="66"/>
        <v>13.233333333333333</v>
      </c>
      <c r="W106" s="142">
        <f t="shared" si="67"/>
        <v>1</v>
      </c>
      <c r="X106" s="144">
        <f t="shared" ref="X106:X137" si="71">IF(VLOOKUP($B106,$AC$6:$AI$161,3,FALSE)="",$R106,IF(ISERROR(AVERAGEIF($AD$6:$AD$161,VLOOKUP($B106,$AC$6:$AI$161,2,FALSE),$R$6:$R$161)),"",AVERAGEIF($AD$6:$AD$161,VLOOKUP($B106,$AC$6:$AI$161,2,FALSE),$R$6:$R$161)))</f>
        <v>12.733333333333334</v>
      </c>
      <c r="Y106" s="144">
        <f t="shared" ref="Y106:Y137" si="72">IF(VLOOKUP($B106,$AC$6:$AI$161,3,FALSE)="",$T106,IF(ISERROR(AVERAGEIF($AD$6:$AD$161,VLOOKUP($B106,$AC$6:$AI$161,2,FALSE),$T$6:$T$161)),"",AVERAGEIF($AD$6:$AD$161,VLOOKUP($B106,$AC$6:$AI$161,2,FALSE),$T$6:$T$161)))</f>
        <v>13.066666666666668</v>
      </c>
      <c r="Z106" s="144">
        <f t="shared" ref="Z106:Z137" si="73">IF(VLOOKUP($B106,$AC$6:$AI$161,3,FALSE)="",$V106,IF(ISERROR(AVERAGEIF($AD$6:$AD$161,VLOOKUP($B106,$AC$6:$AI$161,2,FALSE),$V$6:$V$161)),"",AVERAGEIF($AD$6:$AD$161,VLOOKUP($B106,$AC$6:$AI$161,2,FALSE),$V$6:$V$161)))</f>
        <v>13.233333333333333</v>
      </c>
      <c r="AA106" s="10"/>
      <c r="AB106" s="357" t="str">
        <f>VLOOKUP($B106,'2007-2020 Metadata'!$A$4:$S$214,MATCH("Urban Area /Monitoring Zone",'2007-2020 Metadata'!$A$4:$S$4,0),FALSE)</f>
        <v>Blenheim</v>
      </c>
      <c r="AC106" s="87" t="str">
        <f>VLOOKUP(B106,'2007-2020 Metadata'!$A$6:$A$214,1,FALSE)</f>
        <v>WEL012</v>
      </c>
      <c r="AD106" s="230" t="str">
        <f>VLOOKUP($AC106,'2007-2020 Metadata'!$A$6:$S$214,9,FALSE)</f>
        <v>Blenheim</v>
      </c>
      <c r="AE106" s="248">
        <f>IF(ISBLANK(VLOOKUP($AC106,'2007-2020 Metadata'!$A$6:$S$214,19,FALSE)),"",VLOOKUP($AC106,'2007-2020 Metadata'!$A$6:$S$214,19,FALSE))</f>
        <v>4.2</v>
      </c>
      <c r="AF106" s="88" t="str">
        <f>VLOOKUP($B106,'2007-2020 Metadata'!$A$4:$S$214,MATCH("Site type",'2007-2020 Metadata'!$A$4:$S$4,0),FALSE)</f>
        <v>SH</v>
      </c>
      <c r="AG106" s="143">
        <f t="shared" si="68"/>
        <v>8</v>
      </c>
      <c r="AH106" s="143">
        <f t="shared" si="69"/>
        <v>18.600000000000001</v>
      </c>
      <c r="AI106" s="144">
        <f t="shared" si="70"/>
        <v>13.233333333333333</v>
      </c>
    </row>
    <row r="107" spans="1:35" ht="12" customHeight="1" x14ac:dyDescent="0.2">
      <c r="A107" s="202"/>
      <c r="B107" s="193" t="s">
        <v>125</v>
      </c>
      <c r="C107" s="190">
        <v>6.1</v>
      </c>
      <c r="D107" s="190">
        <v>8</v>
      </c>
      <c r="E107" s="190">
        <v>9.8000000000000007</v>
      </c>
      <c r="F107" s="190">
        <v>13.3</v>
      </c>
      <c r="G107" s="190">
        <v>13.7</v>
      </c>
      <c r="H107" s="190">
        <v>14.9</v>
      </c>
      <c r="I107" s="190">
        <v>11.4</v>
      </c>
      <c r="J107" s="190">
        <v>12.5</v>
      </c>
      <c r="K107" s="190">
        <v>10.4</v>
      </c>
      <c r="L107" s="190">
        <v>10.199999999999999</v>
      </c>
      <c r="M107" s="190">
        <v>8.1999999999999993</v>
      </c>
      <c r="N107" s="190">
        <v>6.2</v>
      </c>
      <c r="O107" s="191">
        <f t="shared" si="56"/>
        <v>10.391666666666669</v>
      </c>
      <c r="P107" s="191">
        <f t="shared" si="57"/>
        <v>26.658053857241892</v>
      </c>
      <c r="Q107" s="192">
        <f t="shared" si="58"/>
        <v>1</v>
      </c>
      <c r="R107" s="140">
        <f t="shared" si="62"/>
        <v>7.9666666666666659</v>
      </c>
      <c r="S107" s="150">
        <f t="shared" si="63"/>
        <v>1</v>
      </c>
      <c r="T107" s="140">
        <f t="shared" si="64"/>
        <v>11.433333333333332</v>
      </c>
      <c r="U107" s="150">
        <f t="shared" si="65"/>
        <v>1</v>
      </c>
      <c r="V107" s="141">
        <f t="shared" si="66"/>
        <v>10.391666666666669</v>
      </c>
      <c r="W107" s="142">
        <f t="shared" si="67"/>
        <v>1</v>
      </c>
      <c r="X107" s="144">
        <f t="shared" si="71"/>
        <v>17.3</v>
      </c>
      <c r="Y107" s="144">
        <f t="shared" si="72"/>
        <v>21.748484848484846</v>
      </c>
      <c r="Z107" s="144">
        <f t="shared" si="73"/>
        <v>20.304848484848485</v>
      </c>
      <c r="AA107" s="10"/>
      <c r="AB107" s="357" t="str">
        <f>VLOOKUP($B107,'2007-2020 Metadata'!$A$4:$S$214,MATCH("Urban Area /Monitoring Zone",'2007-2020 Metadata'!$A$4:$S$4,0),FALSE)</f>
        <v>Wellington</v>
      </c>
      <c r="AC107" s="87" t="str">
        <f>VLOOKUP(B107,'2007-2020 Metadata'!$A$6:$A$214,1,FALSE)</f>
        <v>WEL047</v>
      </c>
      <c r="AD107" s="230" t="str">
        <f>VLOOKUP($AC107,'2007-2020 Metadata'!$A$6:$S$214,9,FALSE)</f>
        <v>Wellington</v>
      </c>
      <c r="AE107" s="248">
        <f>IF(ISBLANK(VLOOKUP($AC107,'2007-2020 Metadata'!$A$6:$S$214,19,FALSE)),"",VLOOKUP($AC107,'2007-2020 Metadata'!$A$6:$S$214,19,FALSE))</f>
        <v>3.5</v>
      </c>
      <c r="AF107" s="88" t="str">
        <f>VLOOKUP($B107,'2007-2020 Metadata'!$A$4:$S$214,MATCH("Site type",'2007-2020 Metadata'!$A$4:$S$4,0),FALSE)</f>
        <v>Local</v>
      </c>
      <c r="AG107" s="143">
        <f t="shared" si="68"/>
        <v>6.1</v>
      </c>
      <c r="AH107" s="143">
        <f t="shared" si="69"/>
        <v>14.9</v>
      </c>
      <c r="AI107" s="144">
        <f t="shared" si="70"/>
        <v>20.304848484848485</v>
      </c>
    </row>
    <row r="108" spans="1:35" ht="12" customHeight="1" x14ac:dyDescent="0.2">
      <c r="A108" s="202"/>
      <c r="B108" s="193" t="s">
        <v>126</v>
      </c>
      <c r="C108" s="190">
        <v>5</v>
      </c>
      <c r="D108" s="190">
        <v>6.1</v>
      </c>
      <c r="E108" s="190">
        <v>7.2</v>
      </c>
      <c r="F108" s="190">
        <v>10.1</v>
      </c>
      <c r="G108" s="190">
        <v>8.9</v>
      </c>
      <c r="H108" s="190">
        <v>12.1</v>
      </c>
      <c r="I108" s="190">
        <v>8.6</v>
      </c>
      <c r="J108" s="190">
        <v>8.8000000000000007</v>
      </c>
      <c r="K108" s="190">
        <v>6.9</v>
      </c>
      <c r="L108" s="190"/>
      <c r="M108" s="190"/>
      <c r="N108" s="190">
        <v>4.5</v>
      </c>
      <c r="O108" s="191">
        <f t="shared" si="56"/>
        <v>7.82</v>
      </c>
      <c r="P108" s="191">
        <f t="shared" si="57"/>
        <v>28.426738938182105</v>
      </c>
      <c r="Q108" s="192">
        <f t="shared" si="58"/>
        <v>0.83333333333333337</v>
      </c>
      <c r="R108" s="140">
        <f t="shared" si="62"/>
        <v>6.1000000000000005</v>
      </c>
      <c r="S108" s="150">
        <f t="shared" si="63"/>
        <v>1</v>
      </c>
      <c r="T108" s="140">
        <f t="shared" si="64"/>
        <v>8.1</v>
      </c>
      <c r="U108" s="150">
        <f t="shared" si="65"/>
        <v>1</v>
      </c>
      <c r="V108" s="141">
        <f t="shared" si="66"/>
        <v>7.82</v>
      </c>
      <c r="W108" s="142">
        <f t="shared" si="67"/>
        <v>0.83333333333333337</v>
      </c>
      <c r="X108" s="144">
        <f t="shared" si="71"/>
        <v>17.3</v>
      </c>
      <c r="Y108" s="144">
        <f t="shared" si="72"/>
        <v>21.748484848484846</v>
      </c>
      <c r="Z108" s="144">
        <f t="shared" si="73"/>
        <v>20.304848484848485</v>
      </c>
      <c r="AA108" s="10"/>
      <c r="AB108" s="357" t="str">
        <f>VLOOKUP($B108,'2007-2020 Metadata'!$A$4:$S$214,MATCH("Urban Area /Monitoring Zone",'2007-2020 Metadata'!$A$4:$S$4,0),FALSE)</f>
        <v>Wellington</v>
      </c>
      <c r="AC108" s="87" t="str">
        <f>VLOOKUP(B108,'2007-2020 Metadata'!$A$6:$A$214,1,FALSE)</f>
        <v>WEL048</v>
      </c>
      <c r="AD108" s="230" t="str">
        <f>VLOOKUP($AC108,'2007-2020 Metadata'!$A$6:$S$214,9,FALSE)</f>
        <v>Wellington</v>
      </c>
      <c r="AE108" s="248">
        <f>IF(ISBLANK(VLOOKUP($AC108,'2007-2020 Metadata'!$A$6:$S$214,19,FALSE)),"",VLOOKUP($AC108,'2007-2020 Metadata'!$A$6:$S$214,19,FALSE))</f>
        <v>4</v>
      </c>
      <c r="AF108" s="88" t="str">
        <f>VLOOKUP($B108,'2007-2020 Metadata'!$A$4:$S$214,MATCH("Site type",'2007-2020 Metadata'!$A$4:$S$4,0),FALSE)</f>
        <v>Background</v>
      </c>
      <c r="AG108" s="143">
        <f t="shared" si="68"/>
        <v>4.5</v>
      </c>
      <c r="AH108" s="143">
        <f t="shared" si="69"/>
        <v>12.1</v>
      </c>
      <c r="AI108" s="144">
        <f t="shared" si="70"/>
        <v>20.304848484848485</v>
      </c>
    </row>
    <row r="109" spans="1:35" ht="12" customHeight="1" x14ac:dyDescent="0.2">
      <c r="A109" s="202"/>
      <c r="B109" s="193" t="s">
        <v>127</v>
      </c>
      <c r="C109" s="190">
        <v>30.1</v>
      </c>
      <c r="D109" s="190">
        <v>30.5</v>
      </c>
      <c r="E109" s="190">
        <v>37.799999999999997</v>
      </c>
      <c r="F109" s="190">
        <v>46.5</v>
      </c>
      <c r="G109" s="190">
        <v>42.9</v>
      </c>
      <c r="H109" s="190">
        <v>43.8</v>
      </c>
      <c r="I109" s="190">
        <v>36.6</v>
      </c>
      <c r="J109" s="190">
        <v>32.200000000000003</v>
      </c>
      <c r="K109" s="190">
        <v>44.7</v>
      </c>
      <c r="L109" s="190">
        <v>41.9</v>
      </c>
      <c r="M109" s="190">
        <v>30.3</v>
      </c>
      <c r="N109" s="190">
        <v>27.1</v>
      </c>
      <c r="O109" s="191">
        <f t="shared" si="56"/>
        <v>37.033333333333339</v>
      </c>
      <c r="P109" s="191">
        <f t="shared" si="57"/>
        <v>17.624074968565552</v>
      </c>
      <c r="Q109" s="192">
        <f t="shared" si="58"/>
        <v>1</v>
      </c>
      <c r="R109" s="140">
        <f t="shared" si="62"/>
        <v>32.800000000000004</v>
      </c>
      <c r="S109" s="150">
        <f t="shared" si="63"/>
        <v>1</v>
      </c>
      <c r="T109" s="140">
        <f t="shared" si="64"/>
        <v>37.833333333333336</v>
      </c>
      <c r="U109" s="150">
        <f t="shared" si="65"/>
        <v>1</v>
      </c>
      <c r="V109" s="141">
        <f t="shared" si="66"/>
        <v>37.033333333333339</v>
      </c>
      <c r="W109" s="142">
        <f t="shared" si="67"/>
        <v>1</v>
      </c>
      <c r="X109" s="144">
        <f t="shared" si="71"/>
        <v>17.3</v>
      </c>
      <c r="Y109" s="144">
        <f t="shared" si="72"/>
        <v>21.748484848484846</v>
      </c>
      <c r="Z109" s="144">
        <f t="shared" si="73"/>
        <v>20.304848484848485</v>
      </c>
      <c r="AA109" s="10"/>
      <c r="AB109" s="357" t="str">
        <f>VLOOKUP($B109,'2007-2020 Metadata'!$A$4:$S$214,MATCH("Urban Area /Monitoring Zone",'2007-2020 Metadata'!$A$4:$S$4,0),FALSE)</f>
        <v>Wellington</v>
      </c>
      <c r="AC109" s="87" t="str">
        <f>VLOOKUP(B109,'2007-2020 Metadata'!$A$6:$A$214,1,FALSE)</f>
        <v>WEL049</v>
      </c>
      <c r="AD109" s="230" t="str">
        <f>VLOOKUP($AC109,'2007-2020 Metadata'!$A$6:$S$214,9,FALSE)</f>
        <v>Wellington</v>
      </c>
      <c r="AE109" s="248">
        <f>IF(ISBLANK(VLOOKUP($AC109,'2007-2020 Metadata'!$A$6:$S$214,19,FALSE)),"",VLOOKUP($AC109,'2007-2020 Metadata'!$A$6:$S$214,19,FALSE))</f>
        <v>4</v>
      </c>
      <c r="AF109" s="88" t="str">
        <f>VLOOKUP($B109,'2007-2020 Metadata'!$A$4:$S$214,MATCH("Site type",'2007-2020 Metadata'!$A$4:$S$4,0),FALSE)</f>
        <v>Local</v>
      </c>
      <c r="AG109" s="143">
        <f t="shared" si="68"/>
        <v>27.1</v>
      </c>
      <c r="AH109" s="143">
        <f t="shared" si="69"/>
        <v>46.5</v>
      </c>
      <c r="AI109" s="144">
        <f t="shared" si="70"/>
        <v>20.304848484848485</v>
      </c>
    </row>
    <row r="110" spans="1:35" ht="12" customHeight="1" x14ac:dyDescent="0.2">
      <c r="A110" s="202"/>
      <c r="B110" s="193" t="s">
        <v>128</v>
      </c>
      <c r="C110" s="190">
        <v>13.6</v>
      </c>
      <c r="D110" s="190">
        <v>17</v>
      </c>
      <c r="E110" s="190">
        <v>20.2</v>
      </c>
      <c r="F110" s="190">
        <v>22</v>
      </c>
      <c r="G110" s="190">
        <v>21.2</v>
      </c>
      <c r="H110" s="190">
        <v>24.5</v>
      </c>
      <c r="I110" s="190">
        <v>20.399999999999999</v>
      </c>
      <c r="J110" s="190">
        <v>23.8</v>
      </c>
      <c r="K110" s="190">
        <v>19.8</v>
      </c>
      <c r="L110" s="190">
        <v>17.3</v>
      </c>
      <c r="M110" s="190">
        <v>13.7</v>
      </c>
      <c r="N110" s="190">
        <v>12.3</v>
      </c>
      <c r="O110" s="191">
        <f t="shared" si="56"/>
        <v>18.81666666666667</v>
      </c>
      <c r="P110" s="191">
        <f t="shared" si="57"/>
        <v>20.571099431613963</v>
      </c>
      <c r="Q110" s="192">
        <f t="shared" si="58"/>
        <v>1</v>
      </c>
      <c r="R110" s="140">
        <f t="shared" si="62"/>
        <v>16.933333333333334</v>
      </c>
      <c r="S110" s="150">
        <f t="shared" si="63"/>
        <v>1</v>
      </c>
      <c r="T110" s="140">
        <f t="shared" si="64"/>
        <v>21.333333333333332</v>
      </c>
      <c r="U110" s="150">
        <f t="shared" si="65"/>
        <v>1</v>
      </c>
      <c r="V110" s="141">
        <f t="shared" si="66"/>
        <v>18.81666666666667</v>
      </c>
      <c r="W110" s="142">
        <f t="shared" si="67"/>
        <v>1</v>
      </c>
      <c r="X110" s="144">
        <f t="shared" si="71"/>
        <v>17.3</v>
      </c>
      <c r="Y110" s="144">
        <f t="shared" si="72"/>
        <v>21.748484848484846</v>
      </c>
      <c r="Z110" s="144">
        <f t="shared" si="73"/>
        <v>20.304848484848485</v>
      </c>
      <c r="AA110" s="10"/>
      <c r="AB110" s="357" t="str">
        <f>VLOOKUP($B110,'2007-2020 Metadata'!$A$4:$S$214,MATCH("Urban Area /Monitoring Zone",'2007-2020 Metadata'!$A$4:$S$4,0),FALSE)</f>
        <v>Wellington</v>
      </c>
      <c r="AC110" s="87" t="str">
        <f>VLOOKUP(B110,'2007-2020 Metadata'!$A$6:$A$214,1,FALSE)</f>
        <v>WEL050</v>
      </c>
      <c r="AD110" s="230" t="str">
        <f>VLOOKUP($AC110,'2007-2020 Metadata'!$A$6:$S$214,9,FALSE)</f>
        <v>Wellington</v>
      </c>
      <c r="AE110" s="248">
        <f>IF(ISBLANK(VLOOKUP($AC110,'2007-2020 Metadata'!$A$6:$S$214,19,FALSE)),"",VLOOKUP($AC110,'2007-2020 Metadata'!$A$6:$S$214,19,FALSE))</f>
        <v>4</v>
      </c>
      <c r="AF110" s="88" t="str">
        <f>VLOOKUP($B110,'2007-2020 Metadata'!$A$4:$S$214,MATCH("Site type",'2007-2020 Metadata'!$A$4:$S$4,0),FALSE)</f>
        <v>SH</v>
      </c>
      <c r="AG110" s="143">
        <f t="shared" si="68"/>
        <v>12.3</v>
      </c>
      <c r="AH110" s="143">
        <f t="shared" si="69"/>
        <v>24.5</v>
      </c>
      <c r="AI110" s="144">
        <f t="shared" si="70"/>
        <v>20.304848484848485</v>
      </c>
    </row>
    <row r="111" spans="1:35" ht="12" customHeight="1" x14ac:dyDescent="0.2">
      <c r="A111" s="202"/>
      <c r="B111" s="193" t="s">
        <v>129</v>
      </c>
      <c r="C111" s="190">
        <v>10.4</v>
      </c>
      <c r="D111" s="190">
        <v>10.3</v>
      </c>
      <c r="E111" s="190">
        <v>13.5</v>
      </c>
      <c r="F111" s="190">
        <v>14.1</v>
      </c>
      <c r="G111" s="190">
        <v>14.3</v>
      </c>
      <c r="H111" s="190">
        <v>15.7</v>
      </c>
      <c r="I111" s="190">
        <v>13.5</v>
      </c>
      <c r="J111" s="190">
        <v>14.9</v>
      </c>
      <c r="K111" s="190">
        <v>12.1</v>
      </c>
      <c r="L111" s="190">
        <v>12.3</v>
      </c>
      <c r="M111" s="190">
        <v>11</v>
      </c>
      <c r="N111" s="190">
        <v>10.199999999999999</v>
      </c>
      <c r="O111" s="191">
        <f t="shared" si="56"/>
        <v>12.691666666666668</v>
      </c>
      <c r="P111" s="191">
        <f t="shared" si="57"/>
        <v>14.448009033560554</v>
      </c>
      <c r="Q111" s="192">
        <f t="shared" si="58"/>
        <v>1</v>
      </c>
      <c r="R111" s="140">
        <f t="shared" si="62"/>
        <v>11.4</v>
      </c>
      <c r="S111" s="150">
        <f t="shared" si="63"/>
        <v>1</v>
      </c>
      <c r="T111" s="140">
        <f t="shared" si="64"/>
        <v>13.5</v>
      </c>
      <c r="U111" s="150">
        <f t="shared" si="65"/>
        <v>1</v>
      </c>
      <c r="V111" s="141">
        <f t="shared" si="66"/>
        <v>12.691666666666668</v>
      </c>
      <c r="W111" s="142">
        <f t="shared" si="67"/>
        <v>1</v>
      </c>
      <c r="X111" s="144">
        <f t="shared" si="71"/>
        <v>17.3</v>
      </c>
      <c r="Y111" s="144">
        <f t="shared" si="72"/>
        <v>21.748484848484846</v>
      </c>
      <c r="Z111" s="144">
        <f t="shared" si="73"/>
        <v>20.304848484848485</v>
      </c>
      <c r="AA111" s="10"/>
      <c r="AB111" s="357" t="str">
        <f>VLOOKUP($B111,'2007-2020 Metadata'!$A$4:$S$214,MATCH("Urban Area /Monitoring Zone",'2007-2020 Metadata'!$A$4:$S$4,0),FALSE)</f>
        <v>Wellington</v>
      </c>
      <c r="AC111" s="87" t="str">
        <f>VLOOKUP(B111,'2007-2020 Metadata'!$A$6:$A$214,1,FALSE)</f>
        <v>WEL051</v>
      </c>
      <c r="AD111" s="230" t="str">
        <f>VLOOKUP($AC111,'2007-2020 Metadata'!$A$6:$S$214,9,FALSE)</f>
        <v>Wellington</v>
      </c>
      <c r="AE111" s="248">
        <f>IF(ISBLANK(VLOOKUP($AC111,'2007-2020 Metadata'!$A$6:$S$214,19,FALSE)),"",VLOOKUP($AC111,'2007-2020 Metadata'!$A$6:$S$214,19,FALSE))</f>
        <v>4</v>
      </c>
      <c r="AF111" s="88" t="str">
        <f>VLOOKUP($B111,'2007-2020 Metadata'!$A$4:$S$214,MATCH("Site type",'2007-2020 Metadata'!$A$4:$S$4,0),FALSE)</f>
        <v>Local</v>
      </c>
      <c r="AG111" s="143">
        <f t="shared" si="68"/>
        <v>10.199999999999999</v>
      </c>
      <c r="AH111" s="143">
        <f t="shared" si="69"/>
        <v>15.7</v>
      </c>
      <c r="AI111" s="144">
        <f t="shared" si="70"/>
        <v>20.304848484848485</v>
      </c>
    </row>
    <row r="112" spans="1:35" ht="12" customHeight="1" x14ac:dyDescent="0.2">
      <c r="A112" s="202"/>
      <c r="B112" s="193" t="s">
        <v>130</v>
      </c>
      <c r="C112" s="190">
        <v>13.9</v>
      </c>
      <c r="D112" s="190">
        <v>12.1</v>
      </c>
      <c r="E112" s="190">
        <v>21.5</v>
      </c>
      <c r="F112" s="190">
        <v>25.5</v>
      </c>
      <c r="G112" s="190">
        <v>28.1</v>
      </c>
      <c r="H112" s="190">
        <v>30.1</v>
      </c>
      <c r="I112" s="190">
        <v>29.2</v>
      </c>
      <c r="J112" s="190">
        <v>24.3</v>
      </c>
      <c r="K112" s="190">
        <v>23.4</v>
      </c>
      <c r="L112" s="190">
        <v>16.8</v>
      </c>
      <c r="M112" s="190">
        <v>17.399999999999999</v>
      </c>
      <c r="N112" s="190"/>
      <c r="O112" s="191">
        <f t="shared" si="56"/>
        <v>22.027272727272727</v>
      </c>
      <c r="P112" s="191">
        <f t="shared" si="57"/>
        <v>26.900560586077564</v>
      </c>
      <c r="Q112" s="192">
        <f t="shared" si="58"/>
        <v>0.91666666666666663</v>
      </c>
      <c r="R112" s="140">
        <f t="shared" si="62"/>
        <v>15.833333333333334</v>
      </c>
      <c r="S112" s="150">
        <f t="shared" si="63"/>
        <v>1</v>
      </c>
      <c r="T112" s="140">
        <f t="shared" si="64"/>
        <v>25.633333333333336</v>
      </c>
      <c r="U112" s="150">
        <f t="shared" si="65"/>
        <v>1</v>
      </c>
      <c r="V112" s="141">
        <f t="shared" si="66"/>
        <v>22.027272727272727</v>
      </c>
      <c r="W112" s="142">
        <f t="shared" si="67"/>
        <v>0.91666666666666663</v>
      </c>
      <c r="X112" s="144">
        <f t="shared" si="71"/>
        <v>14.926666666666668</v>
      </c>
      <c r="Y112" s="144">
        <f t="shared" si="72"/>
        <v>20.086666666666666</v>
      </c>
      <c r="Z112" s="144">
        <f t="shared" si="73"/>
        <v>16.996454545454547</v>
      </c>
      <c r="AA112" s="10"/>
      <c r="AB112" s="357" t="str">
        <f>VLOOKUP($B112,'2007-2020 Metadata'!$A$4:$S$214,MATCH("Urban Area /Monitoring Zone",'2007-2020 Metadata'!$A$4:$S$4,0),FALSE)</f>
        <v>Lower Hutt</v>
      </c>
      <c r="AC112" s="87" t="str">
        <f>VLOOKUP(B112,'2007-2020 Metadata'!$A$6:$A$214,1,FALSE)</f>
        <v>WEL052</v>
      </c>
      <c r="AD112" s="230" t="str">
        <f>VLOOKUP($AC112,'2007-2020 Metadata'!$A$6:$S$214,9,FALSE)</f>
        <v>Lower Hutt</v>
      </c>
      <c r="AE112" s="248">
        <f>IF(ISBLANK(VLOOKUP($AC112,'2007-2020 Metadata'!$A$6:$S$214,19,FALSE)),"",VLOOKUP($AC112,'2007-2020 Metadata'!$A$6:$S$214,19,FALSE))</f>
        <v>4</v>
      </c>
      <c r="AF112" s="88" t="str">
        <f>VLOOKUP($B112,'2007-2020 Metadata'!$A$4:$S$214,MATCH("Site type",'2007-2020 Metadata'!$A$4:$S$4,0),FALSE)</f>
        <v>SH</v>
      </c>
      <c r="AG112" s="143">
        <f t="shared" si="68"/>
        <v>12.1</v>
      </c>
      <c r="AH112" s="143">
        <f t="shared" si="69"/>
        <v>30.1</v>
      </c>
      <c r="AI112" s="144">
        <f t="shared" si="70"/>
        <v>16.996454545454547</v>
      </c>
    </row>
    <row r="113" spans="1:35" ht="12" customHeight="1" x14ac:dyDescent="0.2">
      <c r="A113" s="202"/>
      <c r="B113" s="193" t="s">
        <v>131</v>
      </c>
      <c r="C113" s="190">
        <v>16</v>
      </c>
      <c r="D113" s="190">
        <v>20.2</v>
      </c>
      <c r="E113" s="190">
        <v>21.7</v>
      </c>
      <c r="F113" s="190">
        <v>26.8</v>
      </c>
      <c r="G113" s="190">
        <v>29.4</v>
      </c>
      <c r="H113" s="190">
        <v>32.4</v>
      </c>
      <c r="I113" s="190">
        <v>26.9</v>
      </c>
      <c r="J113" s="190">
        <v>30.3</v>
      </c>
      <c r="K113" s="190">
        <v>22</v>
      </c>
      <c r="L113" s="190">
        <v>23.7</v>
      </c>
      <c r="M113" s="190">
        <v>16.7</v>
      </c>
      <c r="N113" s="190">
        <v>11.5</v>
      </c>
      <c r="O113" s="191">
        <f t="shared" si="56"/>
        <v>23.133333333333336</v>
      </c>
      <c r="P113" s="191">
        <f t="shared" si="57"/>
        <v>26.29455992728597</v>
      </c>
      <c r="Q113" s="192">
        <f t="shared" si="58"/>
        <v>1</v>
      </c>
      <c r="R113" s="140">
        <f t="shared" si="62"/>
        <v>19.3</v>
      </c>
      <c r="S113" s="150">
        <f t="shared" si="63"/>
        <v>1</v>
      </c>
      <c r="T113" s="140">
        <f t="shared" si="64"/>
        <v>26.400000000000002</v>
      </c>
      <c r="U113" s="150">
        <f t="shared" si="65"/>
        <v>1</v>
      </c>
      <c r="V113" s="141">
        <f t="shared" si="66"/>
        <v>23.133333333333336</v>
      </c>
      <c r="W113" s="142">
        <f t="shared" si="67"/>
        <v>1</v>
      </c>
      <c r="X113" s="144">
        <f t="shared" si="71"/>
        <v>14.926666666666668</v>
      </c>
      <c r="Y113" s="144">
        <f t="shared" si="72"/>
        <v>20.086666666666666</v>
      </c>
      <c r="Z113" s="144">
        <f t="shared" si="73"/>
        <v>16.996454545454547</v>
      </c>
      <c r="AA113" s="10"/>
      <c r="AB113" s="357" t="str">
        <f>VLOOKUP($B113,'2007-2020 Metadata'!$A$4:$S$214,MATCH("Urban Area /Monitoring Zone",'2007-2020 Metadata'!$A$4:$S$4,0),FALSE)</f>
        <v>Lower Hutt</v>
      </c>
      <c r="AC113" s="87" t="str">
        <f>VLOOKUP(B113,'2007-2020 Metadata'!$A$6:$A$214,1,FALSE)</f>
        <v>WEL053</v>
      </c>
      <c r="AD113" s="230" t="str">
        <f>VLOOKUP($AC113,'2007-2020 Metadata'!$A$6:$S$214,9,FALSE)</f>
        <v>Lower Hutt</v>
      </c>
      <c r="AE113" s="248">
        <f>IF(ISBLANK(VLOOKUP($AC113,'2007-2020 Metadata'!$A$6:$S$214,19,FALSE)),"",VLOOKUP($AC113,'2007-2020 Metadata'!$A$6:$S$214,19,FALSE))</f>
        <v>4</v>
      </c>
      <c r="AF113" s="88" t="str">
        <f>VLOOKUP($B113,'2007-2020 Metadata'!$A$4:$S$214,MATCH("Site type",'2007-2020 Metadata'!$A$4:$S$4,0),FALSE)</f>
        <v>Local</v>
      </c>
      <c r="AG113" s="143">
        <f t="shared" si="68"/>
        <v>11.5</v>
      </c>
      <c r="AH113" s="143">
        <f t="shared" si="69"/>
        <v>32.4</v>
      </c>
      <c r="AI113" s="144">
        <f t="shared" si="70"/>
        <v>16.996454545454547</v>
      </c>
    </row>
    <row r="114" spans="1:35" ht="12" customHeight="1" x14ac:dyDescent="0.2">
      <c r="A114" s="202"/>
      <c r="B114" s="193" t="s">
        <v>132</v>
      </c>
      <c r="C114" s="190">
        <v>7</v>
      </c>
      <c r="D114" s="190">
        <v>8.3000000000000007</v>
      </c>
      <c r="E114" s="190">
        <v>9.4</v>
      </c>
      <c r="F114" s="190">
        <v>12.9</v>
      </c>
      <c r="G114" s="190">
        <v>14.2</v>
      </c>
      <c r="H114" s="190">
        <v>16.2</v>
      </c>
      <c r="I114" s="190">
        <v>12.8</v>
      </c>
      <c r="J114" s="190">
        <v>15.8</v>
      </c>
      <c r="K114" s="190">
        <v>11.6</v>
      </c>
      <c r="L114" s="190">
        <v>7.3</v>
      </c>
      <c r="M114" s="190">
        <v>7</v>
      </c>
      <c r="N114" s="190">
        <v>6.3</v>
      </c>
      <c r="O114" s="191">
        <f t="shared" si="56"/>
        <v>10.733333333333333</v>
      </c>
      <c r="P114" s="191">
        <f t="shared" si="57"/>
        <v>32.308586460500791</v>
      </c>
      <c r="Q114" s="192">
        <f t="shared" si="58"/>
        <v>1</v>
      </c>
      <c r="R114" s="140">
        <f t="shared" si="62"/>
        <v>8.2333333333333343</v>
      </c>
      <c r="S114" s="150">
        <f t="shared" si="63"/>
        <v>1</v>
      </c>
      <c r="T114" s="140">
        <f t="shared" si="64"/>
        <v>13.4</v>
      </c>
      <c r="U114" s="150">
        <f t="shared" si="65"/>
        <v>1</v>
      </c>
      <c r="V114" s="141">
        <f t="shared" si="66"/>
        <v>10.733333333333333</v>
      </c>
      <c r="W114" s="142">
        <f t="shared" si="67"/>
        <v>1</v>
      </c>
      <c r="X114" s="144">
        <f t="shared" si="71"/>
        <v>14.926666666666668</v>
      </c>
      <c r="Y114" s="144">
        <f t="shared" si="72"/>
        <v>20.086666666666666</v>
      </c>
      <c r="Z114" s="144">
        <f t="shared" si="73"/>
        <v>16.996454545454547</v>
      </c>
      <c r="AA114" s="10"/>
      <c r="AB114" s="357" t="str">
        <f>VLOOKUP($B114,'2007-2020 Metadata'!$A$4:$S$214,MATCH("Urban Area /Monitoring Zone",'2007-2020 Metadata'!$A$4:$S$4,0),FALSE)</f>
        <v>Lower Hutt</v>
      </c>
      <c r="AC114" s="87" t="str">
        <f>VLOOKUP(B114,'2007-2020 Metadata'!$A$6:$A$214,1,FALSE)</f>
        <v>WEL054</v>
      </c>
      <c r="AD114" s="230" t="str">
        <f>VLOOKUP($AC114,'2007-2020 Metadata'!$A$6:$S$214,9,FALSE)</f>
        <v>Lower Hutt</v>
      </c>
      <c r="AE114" s="248">
        <f>IF(ISBLANK(VLOOKUP($AC114,'2007-2020 Metadata'!$A$6:$S$214,19,FALSE)),"",VLOOKUP($AC114,'2007-2020 Metadata'!$A$6:$S$214,19,FALSE))</f>
        <v>3.5</v>
      </c>
      <c r="AF114" s="88" t="str">
        <f>VLOOKUP($B114,'2007-2020 Metadata'!$A$4:$S$214,MATCH("Site type",'2007-2020 Metadata'!$A$4:$S$4,0),FALSE)</f>
        <v>Background</v>
      </c>
      <c r="AG114" s="143">
        <f t="shared" si="68"/>
        <v>6.3</v>
      </c>
      <c r="AH114" s="143">
        <f t="shared" si="69"/>
        <v>16.2</v>
      </c>
      <c r="AI114" s="144">
        <f t="shared" si="70"/>
        <v>16.996454545454547</v>
      </c>
    </row>
    <row r="115" spans="1:35" ht="12" customHeight="1" x14ac:dyDescent="0.2">
      <c r="A115" s="202"/>
      <c r="B115" s="193" t="s">
        <v>135</v>
      </c>
      <c r="C115" s="190">
        <v>16.600000000000001</v>
      </c>
      <c r="D115" s="190">
        <v>18.8</v>
      </c>
      <c r="E115" s="190">
        <v>19.899999999999999</v>
      </c>
      <c r="F115" s="190">
        <v>24.1</v>
      </c>
      <c r="G115" s="190">
        <v>26.8</v>
      </c>
      <c r="H115" s="190">
        <v>17.600000000000001</v>
      </c>
      <c r="I115" s="190">
        <v>23.1</v>
      </c>
      <c r="J115" s="190">
        <v>22.3</v>
      </c>
      <c r="K115" s="190">
        <v>22</v>
      </c>
      <c r="L115" s="190">
        <v>19.3</v>
      </c>
      <c r="M115" s="190">
        <v>15.1</v>
      </c>
      <c r="N115" s="190">
        <v>14.6</v>
      </c>
      <c r="O115" s="191">
        <f t="shared" si="56"/>
        <v>20.016666666666669</v>
      </c>
      <c r="P115" s="191">
        <f t="shared" si="57"/>
        <v>17.918780504176834</v>
      </c>
      <c r="Q115" s="192">
        <f t="shared" si="58"/>
        <v>1</v>
      </c>
      <c r="R115" s="140">
        <f t="shared" si="62"/>
        <v>18.433333333333334</v>
      </c>
      <c r="S115" s="150">
        <f t="shared" si="63"/>
        <v>1</v>
      </c>
      <c r="T115" s="140">
        <f t="shared" si="64"/>
        <v>22.466666666666669</v>
      </c>
      <c r="U115" s="150">
        <f t="shared" si="65"/>
        <v>1</v>
      </c>
      <c r="V115" s="141">
        <f t="shared" si="66"/>
        <v>20.016666666666669</v>
      </c>
      <c r="W115" s="142">
        <f t="shared" si="67"/>
        <v>1</v>
      </c>
      <c r="X115" s="144">
        <f t="shared" si="71"/>
        <v>18.433333333333334</v>
      </c>
      <c r="Y115" s="144">
        <f t="shared" si="72"/>
        <v>22.466666666666669</v>
      </c>
      <c r="Z115" s="144">
        <f t="shared" si="73"/>
        <v>20.016666666666669</v>
      </c>
      <c r="AA115" s="10"/>
      <c r="AB115" s="357" t="str">
        <f>VLOOKUP($B115,'2007-2020 Metadata'!$A$4:$S$214,MATCH("Urban Area /Monitoring Zone",'2007-2020 Metadata'!$A$4:$S$4,0),FALSE)</f>
        <v>Upper Hutt</v>
      </c>
      <c r="AC115" s="87" t="str">
        <f>VLOOKUP(B115,'2007-2020 Metadata'!$A$6:$A$214,1,FALSE)</f>
        <v>WEL057</v>
      </c>
      <c r="AD115" s="230" t="str">
        <f>VLOOKUP($AC115,'2007-2020 Metadata'!$A$6:$S$214,9,FALSE)</f>
        <v>Upper Hutt</v>
      </c>
      <c r="AE115" s="248">
        <f>IF(ISBLANK(VLOOKUP($AC115,'2007-2020 Metadata'!$A$6:$S$214,19,FALSE)),"",VLOOKUP($AC115,'2007-2020 Metadata'!$A$6:$S$214,19,FALSE))</f>
        <v>4</v>
      </c>
      <c r="AF115" s="88" t="str">
        <f>VLOOKUP($B115,'2007-2020 Metadata'!$A$4:$S$214,MATCH("Site type",'2007-2020 Metadata'!$A$4:$S$4,0),FALSE)</f>
        <v>SH</v>
      </c>
      <c r="AG115" s="143">
        <f t="shared" si="68"/>
        <v>14.6</v>
      </c>
      <c r="AH115" s="143">
        <f t="shared" si="69"/>
        <v>26.8</v>
      </c>
      <c r="AI115" s="144">
        <f t="shared" si="70"/>
        <v>20.016666666666669</v>
      </c>
    </row>
    <row r="116" spans="1:35" ht="12" customHeight="1" x14ac:dyDescent="0.2">
      <c r="A116" s="202"/>
      <c r="B116" s="193" t="s">
        <v>139</v>
      </c>
      <c r="C116" s="190">
        <v>12.4</v>
      </c>
      <c r="D116" s="190">
        <v>14.3</v>
      </c>
      <c r="E116" s="190">
        <v>16.5</v>
      </c>
      <c r="F116" s="190">
        <v>18.600000000000001</v>
      </c>
      <c r="G116" s="190">
        <v>19.5</v>
      </c>
      <c r="H116" s="190">
        <v>22.6</v>
      </c>
      <c r="I116" s="190">
        <v>19.100000000000001</v>
      </c>
      <c r="J116" s="190">
        <v>18.7</v>
      </c>
      <c r="K116" s="190">
        <v>18.5</v>
      </c>
      <c r="L116" s="190">
        <v>15.2</v>
      </c>
      <c r="M116" s="190">
        <v>8.3000000000000007</v>
      </c>
      <c r="N116" s="190">
        <v>10.199999999999999</v>
      </c>
      <c r="O116" s="191">
        <f t="shared" si="56"/>
        <v>16.158333333333331</v>
      </c>
      <c r="P116" s="191">
        <f t="shared" si="57"/>
        <v>24.953380603199566</v>
      </c>
      <c r="Q116" s="192">
        <f t="shared" si="58"/>
        <v>1</v>
      </c>
      <c r="R116" s="140">
        <f t="shared" si="62"/>
        <v>14.4</v>
      </c>
      <c r="S116" s="150">
        <f t="shared" si="63"/>
        <v>1</v>
      </c>
      <c r="T116" s="140">
        <f t="shared" si="64"/>
        <v>18.766666666666666</v>
      </c>
      <c r="U116" s="150">
        <f t="shared" si="65"/>
        <v>1</v>
      </c>
      <c r="V116" s="141">
        <f t="shared" si="66"/>
        <v>16.158333333333331</v>
      </c>
      <c r="W116" s="142">
        <f t="shared" si="67"/>
        <v>1</v>
      </c>
      <c r="X116" s="144">
        <f t="shared" si="71"/>
        <v>13.15</v>
      </c>
      <c r="Y116" s="144">
        <f t="shared" si="72"/>
        <v>18.816666666666666</v>
      </c>
      <c r="Z116" s="144">
        <f t="shared" si="73"/>
        <v>16.283333333333331</v>
      </c>
      <c r="AA116" s="10"/>
      <c r="AB116" s="357" t="str">
        <f>VLOOKUP($B116,'2007-2020 Metadata'!$A$4:$S$214,MATCH("Urban Area /Monitoring Zone",'2007-2020 Metadata'!$A$4:$S$4,0),FALSE)</f>
        <v>Otaki</v>
      </c>
      <c r="AC116" s="87" t="str">
        <f>VLOOKUP(B116,'2007-2020 Metadata'!$A$6:$A$214,1,FALSE)</f>
        <v>WEL061</v>
      </c>
      <c r="AD116" s="230" t="str">
        <f>VLOOKUP($AC116,'2007-2020 Metadata'!$A$6:$S$214,9,FALSE)</f>
        <v>Kapiti Coast</v>
      </c>
      <c r="AE116" s="248">
        <f>IF(ISBLANK(VLOOKUP($AC116,'2007-2020 Metadata'!$A$6:$S$214,19,FALSE)),"",VLOOKUP($AC116,'2007-2020 Metadata'!$A$6:$S$214,19,FALSE))</f>
        <v>4</v>
      </c>
      <c r="AF116" s="88" t="str">
        <f>VLOOKUP($B116,'2007-2020 Metadata'!$A$4:$S$214,MATCH("Site type",'2007-2020 Metadata'!$A$4:$S$4,0),FALSE)</f>
        <v>SH</v>
      </c>
      <c r="AG116" s="143">
        <f t="shared" si="68"/>
        <v>8.3000000000000007</v>
      </c>
      <c r="AH116" s="143">
        <f t="shared" si="69"/>
        <v>22.6</v>
      </c>
      <c r="AI116" s="144">
        <f t="shared" si="70"/>
        <v>16.283333333333331</v>
      </c>
    </row>
    <row r="117" spans="1:35" ht="12" customHeight="1" x14ac:dyDescent="0.2">
      <c r="A117" s="202"/>
      <c r="B117" s="193" t="s">
        <v>140</v>
      </c>
      <c r="C117" s="190">
        <v>8.3000000000000007</v>
      </c>
      <c r="D117" s="190">
        <v>7.6</v>
      </c>
      <c r="E117" s="190">
        <v>9.8000000000000007</v>
      </c>
      <c r="F117" s="190">
        <v>13.8</v>
      </c>
      <c r="G117" s="190">
        <v>15.7</v>
      </c>
      <c r="H117" s="190">
        <v>18.5</v>
      </c>
      <c r="I117" s="190">
        <v>13.9</v>
      </c>
      <c r="J117" s="190">
        <v>16.899999999999999</v>
      </c>
      <c r="K117" s="190">
        <v>12.1</v>
      </c>
      <c r="L117" s="190">
        <v>9.6999999999999993</v>
      </c>
      <c r="M117" s="190">
        <v>8.9</v>
      </c>
      <c r="N117" s="190">
        <v>5.9</v>
      </c>
      <c r="O117" s="191">
        <f t="shared" si="56"/>
        <v>11.758333333333333</v>
      </c>
      <c r="P117" s="191">
        <f t="shared" si="57"/>
        <v>32.580263338746782</v>
      </c>
      <c r="Q117" s="192">
        <f t="shared" si="58"/>
        <v>1</v>
      </c>
      <c r="R117" s="140">
        <f t="shared" si="62"/>
        <v>8.5666666666666682</v>
      </c>
      <c r="S117" s="150">
        <f t="shared" si="63"/>
        <v>1</v>
      </c>
      <c r="T117" s="140">
        <f t="shared" si="64"/>
        <v>14.299999999999999</v>
      </c>
      <c r="U117" s="150">
        <f t="shared" si="65"/>
        <v>1</v>
      </c>
      <c r="V117" s="141">
        <f t="shared" si="66"/>
        <v>11.758333333333333</v>
      </c>
      <c r="W117" s="142">
        <f t="shared" si="67"/>
        <v>1</v>
      </c>
      <c r="X117" s="144">
        <f t="shared" si="71"/>
        <v>15.200000000000001</v>
      </c>
      <c r="Y117" s="144">
        <f t="shared" si="72"/>
        <v>21.144444444444442</v>
      </c>
      <c r="Z117" s="144">
        <f t="shared" si="73"/>
        <v>18.704545454545457</v>
      </c>
      <c r="AA117" s="10"/>
      <c r="AB117" s="357" t="str">
        <f>VLOOKUP($B117,'2007-2020 Metadata'!$A$4:$S$214,MATCH("Urban Area /Monitoring Zone",'2007-2020 Metadata'!$A$4:$S$4,0),FALSE)</f>
        <v>Nelson</v>
      </c>
      <c r="AC117" s="87" t="str">
        <f>VLOOKUP(B117,'2007-2020 Metadata'!$A$6:$A$214,1,FALSE)</f>
        <v>WEL062</v>
      </c>
      <c r="AD117" s="230" t="str">
        <f>VLOOKUP($AC117,'2007-2020 Metadata'!$A$6:$S$214,9,FALSE)</f>
        <v>Nelson</v>
      </c>
      <c r="AE117" s="248">
        <f>IF(ISBLANK(VLOOKUP($AC117,'2007-2020 Metadata'!$A$6:$S$214,19,FALSE)),"",VLOOKUP($AC117,'2007-2020 Metadata'!$A$6:$S$214,19,FALSE))</f>
        <v>2.2000000000000002</v>
      </c>
      <c r="AF117" s="88" t="str">
        <f>VLOOKUP($B117,'2007-2020 Metadata'!$A$4:$S$214,MATCH("Site type",'2007-2020 Metadata'!$A$4:$S$4,0),FALSE)</f>
        <v>Background</v>
      </c>
      <c r="AG117" s="143">
        <f t="shared" si="68"/>
        <v>5.9</v>
      </c>
      <c r="AH117" s="143">
        <f t="shared" si="69"/>
        <v>18.5</v>
      </c>
      <c r="AI117" s="144">
        <f t="shared" si="70"/>
        <v>18.704545454545457</v>
      </c>
    </row>
    <row r="118" spans="1:35" ht="12" customHeight="1" x14ac:dyDescent="0.2">
      <c r="A118" s="202"/>
      <c r="B118" s="193" t="s">
        <v>141</v>
      </c>
      <c r="C118" s="190">
        <v>7.8</v>
      </c>
      <c r="D118" s="190">
        <v>12.5</v>
      </c>
      <c r="E118" s="190">
        <v>15.4</v>
      </c>
      <c r="F118" s="190">
        <v>19.7</v>
      </c>
      <c r="G118" s="190">
        <v>20.6</v>
      </c>
      <c r="H118" s="190">
        <v>19</v>
      </c>
      <c r="I118" s="190">
        <v>18.7</v>
      </c>
      <c r="J118" s="190">
        <v>18.3</v>
      </c>
      <c r="K118" s="190">
        <v>19.600000000000001</v>
      </c>
      <c r="L118" s="190">
        <v>15.5</v>
      </c>
      <c r="M118" s="190">
        <v>17.8</v>
      </c>
      <c r="N118" s="190">
        <v>12</v>
      </c>
      <c r="O118" s="191">
        <f t="shared" si="56"/>
        <v>16.408333333333335</v>
      </c>
      <c r="P118" s="191">
        <f t="shared" si="57"/>
        <v>22.71698528133124</v>
      </c>
      <c r="Q118" s="192">
        <f t="shared" si="58"/>
        <v>1</v>
      </c>
      <c r="R118" s="140">
        <f t="shared" si="62"/>
        <v>11.9</v>
      </c>
      <c r="S118" s="150">
        <f t="shared" si="63"/>
        <v>1</v>
      </c>
      <c r="T118" s="140">
        <f t="shared" si="64"/>
        <v>18.866666666666667</v>
      </c>
      <c r="U118" s="150">
        <f t="shared" si="65"/>
        <v>1</v>
      </c>
      <c r="V118" s="141">
        <f t="shared" si="66"/>
        <v>16.408333333333335</v>
      </c>
      <c r="W118" s="142">
        <f t="shared" si="67"/>
        <v>1</v>
      </c>
      <c r="X118" s="144">
        <f t="shared" si="71"/>
        <v>13.15</v>
      </c>
      <c r="Y118" s="144">
        <f t="shared" si="72"/>
        <v>18.816666666666666</v>
      </c>
      <c r="Z118" s="144">
        <f t="shared" si="73"/>
        <v>16.283333333333331</v>
      </c>
      <c r="AA118" s="10"/>
      <c r="AB118" s="357" t="str">
        <f>VLOOKUP($B118,'2007-2020 Metadata'!$A$4:$S$214,MATCH("Urban Area /Monitoring Zone",'2007-2020 Metadata'!$A$4:$S$4,0),FALSE)</f>
        <v xml:space="preserve">Kapiti </v>
      </c>
      <c r="AC118" s="87" t="str">
        <f>VLOOKUP(B118,'2007-2020 Metadata'!$A$6:$A$214,1,FALSE)</f>
        <v>WEL063</v>
      </c>
      <c r="AD118" s="230" t="str">
        <f>VLOOKUP($AC118,'2007-2020 Metadata'!$A$6:$S$214,9,FALSE)</f>
        <v>Kapiti Coast</v>
      </c>
      <c r="AE118" s="248">
        <f>IF(ISBLANK(VLOOKUP($AC118,'2007-2020 Metadata'!$A$6:$S$214,19,FALSE)),"",VLOOKUP($AC118,'2007-2020 Metadata'!$A$6:$S$214,19,FALSE))</f>
        <v>3.5</v>
      </c>
      <c r="AF118" s="88" t="str">
        <f>VLOOKUP($B118,'2007-2020 Metadata'!$A$4:$S$214,MATCH("Site type",'2007-2020 Metadata'!$A$4:$S$4,0),FALSE)</f>
        <v>Local (ex SH)</v>
      </c>
      <c r="AG118" s="143">
        <f t="shared" si="68"/>
        <v>7.8</v>
      </c>
      <c r="AH118" s="143">
        <f t="shared" si="69"/>
        <v>20.6</v>
      </c>
      <c r="AI118" s="144">
        <f t="shared" si="70"/>
        <v>16.283333333333331</v>
      </c>
    </row>
    <row r="119" spans="1:35" ht="12" customHeight="1" x14ac:dyDescent="0.2">
      <c r="A119" s="202"/>
      <c r="B119" s="193" t="s">
        <v>142</v>
      </c>
      <c r="C119" s="190">
        <v>5.0999999999999996</v>
      </c>
      <c r="D119" s="190">
        <v>16.100000000000001</v>
      </c>
      <c r="E119" s="190">
        <v>19.5</v>
      </c>
      <c r="F119" s="190">
        <v>26</v>
      </c>
      <c r="G119" s="190">
        <v>20.399999999999999</v>
      </c>
      <c r="H119" s="190">
        <v>30.5</v>
      </c>
      <c r="I119" s="190">
        <v>26</v>
      </c>
      <c r="J119" s="190">
        <v>24.4</v>
      </c>
      <c r="K119" s="190">
        <v>20.6</v>
      </c>
      <c r="L119" s="190">
        <v>20.8</v>
      </c>
      <c r="M119" s="190">
        <v>14.3</v>
      </c>
      <c r="N119" s="190">
        <v>14.8</v>
      </c>
      <c r="O119" s="191">
        <f t="shared" si="56"/>
        <v>19.875000000000004</v>
      </c>
      <c r="P119" s="191">
        <f t="shared" si="57"/>
        <v>32.464285433767451</v>
      </c>
      <c r="Q119" s="192">
        <f t="shared" si="58"/>
        <v>1</v>
      </c>
      <c r="R119" s="140">
        <f t="shared" si="62"/>
        <v>13.566666666666668</v>
      </c>
      <c r="S119" s="150">
        <f t="shared" si="63"/>
        <v>1</v>
      </c>
      <c r="T119" s="140">
        <f t="shared" si="64"/>
        <v>23.666666666666668</v>
      </c>
      <c r="U119" s="150">
        <f t="shared" si="65"/>
        <v>1</v>
      </c>
      <c r="V119" s="141">
        <f t="shared" si="66"/>
        <v>19.875000000000004</v>
      </c>
      <c r="W119" s="142">
        <f t="shared" si="67"/>
        <v>1</v>
      </c>
      <c r="X119" s="144">
        <f t="shared" si="71"/>
        <v>17.3</v>
      </c>
      <c r="Y119" s="144">
        <f t="shared" si="72"/>
        <v>21.748484848484846</v>
      </c>
      <c r="Z119" s="144">
        <f t="shared" si="73"/>
        <v>20.304848484848485</v>
      </c>
      <c r="AA119" s="10"/>
      <c r="AB119" s="357" t="str">
        <f>VLOOKUP($B119,'2007-2020 Metadata'!$A$4:$S$214,MATCH("Urban Area /Monitoring Zone",'2007-2020 Metadata'!$A$4:$S$4,0),FALSE)</f>
        <v>Wellington</v>
      </c>
      <c r="AC119" s="87" t="str">
        <f>VLOOKUP(B119,'2007-2020 Metadata'!$A$6:$A$214,1,FALSE)</f>
        <v>WEL064</v>
      </c>
      <c r="AD119" s="230" t="str">
        <f>VLOOKUP($AC119,'2007-2020 Metadata'!$A$6:$S$214,9,FALSE)</f>
        <v>Wellington</v>
      </c>
      <c r="AE119" s="248">
        <f>IF(ISBLANK(VLOOKUP($AC119,'2007-2020 Metadata'!$A$6:$S$214,19,FALSE)),"",VLOOKUP($AC119,'2007-2020 Metadata'!$A$6:$S$214,19,FALSE))</f>
        <v>4</v>
      </c>
      <c r="AF119" s="88" t="str">
        <f>VLOOKUP($B119,'2007-2020 Metadata'!$A$4:$S$214,MATCH("Site type",'2007-2020 Metadata'!$A$4:$S$4,0),FALSE)</f>
        <v>SH</v>
      </c>
      <c r="AG119" s="143">
        <f t="shared" si="68"/>
        <v>5.0999999999999996</v>
      </c>
      <c r="AH119" s="143">
        <f t="shared" si="69"/>
        <v>30.5</v>
      </c>
      <c r="AI119" s="144">
        <f t="shared" si="70"/>
        <v>20.304848484848485</v>
      </c>
    </row>
    <row r="120" spans="1:35" ht="12" customHeight="1" x14ac:dyDescent="0.2">
      <c r="A120" s="202"/>
      <c r="B120" s="193" t="s">
        <v>479</v>
      </c>
      <c r="C120" s="190">
        <v>10</v>
      </c>
      <c r="D120" s="190">
        <v>5.8</v>
      </c>
      <c r="E120" s="190">
        <v>7.4</v>
      </c>
      <c r="F120" s="190">
        <v>12.2</v>
      </c>
      <c r="G120" s="190">
        <v>8.1</v>
      </c>
      <c r="H120" s="190">
        <v>9.8000000000000007</v>
      </c>
      <c r="I120" s="190">
        <v>7.4</v>
      </c>
      <c r="J120" s="190">
        <v>9</v>
      </c>
      <c r="K120" s="190">
        <v>6.8</v>
      </c>
      <c r="L120" s="190">
        <v>5.7</v>
      </c>
      <c r="M120" s="190">
        <v>4.5999999999999996</v>
      </c>
      <c r="N120" s="190">
        <v>5.4</v>
      </c>
      <c r="O120" s="191">
        <f t="shared" si="56"/>
        <v>7.6833333333333345</v>
      </c>
      <c r="P120" s="191">
        <f t="shared" si="57"/>
        <v>27.938891955344797</v>
      </c>
      <c r="Q120" s="192">
        <f t="shared" si="58"/>
        <v>1</v>
      </c>
      <c r="R120" s="140">
        <f t="shared" si="62"/>
        <v>7.7333333333333343</v>
      </c>
      <c r="S120" s="150">
        <f t="shared" si="63"/>
        <v>1</v>
      </c>
      <c r="T120" s="140">
        <f t="shared" si="64"/>
        <v>7.7333333333333334</v>
      </c>
      <c r="U120" s="150">
        <f t="shared" si="65"/>
        <v>1</v>
      </c>
      <c r="V120" s="141">
        <f t="shared" si="66"/>
        <v>7.6833333333333345</v>
      </c>
      <c r="W120" s="142">
        <f t="shared" si="67"/>
        <v>1</v>
      </c>
      <c r="X120" s="144">
        <f t="shared" si="71"/>
        <v>11.833333333333332</v>
      </c>
      <c r="Y120" s="144">
        <f t="shared" si="72"/>
        <v>14.133333333333335</v>
      </c>
      <c r="Z120" s="144">
        <f t="shared" si="73"/>
        <v>13.216666666666669</v>
      </c>
      <c r="AA120" s="10"/>
      <c r="AB120" s="357" t="str">
        <f>VLOOKUP($B120,'2007-2020 Metadata'!$A$4:$S$214,MATCH("Urban Area /Monitoring Zone",'2007-2020 Metadata'!$A$4:$S$4,0),FALSE)</f>
        <v>Porirua</v>
      </c>
      <c r="AC120" s="87" t="str">
        <f>VLOOKUP(B120,'2007-2020 Metadata'!$A$6:$A$214,1,FALSE)</f>
        <v>WEL072</v>
      </c>
      <c r="AD120" s="230" t="str">
        <f>VLOOKUP($AC120,'2007-2020 Metadata'!$A$6:$S$214,9,FALSE)</f>
        <v>Porirua</v>
      </c>
      <c r="AE120" s="248">
        <f>IF(ISBLANK(VLOOKUP($AC120,'2007-2020 Metadata'!$A$6:$S$214,19,FALSE)),"",VLOOKUP($AC120,'2007-2020 Metadata'!$A$6:$S$214,19,FALSE))</f>
        <v>3</v>
      </c>
      <c r="AF120" s="88" t="str">
        <f>VLOOKUP($B120,'2007-2020 Metadata'!$A$4:$S$214,MATCH("Site type",'2007-2020 Metadata'!$A$4:$S$4,0),FALSE)</f>
        <v>Background</v>
      </c>
      <c r="AG120" s="143">
        <f t="shared" si="68"/>
        <v>4.5999999999999996</v>
      </c>
      <c r="AH120" s="143">
        <f t="shared" si="69"/>
        <v>12.2</v>
      </c>
      <c r="AI120" s="144">
        <f t="shared" si="70"/>
        <v>13.216666666666669</v>
      </c>
    </row>
    <row r="121" spans="1:35" ht="12" customHeight="1" x14ac:dyDescent="0.2">
      <c r="A121" s="202"/>
      <c r="B121" s="193" t="s">
        <v>503</v>
      </c>
      <c r="C121" s="190">
        <v>14.8</v>
      </c>
      <c r="D121" s="190">
        <v>18.2</v>
      </c>
      <c r="E121" s="190">
        <v>20.100000000000001</v>
      </c>
      <c r="F121" s="190">
        <v>26.6</v>
      </c>
      <c r="G121" s="190">
        <v>22.4</v>
      </c>
      <c r="H121" s="190">
        <v>29</v>
      </c>
      <c r="I121" s="190">
        <v>20.7</v>
      </c>
      <c r="J121" s="190">
        <v>21.6</v>
      </c>
      <c r="K121" s="190">
        <v>23.2</v>
      </c>
      <c r="L121" s="190">
        <v>17.100000000000001</v>
      </c>
      <c r="M121" s="190">
        <v>16.899999999999999</v>
      </c>
      <c r="N121" s="190">
        <v>13.2</v>
      </c>
      <c r="O121" s="191">
        <f t="shared" si="56"/>
        <v>20.316666666666663</v>
      </c>
      <c r="P121" s="191">
        <f t="shared" si="57"/>
        <v>21.872145570186309</v>
      </c>
      <c r="Q121" s="192">
        <f t="shared" si="58"/>
        <v>1</v>
      </c>
      <c r="R121" s="260">
        <f t="shared" si="62"/>
        <v>17.7</v>
      </c>
      <c r="S121" s="261">
        <f t="shared" si="63"/>
        <v>1</v>
      </c>
      <c r="T121" s="260">
        <f t="shared" si="64"/>
        <v>21.833333333333332</v>
      </c>
      <c r="U121" s="261">
        <f t="shared" si="65"/>
        <v>1</v>
      </c>
      <c r="V121" s="262">
        <f t="shared" si="66"/>
        <v>20.316666666666663</v>
      </c>
      <c r="W121" s="261">
        <f t="shared" si="67"/>
        <v>1</v>
      </c>
      <c r="X121" s="177">
        <f t="shared" si="71"/>
        <v>17.3</v>
      </c>
      <c r="Y121" s="177">
        <f t="shared" si="72"/>
        <v>21.748484848484846</v>
      </c>
      <c r="Z121" s="177">
        <f t="shared" si="73"/>
        <v>20.304848484848485</v>
      </c>
      <c r="AA121" s="10"/>
      <c r="AB121" s="357" t="str">
        <f>VLOOKUP($B121,'2007-2020 Metadata'!$A$4:$S$214,MATCH("Urban Area /Monitoring Zone",'2007-2020 Metadata'!$A$4:$S$4,0),FALSE)</f>
        <v>Wellington</v>
      </c>
      <c r="AC121" s="259" t="str">
        <f>VLOOKUP(B121,'2007-2020 Metadata'!$A$6:$A$214,1,FALSE)</f>
        <v>WEL073</v>
      </c>
      <c r="AD121" s="256" t="str">
        <f>VLOOKUP($AC121,'2007-2020 Metadata'!$A$6:$S$214,9,FALSE)</f>
        <v>Wellington</v>
      </c>
      <c r="AE121" s="263">
        <f>IF(ISBLANK(VLOOKUP($AC121,'2007-2020 Metadata'!$A$6:$S$214,19,FALSE)),"",VLOOKUP($AC121,'2007-2020 Metadata'!$A$6:$S$214,19,FALSE))</f>
        <v>4</v>
      </c>
      <c r="AF121" s="257" t="str">
        <f>VLOOKUP($B121,'2007-2020 Metadata'!$A$4:$S$214,MATCH("Site type",'2007-2020 Metadata'!$A$4:$S$4,0),FALSE)</f>
        <v>SH</v>
      </c>
      <c r="AG121" s="258">
        <f>MIN(AVERAGE($C$121:$C$123),AVERAGE($D$121:$D$123),AVERAGE($E$121:$E$123),AVERAGE($F$121:$F$123),AVERAGE($G$121:$G$123),AVERAGE($H$121:$H$123),AVERAGE($I$121:$I$123),AVERAGE($J$121:$J$123),AVERAGE($K$121:$K$123),AVERAGE($L$121:$L$123),AVERAGE($M$121:$M$123),AVERAGE($N$121:$N$123))</f>
        <v>13.133333333333333</v>
      </c>
      <c r="AH121" s="258">
        <f>MAX(AVERAGE($C$121:$C$123),AVERAGE($D$121:$D$123),AVERAGE($E$121:$E$123),AVERAGE($F$121:$F$123),AVERAGE($G$121:$G$123),AVERAGE($H$121:$H$123),AVERAGE($I$121:$I$123),AVERAGE($J$121:$J$123),AVERAGE($K$121:$K$123),AVERAGE($L$121:$L$123),AVERAGE($M$121:$M$123),AVERAGE($N$121:$N$123))</f>
        <v>29.466666666666669</v>
      </c>
      <c r="AI121" s="177">
        <f t="shared" si="70"/>
        <v>20.304848484848485</v>
      </c>
    </row>
    <row r="122" spans="1:35" ht="12" customHeight="1" x14ac:dyDescent="0.2">
      <c r="A122" s="202"/>
      <c r="B122" s="193" t="s">
        <v>505</v>
      </c>
      <c r="C122" s="190">
        <v>14.5</v>
      </c>
      <c r="D122" s="190">
        <v>18.5</v>
      </c>
      <c r="E122" s="190">
        <v>20.9</v>
      </c>
      <c r="F122" s="190">
        <v>24.8</v>
      </c>
      <c r="G122" s="190">
        <v>25.4</v>
      </c>
      <c r="H122" s="190">
        <v>29.6</v>
      </c>
      <c r="I122" s="190">
        <v>20.100000000000001</v>
      </c>
      <c r="J122" s="190">
        <v>24.2</v>
      </c>
      <c r="K122" s="190">
        <v>21.9</v>
      </c>
      <c r="L122" s="190">
        <v>15.5</v>
      </c>
      <c r="M122" s="190">
        <v>18.8</v>
      </c>
      <c r="N122" s="190">
        <v>13</v>
      </c>
      <c r="O122" s="191">
        <f t="shared" si="56"/>
        <v>20.599999999999998</v>
      </c>
      <c r="P122" s="191">
        <f t="shared" si="57"/>
        <v>22.824999757812435</v>
      </c>
      <c r="Q122" s="192">
        <f t="shared" si="58"/>
        <v>1</v>
      </c>
      <c r="R122" s="260">
        <f t="shared" si="62"/>
        <v>17.966666666666665</v>
      </c>
      <c r="S122" s="261">
        <f t="shared" si="63"/>
        <v>1</v>
      </c>
      <c r="T122" s="260">
        <f t="shared" si="64"/>
        <v>22.066666666666663</v>
      </c>
      <c r="U122" s="261">
        <f t="shared" si="65"/>
        <v>1</v>
      </c>
      <c r="V122" s="262">
        <f t="shared" si="66"/>
        <v>20.599999999999998</v>
      </c>
      <c r="W122" s="261">
        <f t="shared" si="67"/>
        <v>1</v>
      </c>
      <c r="X122" s="177">
        <f t="shared" si="71"/>
        <v>17.3</v>
      </c>
      <c r="Y122" s="177">
        <f t="shared" si="72"/>
        <v>21.748484848484846</v>
      </c>
      <c r="Z122" s="177">
        <f t="shared" si="73"/>
        <v>20.304848484848485</v>
      </c>
      <c r="AA122" s="10"/>
      <c r="AB122" s="357" t="str">
        <f>VLOOKUP($B122,'2007-2020 Metadata'!$A$4:$S$214,MATCH("Urban Area /Monitoring Zone",'2007-2020 Metadata'!$A$4:$S$4,0),FALSE)</f>
        <v>Wellington</v>
      </c>
      <c r="AC122" s="259" t="str">
        <f>VLOOKUP(B122,'2007-2020 Metadata'!$A$6:$A$214,1,FALSE)</f>
        <v>WEL074</v>
      </c>
      <c r="AD122" s="256" t="str">
        <f>VLOOKUP($AC122,'2007-2020 Metadata'!$A$6:$S$214,9,FALSE)</f>
        <v>Wellington</v>
      </c>
      <c r="AE122" s="263">
        <f>IF(ISBLANK(VLOOKUP($AC122,'2007-2020 Metadata'!$A$6:$S$214,19,FALSE)),"",VLOOKUP($AC122,'2007-2020 Metadata'!$A$6:$S$214,19,FALSE))</f>
        <v>4</v>
      </c>
      <c r="AF122" s="257" t="str">
        <f>VLOOKUP($B122,'2007-2020 Metadata'!$A$4:$S$214,MATCH("Site type",'2007-2020 Metadata'!$A$4:$S$4,0),FALSE)</f>
        <v>SH</v>
      </c>
      <c r="AG122" s="258">
        <f>MIN(AVERAGE($C$121:$C$123),AVERAGE($D$121:$D$123),AVERAGE($E$121:$E$123),AVERAGE($F$121:$F$123),AVERAGE($G$121:$G$123),AVERAGE($H$121:$H$123),AVERAGE($I$121:$I$123),AVERAGE($J$121:$J$123),AVERAGE($K$121:$K$123),AVERAGE($L$121:$L$123),AVERAGE($M$121:$M$123),AVERAGE($N$121:$N$123))</f>
        <v>13.133333333333333</v>
      </c>
      <c r="AH122" s="258">
        <f>MAX(AVERAGE($C$121:$C$123),AVERAGE($D$121:$D$123),AVERAGE($E$121:$E$123),AVERAGE($F$121:$F$123),AVERAGE($G$121:$G$123),AVERAGE($H$121:$H$123),AVERAGE($I$121:$I$123),AVERAGE($J$121:$J$123),AVERAGE($K$121:$K$123),AVERAGE($L$121:$L$123),AVERAGE($M$121:$M$123),AVERAGE($N$121:$N$123))</f>
        <v>29.466666666666669</v>
      </c>
      <c r="AI122" s="177">
        <f t="shared" si="70"/>
        <v>20.304848484848485</v>
      </c>
    </row>
    <row r="123" spans="1:35" ht="12" customHeight="1" x14ac:dyDescent="0.2">
      <c r="A123" s="202"/>
      <c r="B123" s="193" t="s">
        <v>506</v>
      </c>
      <c r="C123" s="190">
        <v>15.2</v>
      </c>
      <c r="D123" s="190">
        <v>15</v>
      </c>
      <c r="E123" s="190">
        <v>20.9</v>
      </c>
      <c r="F123" s="190">
        <v>24.2</v>
      </c>
      <c r="G123" s="190">
        <v>25.9</v>
      </c>
      <c r="H123" s="190">
        <v>29.8</v>
      </c>
      <c r="I123" s="190">
        <v>19.899999999999999</v>
      </c>
      <c r="J123" s="190">
        <v>24.8</v>
      </c>
      <c r="K123" s="190">
        <v>23.1</v>
      </c>
      <c r="L123" s="190">
        <v>19.8</v>
      </c>
      <c r="M123" s="190">
        <v>19.3</v>
      </c>
      <c r="N123" s="190">
        <v>13.2</v>
      </c>
      <c r="O123" s="191">
        <f t="shared" si="56"/>
        <v>20.925000000000001</v>
      </c>
      <c r="P123" s="191">
        <f t="shared" si="57"/>
        <v>22.521356953292866</v>
      </c>
      <c r="Q123" s="192">
        <f t="shared" si="58"/>
        <v>1</v>
      </c>
      <c r="R123" s="260">
        <f t="shared" si="62"/>
        <v>17.033333333333331</v>
      </c>
      <c r="S123" s="261">
        <f t="shared" si="63"/>
        <v>1</v>
      </c>
      <c r="T123" s="260">
        <f t="shared" si="64"/>
        <v>22.600000000000005</v>
      </c>
      <c r="U123" s="261">
        <f t="shared" si="65"/>
        <v>1</v>
      </c>
      <c r="V123" s="262">
        <f t="shared" si="66"/>
        <v>20.925000000000001</v>
      </c>
      <c r="W123" s="261">
        <f t="shared" si="67"/>
        <v>1</v>
      </c>
      <c r="X123" s="177">
        <f t="shared" si="71"/>
        <v>17.3</v>
      </c>
      <c r="Y123" s="177">
        <f t="shared" si="72"/>
        <v>21.748484848484846</v>
      </c>
      <c r="Z123" s="177">
        <f t="shared" si="73"/>
        <v>20.304848484848485</v>
      </c>
      <c r="AA123" s="10"/>
      <c r="AB123" s="357" t="str">
        <f>VLOOKUP($B123,'2007-2020 Metadata'!$A$4:$S$214,MATCH("Urban Area /Monitoring Zone",'2007-2020 Metadata'!$A$4:$S$4,0),FALSE)</f>
        <v>Wellington</v>
      </c>
      <c r="AC123" s="259" t="str">
        <f>VLOOKUP(B123,'2007-2020 Metadata'!$A$6:$A$214,1,FALSE)</f>
        <v>WEL075</v>
      </c>
      <c r="AD123" s="256" t="str">
        <f>VLOOKUP($AC123,'2007-2020 Metadata'!$A$6:$S$214,9,FALSE)</f>
        <v>Wellington</v>
      </c>
      <c r="AE123" s="263">
        <f>IF(ISBLANK(VLOOKUP($AC123,'2007-2020 Metadata'!$A$6:$S$214,19,FALSE)),"",VLOOKUP($AC123,'2007-2020 Metadata'!$A$6:$S$214,19,FALSE))</f>
        <v>4</v>
      </c>
      <c r="AF123" s="257" t="str">
        <f>VLOOKUP($B123,'2007-2020 Metadata'!$A$4:$S$214,MATCH("Site type",'2007-2020 Metadata'!$A$4:$S$4,0),FALSE)</f>
        <v>SH</v>
      </c>
      <c r="AG123" s="258">
        <f>MIN(AVERAGE($C$121:$C$123),AVERAGE($D$121:$D$123),AVERAGE($E$121:$E$123),AVERAGE($F$121:$F$123),AVERAGE($G$121:$G$123),AVERAGE($H$121:$H$123),AVERAGE($I$121:$I$123),AVERAGE($J$121:$J$123),AVERAGE($K$121:$K$123),AVERAGE($L$121:$L$123),AVERAGE($M$121:$M$123),AVERAGE($N$121:$N$123))</f>
        <v>13.133333333333333</v>
      </c>
      <c r="AH123" s="258">
        <f>MAX(AVERAGE($C$121:$C$123),AVERAGE($D$121:$D$123),AVERAGE($E$121:$E$123),AVERAGE($F$121:$F$123),AVERAGE($G$121:$G$123),AVERAGE($H$121:$H$123),AVERAGE($I$121:$I$123),AVERAGE($J$121:$J$123),AVERAGE($K$121:$K$123),AVERAGE($L$121:$L$123),AVERAGE($M$121:$M$123),AVERAGE($N$121:$N$123))</f>
        <v>29.466666666666669</v>
      </c>
      <c r="AI123" s="177">
        <f t="shared" si="70"/>
        <v>20.304848484848485</v>
      </c>
    </row>
    <row r="124" spans="1:35" ht="12" customHeight="1" x14ac:dyDescent="0.2">
      <c r="A124" s="202"/>
      <c r="B124" s="193" t="s">
        <v>513</v>
      </c>
      <c r="C124" s="194"/>
      <c r="D124" s="194"/>
      <c r="E124" s="190">
        <v>10.8</v>
      </c>
      <c r="F124" s="190">
        <v>16.8</v>
      </c>
      <c r="G124" s="190">
        <v>18</v>
      </c>
      <c r="H124" s="190">
        <v>23.2</v>
      </c>
      <c r="I124" s="190">
        <v>17.399999999999999</v>
      </c>
      <c r="J124" s="190">
        <v>19.2</v>
      </c>
      <c r="K124" s="190">
        <v>11.5</v>
      </c>
      <c r="L124" s="190">
        <v>12.2</v>
      </c>
      <c r="M124" s="190">
        <v>9.1999999999999993</v>
      </c>
      <c r="N124" s="190">
        <v>6</v>
      </c>
      <c r="O124" s="191">
        <f t="shared" si="56"/>
        <v>14.429999999999998</v>
      </c>
      <c r="P124" s="191">
        <f t="shared" si="57"/>
        <v>34.788427716098333</v>
      </c>
      <c r="Q124" s="192">
        <f t="shared" si="58"/>
        <v>0.83333333333333337</v>
      </c>
      <c r="R124" s="140" t="str">
        <f t="shared" si="62"/>
        <v>-</v>
      </c>
      <c r="S124" s="150">
        <f t="shared" si="63"/>
        <v>0.33333333333333331</v>
      </c>
      <c r="T124" s="140">
        <f t="shared" si="64"/>
        <v>16.033333333333331</v>
      </c>
      <c r="U124" s="150">
        <f t="shared" si="65"/>
        <v>1</v>
      </c>
      <c r="V124" s="141">
        <f t="shared" si="66"/>
        <v>14.429999999999998</v>
      </c>
      <c r="W124" s="142">
        <f t="shared" si="67"/>
        <v>0.83333333333333337</v>
      </c>
      <c r="X124" s="144">
        <f t="shared" si="71"/>
        <v>14.926666666666668</v>
      </c>
      <c r="Y124" s="144">
        <f t="shared" si="72"/>
        <v>20.086666666666666</v>
      </c>
      <c r="Z124" s="144">
        <f t="shared" si="73"/>
        <v>16.996454545454547</v>
      </c>
      <c r="AA124" s="10"/>
      <c r="AB124" s="357" t="str">
        <f>VLOOKUP($B124,'2007-2020 Metadata'!$A$4:$S$214,MATCH("Urban Area /Monitoring Zone",'2007-2020 Metadata'!$A$4:$S$4,0),FALSE)</f>
        <v>Lower Hutt</v>
      </c>
      <c r="AC124" s="87" t="str">
        <f>VLOOKUP(B124,'2007-2020 Metadata'!$A$6:$A$214,1,FALSE)</f>
        <v>WEL078</v>
      </c>
      <c r="AD124" s="230" t="str">
        <f>VLOOKUP($AC124,'2007-2020 Metadata'!$A$6:$S$214,9,FALSE)</f>
        <v>Lower Hutt</v>
      </c>
      <c r="AE124" s="248">
        <f>IF(ISBLANK(VLOOKUP($AC124,'2007-2020 Metadata'!$A$6:$S$214,19,FALSE)),"",VLOOKUP($AC124,'2007-2020 Metadata'!$A$6:$S$214,19,FALSE))</f>
        <v>3</v>
      </c>
      <c r="AF124" s="88" t="str">
        <f>VLOOKUP($B124,'2007-2020 Metadata'!$A$4:$S$214,MATCH("Site type",'2007-2020 Metadata'!$A$4:$S$4,0),FALSE)</f>
        <v>SH</v>
      </c>
      <c r="AG124" s="143">
        <f t="shared" si="68"/>
        <v>6</v>
      </c>
      <c r="AH124" s="143">
        <f t="shared" si="69"/>
        <v>23.2</v>
      </c>
      <c r="AI124" s="144">
        <f t="shared" si="70"/>
        <v>16.996454545454547</v>
      </c>
    </row>
    <row r="125" spans="1:35" ht="12" customHeight="1" x14ac:dyDescent="0.2">
      <c r="A125" s="202"/>
      <c r="B125" s="193" t="s">
        <v>21</v>
      </c>
      <c r="C125" s="190">
        <v>9.1</v>
      </c>
      <c r="D125" s="190">
        <v>9.4</v>
      </c>
      <c r="E125" s="190">
        <v>9.1</v>
      </c>
      <c r="F125" s="190">
        <v>15.7</v>
      </c>
      <c r="G125" s="190">
        <v>13.7</v>
      </c>
      <c r="H125" s="190">
        <v>15</v>
      </c>
      <c r="I125" s="190">
        <v>14</v>
      </c>
      <c r="J125" s="190">
        <v>12.1</v>
      </c>
      <c r="K125" s="190">
        <v>11.6</v>
      </c>
      <c r="L125" s="190">
        <v>8.8000000000000007</v>
      </c>
      <c r="M125" s="190">
        <v>8.1</v>
      </c>
      <c r="N125" s="190">
        <v>6.8</v>
      </c>
      <c r="O125" s="191">
        <f t="shared" si="56"/>
        <v>11.116666666666665</v>
      </c>
      <c r="P125" s="191">
        <f t="shared" si="57"/>
        <v>25.503566524832149</v>
      </c>
      <c r="Q125" s="192">
        <f t="shared" si="58"/>
        <v>1</v>
      </c>
      <c r="R125" s="140">
        <f t="shared" ref="R125:R154" si="74">IF($S125=0%,"",IF($S125&gt;66%,AVERAGE($C125:$E125),"-"))</f>
        <v>9.2000000000000011</v>
      </c>
      <c r="S125" s="150">
        <f t="shared" ref="S125:S129" si="75">COUNT(C125:E125)/3</f>
        <v>1</v>
      </c>
      <c r="T125" s="140">
        <f t="shared" ref="T125:T154" si="76">IF($U125=0%,"",IF($U125&gt;66%,AVERAGE($I125:$K125),"-"))</f>
        <v>12.566666666666668</v>
      </c>
      <c r="U125" s="150">
        <f t="shared" ref="U125:U129" si="77">COUNT(I125:K125)/3</f>
        <v>1</v>
      </c>
      <c r="V125" s="141">
        <f t="shared" ref="V125:V154" si="78">IF(AND(($S125&gt;33%),($U125&gt;33%),($W125&gt;=75%)),AVERAGE($C125:$N125),"-")</f>
        <v>11.116666666666665</v>
      </c>
      <c r="W125" s="142">
        <f t="shared" ref="W125:W129" si="79">Q125</f>
        <v>1</v>
      </c>
      <c r="X125" s="144">
        <f t="shared" si="71"/>
        <v>9.2000000000000011</v>
      </c>
      <c r="Y125" s="144">
        <f t="shared" si="72"/>
        <v>12.566666666666668</v>
      </c>
      <c r="Z125" s="144">
        <f t="shared" si="73"/>
        <v>11.116666666666665</v>
      </c>
      <c r="AA125" s="10"/>
      <c r="AB125" s="357" t="str">
        <f>VLOOKUP($B125,'2007-2020 Metadata'!$A$4:$S$214,MATCH("Urban Area /Monitoring Zone",'2007-2020 Metadata'!$A$4:$S$4,0),FALSE)</f>
        <v>Greymouth</v>
      </c>
      <c r="AC125" s="87" t="str">
        <f>VLOOKUP(B125,'2007-2020 Metadata'!$A$6:$A$214,1,FALSE)</f>
        <v>CHR001</v>
      </c>
      <c r="AD125" s="230" t="str">
        <f>VLOOKUP($AC125,'2007-2020 Metadata'!$A$6:$S$214,9,FALSE)</f>
        <v>Greymouth</v>
      </c>
      <c r="AE125" s="248">
        <f>IF(ISBLANK(VLOOKUP($AC125,'2007-2020 Metadata'!$A$6:$S$214,19,FALSE)),"",VLOOKUP($AC125,'2007-2020 Metadata'!$A$6:$S$214,19,FALSE))</f>
        <v>2.2999999999999998</v>
      </c>
      <c r="AF125" s="88" t="str">
        <f>VLOOKUP($B125,'2007-2020 Metadata'!$A$4:$S$214,MATCH("Site type",'2007-2020 Metadata'!$A$4:$S$4,0),FALSE)</f>
        <v>SH</v>
      </c>
      <c r="AG125" s="143">
        <f t="shared" ref="AG125:AG129" si="80">MIN(C125:N125)</f>
        <v>6.8</v>
      </c>
      <c r="AH125" s="143">
        <f t="shared" ref="AH125:AH129" si="81">MAX(C125:N125)</f>
        <v>15.7</v>
      </c>
      <c r="AI125" s="144">
        <f t="shared" si="70"/>
        <v>11.116666666666665</v>
      </c>
    </row>
    <row r="126" spans="1:35" ht="12" customHeight="1" x14ac:dyDescent="0.2">
      <c r="A126" s="202"/>
      <c r="B126" s="193" t="s">
        <v>22</v>
      </c>
      <c r="C126" s="190">
        <v>31</v>
      </c>
      <c r="D126" s="190">
        <v>29.9</v>
      </c>
      <c r="E126" s="190">
        <v>33.4</v>
      </c>
      <c r="F126" s="190">
        <v>32.6</v>
      </c>
      <c r="G126" s="190">
        <v>36.4</v>
      </c>
      <c r="H126" s="190">
        <v>33.5</v>
      </c>
      <c r="I126" s="190">
        <v>28.7</v>
      </c>
      <c r="J126" s="190">
        <v>25.6</v>
      </c>
      <c r="K126" s="190">
        <v>29</v>
      </c>
      <c r="L126" s="190">
        <v>26.1</v>
      </c>
      <c r="M126" s="190">
        <v>26.6</v>
      </c>
      <c r="N126" s="190">
        <v>19.8</v>
      </c>
      <c r="O126" s="191">
        <f t="shared" si="56"/>
        <v>29.38333333333334</v>
      </c>
      <c r="P126" s="191">
        <f t="shared" si="57"/>
        <v>14.599699154229501</v>
      </c>
      <c r="Q126" s="192">
        <f t="shared" si="58"/>
        <v>1</v>
      </c>
      <c r="R126" s="140">
        <f t="shared" si="74"/>
        <v>31.433333333333334</v>
      </c>
      <c r="S126" s="150">
        <f t="shared" si="75"/>
        <v>1</v>
      </c>
      <c r="T126" s="140">
        <f t="shared" si="76"/>
        <v>27.766666666666666</v>
      </c>
      <c r="U126" s="150">
        <f t="shared" si="77"/>
        <v>1</v>
      </c>
      <c r="V126" s="141">
        <f t="shared" si="78"/>
        <v>29.38333333333334</v>
      </c>
      <c r="W126" s="142">
        <f t="shared" si="79"/>
        <v>1</v>
      </c>
      <c r="X126" s="144">
        <f t="shared" si="71"/>
        <v>24.156140350877195</v>
      </c>
      <c r="Y126" s="144">
        <f t="shared" si="72"/>
        <v>27.62017543859649</v>
      </c>
      <c r="Z126" s="144">
        <f t="shared" si="73"/>
        <v>26.633931419457735</v>
      </c>
      <c r="AA126" s="10"/>
      <c r="AB126" s="357" t="str">
        <f>VLOOKUP($B126,'2007-2020 Metadata'!$A$4:$S$214,MATCH("Urban Area /Monitoring Zone",'2007-2020 Metadata'!$A$4:$S$4,0),FALSE)</f>
        <v>Christchurch</v>
      </c>
      <c r="AC126" s="87" t="str">
        <f>VLOOKUP(B126,'2007-2020 Metadata'!$A$6:$A$214,1,FALSE)</f>
        <v>CHR002</v>
      </c>
      <c r="AD126" s="230" t="str">
        <f>VLOOKUP($AC126,'2007-2020 Metadata'!$A$6:$S$214,9,FALSE)</f>
        <v>Christchurch</v>
      </c>
      <c r="AE126" s="248">
        <f>IF(ISBLANK(VLOOKUP($AC126,'2007-2020 Metadata'!$A$6:$S$214,19,FALSE)),"",VLOOKUP($AC126,'2007-2020 Metadata'!$A$6:$S$214,19,FALSE))</f>
        <v>3.2</v>
      </c>
      <c r="AF126" s="88" t="str">
        <f>VLOOKUP($B126,'2007-2020 Metadata'!$A$4:$S$214,MATCH("Site type",'2007-2020 Metadata'!$A$4:$S$4,0),FALSE)</f>
        <v>SH</v>
      </c>
      <c r="AG126" s="143">
        <f t="shared" si="80"/>
        <v>19.8</v>
      </c>
      <c r="AH126" s="143">
        <f t="shared" si="81"/>
        <v>36.4</v>
      </c>
      <c r="AI126" s="144">
        <f t="shared" si="70"/>
        <v>26.633931419457735</v>
      </c>
    </row>
    <row r="127" spans="1:35" ht="12" customHeight="1" x14ac:dyDescent="0.2">
      <c r="A127" s="202"/>
      <c r="B127" s="193" t="s">
        <v>23</v>
      </c>
      <c r="C127" s="190">
        <v>25.4</v>
      </c>
      <c r="D127" s="190">
        <v>21.6</v>
      </c>
      <c r="E127" s="190">
        <v>20.100000000000001</v>
      </c>
      <c r="F127" s="190">
        <v>28.3</v>
      </c>
      <c r="G127" s="190">
        <v>35.9</v>
      </c>
      <c r="H127" s="190">
        <v>39</v>
      </c>
      <c r="I127" s="190">
        <v>28.6</v>
      </c>
      <c r="J127" s="190">
        <v>26</v>
      </c>
      <c r="K127" s="190">
        <v>26.8</v>
      </c>
      <c r="L127" s="190">
        <v>23.3</v>
      </c>
      <c r="M127" s="190">
        <v>22.4</v>
      </c>
      <c r="N127" s="190">
        <v>16.399999999999999</v>
      </c>
      <c r="O127" s="191">
        <f t="shared" ref="O127:O154" si="82">(AVERAGE(C127:N127))</f>
        <v>26.149999999999995</v>
      </c>
      <c r="P127" s="191">
        <f t="shared" ref="P127:P154" si="83">IFERROR((STDEVP(C127:N127)/O127)*100,"")</f>
        <v>23.323041391103931</v>
      </c>
      <c r="Q127" s="192">
        <f t="shared" ref="Q127:Q154" si="84">COUNT(C127:N127)/COUNT($C$6:$N$6)</f>
        <v>1</v>
      </c>
      <c r="R127" s="140">
        <f t="shared" si="74"/>
        <v>22.366666666666664</v>
      </c>
      <c r="S127" s="150">
        <f t="shared" si="75"/>
        <v>1</v>
      </c>
      <c r="T127" s="140">
        <f t="shared" si="76"/>
        <v>27.133333333333336</v>
      </c>
      <c r="U127" s="150">
        <f t="shared" si="77"/>
        <v>1</v>
      </c>
      <c r="V127" s="141">
        <f t="shared" si="78"/>
        <v>26.149999999999995</v>
      </c>
      <c r="W127" s="142">
        <f t="shared" si="79"/>
        <v>1</v>
      </c>
      <c r="X127" s="144">
        <f t="shared" si="71"/>
        <v>24.156140350877195</v>
      </c>
      <c r="Y127" s="144">
        <f t="shared" si="72"/>
        <v>27.62017543859649</v>
      </c>
      <c r="Z127" s="144">
        <f t="shared" si="73"/>
        <v>26.633931419457735</v>
      </c>
      <c r="AA127" s="10"/>
      <c r="AB127" s="357" t="str">
        <f>VLOOKUP($B127,'2007-2020 Metadata'!$A$4:$S$214,MATCH("Urban Area /Monitoring Zone",'2007-2020 Metadata'!$A$4:$S$4,0),FALSE)</f>
        <v>Christchurch</v>
      </c>
      <c r="AC127" s="87" t="str">
        <f>VLOOKUP(B127,'2007-2020 Metadata'!$A$6:$A$214,1,FALSE)</f>
        <v>CHR003</v>
      </c>
      <c r="AD127" s="230" t="str">
        <f>VLOOKUP($AC127,'2007-2020 Metadata'!$A$6:$S$214,9,FALSE)</f>
        <v>Christchurch</v>
      </c>
      <c r="AE127" s="248">
        <f>IF(ISBLANK(VLOOKUP($AC127,'2007-2020 Metadata'!$A$6:$S$214,19,FALSE)),"",VLOOKUP($AC127,'2007-2020 Metadata'!$A$6:$S$214,19,FALSE))</f>
        <v>3.3</v>
      </c>
      <c r="AF127" s="88" t="str">
        <f>VLOOKUP($B127,'2007-2020 Metadata'!$A$4:$S$214,MATCH("Site type",'2007-2020 Metadata'!$A$4:$S$4,0),FALSE)</f>
        <v>SH</v>
      </c>
      <c r="AG127" s="143">
        <f t="shared" si="80"/>
        <v>16.399999999999999</v>
      </c>
      <c r="AH127" s="143">
        <f t="shared" si="81"/>
        <v>39</v>
      </c>
      <c r="AI127" s="144">
        <f t="shared" si="70"/>
        <v>26.633931419457735</v>
      </c>
    </row>
    <row r="128" spans="1:35" ht="12" customHeight="1" x14ac:dyDescent="0.2">
      <c r="A128" s="202"/>
      <c r="B128" s="193" t="s">
        <v>24</v>
      </c>
      <c r="C128" s="190">
        <v>11.9</v>
      </c>
      <c r="D128" s="190">
        <v>10.1</v>
      </c>
      <c r="E128" s="190">
        <v>13.3</v>
      </c>
      <c r="F128" s="190">
        <v>19.2</v>
      </c>
      <c r="G128" s="190">
        <v>19.8</v>
      </c>
      <c r="H128" s="190">
        <v>26.6</v>
      </c>
      <c r="I128" s="190">
        <v>18.2</v>
      </c>
      <c r="J128" s="190">
        <v>16.600000000000001</v>
      </c>
      <c r="K128" s="190">
        <v>12.4</v>
      </c>
      <c r="L128" s="190">
        <v>10.199999999999999</v>
      </c>
      <c r="M128" s="190">
        <v>9.4</v>
      </c>
      <c r="N128" s="190">
        <v>6</v>
      </c>
      <c r="O128" s="191">
        <f t="shared" si="82"/>
        <v>14.475000000000001</v>
      </c>
      <c r="P128" s="191">
        <f t="shared" si="83"/>
        <v>38.017605510402596</v>
      </c>
      <c r="Q128" s="192">
        <f t="shared" si="84"/>
        <v>1</v>
      </c>
      <c r="R128" s="140">
        <f t="shared" si="74"/>
        <v>11.766666666666666</v>
      </c>
      <c r="S128" s="150">
        <f t="shared" si="75"/>
        <v>1</v>
      </c>
      <c r="T128" s="140">
        <f t="shared" si="76"/>
        <v>15.733333333333333</v>
      </c>
      <c r="U128" s="150">
        <f t="shared" si="77"/>
        <v>1</v>
      </c>
      <c r="V128" s="141">
        <f t="shared" si="78"/>
        <v>14.475000000000001</v>
      </c>
      <c r="W128" s="142">
        <f t="shared" si="79"/>
        <v>1</v>
      </c>
      <c r="X128" s="144">
        <f t="shared" si="71"/>
        <v>24.156140350877195</v>
      </c>
      <c r="Y128" s="144">
        <f t="shared" si="72"/>
        <v>27.62017543859649</v>
      </c>
      <c r="Z128" s="144">
        <f t="shared" si="73"/>
        <v>26.633931419457735</v>
      </c>
      <c r="AA128" s="10"/>
      <c r="AB128" s="357" t="str">
        <f>VLOOKUP($B128,'2007-2020 Metadata'!$A$4:$S$214,MATCH("Urban Area /Monitoring Zone",'2007-2020 Metadata'!$A$4:$S$4,0),FALSE)</f>
        <v>Christchurch</v>
      </c>
      <c r="AC128" s="87" t="str">
        <f>VLOOKUP(B128,'2007-2020 Metadata'!$A$6:$A$214,1,FALSE)</f>
        <v>CHR004</v>
      </c>
      <c r="AD128" s="230" t="str">
        <f>VLOOKUP($AC128,'2007-2020 Metadata'!$A$6:$S$214,9,FALSE)</f>
        <v>Christchurch</v>
      </c>
      <c r="AE128" s="248">
        <f>IF(ISBLANK(VLOOKUP($AC128,'2007-2020 Metadata'!$A$6:$S$214,19,FALSE)),"",VLOOKUP($AC128,'2007-2020 Metadata'!$A$6:$S$214,19,FALSE))</f>
        <v>3.1</v>
      </c>
      <c r="AF128" s="88" t="str">
        <f>VLOOKUP($B128,'2007-2020 Metadata'!$A$4:$S$214,MATCH("Site type",'2007-2020 Metadata'!$A$4:$S$4,0),FALSE)</f>
        <v>Background</v>
      </c>
      <c r="AG128" s="143">
        <f t="shared" si="80"/>
        <v>6</v>
      </c>
      <c r="AH128" s="143">
        <f t="shared" si="81"/>
        <v>26.6</v>
      </c>
      <c r="AI128" s="144">
        <f t="shared" si="70"/>
        <v>26.633931419457735</v>
      </c>
    </row>
    <row r="129" spans="1:36" ht="12" customHeight="1" x14ac:dyDescent="0.2">
      <c r="A129" s="202"/>
      <c r="B129" s="193" t="s">
        <v>25</v>
      </c>
      <c r="C129" s="190">
        <v>29.9</v>
      </c>
      <c r="D129" s="190">
        <v>27.9</v>
      </c>
      <c r="E129" s="190">
        <v>37.1</v>
      </c>
      <c r="F129" s="190">
        <v>38</v>
      </c>
      <c r="G129" s="190">
        <v>39.700000000000003</v>
      </c>
      <c r="H129" s="190">
        <v>45.1</v>
      </c>
      <c r="I129" s="190">
        <v>35.200000000000003</v>
      </c>
      <c r="J129" s="190">
        <v>27.7</v>
      </c>
      <c r="K129" s="190">
        <v>34</v>
      </c>
      <c r="L129" s="190">
        <v>21</v>
      </c>
      <c r="M129" s="190">
        <v>31.1</v>
      </c>
      <c r="N129" s="190">
        <v>21</v>
      </c>
      <c r="O129" s="191">
        <f t="shared" si="82"/>
        <v>32.308333333333337</v>
      </c>
      <c r="P129" s="191">
        <f t="shared" si="83"/>
        <v>21.675983781001612</v>
      </c>
      <c r="Q129" s="192">
        <f t="shared" si="84"/>
        <v>1</v>
      </c>
      <c r="R129" s="140">
        <f t="shared" si="74"/>
        <v>31.633333333333336</v>
      </c>
      <c r="S129" s="150">
        <f t="shared" si="75"/>
        <v>1</v>
      </c>
      <c r="T129" s="140">
        <f t="shared" si="76"/>
        <v>32.300000000000004</v>
      </c>
      <c r="U129" s="150">
        <f t="shared" si="77"/>
        <v>1</v>
      </c>
      <c r="V129" s="141">
        <f t="shared" si="78"/>
        <v>32.308333333333337</v>
      </c>
      <c r="W129" s="142">
        <f t="shared" si="79"/>
        <v>1</v>
      </c>
      <c r="X129" s="144">
        <f t="shared" si="71"/>
        <v>24.156140350877195</v>
      </c>
      <c r="Y129" s="144">
        <f t="shared" si="72"/>
        <v>27.62017543859649</v>
      </c>
      <c r="Z129" s="144">
        <f t="shared" si="73"/>
        <v>26.633931419457735</v>
      </c>
      <c r="AA129" s="10"/>
      <c r="AB129" s="357" t="str">
        <f>VLOOKUP($B129,'2007-2020 Metadata'!$A$4:$S$214,MATCH("Urban Area /Monitoring Zone",'2007-2020 Metadata'!$A$4:$S$4,0),FALSE)</f>
        <v>Christchurch</v>
      </c>
      <c r="AC129" s="87" t="str">
        <f>VLOOKUP(B129,'2007-2020 Metadata'!$A$6:$A$214,1,FALSE)</f>
        <v>CHR006</v>
      </c>
      <c r="AD129" s="230" t="str">
        <f>VLOOKUP($AC129,'2007-2020 Metadata'!$A$6:$S$214,9,FALSE)</f>
        <v>Christchurch</v>
      </c>
      <c r="AE129" s="248">
        <f>IF(ISBLANK(VLOOKUP($AC129,'2007-2020 Metadata'!$A$6:$S$214,19,FALSE)),"",VLOOKUP($AC129,'2007-2020 Metadata'!$A$6:$S$214,19,FALSE))</f>
        <v>3.4</v>
      </c>
      <c r="AF129" s="88" t="str">
        <f>VLOOKUP($B129,'2007-2020 Metadata'!$A$4:$S$214,MATCH("Site type",'2007-2020 Metadata'!$A$4:$S$4,0),FALSE)</f>
        <v>SH</v>
      </c>
      <c r="AG129" s="143">
        <f t="shared" si="80"/>
        <v>21</v>
      </c>
      <c r="AH129" s="143">
        <f t="shared" si="81"/>
        <v>45.1</v>
      </c>
      <c r="AI129" s="144">
        <f t="shared" si="70"/>
        <v>26.633931419457735</v>
      </c>
    </row>
    <row r="130" spans="1:36" ht="12" customHeight="1" x14ac:dyDescent="0.2">
      <c r="A130" s="202"/>
      <c r="B130" s="193" t="s">
        <v>143</v>
      </c>
      <c r="C130" s="190">
        <v>23.2</v>
      </c>
      <c r="D130" s="190">
        <v>20.7</v>
      </c>
      <c r="E130" s="190">
        <v>24.1</v>
      </c>
      <c r="F130" s="190">
        <v>26.7</v>
      </c>
      <c r="G130" s="190">
        <v>29.7</v>
      </c>
      <c r="H130" s="190">
        <v>36.700000000000003</v>
      </c>
      <c r="I130" s="190">
        <v>31.5</v>
      </c>
      <c r="J130" s="190">
        <v>25.6</v>
      </c>
      <c r="K130" s="190">
        <v>28.6</v>
      </c>
      <c r="L130" s="190">
        <v>24.2</v>
      </c>
      <c r="M130" s="190">
        <v>21.1</v>
      </c>
      <c r="N130" s="190">
        <v>16.5</v>
      </c>
      <c r="O130" s="191">
        <f t="shared" si="82"/>
        <v>25.716666666666669</v>
      </c>
      <c r="P130" s="191">
        <f t="shared" si="83"/>
        <v>20.140323050240223</v>
      </c>
      <c r="Q130" s="192">
        <f t="shared" si="84"/>
        <v>1</v>
      </c>
      <c r="R130" s="140">
        <f t="shared" si="74"/>
        <v>22.666666666666668</v>
      </c>
      <c r="S130" s="150">
        <f t="shared" ref="S130:S143" si="85">COUNT(C130:E130)/3</f>
        <v>1</v>
      </c>
      <c r="T130" s="140">
        <f t="shared" si="76"/>
        <v>28.566666666666666</v>
      </c>
      <c r="U130" s="150">
        <f t="shared" ref="U130:U143" si="86">COUNT(I130:K130)/3</f>
        <v>1</v>
      </c>
      <c r="V130" s="141">
        <f t="shared" si="78"/>
        <v>25.716666666666669</v>
      </c>
      <c r="W130" s="142">
        <f t="shared" ref="W130:W143" si="87">Q130</f>
        <v>1</v>
      </c>
      <c r="X130" s="144">
        <f t="shared" si="71"/>
        <v>24.156140350877195</v>
      </c>
      <c r="Y130" s="144">
        <f t="shared" si="72"/>
        <v>27.62017543859649</v>
      </c>
      <c r="Z130" s="144">
        <f t="shared" si="73"/>
        <v>26.633931419457735</v>
      </c>
      <c r="AA130" s="10"/>
      <c r="AB130" s="357" t="str">
        <f>VLOOKUP($B130,'2007-2020 Metadata'!$A$4:$S$214,MATCH("Urban Area /Monitoring Zone",'2007-2020 Metadata'!$A$4:$S$4,0),FALSE)</f>
        <v>Christchurch</v>
      </c>
      <c r="AC130" s="87" t="str">
        <f>VLOOKUP(B130,'2007-2020 Metadata'!$A$6:$A$214,1,FALSE)</f>
        <v>CHR011</v>
      </c>
      <c r="AD130" s="230" t="str">
        <f>VLOOKUP($AC130,'2007-2020 Metadata'!$A$6:$S$214,9,FALSE)</f>
        <v>Christchurch</v>
      </c>
      <c r="AE130" s="248">
        <f>IF(ISBLANK(VLOOKUP($AC130,'2007-2020 Metadata'!$A$6:$S$214,19,FALSE)),"",VLOOKUP($AC130,'2007-2020 Metadata'!$A$6:$S$214,19,FALSE))</f>
        <v>2.85</v>
      </c>
      <c r="AF130" s="88" t="str">
        <f>VLOOKUP($B130,'2007-2020 Metadata'!$A$4:$S$214,MATCH("Site type",'2007-2020 Metadata'!$A$4:$S$4,0),FALSE)</f>
        <v>SH</v>
      </c>
      <c r="AG130" s="143">
        <f t="shared" ref="AG130:AG135" si="88">MIN(C130:N130)</f>
        <v>16.5</v>
      </c>
      <c r="AH130" s="143">
        <f t="shared" ref="AH130:AH135" si="89">MAX(C130:N130)</f>
        <v>36.700000000000003</v>
      </c>
      <c r="AI130" s="144">
        <f t="shared" si="70"/>
        <v>26.633931419457735</v>
      </c>
    </row>
    <row r="131" spans="1:36" ht="12" customHeight="1" x14ac:dyDescent="0.2">
      <c r="A131" s="202"/>
      <c r="B131" s="193" t="s">
        <v>144</v>
      </c>
      <c r="C131" s="190">
        <v>29.2</v>
      </c>
      <c r="D131" s="190">
        <v>26.7</v>
      </c>
      <c r="E131" s="190">
        <v>30.3</v>
      </c>
      <c r="F131" s="190">
        <v>33</v>
      </c>
      <c r="G131" s="190">
        <v>36.4</v>
      </c>
      <c r="H131" s="190">
        <v>42.9</v>
      </c>
      <c r="I131" s="190"/>
      <c r="J131" s="190">
        <v>26.9</v>
      </c>
      <c r="K131" s="190">
        <v>27.8</v>
      </c>
      <c r="L131" s="190">
        <v>26.4</v>
      </c>
      <c r="M131" s="190">
        <v>25.3</v>
      </c>
      <c r="N131" s="190">
        <v>22.6</v>
      </c>
      <c r="O131" s="191">
        <f t="shared" si="82"/>
        <v>29.772727272727277</v>
      </c>
      <c r="P131" s="191">
        <f t="shared" si="83"/>
        <v>18.443607482125547</v>
      </c>
      <c r="Q131" s="192">
        <f t="shared" si="84"/>
        <v>0.91666666666666663</v>
      </c>
      <c r="R131" s="140">
        <f t="shared" si="74"/>
        <v>28.733333333333334</v>
      </c>
      <c r="S131" s="150">
        <f t="shared" si="85"/>
        <v>1</v>
      </c>
      <c r="T131" s="140">
        <f t="shared" si="76"/>
        <v>27.35</v>
      </c>
      <c r="U131" s="150">
        <f t="shared" si="86"/>
        <v>0.66666666666666663</v>
      </c>
      <c r="V131" s="141">
        <f t="shared" si="78"/>
        <v>29.772727272727277</v>
      </c>
      <c r="W131" s="142">
        <f t="shared" si="87"/>
        <v>0.91666666666666663</v>
      </c>
      <c r="X131" s="144">
        <f t="shared" si="71"/>
        <v>24.156140350877195</v>
      </c>
      <c r="Y131" s="144">
        <f t="shared" si="72"/>
        <v>27.62017543859649</v>
      </c>
      <c r="Z131" s="144">
        <f t="shared" si="73"/>
        <v>26.633931419457735</v>
      </c>
      <c r="AA131" s="10"/>
      <c r="AB131" s="357" t="str">
        <f>VLOOKUP($B131,'2007-2020 Metadata'!$A$4:$S$214,MATCH("Urban Area /Monitoring Zone",'2007-2020 Metadata'!$A$4:$S$4,0),FALSE)</f>
        <v>Christchurch</v>
      </c>
      <c r="AC131" s="87" t="str">
        <f>VLOOKUP(B131,'2007-2020 Metadata'!$A$6:$A$214,1,FALSE)</f>
        <v>CHR012</v>
      </c>
      <c r="AD131" s="230" t="str">
        <f>VLOOKUP($AC131,'2007-2020 Metadata'!$A$6:$S$214,9,FALSE)</f>
        <v>Christchurch</v>
      </c>
      <c r="AE131" s="248">
        <f>IF(ISBLANK(VLOOKUP($AC131,'2007-2020 Metadata'!$A$6:$S$214,19,FALSE)),"",VLOOKUP($AC131,'2007-2020 Metadata'!$A$6:$S$214,19,FALSE))</f>
        <v>3</v>
      </c>
      <c r="AF131" s="88" t="str">
        <f>VLOOKUP($B131,'2007-2020 Metadata'!$A$4:$S$214,MATCH("Site type",'2007-2020 Metadata'!$A$4:$S$4,0),FALSE)</f>
        <v>Local</v>
      </c>
      <c r="AG131" s="143">
        <f t="shared" si="88"/>
        <v>22.6</v>
      </c>
      <c r="AH131" s="143">
        <f t="shared" si="89"/>
        <v>42.9</v>
      </c>
      <c r="AI131" s="144">
        <f t="shared" si="70"/>
        <v>26.633931419457735</v>
      </c>
    </row>
    <row r="132" spans="1:36" ht="12" customHeight="1" x14ac:dyDescent="0.2">
      <c r="A132" s="202"/>
      <c r="B132" s="193" t="s">
        <v>145</v>
      </c>
      <c r="C132" s="190">
        <v>31.3</v>
      </c>
      <c r="D132" s="190">
        <v>27.7</v>
      </c>
      <c r="E132" s="190">
        <v>31.5</v>
      </c>
      <c r="F132" s="190">
        <v>34.799999999999997</v>
      </c>
      <c r="G132" s="190">
        <v>41.6</v>
      </c>
      <c r="H132" s="190">
        <v>42.8</v>
      </c>
      <c r="I132" s="190">
        <v>34.5</v>
      </c>
      <c r="J132" s="190">
        <v>30.5</v>
      </c>
      <c r="K132" s="190">
        <v>32.5</v>
      </c>
      <c r="L132" s="190">
        <v>31.9</v>
      </c>
      <c r="M132" s="190">
        <v>26.7</v>
      </c>
      <c r="N132" s="190">
        <v>22.4</v>
      </c>
      <c r="O132" s="191">
        <f t="shared" si="82"/>
        <v>32.349999999999994</v>
      </c>
      <c r="P132" s="191">
        <f t="shared" si="83"/>
        <v>17.01114430925924</v>
      </c>
      <c r="Q132" s="192">
        <f t="shared" si="84"/>
        <v>1</v>
      </c>
      <c r="R132" s="140">
        <f t="shared" si="74"/>
        <v>30.166666666666668</v>
      </c>
      <c r="S132" s="150">
        <f t="shared" si="85"/>
        <v>1</v>
      </c>
      <c r="T132" s="140">
        <f t="shared" si="76"/>
        <v>32.5</v>
      </c>
      <c r="U132" s="150">
        <f t="shared" si="86"/>
        <v>1</v>
      </c>
      <c r="V132" s="141">
        <f t="shared" si="78"/>
        <v>32.349999999999994</v>
      </c>
      <c r="W132" s="142">
        <f t="shared" si="87"/>
        <v>1</v>
      </c>
      <c r="X132" s="144">
        <f t="shared" si="71"/>
        <v>24.156140350877195</v>
      </c>
      <c r="Y132" s="144">
        <f t="shared" si="72"/>
        <v>27.62017543859649</v>
      </c>
      <c r="Z132" s="144">
        <f t="shared" si="73"/>
        <v>26.633931419457735</v>
      </c>
      <c r="AA132" s="10"/>
      <c r="AB132" s="357" t="str">
        <f>VLOOKUP($B132,'2007-2020 Metadata'!$A$4:$S$214,MATCH("Urban Area /Monitoring Zone",'2007-2020 Metadata'!$A$4:$S$4,0),FALSE)</f>
        <v>Christchurch</v>
      </c>
      <c r="AC132" s="87" t="str">
        <f>VLOOKUP(B132,'2007-2020 Metadata'!$A$6:$A$214,1,FALSE)</f>
        <v>CHR013</v>
      </c>
      <c r="AD132" s="230" t="str">
        <f>VLOOKUP($AC132,'2007-2020 Metadata'!$A$6:$S$214,9,FALSE)</f>
        <v>Christchurch</v>
      </c>
      <c r="AE132" s="248">
        <f>IF(ISBLANK(VLOOKUP($AC132,'2007-2020 Metadata'!$A$6:$S$214,19,FALSE)),"",VLOOKUP($AC132,'2007-2020 Metadata'!$A$6:$S$214,19,FALSE))</f>
        <v>3.15</v>
      </c>
      <c r="AF132" s="88" t="str">
        <f>VLOOKUP($B132,'2007-2020 Metadata'!$A$4:$S$214,MATCH("Site type",'2007-2020 Metadata'!$A$4:$S$4,0),FALSE)</f>
        <v>SH</v>
      </c>
      <c r="AG132" s="143">
        <f t="shared" si="88"/>
        <v>22.4</v>
      </c>
      <c r="AH132" s="143">
        <f t="shared" si="89"/>
        <v>42.8</v>
      </c>
      <c r="AI132" s="144">
        <f t="shared" si="70"/>
        <v>26.633931419457735</v>
      </c>
    </row>
    <row r="133" spans="1:36" ht="12" customHeight="1" x14ac:dyDescent="0.2">
      <c r="A133" s="202"/>
      <c r="B133" s="193" t="s">
        <v>146</v>
      </c>
      <c r="C133" s="190">
        <v>35.6</v>
      </c>
      <c r="D133" s="190">
        <v>33.799999999999997</v>
      </c>
      <c r="E133" s="190">
        <v>38.299999999999997</v>
      </c>
      <c r="F133" s="190">
        <v>42.1</v>
      </c>
      <c r="G133" s="190">
        <v>41.4</v>
      </c>
      <c r="H133" s="190">
        <v>48.9</v>
      </c>
      <c r="I133" s="190">
        <v>34.6</v>
      </c>
      <c r="J133" s="190">
        <v>29.2</v>
      </c>
      <c r="K133" s="190">
        <v>31</v>
      </c>
      <c r="L133" s="190">
        <v>32.700000000000003</v>
      </c>
      <c r="M133" s="190">
        <v>29.2</v>
      </c>
      <c r="N133" s="190">
        <v>24.6</v>
      </c>
      <c r="O133" s="191">
        <f t="shared" si="82"/>
        <v>35.116666666666667</v>
      </c>
      <c r="P133" s="191">
        <f t="shared" si="83"/>
        <v>18.270822604906371</v>
      </c>
      <c r="Q133" s="192">
        <f t="shared" si="84"/>
        <v>1</v>
      </c>
      <c r="R133" s="140">
        <f t="shared" si="74"/>
        <v>35.9</v>
      </c>
      <c r="S133" s="150">
        <f t="shared" si="85"/>
        <v>1</v>
      </c>
      <c r="T133" s="140">
        <f t="shared" si="76"/>
        <v>31.599999999999998</v>
      </c>
      <c r="U133" s="150">
        <f t="shared" si="86"/>
        <v>1</v>
      </c>
      <c r="V133" s="141">
        <f t="shared" si="78"/>
        <v>35.116666666666667</v>
      </c>
      <c r="W133" s="142">
        <f t="shared" si="87"/>
        <v>1</v>
      </c>
      <c r="X133" s="144">
        <f t="shared" si="71"/>
        <v>24.156140350877195</v>
      </c>
      <c r="Y133" s="144">
        <f t="shared" si="72"/>
        <v>27.62017543859649</v>
      </c>
      <c r="Z133" s="144">
        <f t="shared" si="73"/>
        <v>26.633931419457735</v>
      </c>
      <c r="AA133" s="10"/>
      <c r="AB133" s="357" t="str">
        <f>VLOOKUP($B133,'2007-2020 Metadata'!$A$4:$S$214,MATCH("Urban Area /Monitoring Zone",'2007-2020 Metadata'!$A$4:$S$4,0),FALSE)</f>
        <v>Christchurch</v>
      </c>
      <c r="AC133" s="87" t="str">
        <f>VLOOKUP(B133,'2007-2020 Metadata'!$A$6:$A$214,1,FALSE)</f>
        <v>CHR014</v>
      </c>
      <c r="AD133" s="230" t="str">
        <f>VLOOKUP($AC133,'2007-2020 Metadata'!$A$6:$S$214,9,FALSE)</f>
        <v>Christchurch</v>
      </c>
      <c r="AE133" s="248">
        <f>IF(ISBLANK(VLOOKUP($AC133,'2007-2020 Metadata'!$A$6:$S$214,19,FALSE)),"",VLOOKUP($AC133,'2007-2020 Metadata'!$A$6:$S$214,19,FALSE))</f>
        <v>2.9</v>
      </c>
      <c r="AF133" s="88" t="str">
        <f>VLOOKUP($B133,'2007-2020 Metadata'!$A$4:$S$214,MATCH("Site type",'2007-2020 Metadata'!$A$4:$S$4,0),FALSE)</f>
        <v>SH</v>
      </c>
      <c r="AG133" s="143">
        <f t="shared" si="88"/>
        <v>24.6</v>
      </c>
      <c r="AH133" s="143">
        <f t="shared" si="89"/>
        <v>48.9</v>
      </c>
      <c r="AI133" s="144">
        <f t="shared" si="70"/>
        <v>26.633931419457735</v>
      </c>
    </row>
    <row r="134" spans="1:36" ht="12" customHeight="1" x14ac:dyDescent="0.2">
      <c r="A134" s="202"/>
      <c r="B134" s="193" t="s">
        <v>147</v>
      </c>
      <c r="C134" s="190">
        <v>23.3</v>
      </c>
      <c r="D134" s="190">
        <v>20.7</v>
      </c>
      <c r="E134" s="190">
        <v>26.2</v>
      </c>
      <c r="F134" s="190">
        <v>28.2</v>
      </c>
      <c r="G134" s="190">
        <v>34.4</v>
      </c>
      <c r="H134" s="190">
        <v>42.1</v>
      </c>
      <c r="I134" s="190">
        <v>29.3</v>
      </c>
      <c r="J134" s="190">
        <v>25.2</v>
      </c>
      <c r="K134" s="190">
        <v>25.5</v>
      </c>
      <c r="L134" s="190">
        <v>23.2</v>
      </c>
      <c r="M134" s="190">
        <v>19.8</v>
      </c>
      <c r="N134" s="190">
        <v>19.8</v>
      </c>
      <c r="O134" s="191">
        <f t="shared" si="82"/>
        <v>26.475000000000005</v>
      </c>
      <c r="P134" s="191">
        <f t="shared" si="83"/>
        <v>23.482769455891653</v>
      </c>
      <c r="Q134" s="192">
        <f t="shared" si="84"/>
        <v>1</v>
      </c>
      <c r="R134" s="140">
        <f t="shared" si="74"/>
        <v>23.400000000000002</v>
      </c>
      <c r="S134" s="150">
        <f t="shared" si="85"/>
        <v>1</v>
      </c>
      <c r="T134" s="140">
        <f t="shared" si="76"/>
        <v>26.666666666666668</v>
      </c>
      <c r="U134" s="150">
        <f t="shared" si="86"/>
        <v>1</v>
      </c>
      <c r="V134" s="141">
        <f t="shared" si="78"/>
        <v>26.475000000000005</v>
      </c>
      <c r="W134" s="142">
        <f t="shared" si="87"/>
        <v>1</v>
      </c>
      <c r="X134" s="144">
        <f t="shared" si="71"/>
        <v>24.156140350877195</v>
      </c>
      <c r="Y134" s="144">
        <f t="shared" si="72"/>
        <v>27.62017543859649</v>
      </c>
      <c r="Z134" s="144">
        <f t="shared" si="73"/>
        <v>26.633931419457735</v>
      </c>
      <c r="AA134" s="10"/>
      <c r="AB134" s="357" t="str">
        <f>VLOOKUP($B134,'2007-2020 Metadata'!$A$4:$S$214,MATCH("Urban Area /Monitoring Zone",'2007-2020 Metadata'!$A$4:$S$4,0),FALSE)</f>
        <v>Christchurch</v>
      </c>
      <c r="AC134" s="87" t="str">
        <f>VLOOKUP(B134,'2007-2020 Metadata'!$A$6:$A$214,1,FALSE)</f>
        <v>CHR015</v>
      </c>
      <c r="AD134" s="230" t="str">
        <f>VLOOKUP($AC134,'2007-2020 Metadata'!$A$6:$S$214,9,FALSE)</f>
        <v>Christchurch</v>
      </c>
      <c r="AE134" s="248">
        <f>IF(ISBLANK(VLOOKUP($AC134,'2007-2020 Metadata'!$A$6:$S$214,19,FALSE)),"",VLOOKUP($AC134,'2007-2020 Metadata'!$A$6:$S$214,19,FALSE))</f>
        <v>3.1</v>
      </c>
      <c r="AF134" s="88" t="str">
        <f>VLOOKUP($B134,'2007-2020 Metadata'!$A$4:$S$214,MATCH("Site type",'2007-2020 Metadata'!$A$4:$S$4,0),FALSE)</f>
        <v>Local</v>
      </c>
      <c r="AG134" s="143">
        <f t="shared" si="88"/>
        <v>19.8</v>
      </c>
      <c r="AH134" s="143">
        <f t="shared" si="89"/>
        <v>42.1</v>
      </c>
      <c r="AI134" s="144">
        <f t="shared" si="70"/>
        <v>26.633931419457735</v>
      </c>
    </row>
    <row r="135" spans="1:36" ht="12" customHeight="1" x14ac:dyDescent="0.2">
      <c r="A135" s="202"/>
      <c r="B135" s="193" t="s">
        <v>148</v>
      </c>
      <c r="C135" s="190">
        <v>23.6</v>
      </c>
      <c r="D135" s="190">
        <v>26.7</v>
      </c>
      <c r="E135" s="190">
        <v>30.7</v>
      </c>
      <c r="F135" s="190">
        <v>37.299999999999997</v>
      </c>
      <c r="G135" s="190">
        <v>33.799999999999997</v>
      </c>
      <c r="H135" s="190">
        <v>43</v>
      </c>
      <c r="I135" s="190">
        <v>35.299999999999997</v>
      </c>
      <c r="J135" s="190">
        <v>31.3</v>
      </c>
      <c r="K135" s="190">
        <v>39.5</v>
      </c>
      <c r="L135" s="190">
        <v>34.299999999999997</v>
      </c>
      <c r="M135" s="190">
        <v>26.1</v>
      </c>
      <c r="N135" s="190">
        <v>23.2</v>
      </c>
      <c r="O135" s="191">
        <f t="shared" si="82"/>
        <v>32.06666666666667</v>
      </c>
      <c r="P135" s="191">
        <f t="shared" si="83"/>
        <v>18.835919464373578</v>
      </c>
      <c r="Q135" s="192">
        <f t="shared" si="84"/>
        <v>1</v>
      </c>
      <c r="R135" s="140">
        <f t="shared" si="74"/>
        <v>27</v>
      </c>
      <c r="S135" s="150">
        <f t="shared" si="85"/>
        <v>1</v>
      </c>
      <c r="T135" s="140">
        <f t="shared" si="76"/>
        <v>35.366666666666667</v>
      </c>
      <c r="U135" s="150">
        <f t="shared" si="86"/>
        <v>1</v>
      </c>
      <c r="V135" s="141">
        <f t="shared" si="78"/>
        <v>32.06666666666667</v>
      </c>
      <c r="W135" s="142">
        <f t="shared" si="87"/>
        <v>1</v>
      </c>
      <c r="X135" s="144">
        <f t="shared" si="71"/>
        <v>24.156140350877195</v>
      </c>
      <c r="Y135" s="144">
        <f t="shared" si="72"/>
        <v>27.62017543859649</v>
      </c>
      <c r="Z135" s="144">
        <f t="shared" si="73"/>
        <v>26.633931419457735</v>
      </c>
      <c r="AA135" s="10"/>
      <c r="AB135" s="357" t="str">
        <f>VLOOKUP($B135,'2007-2020 Metadata'!$A$4:$S$214,MATCH("Urban Area /Monitoring Zone",'2007-2020 Metadata'!$A$4:$S$4,0),FALSE)</f>
        <v>Christchurch</v>
      </c>
      <c r="AC135" s="87" t="str">
        <f>VLOOKUP(B135,'2007-2020 Metadata'!$A$6:$A$214,1,FALSE)</f>
        <v>CHR016</v>
      </c>
      <c r="AD135" s="230" t="str">
        <f>VLOOKUP($AC135,'2007-2020 Metadata'!$A$6:$S$214,9,FALSE)</f>
        <v>Christchurch</v>
      </c>
      <c r="AE135" s="248">
        <f>IF(ISBLANK(VLOOKUP($AC135,'2007-2020 Metadata'!$A$6:$S$214,19,FALSE)),"",VLOOKUP($AC135,'2007-2020 Metadata'!$A$6:$S$214,19,FALSE))</f>
        <v>3</v>
      </c>
      <c r="AF135" s="88" t="str">
        <f>VLOOKUP($B135,'2007-2020 Metadata'!$A$4:$S$214,MATCH("Site type",'2007-2020 Metadata'!$A$4:$S$4,0),FALSE)</f>
        <v>Local</v>
      </c>
      <c r="AG135" s="143">
        <f t="shared" si="88"/>
        <v>23.2</v>
      </c>
      <c r="AH135" s="143">
        <f t="shared" si="89"/>
        <v>43</v>
      </c>
      <c r="AI135" s="144">
        <f t="shared" si="70"/>
        <v>26.633931419457735</v>
      </c>
    </row>
    <row r="136" spans="1:36" ht="12" customHeight="1" x14ac:dyDescent="0.2">
      <c r="A136" s="202"/>
      <c r="B136" s="193" t="s">
        <v>149</v>
      </c>
      <c r="C136" s="190">
        <v>35</v>
      </c>
      <c r="D136" s="190">
        <v>39.1</v>
      </c>
      <c r="E136" s="190">
        <v>39</v>
      </c>
      <c r="F136" s="190">
        <v>46.8</v>
      </c>
      <c r="G136" s="190">
        <v>45.5</v>
      </c>
      <c r="H136" s="190">
        <v>45.6</v>
      </c>
      <c r="I136" s="190">
        <v>40.299999999999997</v>
      </c>
      <c r="J136" s="190">
        <v>31.9</v>
      </c>
      <c r="K136" s="190">
        <v>49.1</v>
      </c>
      <c r="L136" s="190">
        <v>43.9</v>
      </c>
      <c r="M136" s="190">
        <v>39.4</v>
      </c>
      <c r="N136" s="190">
        <v>30.9</v>
      </c>
      <c r="O136" s="191">
        <f t="shared" si="82"/>
        <v>40.541666666666657</v>
      </c>
      <c r="P136" s="191">
        <f t="shared" si="83"/>
        <v>13.844281867419598</v>
      </c>
      <c r="Q136" s="192">
        <f t="shared" si="84"/>
        <v>1</v>
      </c>
      <c r="R136" s="260">
        <f t="shared" si="74"/>
        <v>37.699999999999996</v>
      </c>
      <c r="S136" s="261">
        <f t="shared" si="85"/>
        <v>1</v>
      </c>
      <c r="T136" s="260">
        <f t="shared" si="76"/>
        <v>40.43333333333333</v>
      </c>
      <c r="U136" s="261">
        <f t="shared" si="86"/>
        <v>1</v>
      </c>
      <c r="V136" s="262">
        <f t="shared" si="78"/>
        <v>40.541666666666657</v>
      </c>
      <c r="W136" s="261">
        <f t="shared" si="87"/>
        <v>1</v>
      </c>
      <c r="X136" s="177">
        <f t="shared" si="71"/>
        <v>24.156140350877195</v>
      </c>
      <c r="Y136" s="177">
        <f t="shared" si="72"/>
        <v>27.62017543859649</v>
      </c>
      <c r="Z136" s="177">
        <f t="shared" si="73"/>
        <v>26.633931419457735</v>
      </c>
      <c r="AA136" s="10"/>
      <c r="AB136" s="357" t="str">
        <f>VLOOKUP($B136,'2007-2020 Metadata'!$A$4:$S$214,MATCH("Urban Area /Monitoring Zone",'2007-2020 Metadata'!$A$4:$S$4,0),FALSE)</f>
        <v>Christchurch</v>
      </c>
      <c r="AC136" s="259" t="str">
        <f>VLOOKUP(B136,'2007-2020 Metadata'!$A$6:$A$214,1,FALSE)</f>
        <v>CHR017</v>
      </c>
      <c r="AD136" s="256" t="str">
        <f>VLOOKUP($AC136,'2007-2020 Metadata'!$A$6:$S$214,9,FALSE)</f>
        <v>Christchurch</v>
      </c>
      <c r="AE136" s="263">
        <f>IF(ISBLANK(VLOOKUP($AC136,'2007-2020 Metadata'!$A$6:$S$214,19,FALSE)),"",VLOOKUP($AC136,'2007-2020 Metadata'!$A$6:$S$214,19,FALSE))</f>
        <v>3</v>
      </c>
      <c r="AF136" s="257" t="str">
        <f>VLOOKUP($B136,'2007-2020 Metadata'!$A$4:$S$214,MATCH("Site type",'2007-2020 Metadata'!$A$4:$S$4,0),FALSE)</f>
        <v>Local</v>
      </c>
      <c r="AG136" s="258">
        <f>MIN(AVERAGE($C$136:$C$138),AVERAGE($D$136:$D$138),AVERAGE($E$136:$E$138),AVERAGE($F$136:$F$138),AVERAGE($G$136:$G$138),AVERAGE($H$136:$H$138),AVERAGE($I$136:$I$138),AVERAGE($J$136:$J$138),AVERAGE($K$136:$K$138),AVERAGE($L$136:$L$138),AVERAGE($M$136:$M$138),AVERAGE($N$136:$N$138))</f>
        <v>29.899999999999995</v>
      </c>
      <c r="AH136" s="258">
        <f>MAX(AVERAGE($C$136:$C$138),AVERAGE($D$136:$D$138),AVERAGE($E$136:$E$138),AVERAGE($F$136:$F$138),AVERAGE($G$136:$G$138),AVERAGE($H$136:$H$138),AVERAGE($I$136:$I$138),AVERAGE($J$136:$J$138),AVERAGE($K$136:$K$138),AVERAGE($L$136:$L$138),AVERAGE($M$136:$M$138),AVERAGE($N$136:$N$138))</f>
        <v>48.733333333333341</v>
      </c>
      <c r="AI136" s="177">
        <f t="shared" si="70"/>
        <v>26.633931419457735</v>
      </c>
    </row>
    <row r="137" spans="1:36" ht="12" customHeight="1" x14ac:dyDescent="0.2">
      <c r="A137" s="202"/>
      <c r="B137" s="193" t="s">
        <v>150</v>
      </c>
      <c r="C137" s="190">
        <v>36.299999999999997</v>
      </c>
      <c r="D137" s="190">
        <v>39.299999999999997</v>
      </c>
      <c r="E137" s="190">
        <v>43.1</v>
      </c>
      <c r="F137" s="190">
        <v>47.1</v>
      </c>
      <c r="G137" s="190">
        <v>45.9</v>
      </c>
      <c r="H137" s="190">
        <v>46.7</v>
      </c>
      <c r="I137" s="190">
        <v>45</v>
      </c>
      <c r="J137" s="190">
        <v>38.700000000000003</v>
      </c>
      <c r="K137" s="190">
        <v>48.7</v>
      </c>
      <c r="L137" s="190">
        <v>39.799999999999997</v>
      </c>
      <c r="M137" s="190">
        <v>38</v>
      </c>
      <c r="N137" s="190">
        <v>32.4</v>
      </c>
      <c r="O137" s="191">
        <f t="shared" si="82"/>
        <v>41.749999999999993</v>
      </c>
      <c r="P137" s="191">
        <f t="shared" si="83"/>
        <v>11.597407578866465</v>
      </c>
      <c r="Q137" s="192">
        <f t="shared" si="84"/>
        <v>1</v>
      </c>
      <c r="R137" s="260">
        <f t="shared" si="74"/>
        <v>39.566666666666663</v>
      </c>
      <c r="S137" s="261">
        <f t="shared" si="85"/>
        <v>1</v>
      </c>
      <c r="T137" s="260">
        <f t="shared" si="76"/>
        <v>44.133333333333333</v>
      </c>
      <c r="U137" s="261">
        <f t="shared" si="86"/>
        <v>1</v>
      </c>
      <c r="V137" s="262">
        <f t="shared" si="78"/>
        <v>41.749999999999993</v>
      </c>
      <c r="W137" s="261">
        <f t="shared" si="87"/>
        <v>1</v>
      </c>
      <c r="X137" s="177">
        <f t="shared" si="71"/>
        <v>24.156140350877195</v>
      </c>
      <c r="Y137" s="177">
        <f t="shared" si="72"/>
        <v>27.62017543859649</v>
      </c>
      <c r="Z137" s="177">
        <f t="shared" si="73"/>
        <v>26.633931419457735</v>
      </c>
      <c r="AA137" s="10"/>
      <c r="AB137" s="357" t="str">
        <f>VLOOKUP($B137,'2007-2020 Metadata'!$A$4:$S$214,MATCH("Urban Area /Monitoring Zone",'2007-2020 Metadata'!$A$4:$S$4,0),FALSE)</f>
        <v>Christchurch</v>
      </c>
      <c r="AC137" s="259" t="str">
        <f>VLOOKUP(B137,'2007-2020 Metadata'!$A$6:$A$214,1,FALSE)</f>
        <v>CHR018</v>
      </c>
      <c r="AD137" s="256" t="str">
        <f>VLOOKUP($AC137,'2007-2020 Metadata'!$A$6:$S$214,9,FALSE)</f>
        <v>Christchurch</v>
      </c>
      <c r="AE137" s="263">
        <f>IF(ISBLANK(VLOOKUP($AC137,'2007-2020 Metadata'!$A$6:$S$214,19,FALSE)),"",VLOOKUP($AC137,'2007-2020 Metadata'!$A$6:$S$214,19,FALSE))</f>
        <v>3</v>
      </c>
      <c r="AF137" s="257" t="str">
        <f>VLOOKUP($B137,'2007-2020 Metadata'!$A$4:$S$214,MATCH("Site type",'2007-2020 Metadata'!$A$4:$S$4,0),FALSE)</f>
        <v>Local</v>
      </c>
      <c r="AG137" s="258">
        <f>MIN(AVERAGE($C$136:$C$138),AVERAGE($D$136:$D$138),AVERAGE($E$136:$E$138),AVERAGE($F$136:$F$138),AVERAGE($G$136:$G$138),AVERAGE($H$136:$H$138),AVERAGE($I$136:$I$138),AVERAGE($J$136:$J$138),AVERAGE($K$136:$K$138),AVERAGE($L$136:$L$138),AVERAGE($M$136:$M$138),AVERAGE($N$136:$N$138))</f>
        <v>29.899999999999995</v>
      </c>
      <c r="AH137" s="258">
        <f>MAX(AVERAGE($C$136:$C$138),AVERAGE($D$136:$D$138),AVERAGE($E$136:$E$138),AVERAGE($F$136:$F$138),AVERAGE($G$136:$G$138),AVERAGE($H$136:$H$138),AVERAGE($I$136:$I$138),AVERAGE($J$136:$J$138),AVERAGE($K$136:$K$138),AVERAGE($L$136:$L$138),AVERAGE($M$136:$M$138),AVERAGE($N$136:$N$138))</f>
        <v>48.733333333333341</v>
      </c>
      <c r="AI137" s="177">
        <f t="shared" si="70"/>
        <v>26.633931419457735</v>
      </c>
    </row>
    <row r="138" spans="1:36" ht="12" customHeight="1" x14ac:dyDescent="0.2">
      <c r="A138" s="202"/>
      <c r="B138" s="193" t="s">
        <v>151</v>
      </c>
      <c r="C138" s="190">
        <v>35.200000000000003</v>
      </c>
      <c r="D138" s="190">
        <v>40.299999999999997</v>
      </c>
      <c r="E138" s="190">
        <v>41</v>
      </c>
      <c r="F138" s="190">
        <v>46.4</v>
      </c>
      <c r="G138" s="190">
        <v>43.1</v>
      </c>
      <c r="H138" s="190">
        <v>45.1</v>
      </c>
      <c r="I138" s="190">
        <v>42.3</v>
      </c>
      <c r="J138" s="190">
        <v>34.9</v>
      </c>
      <c r="K138" s="190">
        <v>48.4</v>
      </c>
      <c r="L138" s="190">
        <v>40.700000000000003</v>
      </c>
      <c r="M138" s="190">
        <v>39.200000000000003</v>
      </c>
      <c r="N138" s="190">
        <v>26.4</v>
      </c>
      <c r="O138" s="191">
        <f t="shared" si="82"/>
        <v>40.249999999999993</v>
      </c>
      <c r="P138" s="191">
        <f t="shared" si="83"/>
        <v>14.125667523354146</v>
      </c>
      <c r="Q138" s="192">
        <f t="shared" si="84"/>
        <v>1</v>
      </c>
      <c r="R138" s="260">
        <f t="shared" si="74"/>
        <v>38.833333333333336</v>
      </c>
      <c r="S138" s="261">
        <f t="shared" si="85"/>
        <v>1</v>
      </c>
      <c r="T138" s="260">
        <f t="shared" si="76"/>
        <v>41.866666666666667</v>
      </c>
      <c r="U138" s="261">
        <f t="shared" si="86"/>
        <v>1</v>
      </c>
      <c r="V138" s="262">
        <f t="shared" si="78"/>
        <v>40.249999999999993</v>
      </c>
      <c r="W138" s="261">
        <f t="shared" si="87"/>
        <v>1</v>
      </c>
      <c r="X138" s="177">
        <f t="shared" ref="X138:X154" si="90">IF(VLOOKUP($B138,$AC$6:$AI$161,3,FALSE)="",$R138,IF(ISERROR(AVERAGEIF($AD$6:$AD$161,VLOOKUP($B138,$AC$6:$AI$161,2,FALSE),$R$6:$R$161)),"",AVERAGEIF($AD$6:$AD$161,VLOOKUP($B138,$AC$6:$AI$161,2,FALSE),$R$6:$R$161)))</f>
        <v>24.156140350877195</v>
      </c>
      <c r="Y138" s="177">
        <f t="shared" ref="Y138:Y154" si="91">IF(VLOOKUP($B138,$AC$6:$AI$161,3,FALSE)="",$T138,IF(ISERROR(AVERAGEIF($AD$6:$AD$161,VLOOKUP($B138,$AC$6:$AI$161,2,FALSE),$T$6:$T$161)),"",AVERAGEIF($AD$6:$AD$161,VLOOKUP($B138,$AC$6:$AI$161,2,FALSE),$T$6:$T$161)))</f>
        <v>27.62017543859649</v>
      </c>
      <c r="Z138" s="177">
        <f t="shared" ref="Z138:Z154" si="92">IF(VLOOKUP($B138,$AC$6:$AI$161,3,FALSE)="",$V138,IF(ISERROR(AVERAGEIF($AD$6:$AD$161,VLOOKUP($B138,$AC$6:$AI$161,2,FALSE),$V$6:$V$161)),"",AVERAGEIF($AD$6:$AD$161,VLOOKUP($B138,$AC$6:$AI$161,2,FALSE),$V$6:$V$161)))</f>
        <v>26.633931419457735</v>
      </c>
      <c r="AA138" s="10"/>
      <c r="AB138" s="357" t="str">
        <f>VLOOKUP($B138,'2007-2020 Metadata'!$A$4:$S$214,MATCH("Urban Area /Monitoring Zone",'2007-2020 Metadata'!$A$4:$S$4,0),FALSE)</f>
        <v>Christchurch</v>
      </c>
      <c r="AC138" s="259" t="str">
        <f>VLOOKUP(B138,'2007-2020 Metadata'!$A$6:$A$214,1,FALSE)</f>
        <v>CHR019</v>
      </c>
      <c r="AD138" s="256" t="str">
        <f>VLOOKUP($AC138,'2007-2020 Metadata'!$A$6:$S$214,9,FALSE)</f>
        <v>Christchurch</v>
      </c>
      <c r="AE138" s="263">
        <f>IF(ISBLANK(VLOOKUP($AC138,'2007-2020 Metadata'!$A$6:$S$214,19,FALSE)),"",VLOOKUP($AC138,'2007-2020 Metadata'!$A$6:$S$214,19,FALSE))</f>
        <v>3</v>
      </c>
      <c r="AF138" s="257" t="str">
        <f>VLOOKUP($B138,'2007-2020 Metadata'!$A$4:$S$214,MATCH("Site type",'2007-2020 Metadata'!$A$4:$S$4,0),FALSE)</f>
        <v>Local</v>
      </c>
      <c r="AG138" s="258">
        <f>MIN(AVERAGE($C$136:$C$138),AVERAGE($D$136:$D$138),AVERAGE($E$136:$E$138),AVERAGE($F$136:$F$138),AVERAGE($G$136:$G$138),AVERAGE($H$136:$H$138),AVERAGE($I$136:$I$138),AVERAGE($J$136:$J$138),AVERAGE($K$136:$K$138),AVERAGE($L$136:$L$138),AVERAGE($M$136:$M$138),AVERAGE($N$136:$N$138))</f>
        <v>29.899999999999995</v>
      </c>
      <c r="AH138" s="258">
        <f>MAX(AVERAGE($C$136:$C$138),AVERAGE($D$136:$D$138),AVERAGE($E$136:$E$138),AVERAGE($F$136:$F$138),AVERAGE($G$136:$G$138),AVERAGE($H$136:$H$138),AVERAGE($I$136:$I$138),AVERAGE($J$136:$J$138),AVERAGE($K$136:$K$138),AVERAGE($L$136:$L$138),AVERAGE($M$136:$M$138),AVERAGE($N$136:$N$138))</f>
        <v>48.733333333333341</v>
      </c>
      <c r="AI138" s="177">
        <f t="shared" si="70"/>
        <v>26.633931419457735</v>
      </c>
    </row>
    <row r="139" spans="1:36" ht="12" customHeight="1" x14ac:dyDescent="0.2">
      <c r="A139" s="202"/>
      <c r="B139" s="193" t="s">
        <v>152</v>
      </c>
      <c r="C139" s="190">
        <v>10.9</v>
      </c>
      <c r="D139" s="190">
        <v>9.8000000000000007</v>
      </c>
      <c r="E139" s="190">
        <v>12.3</v>
      </c>
      <c r="F139" s="190">
        <v>18.5</v>
      </c>
      <c r="G139" s="190">
        <v>16.399999999999999</v>
      </c>
      <c r="H139" s="190">
        <v>24.3</v>
      </c>
      <c r="I139" s="190">
        <v>19.7</v>
      </c>
      <c r="J139" s="190">
        <v>19.399999999999999</v>
      </c>
      <c r="K139" s="190">
        <v>11.3</v>
      </c>
      <c r="L139" s="190">
        <v>11.3</v>
      </c>
      <c r="M139" s="190">
        <v>8.1999999999999993</v>
      </c>
      <c r="N139" s="190">
        <v>6.6</v>
      </c>
      <c r="O139" s="191">
        <f t="shared" si="82"/>
        <v>14.058333333333335</v>
      </c>
      <c r="P139" s="191">
        <f t="shared" si="83"/>
        <v>37.122391256729074</v>
      </c>
      <c r="Q139" s="192">
        <f t="shared" si="84"/>
        <v>1</v>
      </c>
      <c r="R139" s="260">
        <f t="shared" si="74"/>
        <v>11</v>
      </c>
      <c r="S139" s="261">
        <f t="shared" si="85"/>
        <v>1</v>
      </c>
      <c r="T139" s="260">
        <f t="shared" si="76"/>
        <v>16.799999999999997</v>
      </c>
      <c r="U139" s="261">
        <f t="shared" si="86"/>
        <v>1</v>
      </c>
      <c r="V139" s="262">
        <f t="shared" si="78"/>
        <v>14.058333333333335</v>
      </c>
      <c r="W139" s="261">
        <f t="shared" si="87"/>
        <v>1</v>
      </c>
      <c r="X139" s="177">
        <f t="shared" si="90"/>
        <v>24.156140350877195</v>
      </c>
      <c r="Y139" s="177">
        <f t="shared" si="91"/>
        <v>27.62017543859649</v>
      </c>
      <c r="Z139" s="177">
        <f t="shared" si="92"/>
        <v>26.633931419457735</v>
      </c>
      <c r="AA139" s="10"/>
      <c r="AB139" s="357" t="str">
        <f>VLOOKUP($B139,'2007-2020 Metadata'!$A$4:$S$214,MATCH("Urban Area /Monitoring Zone",'2007-2020 Metadata'!$A$4:$S$4,0),FALSE)</f>
        <v>Christchurch</v>
      </c>
      <c r="AC139" s="259" t="str">
        <f>VLOOKUP(B139,'2007-2020 Metadata'!$A$6:$A$214,1,FALSE)</f>
        <v>CHR020</v>
      </c>
      <c r="AD139" s="256" t="str">
        <f>VLOOKUP($AC139,'2007-2020 Metadata'!$A$6:$S$214,9,FALSE)</f>
        <v>Christchurch</v>
      </c>
      <c r="AE139" s="263">
        <f>IF(ISBLANK(VLOOKUP($AC139,'2007-2020 Metadata'!$A$6:$S$214,19,FALSE)),"",VLOOKUP($AC139,'2007-2020 Metadata'!$A$6:$S$214,19,FALSE))</f>
        <v>3.5</v>
      </c>
      <c r="AF139" s="257" t="str">
        <f>VLOOKUP($B139,'2007-2020 Metadata'!$A$4:$S$214,MATCH("Site type",'2007-2020 Metadata'!$A$4:$S$4,0),FALSE)</f>
        <v>Background</v>
      </c>
      <c r="AG139" s="258">
        <f>MIN(AVERAGE($C$139:$C$141),AVERAGE($D$139:$D$141),AVERAGE($E$139:$E$141),AVERAGE($F$139:$F$141),AVERAGE($G$139:$G$141),AVERAGE($H$139:$H$141),AVERAGE($I$139:$I$141),AVERAGE($J$139:$J$141),AVERAGE($K$139:$K$141),AVERAGE($L$139:$L$141),AVERAGE($M$139:$M$141),AVERAGE($N$139:$N$141))</f>
        <v>5.3</v>
      </c>
      <c r="AH139" s="258">
        <f>MAX(AVERAGE($C$139:$C$141),AVERAGE($D$139:$D$141),AVERAGE($E$139:$E$141),AVERAGE($F$139:$F$141),AVERAGE($G$139:$G$141),AVERAGE($H$139:$H$141),AVERAGE($I$139:$I$141),AVERAGE($J$139:$J$141),AVERAGE($K$139:$K$141),AVERAGE($L$139:$L$141),AVERAGE($M$139:$M$141),AVERAGE($N$139:$N$141))</f>
        <v>23.366666666666664</v>
      </c>
      <c r="AI139" s="177">
        <f t="shared" ref="AI139:AI154" si="93">IF(W139&gt;=75%,Z139," ")</f>
        <v>26.633931419457735</v>
      </c>
    </row>
    <row r="140" spans="1:36" ht="12" customHeight="1" x14ac:dyDescent="0.2">
      <c r="A140" s="202"/>
      <c r="B140" s="193" t="s">
        <v>153</v>
      </c>
      <c r="C140" s="190">
        <v>11.3</v>
      </c>
      <c r="D140" s="190">
        <v>10.3</v>
      </c>
      <c r="E140" s="190">
        <v>12.2</v>
      </c>
      <c r="F140" s="190">
        <v>16.2</v>
      </c>
      <c r="G140" s="190">
        <v>17</v>
      </c>
      <c r="H140" s="190">
        <v>23.7</v>
      </c>
      <c r="I140" s="190">
        <v>19</v>
      </c>
      <c r="J140" s="190">
        <v>16.5</v>
      </c>
      <c r="K140" s="190">
        <v>11.4</v>
      </c>
      <c r="L140" s="190">
        <v>11</v>
      </c>
      <c r="M140" s="190">
        <v>10.6</v>
      </c>
      <c r="N140" s="190">
        <v>4.8</v>
      </c>
      <c r="O140" s="191">
        <f t="shared" si="82"/>
        <v>13.666666666666666</v>
      </c>
      <c r="P140" s="191">
        <f t="shared" si="83"/>
        <v>34.965777438941316</v>
      </c>
      <c r="Q140" s="192">
        <f t="shared" si="84"/>
        <v>1</v>
      </c>
      <c r="R140" s="260">
        <f t="shared" si="74"/>
        <v>11.266666666666666</v>
      </c>
      <c r="S140" s="261">
        <f t="shared" si="85"/>
        <v>1</v>
      </c>
      <c r="T140" s="260">
        <f t="shared" si="76"/>
        <v>15.633333333333333</v>
      </c>
      <c r="U140" s="261">
        <f t="shared" si="86"/>
        <v>1</v>
      </c>
      <c r="V140" s="262">
        <f t="shared" si="78"/>
        <v>13.666666666666666</v>
      </c>
      <c r="W140" s="261">
        <f t="shared" si="87"/>
        <v>1</v>
      </c>
      <c r="X140" s="177">
        <f t="shared" si="90"/>
        <v>24.156140350877195</v>
      </c>
      <c r="Y140" s="177">
        <f t="shared" si="91"/>
        <v>27.62017543859649</v>
      </c>
      <c r="Z140" s="177">
        <f t="shared" si="92"/>
        <v>26.633931419457735</v>
      </c>
      <c r="AA140" s="10"/>
      <c r="AB140" s="357" t="str">
        <f>VLOOKUP($B140,'2007-2020 Metadata'!$A$4:$S$214,MATCH("Urban Area /Monitoring Zone",'2007-2020 Metadata'!$A$4:$S$4,0),FALSE)</f>
        <v>Christchurch</v>
      </c>
      <c r="AC140" s="259" t="str">
        <f>VLOOKUP(B140,'2007-2020 Metadata'!$A$6:$A$214,1,FALSE)</f>
        <v>CHR021</v>
      </c>
      <c r="AD140" s="256" t="str">
        <f>VLOOKUP($AC140,'2007-2020 Metadata'!$A$6:$S$214,9,FALSE)</f>
        <v>Christchurch</v>
      </c>
      <c r="AE140" s="263">
        <f>IF(ISBLANK(VLOOKUP($AC140,'2007-2020 Metadata'!$A$6:$S$214,19,FALSE)),"",VLOOKUP($AC140,'2007-2020 Metadata'!$A$6:$S$214,19,FALSE))</f>
        <v>3.5</v>
      </c>
      <c r="AF140" s="257" t="str">
        <f>VLOOKUP($B140,'2007-2020 Metadata'!$A$4:$S$214,MATCH("Site type",'2007-2020 Metadata'!$A$4:$S$4,0),FALSE)</f>
        <v>Background</v>
      </c>
      <c r="AG140" s="258">
        <f>MIN(AVERAGE($C$139:$C$141),AVERAGE($D$139:$D$141),AVERAGE($E$139:$E$141),AVERAGE($F$139:$F$141),AVERAGE($G$139:$G$141),AVERAGE($H$139:$H$141),AVERAGE($I$139:$I$141),AVERAGE($J$139:$J$141),AVERAGE($K$139:$K$141),AVERAGE($L$139:$L$141),AVERAGE($M$139:$M$141),AVERAGE($N$139:$N$141))</f>
        <v>5.3</v>
      </c>
      <c r="AH140" s="258">
        <f>MAX(AVERAGE($C$139:$C$141),AVERAGE($D$139:$D$141),AVERAGE($E$139:$E$141),AVERAGE($F$139:$F$141),AVERAGE($G$139:$G$141),AVERAGE($H$139:$H$141),AVERAGE($I$139:$I$141),AVERAGE($J$139:$J$141),AVERAGE($K$139:$K$141),AVERAGE($L$139:$L$141),AVERAGE($M$139:$M$141),AVERAGE($N$139:$N$141))</f>
        <v>23.366666666666664</v>
      </c>
      <c r="AI140" s="177">
        <f t="shared" si="93"/>
        <v>26.633931419457735</v>
      </c>
    </row>
    <row r="141" spans="1:36" ht="12" customHeight="1" x14ac:dyDescent="0.2">
      <c r="A141" s="202"/>
      <c r="B141" s="193" t="s">
        <v>154</v>
      </c>
      <c r="C141" s="190">
        <v>8.6</v>
      </c>
      <c r="D141" s="190">
        <v>8.5</v>
      </c>
      <c r="E141" s="190">
        <v>9.3000000000000007</v>
      </c>
      <c r="F141" s="190">
        <v>15.9</v>
      </c>
      <c r="G141" s="190">
        <v>17.2</v>
      </c>
      <c r="H141" s="190">
        <v>22.1</v>
      </c>
      <c r="I141" s="190">
        <v>18.399999999999999</v>
      </c>
      <c r="J141" s="190">
        <v>17.2</v>
      </c>
      <c r="K141" s="190">
        <v>12.5</v>
      </c>
      <c r="L141" s="190">
        <v>8</v>
      </c>
      <c r="M141" s="190"/>
      <c r="N141" s="190">
        <v>4.5</v>
      </c>
      <c r="O141" s="191">
        <f t="shared" si="82"/>
        <v>12.927272727272726</v>
      </c>
      <c r="P141" s="191">
        <f>IFERROR((STDEVP(C141:N141)/O141)*100,"")</f>
        <v>40.826524927672338</v>
      </c>
      <c r="Q141" s="192">
        <f t="shared" si="84"/>
        <v>0.91666666666666663</v>
      </c>
      <c r="R141" s="260">
        <f t="shared" si="74"/>
        <v>8.8000000000000007</v>
      </c>
      <c r="S141" s="261">
        <f t="shared" si="85"/>
        <v>1</v>
      </c>
      <c r="T141" s="260">
        <f t="shared" si="76"/>
        <v>16.033333333333331</v>
      </c>
      <c r="U141" s="261">
        <f t="shared" si="86"/>
        <v>1</v>
      </c>
      <c r="V141" s="262">
        <f t="shared" si="78"/>
        <v>12.927272727272726</v>
      </c>
      <c r="W141" s="261">
        <f t="shared" si="87"/>
        <v>0.91666666666666663</v>
      </c>
      <c r="X141" s="177">
        <f t="shared" si="90"/>
        <v>24.156140350877195</v>
      </c>
      <c r="Y141" s="177">
        <f t="shared" si="91"/>
        <v>27.62017543859649</v>
      </c>
      <c r="Z141" s="177">
        <f t="shared" si="92"/>
        <v>26.633931419457735</v>
      </c>
      <c r="AA141" s="10"/>
      <c r="AB141" s="357" t="str">
        <f>VLOOKUP($B141,'2007-2020 Metadata'!$A$4:$S$214,MATCH("Urban Area /Monitoring Zone",'2007-2020 Metadata'!$A$4:$S$4,0),FALSE)</f>
        <v>Christchurch</v>
      </c>
      <c r="AC141" s="259" t="str">
        <f>VLOOKUP(B141,'2007-2020 Metadata'!$A$6:$A$214,1,FALSE)</f>
        <v>CHR022</v>
      </c>
      <c r="AD141" s="256" t="str">
        <f>VLOOKUP($AC141,'2007-2020 Metadata'!$A$6:$S$214,9,FALSE)</f>
        <v>Christchurch</v>
      </c>
      <c r="AE141" s="263">
        <f>IF(ISBLANK(VLOOKUP($AC141,'2007-2020 Metadata'!$A$6:$S$214,19,FALSE)),"",VLOOKUP($AC141,'2007-2020 Metadata'!$A$6:$S$214,19,FALSE))</f>
        <v>3.5</v>
      </c>
      <c r="AF141" s="257" t="str">
        <f>VLOOKUP($B141,'2007-2020 Metadata'!$A$4:$S$214,MATCH("Site type",'2007-2020 Metadata'!$A$4:$S$4,0),FALSE)</f>
        <v>Background</v>
      </c>
      <c r="AG141" s="258">
        <f>MIN(AVERAGE($C$139:$C$141),AVERAGE($D$139:$D$141),AVERAGE($E$139:$E$141),AVERAGE($F$139:$F$141),AVERAGE($G$139:$G$141),AVERAGE($H$139:$H$141),AVERAGE($I$139:$I$141),AVERAGE($J$139:$J$141),AVERAGE($K$139:$K$141),AVERAGE($L$139:$L$141),AVERAGE($M$139:$M$141),AVERAGE($N$139:$N$141))</f>
        <v>5.3</v>
      </c>
      <c r="AH141" s="258">
        <f>MAX(AVERAGE($C$139:$C$141),AVERAGE($D$139:$D$141),AVERAGE($E$139:$E$141),AVERAGE($F$139:$F$141),AVERAGE($G$139:$G$141),AVERAGE($H$139:$H$141),AVERAGE($I$139:$I$141),AVERAGE($J$139:$J$141),AVERAGE($K$139:$K$141),AVERAGE($L$139:$L$141),AVERAGE($M$139:$M$141),AVERAGE($N$139:$N$141))</f>
        <v>23.366666666666664</v>
      </c>
      <c r="AI141" s="177">
        <f t="shared" si="93"/>
        <v>26.633931419457735</v>
      </c>
    </row>
    <row r="142" spans="1:36" ht="12" customHeight="1" x14ac:dyDescent="0.2">
      <c r="A142" s="202"/>
      <c r="B142" s="193" t="s">
        <v>514</v>
      </c>
      <c r="C142" s="190">
        <v>19.899999999999999</v>
      </c>
      <c r="D142" s="190">
        <v>13</v>
      </c>
      <c r="E142" s="190">
        <v>14.9</v>
      </c>
      <c r="F142" s="190">
        <v>28.5</v>
      </c>
      <c r="G142" s="190">
        <v>18.3</v>
      </c>
      <c r="H142" s="190">
        <v>24.1</v>
      </c>
      <c r="I142" s="190">
        <v>20.5</v>
      </c>
      <c r="J142" s="190">
        <v>26.2</v>
      </c>
      <c r="K142" s="190">
        <v>20.100000000000001</v>
      </c>
      <c r="L142" s="190"/>
      <c r="M142" s="190">
        <v>17.2</v>
      </c>
      <c r="N142" s="190">
        <v>12.1</v>
      </c>
      <c r="O142" s="191">
        <f t="shared" si="82"/>
        <v>19.527272727272724</v>
      </c>
      <c r="P142" s="191">
        <f t="shared" si="83"/>
        <v>25.533503781804889</v>
      </c>
      <c r="Q142" s="192">
        <f t="shared" si="84"/>
        <v>0.91666666666666663</v>
      </c>
      <c r="R142" s="260">
        <f t="shared" si="74"/>
        <v>15.933333333333332</v>
      </c>
      <c r="S142" s="261">
        <f t="shared" si="85"/>
        <v>1</v>
      </c>
      <c r="T142" s="260">
        <f t="shared" si="76"/>
        <v>22.266666666666669</v>
      </c>
      <c r="U142" s="261">
        <f t="shared" si="86"/>
        <v>1</v>
      </c>
      <c r="V142" s="262">
        <f t="shared" si="78"/>
        <v>19.527272727272724</v>
      </c>
      <c r="W142" s="261">
        <f t="shared" si="87"/>
        <v>0.91666666666666663</v>
      </c>
      <c r="X142" s="177">
        <f t="shared" si="90"/>
        <v>24.156140350877195</v>
      </c>
      <c r="Y142" s="177">
        <f t="shared" si="91"/>
        <v>27.62017543859649</v>
      </c>
      <c r="Z142" s="177">
        <f t="shared" si="92"/>
        <v>26.633931419457735</v>
      </c>
      <c r="AA142" s="10"/>
      <c r="AB142" s="357" t="str">
        <f>VLOOKUP($B142,'2007-2020 Metadata'!$A$4:$S$214,MATCH("Urban Area /Monitoring Zone",'2007-2020 Metadata'!$A$4:$S$4,0),FALSE)</f>
        <v>Christchurch</v>
      </c>
      <c r="AC142" s="259" t="str">
        <f>VLOOKUP(B142,'2007-2020 Metadata'!$A$6:$A$214,1,FALSE)</f>
        <v>CHR042</v>
      </c>
      <c r="AD142" s="256" t="str">
        <f>VLOOKUP($AC142,'2007-2020 Metadata'!$A$6:$S$214,9,FALSE)</f>
        <v>Christchurch</v>
      </c>
      <c r="AE142" s="263">
        <f>IF(ISBLANK(VLOOKUP($AC142,'2007-2020 Metadata'!$A$6:$S$214,19,FALSE)),"",VLOOKUP($AC142,'2007-2020 Metadata'!$A$6:$S$214,19,FALSE))</f>
        <v>3</v>
      </c>
      <c r="AF142" s="257" t="str">
        <f>VLOOKUP($B142,'2007-2020 Metadata'!$A$4:$S$214,MATCH("Site type",'2007-2020 Metadata'!$A$4:$S$4,0),FALSE)</f>
        <v>SH</v>
      </c>
      <c r="AG142" s="258">
        <f>MIN(AVERAGE($C$142:$C$144),AVERAGE($D$142:$D$144),AVERAGE($E$142:$E$144),AVERAGE($F$142:$F$144),AVERAGE($G$142:$G$144),AVERAGE($H$142:$H$144),AVERAGE($I$142:$I$144),AVERAGE($J$142:$J$144),AVERAGE($K$142:$K$144),AVERAGE($M$142:$M$144),AVERAGE($N$142:$N$144))</f>
        <v>12.4</v>
      </c>
      <c r="AH142" s="258">
        <f>MAX(AVERAGE($C$142:$C$144),AVERAGE($D$142:$D$144),AVERAGE($E$142:$E$144),AVERAGE($F$142:$F$144),AVERAGE($G$142:$G$144),AVERAGE($H$142:$H$144),AVERAGE($I$142:$I$144),AVERAGE($J$142:$J$144),AVERAGE($K$142:$K$144),AVERAGE($M$142:$M$144),AVERAGE($N$142:$N$144))</f>
        <v>26.866666666666664</v>
      </c>
      <c r="AI142" s="177">
        <f t="shared" si="93"/>
        <v>26.633931419457735</v>
      </c>
      <c r="AJ142" s="188" t="s">
        <v>543</v>
      </c>
    </row>
    <row r="143" spans="1:36" ht="12" customHeight="1" x14ac:dyDescent="0.2">
      <c r="A143" s="202"/>
      <c r="B143" s="193" t="s">
        <v>515</v>
      </c>
      <c r="C143" s="190">
        <v>16.5</v>
      </c>
      <c r="D143" s="190">
        <v>11.9</v>
      </c>
      <c r="E143" s="190">
        <v>15.1</v>
      </c>
      <c r="F143" s="190">
        <v>26.2</v>
      </c>
      <c r="G143" s="190">
        <v>28.2</v>
      </c>
      <c r="H143" s="190">
        <v>25</v>
      </c>
      <c r="I143" s="190">
        <v>19.899999999999999</v>
      </c>
      <c r="J143" s="190">
        <v>26.6</v>
      </c>
      <c r="K143" s="190">
        <v>19.8</v>
      </c>
      <c r="L143" s="190"/>
      <c r="M143" s="190">
        <v>17.399999999999999</v>
      </c>
      <c r="N143" s="190">
        <v>12.1</v>
      </c>
      <c r="O143" s="191">
        <f t="shared" si="82"/>
        <v>19.881818181818183</v>
      </c>
      <c r="P143" s="191">
        <f t="shared" si="83"/>
        <v>28.17526984618684</v>
      </c>
      <c r="Q143" s="192">
        <f t="shared" si="84"/>
        <v>0.91666666666666663</v>
      </c>
      <c r="R143" s="260">
        <f t="shared" si="74"/>
        <v>14.5</v>
      </c>
      <c r="S143" s="261">
        <f t="shared" si="85"/>
        <v>1</v>
      </c>
      <c r="T143" s="260">
        <f t="shared" si="76"/>
        <v>22.099999999999998</v>
      </c>
      <c r="U143" s="261">
        <f t="shared" si="86"/>
        <v>1</v>
      </c>
      <c r="V143" s="262">
        <f t="shared" si="78"/>
        <v>19.881818181818183</v>
      </c>
      <c r="W143" s="261">
        <f t="shared" si="87"/>
        <v>0.91666666666666663</v>
      </c>
      <c r="X143" s="177">
        <f t="shared" si="90"/>
        <v>24.156140350877195</v>
      </c>
      <c r="Y143" s="177">
        <f t="shared" si="91"/>
        <v>27.62017543859649</v>
      </c>
      <c r="Z143" s="177">
        <f t="shared" si="92"/>
        <v>26.633931419457735</v>
      </c>
      <c r="AA143" s="10"/>
      <c r="AB143" s="357" t="str">
        <f>VLOOKUP($B143,'2007-2020 Metadata'!$A$4:$S$214,MATCH("Urban Area /Monitoring Zone",'2007-2020 Metadata'!$A$4:$S$4,0),FALSE)</f>
        <v>Christchurch</v>
      </c>
      <c r="AC143" s="259" t="str">
        <f>VLOOKUP(B143,'2007-2020 Metadata'!$A$6:$A$214,1,FALSE)</f>
        <v>CHR043</v>
      </c>
      <c r="AD143" s="256" t="str">
        <f>VLOOKUP($AC143,'2007-2020 Metadata'!$A$6:$S$214,9,FALSE)</f>
        <v>Christchurch</v>
      </c>
      <c r="AE143" s="263">
        <f>IF(ISBLANK(VLOOKUP($AC143,'2007-2020 Metadata'!$A$6:$S$214,19,FALSE)),"",VLOOKUP($AC143,'2007-2020 Metadata'!$A$6:$S$214,19,FALSE))</f>
        <v>3</v>
      </c>
      <c r="AF143" s="257" t="str">
        <f>VLOOKUP($B143,'2007-2020 Metadata'!$A$4:$S$214,MATCH("Site type",'2007-2020 Metadata'!$A$4:$S$4,0),FALSE)</f>
        <v>SH</v>
      </c>
      <c r="AG143" s="258">
        <f t="shared" ref="AG143:AG144" si="94">MIN(AVERAGE($C$142:$C$144),AVERAGE($D$142:$D$144),AVERAGE($E$142:$E$144),AVERAGE($F$142:$F$144),AVERAGE($G$142:$G$144),AVERAGE($H$142:$H$144),AVERAGE($I$142:$I$144),AVERAGE($J$142:$J$144),AVERAGE($K$142:$K$144),AVERAGE($M$142:$M$144),AVERAGE($N$142:$N$144))</f>
        <v>12.4</v>
      </c>
      <c r="AH143" s="258">
        <f t="shared" ref="AH143:AH144" si="95">MAX(AVERAGE($C$142:$C$144),AVERAGE($D$142:$D$144),AVERAGE($E$142:$E$144),AVERAGE($F$142:$F$144),AVERAGE($G$142:$G$144),AVERAGE($H$142:$H$144),AVERAGE($I$142:$I$144),AVERAGE($J$142:$J$144),AVERAGE($K$142:$K$144),AVERAGE($M$142:$M$144),AVERAGE($N$142:$N$144))</f>
        <v>26.866666666666664</v>
      </c>
      <c r="AI143" s="177">
        <f t="shared" si="93"/>
        <v>26.633931419457735</v>
      </c>
      <c r="AJ143" s="188" t="s">
        <v>543</v>
      </c>
    </row>
    <row r="144" spans="1:36" ht="12" customHeight="1" x14ac:dyDescent="0.2">
      <c r="A144" s="202"/>
      <c r="B144" s="193" t="s">
        <v>516</v>
      </c>
      <c r="C144" s="190">
        <v>19.600000000000001</v>
      </c>
      <c r="D144" s="190">
        <v>12.9</v>
      </c>
      <c r="E144" s="190">
        <v>16.399999999999999</v>
      </c>
      <c r="F144" s="190">
        <v>25.9</v>
      </c>
      <c r="G144" s="190">
        <v>25.9</v>
      </c>
      <c r="H144" s="190">
        <v>23.1</v>
      </c>
      <c r="I144" s="190">
        <v>18.899999999999999</v>
      </c>
      <c r="J144" s="190">
        <v>23.1</v>
      </c>
      <c r="K144" s="190">
        <v>19.600000000000001</v>
      </c>
      <c r="L144" s="190"/>
      <c r="M144" s="190">
        <v>17.5</v>
      </c>
      <c r="N144" s="190">
        <v>13</v>
      </c>
      <c r="O144" s="191">
        <f t="shared" si="82"/>
        <v>19.627272727272725</v>
      </c>
      <c r="P144" s="191">
        <f t="shared" si="83"/>
        <v>22.126503466090199</v>
      </c>
      <c r="Q144" s="192">
        <f t="shared" si="84"/>
        <v>0.91666666666666663</v>
      </c>
      <c r="R144" s="260">
        <f t="shared" si="74"/>
        <v>16.3</v>
      </c>
      <c r="S144" s="261">
        <f t="shared" ref="S144:S154" si="96">COUNT(C144:E144)/3</f>
        <v>1</v>
      </c>
      <c r="T144" s="260">
        <f t="shared" si="76"/>
        <v>20.533333333333335</v>
      </c>
      <c r="U144" s="261">
        <f t="shared" ref="U144:U154" si="97">COUNT(I144:K144)/3</f>
        <v>1</v>
      </c>
      <c r="V144" s="262">
        <f t="shared" si="78"/>
        <v>19.627272727272725</v>
      </c>
      <c r="W144" s="261">
        <f t="shared" ref="W144:W154" si="98">Q144</f>
        <v>0.91666666666666663</v>
      </c>
      <c r="X144" s="177">
        <f t="shared" si="90"/>
        <v>24.156140350877195</v>
      </c>
      <c r="Y144" s="177">
        <f t="shared" si="91"/>
        <v>27.62017543859649</v>
      </c>
      <c r="Z144" s="177">
        <f t="shared" si="92"/>
        <v>26.633931419457735</v>
      </c>
      <c r="AA144" s="10"/>
      <c r="AB144" s="357" t="str">
        <f>VLOOKUP($B144,'2007-2020 Metadata'!$A$4:$S$214,MATCH("Urban Area /Monitoring Zone",'2007-2020 Metadata'!$A$4:$S$4,0),FALSE)</f>
        <v>Christchurch</v>
      </c>
      <c r="AC144" s="259" t="str">
        <f>VLOOKUP(B144,'2007-2020 Metadata'!$A$6:$A$214,1,FALSE)</f>
        <v>CHR044</v>
      </c>
      <c r="AD144" s="256" t="str">
        <f>VLOOKUP($AC144,'2007-2020 Metadata'!$A$6:$S$214,9,FALSE)</f>
        <v>Christchurch</v>
      </c>
      <c r="AE144" s="263">
        <f>IF(ISBLANK(VLOOKUP($AC144,'2007-2020 Metadata'!$A$6:$S$214,19,FALSE)),"",VLOOKUP($AC144,'2007-2020 Metadata'!$A$6:$S$214,19,FALSE))</f>
        <v>3</v>
      </c>
      <c r="AF144" s="257" t="str">
        <f>VLOOKUP($B144,'2007-2020 Metadata'!$A$4:$S$214,MATCH("Site type",'2007-2020 Metadata'!$A$4:$S$4,0),FALSE)</f>
        <v>SH</v>
      </c>
      <c r="AG144" s="258">
        <f t="shared" si="94"/>
        <v>12.4</v>
      </c>
      <c r="AH144" s="258">
        <f t="shared" si="95"/>
        <v>26.866666666666664</v>
      </c>
      <c r="AI144" s="177">
        <f t="shared" si="93"/>
        <v>26.633931419457735</v>
      </c>
      <c r="AJ144" s="188" t="s">
        <v>543</v>
      </c>
    </row>
    <row r="145" spans="1:35" ht="12" customHeight="1" x14ac:dyDescent="0.2">
      <c r="A145" s="202"/>
      <c r="B145" s="193" t="s">
        <v>26</v>
      </c>
      <c r="C145" s="190">
        <v>18.899999999999999</v>
      </c>
      <c r="D145" s="190">
        <v>23.4</v>
      </c>
      <c r="E145" s="190">
        <v>23.6</v>
      </c>
      <c r="F145" s="190">
        <v>29</v>
      </c>
      <c r="G145" s="190">
        <v>32.299999999999997</v>
      </c>
      <c r="H145" s="190">
        <v>35.700000000000003</v>
      </c>
      <c r="I145" s="190">
        <v>27.8</v>
      </c>
      <c r="J145" s="190">
        <v>31.1</v>
      </c>
      <c r="K145" s="190">
        <v>28.3</v>
      </c>
      <c r="L145" s="190">
        <v>23.9</v>
      </c>
      <c r="M145" s="190">
        <v>19.3</v>
      </c>
      <c r="N145" s="190">
        <v>12.6</v>
      </c>
      <c r="O145" s="191">
        <f t="shared" si="82"/>
        <v>25.491666666666671</v>
      </c>
      <c r="P145" s="191">
        <f t="shared" si="83"/>
        <v>24.446031995324745</v>
      </c>
      <c r="Q145" s="192">
        <f t="shared" si="84"/>
        <v>1</v>
      </c>
      <c r="R145" s="140">
        <f t="shared" si="74"/>
        <v>21.966666666666669</v>
      </c>
      <c r="S145" s="150">
        <f t="shared" si="96"/>
        <v>1</v>
      </c>
      <c r="T145" s="140">
        <f t="shared" si="76"/>
        <v>29.066666666666666</v>
      </c>
      <c r="U145" s="150">
        <f t="shared" si="97"/>
        <v>1</v>
      </c>
      <c r="V145" s="141">
        <f t="shared" si="78"/>
        <v>25.491666666666671</v>
      </c>
      <c r="W145" s="142">
        <f t="shared" si="98"/>
        <v>1</v>
      </c>
      <c r="X145" s="144">
        <f t="shared" si="90"/>
        <v>15.919047619047619</v>
      </c>
      <c r="Y145" s="144">
        <f t="shared" si="91"/>
        <v>19.37142857142857</v>
      </c>
      <c r="Z145" s="144">
        <f t="shared" si="92"/>
        <v>17.31547619047619</v>
      </c>
      <c r="AA145" s="10"/>
      <c r="AB145" s="357" t="str">
        <f>VLOOKUP($B145,'2007-2020 Metadata'!$A$4:$S$214,MATCH("Urban Area /Monitoring Zone",'2007-2020 Metadata'!$A$4:$S$4,0),FALSE)</f>
        <v>Dunedin</v>
      </c>
      <c r="AC145" s="87" t="str">
        <f>VLOOKUP(B145,'2007-2020 Metadata'!$A$6:$A$214,1,FALSE)</f>
        <v>DUN001</v>
      </c>
      <c r="AD145" s="230" t="str">
        <f>VLOOKUP($AC145,'2007-2020 Metadata'!$A$6:$S$214,9,FALSE)</f>
        <v>Dunedin</v>
      </c>
      <c r="AE145" s="248">
        <f>IF(ISBLANK(VLOOKUP($AC145,'2007-2020 Metadata'!$A$6:$S$214,19,FALSE)),"",VLOOKUP($AC145,'2007-2020 Metadata'!$A$6:$S$214,19,FALSE))</f>
        <v>3</v>
      </c>
      <c r="AF145" s="88" t="str">
        <f>VLOOKUP($B145,'2007-2020 Metadata'!$A$4:$S$214,MATCH("Site type",'2007-2020 Metadata'!$A$4:$S$4,0),FALSE)</f>
        <v>SH</v>
      </c>
      <c r="AG145" s="143">
        <f t="shared" ref="AG145:AG154" si="99">MIN(C145:N145)</f>
        <v>12.6</v>
      </c>
      <c r="AH145" s="143">
        <f t="shared" ref="AH145:AH154" si="100">MAX(C145:N145)</f>
        <v>35.700000000000003</v>
      </c>
      <c r="AI145" s="144">
        <f t="shared" si="93"/>
        <v>17.31547619047619</v>
      </c>
    </row>
    <row r="146" spans="1:35" ht="12" customHeight="1" x14ac:dyDescent="0.2">
      <c r="A146" s="202"/>
      <c r="B146" s="193" t="s">
        <v>27</v>
      </c>
      <c r="C146" s="190">
        <v>14.1</v>
      </c>
      <c r="D146" s="190">
        <v>14</v>
      </c>
      <c r="E146" s="190">
        <v>16.5</v>
      </c>
      <c r="F146" s="190">
        <v>18.2</v>
      </c>
      <c r="G146" s="190">
        <v>18.3</v>
      </c>
      <c r="H146" s="190">
        <v>19.5</v>
      </c>
      <c r="I146" s="190">
        <v>15.3</v>
      </c>
      <c r="J146" s="190">
        <v>17.7</v>
      </c>
      <c r="K146" s="190">
        <v>20.7</v>
      </c>
      <c r="L146" s="190">
        <v>14.1</v>
      </c>
      <c r="M146" s="190">
        <v>13.3</v>
      </c>
      <c r="N146" s="190">
        <v>8.6999999999999993</v>
      </c>
      <c r="O146" s="191">
        <f t="shared" si="82"/>
        <v>15.866666666666665</v>
      </c>
      <c r="P146" s="191">
        <f t="shared" si="83"/>
        <v>19.904284238222317</v>
      </c>
      <c r="Q146" s="192">
        <f t="shared" si="84"/>
        <v>1</v>
      </c>
      <c r="R146" s="140">
        <f t="shared" si="74"/>
        <v>14.866666666666667</v>
      </c>
      <c r="S146" s="150">
        <f t="shared" si="96"/>
        <v>1</v>
      </c>
      <c r="T146" s="140">
        <f t="shared" si="76"/>
        <v>17.900000000000002</v>
      </c>
      <c r="U146" s="150">
        <f t="shared" si="97"/>
        <v>1</v>
      </c>
      <c r="V146" s="141">
        <f t="shared" si="78"/>
        <v>15.866666666666665</v>
      </c>
      <c r="W146" s="142">
        <f t="shared" si="98"/>
        <v>1</v>
      </c>
      <c r="X146" s="144">
        <f t="shared" si="90"/>
        <v>15.919047619047619</v>
      </c>
      <c r="Y146" s="144">
        <f t="shared" si="91"/>
        <v>19.37142857142857</v>
      </c>
      <c r="Z146" s="144">
        <f t="shared" si="92"/>
        <v>17.31547619047619</v>
      </c>
      <c r="AA146" s="10"/>
      <c r="AB146" s="357" t="str">
        <f>VLOOKUP($B146,'2007-2020 Metadata'!$A$4:$S$214,MATCH("Urban Area /Monitoring Zone",'2007-2020 Metadata'!$A$4:$S$4,0),FALSE)</f>
        <v>Dunedin</v>
      </c>
      <c r="AC146" s="87" t="str">
        <f>VLOOKUP(B146,'2007-2020 Metadata'!$A$6:$A$214,1,FALSE)</f>
        <v>DUN002</v>
      </c>
      <c r="AD146" s="230" t="str">
        <f>VLOOKUP($AC146,'2007-2020 Metadata'!$A$6:$S$214,9,FALSE)</f>
        <v>Dunedin</v>
      </c>
      <c r="AE146" s="248">
        <f>IF(ISBLANK(VLOOKUP($AC146,'2007-2020 Metadata'!$A$6:$S$214,19,FALSE)),"",VLOOKUP($AC146,'2007-2020 Metadata'!$A$6:$S$214,19,FALSE))</f>
        <v>3</v>
      </c>
      <c r="AF146" s="88" t="str">
        <f>VLOOKUP($B146,'2007-2020 Metadata'!$A$4:$S$214,MATCH("Site type",'2007-2020 Metadata'!$A$4:$S$4,0),FALSE)</f>
        <v>SH</v>
      </c>
      <c r="AG146" s="143">
        <f t="shared" si="99"/>
        <v>8.6999999999999993</v>
      </c>
      <c r="AH146" s="143">
        <f t="shared" si="100"/>
        <v>20.7</v>
      </c>
      <c r="AI146" s="144">
        <f t="shared" si="93"/>
        <v>17.31547619047619</v>
      </c>
    </row>
    <row r="147" spans="1:35" ht="11.25" customHeight="1" x14ac:dyDescent="0.2">
      <c r="A147" s="202"/>
      <c r="B147" s="193" t="s">
        <v>29</v>
      </c>
      <c r="C147" s="190">
        <v>17.100000000000001</v>
      </c>
      <c r="D147" s="190">
        <v>17.100000000000001</v>
      </c>
      <c r="E147" s="190">
        <v>26.3</v>
      </c>
      <c r="F147" s="190">
        <v>25</v>
      </c>
      <c r="G147" s="190">
        <v>25.5</v>
      </c>
      <c r="H147" s="190">
        <v>36.9</v>
      </c>
      <c r="I147" s="190">
        <v>30.6</v>
      </c>
      <c r="J147" s="190">
        <v>22.6</v>
      </c>
      <c r="K147" s="190">
        <v>25.5</v>
      </c>
      <c r="L147" s="190">
        <v>18.8</v>
      </c>
      <c r="M147" s="190">
        <v>17.899999999999999</v>
      </c>
      <c r="N147" s="190">
        <v>17.8</v>
      </c>
      <c r="O147" s="191">
        <f t="shared" si="82"/>
        <v>23.425000000000001</v>
      </c>
      <c r="P147" s="191">
        <f t="shared" si="83"/>
        <v>25.154864661821506</v>
      </c>
      <c r="Q147" s="192">
        <f t="shared" si="84"/>
        <v>1</v>
      </c>
      <c r="R147" s="140">
        <f t="shared" si="74"/>
        <v>20.166666666666668</v>
      </c>
      <c r="S147" s="150">
        <f t="shared" si="96"/>
        <v>1</v>
      </c>
      <c r="T147" s="140">
        <f t="shared" si="76"/>
        <v>26.233333333333334</v>
      </c>
      <c r="U147" s="150">
        <f t="shared" si="97"/>
        <v>1</v>
      </c>
      <c r="V147" s="141">
        <f t="shared" si="78"/>
        <v>23.425000000000001</v>
      </c>
      <c r="W147" s="142">
        <f t="shared" si="98"/>
        <v>1</v>
      </c>
      <c r="X147" s="144">
        <f t="shared" si="90"/>
        <v>20.166666666666668</v>
      </c>
      <c r="Y147" s="144">
        <f t="shared" si="91"/>
        <v>26.233333333333334</v>
      </c>
      <c r="Z147" s="144">
        <f t="shared" si="92"/>
        <v>23.425000000000001</v>
      </c>
      <c r="AA147" s="10"/>
      <c r="AB147" s="357" t="str">
        <f>VLOOKUP($B147,'2007-2020 Metadata'!$A$4:$S$214,MATCH("Urban Area /Monitoring Zone",'2007-2020 Metadata'!$A$4:$S$4,0),FALSE)</f>
        <v>Queenstown</v>
      </c>
      <c r="AC147" s="87" t="str">
        <f>VLOOKUP(B147,'2007-2020 Metadata'!$A$6:$A$214,1,FALSE)</f>
        <v>DUN004</v>
      </c>
      <c r="AD147" s="230" t="str">
        <f>VLOOKUP($AC147,'2007-2020 Metadata'!$A$6:$S$214,9,FALSE)</f>
        <v>Queenstown</v>
      </c>
      <c r="AE147" s="248">
        <f>IF(ISBLANK(VLOOKUP($AC147,'2007-2020 Metadata'!$A$6:$S$214,19,FALSE)),"",VLOOKUP($AC147,'2007-2020 Metadata'!$A$6:$S$214,19,FALSE))</f>
        <v>3</v>
      </c>
      <c r="AF147" s="88" t="str">
        <f>VLOOKUP($B147,'2007-2020 Metadata'!$A$4:$S$214,MATCH("Site type",'2007-2020 Metadata'!$A$4:$S$4,0),FALSE)</f>
        <v>SH</v>
      </c>
      <c r="AG147" s="143">
        <f t="shared" si="99"/>
        <v>17.100000000000001</v>
      </c>
      <c r="AH147" s="143">
        <f t="shared" si="100"/>
        <v>36.9</v>
      </c>
      <c r="AI147" s="144">
        <f t="shared" si="93"/>
        <v>23.425000000000001</v>
      </c>
    </row>
    <row r="148" spans="1:35" ht="11.25" customHeight="1" x14ac:dyDescent="0.2">
      <c r="A148" s="202"/>
      <c r="B148" s="193" t="s">
        <v>30</v>
      </c>
      <c r="C148" s="190"/>
      <c r="D148" s="190"/>
      <c r="E148" s="190"/>
      <c r="F148" s="190"/>
      <c r="G148" s="190">
        <v>32.9</v>
      </c>
      <c r="H148" s="190">
        <v>32.799999999999997</v>
      </c>
      <c r="I148" s="190">
        <v>30.8</v>
      </c>
      <c r="J148" s="190">
        <v>30.9</v>
      </c>
      <c r="K148" s="190">
        <v>22.4</v>
      </c>
      <c r="L148" s="190">
        <v>26.4</v>
      </c>
      <c r="M148" s="190">
        <v>20.5</v>
      </c>
      <c r="N148" s="190">
        <v>14.1</v>
      </c>
      <c r="O148" s="191">
        <f t="shared" si="82"/>
        <v>26.349999999999998</v>
      </c>
      <c r="P148" s="191">
        <f t="shared" si="83"/>
        <v>24.185175468214101</v>
      </c>
      <c r="Q148" s="192">
        <f t="shared" si="84"/>
        <v>0.66666666666666663</v>
      </c>
      <c r="R148" s="140" t="str">
        <f t="shared" si="74"/>
        <v/>
      </c>
      <c r="S148" s="150">
        <f t="shared" si="96"/>
        <v>0</v>
      </c>
      <c r="T148" s="140">
        <f t="shared" si="76"/>
        <v>28.033333333333331</v>
      </c>
      <c r="U148" s="150">
        <f t="shared" si="97"/>
        <v>1</v>
      </c>
      <c r="V148" s="141" t="str">
        <f t="shared" si="78"/>
        <v>-</v>
      </c>
      <c r="W148" s="142">
        <f t="shared" si="98"/>
        <v>0.66666666666666663</v>
      </c>
      <c r="X148" s="144">
        <f t="shared" si="90"/>
        <v>5.2666666666666666</v>
      </c>
      <c r="Y148" s="144">
        <f t="shared" si="91"/>
        <v>18.266666666666666</v>
      </c>
      <c r="Z148" s="144">
        <f t="shared" si="92"/>
        <v>6.9272727272727277</v>
      </c>
      <c r="AA148" s="10"/>
      <c r="AB148" s="357" t="str">
        <f>VLOOKUP($B148,'2007-2020 Metadata'!$A$4:$S$214,MATCH("Urban Area /Monitoring Zone",'2007-2020 Metadata'!$A$4:$S$4,0),FALSE)</f>
        <v>Invercargill</v>
      </c>
      <c r="AC148" s="87" t="str">
        <f>VLOOKUP(B148,'2007-2020 Metadata'!$A$6:$A$214,1,FALSE)</f>
        <v>DUN005</v>
      </c>
      <c r="AD148" s="230" t="str">
        <f>VLOOKUP($AC148,'2007-2020 Metadata'!$A$6:$S$214,9,FALSE)</f>
        <v>Invercargill</v>
      </c>
      <c r="AE148" s="248">
        <f>IF(ISBLANK(VLOOKUP($AC148,'2007-2020 Metadata'!$A$6:$S$214,19,FALSE)),"",VLOOKUP($AC148,'2007-2020 Metadata'!$A$6:$S$214,19,FALSE))</f>
        <v>3</v>
      </c>
      <c r="AF148" s="88" t="str">
        <f>VLOOKUP($B148,'2007-2020 Metadata'!$A$4:$S$214,MATCH("Site type",'2007-2020 Metadata'!$A$4:$S$4,0),FALSE)</f>
        <v>SH</v>
      </c>
      <c r="AG148" s="143">
        <f t="shared" si="99"/>
        <v>14.1</v>
      </c>
      <c r="AH148" s="143">
        <f t="shared" si="100"/>
        <v>32.9</v>
      </c>
      <c r="AI148" s="144" t="str">
        <f t="shared" si="93"/>
        <v xml:space="preserve"> </v>
      </c>
    </row>
    <row r="149" spans="1:35" ht="11.25" customHeight="1" x14ac:dyDescent="0.2">
      <c r="A149" s="202"/>
      <c r="B149" s="193" t="s">
        <v>155</v>
      </c>
      <c r="C149" s="190">
        <v>17</v>
      </c>
      <c r="D149" s="190">
        <v>19.7</v>
      </c>
      <c r="E149" s="190">
        <v>22.8</v>
      </c>
      <c r="F149" s="190">
        <v>24</v>
      </c>
      <c r="G149" s="190">
        <v>29.7</v>
      </c>
      <c r="H149" s="190">
        <v>29.7</v>
      </c>
      <c r="I149" s="190">
        <v>23.8</v>
      </c>
      <c r="J149" s="190">
        <v>22.6</v>
      </c>
      <c r="K149" s="190">
        <v>25.5</v>
      </c>
      <c r="L149" s="190">
        <v>20.9</v>
      </c>
      <c r="M149" s="190">
        <v>18.7</v>
      </c>
      <c r="N149" s="190">
        <v>7.7</v>
      </c>
      <c r="O149" s="191">
        <f t="shared" si="82"/>
        <v>21.841666666666669</v>
      </c>
      <c r="P149" s="191">
        <f t="shared" si="83"/>
        <v>25.954926340732982</v>
      </c>
      <c r="Q149" s="192">
        <f t="shared" si="84"/>
        <v>1</v>
      </c>
      <c r="R149" s="140">
        <f t="shared" si="74"/>
        <v>19.833333333333332</v>
      </c>
      <c r="S149" s="150">
        <f t="shared" si="96"/>
        <v>1</v>
      </c>
      <c r="T149" s="140">
        <f t="shared" si="76"/>
        <v>23.966666666666669</v>
      </c>
      <c r="U149" s="150">
        <f t="shared" si="97"/>
        <v>1</v>
      </c>
      <c r="V149" s="141">
        <f t="shared" si="78"/>
        <v>21.841666666666669</v>
      </c>
      <c r="W149" s="142">
        <f t="shared" si="98"/>
        <v>1</v>
      </c>
      <c r="X149" s="144">
        <f t="shared" si="90"/>
        <v>15.919047619047619</v>
      </c>
      <c r="Y149" s="144">
        <f t="shared" si="91"/>
        <v>19.37142857142857</v>
      </c>
      <c r="Z149" s="144">
        <f t="shared" si="92"/>
        <v>17.31547619047619</v>
      </c>
      <c r="AA149" s="10"/>
      <c r="AB149" s="357" t="str">
        <f>VLOOKUP($B149,'2007-2020 Metadata'!$A$4:$S$214,MATCH("Urban Area /Monitoring Zone",'2007-2020 Metadata'!$A$4:$S$4,0),FALSE)</f>
        <v>Dunedin</v>
      </c>
      <c r="AC149" s="87" t="str">
        <f>VLOOKUP(B149,'2007-2020 Metadata'!$A$6:$A$214,1,FALSE)</f>
        <v>DUN006</v>
      </c>
      <c r="AD149" s="230" t="str">
        <f>VLOOKUP($AC149,'2007-2020 Metadata'!$A$6:$S$214,9,FALSE)</f>
        <v>Dunedin</v>
      </c>
      <c r="AE149" s="248">
        <f>IF(ISBLANK(VLOOKUP($AC149,'2007-2020 Metadata'!$A$6:$S$214,19,FALSE)),"",VLOOKUP($AC149,'2007-2020 Metadata'!$A$6:$S$214,19,FALSE))</f>
        <v>3</v>
      </c>
      <c r="AF149" s="88" t="str">
        <f>VLOOKUP($B149,'2007-2020 Metadata'!$A$4:$S$214,MATCH("Site type",'2007-2020 Metadata'!$A$4:$S$4,0),FALSE)</f>
        <v>SH</v>
      </c>
      <c r="AG149" s="143">
        <f t="shared" si="99"/>
        <v>7.7</v>
      </c>
      <c r="AH149" s="143">
        <f t="shared" si="100"/>
        <v>29.7</v>
      </c>
      <c r="AI149" s="144">
        <f t="shared" si="93"/>
        <v>17.31547619047619</v>
      </c>
    </row>
    <row r="150" spans="1:35" ht="11.25" customHeight="1" x14ac:dyDescent="0.2">
      <c r="A150" s="202"/>
      <c r="B150" s="193" t="s">
        <v>156</v>
      </c>
      <c r="C150" s="190">
        <v>10.1</v>
      </c>
      <c r="D150" s="190">
        <v>8.6</v>
      </c>
      <c r="E150" s="190">
        <v>11.3</v>
      </c>
      <c r="F150" s="190">
        <v>11.4</v>
      </c>
      <c r="G150" s="190">
        <v>12.3</v>
      </c>
      <c r="H150" s="190">
        <v>11.8</v>
      </c>
      <c r="I150" s="190">
        <v>10</v>
      </c>
      <c r="J150" s="190">
        <v>12.2</v>
      </c>
      <c r="K150" s="190">
        <v>12.1</v>
      </c>
      <c r="L150" s="190">
        <v>8.5</v>
      </c>
      <c r="M150" s="190">
        <v>7.2</v>
      </c>
      <c r="N150" s="190">
        <v>5.0999999999999996</v>
      </c>
      <c r="O150" s="191">
        <f t="shared" si="82"/>
        <v>10.049999999999999</v>
      </c>
      <c r="P150" s="191">
        <f t="shared" si="83"/>
        <v>21.775288305309637</v>
      </c>
      <c r="Q150" s="192">
        <f t="shared" si="84"/>
        <v>1</v>
      </c>
      <c r="R150" s="140">
        <f t="shared" si="74"/>
        <v>10</v>
      </c>
      <c r="S150" s="150">
        <f t="shared" si="96"/>
        <v>1</v>
      </c>
      <c r="T150" s="140">
        <f t="shared" si="76"/>
        <v>11.433333333333332</v>
      </c>
      <c r="U150" s="150">
        <f t="shared" si="97"/>
        <v>1</v>
      </c>
      <c r="V150" s="141">
        <f t="shared" si="78"/>
        <v>10.049999999999999</v>
      </c>
      <c r="W150" s="142">
        <f t="shared" si="98"/>
        <v>1</v>
      </c>
      <c r="X150" s="144">
        <f t="shared" si="90"/>
        <v>15.919047619047619</v>
      </c>
      <c r="Y150" s="144">
        <f t="shared" si="91"/>
        <v>19.37142857142857</v>
      </c>
      <c r="Z150" s="144">
        <f t="shared" si="92"/>
        <v>17.31547619047619</v>
      </c>
      <c r="AA150" s="10"/>
      <c r="AB150" s="357" t="str">
        <f>VLOOKUP($B150,'2007-2020 Metadata'!$A$4:$S$214,MATCH("Urban Area /Monitoring Zone",'2007-2020 Metadata'!$A$4:$S$4,0),FALSE)</f>
        <v>Dunedin</v>
      </c>
      <c r="AC150" s="87" t="str">
        <f>VLOOKUP(B150,'2007-2020 Metadata'!$A$6:$A$214,1,FALSE)</f>
        <v>DUN007</v>
      </c>
      <c r="AD150" s="230" t="str">
        <f>VLOOKUP($AC150,'2007-2020 Metadata'!$A$6:$S$214,9,FALSE)</f>
        <v>Dunedin</v>
      </c>
      <c r="AE150" s="248">
        <f>IF(ISBLANK(VLOOKUP($AC150,'2007-2020 Metadata'!$A$6:$S$214,19,FALSE)),"",VLOOKUP($AC150,'2007-2020 Metadata'!$A$6:$S$214,19,FALSE))</f>
        <v>3</v>
      </c>
      <c r="AF150" s="88" t="str">
        <f>VLOOKUP($B150,'2007-2020 Metadata'!$A$4:$S$214,MATCH("Site type",'2007-2020 Metadata'!$A$4:$S$4,0),FALSE)</f>
        <v>Background</v>
      </c>
      <c r="AG150" s="143">
        <f t="shared" si="99"/>
        <v>5.0999999999999996</v>
      </c>
      <c r="AH150" s="143">
        <f t="shared" si="100"/>
        <v>12.3</v>
      </c>
      <c r="AI150" s="144">
        <f t="shared" si="93"/>
        <v>17.31547619047619</v>
      </c>
    </row>
    <row r="151" spans="1:35" ht="11.25" customHeight="1" x14ac:dyDescent="0.2">
      <c r="A151" s="202"/>
      <c r="B151" s="193" t="s">
        <v>157</v>
      </c>
      <c r="C151" s="190">
        <v>15.8</v>
      </c>
      <c r="D151" s="190">
        <v>15.9</v>
      </c>
      <c r="E151" s="190">
        <v>14.6</v>
      </c>
      <c r="F151" s="190">
        <v>16.5</v>
      </c>
      <c r="G151" s="190">
        <v>18.600000000000001</v>
      </c>
      <c r="H151" s="190">
        <v>17.8</v>
      </c>
      <c r="I151" s="190">
        <v>13.8</v>
      </c>
      <c r="J151" s="190">
        <v>16.399999999999999</v>
      </c>
      <c r="K151" s="190">
        <v>18.2</v>
      </c>
      <c r="L151" s="190">
        <v>14.6</v>
      </c>
      <c r="M151" s="190">
        <v>12.1</v>
      </c>
      <c r="N151" s="190">
        <v>7.7</v>
      </c>
      <c r="O151" s="191">
        <f t="shared" si="82"/>
        <v>15.166666666666664</v>
      </c>
      <c r="P151" s="191">
        <f t="shared" si="83"/>
        <v>19.017022481574983</v>
      </c>
      <c r="Q151" s="192">
        <f t="shared" si="84"/>
        <v>1</v>
      </c>
      <c r="R151" s="140">
        <f t="shared" si="74"/>
        <v>15.433333333333335</v>
      </c>
      <c r="S151" s="150">
        <f t="shared" si="96"/>
        <v>1</v>
      </c>
      <c r="T151" s="140">
        <f t="shared" si="76"/>
        <v>16.133333333333333</v>
      </c>
      <c r="U151" s="150">
        <f t="shared" si="97"/>
        <v>1</v>
      </c>
      <c r="V151" s="141">
        <f t="shared" si="78"/>
        <v>15.166666666666664</v>
      </c>
      <c r="W151" s="142">
        <f t="shared" si="98"/>
        <v>1</v>
      </c>
      <c r="X151" s="144">
        <f t="shared" si="90"/>
        <v>15.919047619047619</v>
      </c>
      <c r="Y151" s="144">
        <f t="shared" si="91"/>
        <v>19.37142857142857</v>
      </c>
      <c r="Z151" s="144">
        <f t="shared" si="92"/>
        <v>17.31547619047619</v>
      </c>
      <c r="AA151" s="10"/>
      <c r="AB151" s="357" t="str">
        <f>VLOOKUP($B151,'2007-2020 Metadata'!$A$4:$S$214,MATCH("Urban Area /Monitoring Zone",'2007-2020 Metadata'!$A$4:$S$4,0),FALSE)</f>
        <v>Dunedin</v>
      </c>
      <c r="AC151" s="87" t="str">
        <f>VLOOKUP(B151,'2007-2020 Metadata'!$A$6:$A$214,1,FALSE)</f>
        <v>DUN008</v>
      </c>
      <c r="AD151" s="230" t="str">
        <f>VLOOKUP($AC151,'2007-2020 Metadata'!$A$6:$S$214,9,FALSE)</f>
        <v>Dunedin</v>
      </c>
      <c r="AE151" s="248">
        <f>IF(ISBLANK(VLOOKUP($AC151,'2007-2020 Metadata'!$A$6:$S$214,19,FALSE)),"",VLOOKUP($AC151,'2007-2020 Metadata'!$A$6:$S$214,19,FALSE))</f>
        <v>3</v>
      </c>
      <c r="AF151" s="88" t="str">
        <f>VLOOKUP($B151,'2007-2020 Metadata'!$A$4:$S$214,MATCH("Site type",'2007-2020 Metadata'!$A$4:$S$4,0),FALSE)</f>
        <v>Local</v>
      </c>
      <c r="AG151" s="143">
        <f t="shared" si="99"/>
        <v>7.7</v>
      </c>
      <c r="AH151" s="143">
        <f t="shared" si="100"/>
        <v>18.600000000000001</v>
      </c>
      <c r="AI151" s="144">
        <f t="shared" si="93"/>
        <v>17.31547619047619</v>
      </c>
    </row>
    <row r="152" spans="1:35" ht="12.75" x14ac:dyDescent="0.2">
      <c r="A152" s="202"/>
      <c r="B152" s="193" t="s">
        <v>158</v>
      </c>
      <c r="C152" s="190">
        <v>15.7</v>
      </c>
      <c r="D152" s="190">
        <v>19.100000000000001</v>
      </c>
      <c r="E152" s="190">
        <v>17.100000000000001</v>
      </c>
      <c r="F152" s="190">
        <v>25.8</v>
      </c>
      <c r="G152" s="190">
        <v>27.8</v>
      </c>
      <c r="H152" s="190">
        <v>29.5</v>
      </c>
      <c r="I152" s="190">
        <v>22.1</v>
      </c>
      <c r="J152" s="190">
        <v>23.6</v>
      </c>
      <c r="K152" s="190">
        <v>22.5</v>
      </c>
      <c r="L152" s="190">
        <v>14.6</v>
      </c>
      <c r="M152" s="190">
        <v>15.2</v>
      </c>
      <c r="N152" s="190">
        <v>9.6</v>
      </c>
      <c r="O152" s="191">
        <f t="shared" si="82"/>
        <v>20.216666666666665</v>
      </c>
      <c r="P152" s="191">
        <f t="shared" si="83"/>
        <v>28.409841328943529</v>
      </c>
      <c r="Q152" s="192">
        <f t="shared" si="84"/>
        <v>1</v>
      </c>
      <c r="R152" s="140">
        <f t="shared" si="74"/>
        <v>17.3</v>
      </c>
      <c r="S152" s="150">
        <f t="shared" si="96"/>
        <v>1</v>
      </c>
      <c r="T152" s="140">
        <f t="shared" si="76"/>
        <v>22.733333333333334</v>
      </c>
      <c r="U152" s="150">
        <f t="shared" si="97"/>
        <v>1</v>
      </c>
      <c r="V152" s="141">
        <f t="shared" si="78"/>
        <v>20.216666666666665</v>
      </c>
      <c r="W152" s="142">
        <f t="shared" si="98"/>
        <v>1</v>
      </c>
      <c r="X152" s="144">
        <f t="shared" si="90"/>
        <v>15.919047619047619</v>
      </c>
      <c r="Y152" s="144">
        <f t="shared" si="91"/>
        <v>19.37142857142857</v>
      </c>
      <c r="Z152" s="144">
        <f t="shared" si="92"/>
        <v>17.31547619047619</v>
      </c>
      <c r="AA152" s="10"/>
      <c r="AB152" s="357" t="str">
        <f>VLOOKUP($B152,'2007-2020 Metadata'!$A$4:$S$214,MATCH("Urban Area /Monitoring Zone",'2007-2020 Metadata'!$A$4:$S$4,0),FALSE)</f>
        <v>Dunedin</v>
      </c>
      <c r="AC152" s="87" t="str">
        <f>VLOOKUP(B152,'2007-2020 Metadata'!$A$6:$A$214,1,FALSE)</f>
        <v>DUN009</v>
      </c>
      <c r="AD152" s="230" t="str">
        <f>VLOOKUP($AC152,'2007-2020 Metadata'!$A$6:$S$214,9,FALSE)</f>
        <v>Dunedin</v>
      </c>
      <c r="AE152" s="248">
        <f>IF(ISBLANK(VLOOKUP($AC152,'2007-2020 Metadata'!$A$6:$S$214,19,FALSE)),"",VLOOKUP($AC152,'2007-2020 Metadata'!$A$6:$S$214,19,FALSE))</f>
        <v>3</v>
      </c>
      <c r="AF152" s="88" t="str">
        <f>VLOOKUP($B152,'2007-2020 Metadata'!$A$4:$S$214,MATCH("Site type",'2007-2020 Metadata'!$A$4:$S$4,0),FALSE)</f>
        <v>Local</v>
      </c>
      <c r="AG152" s="143">
        <f t="shared" si="99"/>
        <v>9.6</v>
      </c>
      <c r="AH152" s="143">
        <f t="shared" si="100"/>
        <v>29.5</v>
      </c>
      <c r="AI152" s="144">
        <f t="shared" si="93"/>
        <v>17.31547619047619</v>
      </c>
    </row>
    <row r="153" spans="1:35" ht="12.75" x14ac:dyDescent="0.2">
      <c r="A153" s="202"/>
      <c r="B153" s="193" t="s">
        <v>31</v>
      </c>
      <c r="C153" s="190">
        <v>4.7</v>
      </c>
      <c r="D153" s="190">
        <v>4.7</v>
      </c>
      <c r="E153" s="190">
        <v>6.4</v>
      </c>
      <c r="F153" s="190">
        <v>6.4</v>
      </c>
      <c r="G153" s="190">
        <v>12.7</v>
      </c>
      <c r="H153" s="190">
        <v>10.9</v>
      </c>
      <c r="I153" s="190">
        <v>9.6</v>
      </c>
      <c r="J153" s="190"/>
      <c r="K153" s="190">
        <v>7.4</v>
      </c>
      <c r="L153" s="190">
        <v>5.7</v>
      </c>
      <c r="M153" s="190">
        <v>4.9000000000000004</v>
      </c>
      <c r="N153" s="190">
        <v>2.8</v>
      </c>
      <c r="O153" s="191">
        <f t="shared" si="82"/>
        <v>6.9272727272727277</v>
      </c>
      <c r="P153" s="191">
        <f>IFERROR((STDEVP(C153:N153)/O153)*100,"")</f>
        <v>41.200243465139735</v>
      </c>
      <c r="Q153" s="192">
        <f t="shared" si="84"/>
        <v>0.91666666666666663</v>
      </c>
      <c r="R153" s="140">
        <f t="shared" si="74"/>
        <v>5.2666666666666666</v>
      </c>
      <c r="S153" s="150">
        <f t="shared" si="96"/>
        <v>1</v>
      </c>
      <c r="T153" s="140">
        <f t="shared" si="76"/>
        <v>8.5</v>
      </c>
      <c r="U153" s="150">
        <f t="shared" si="97"/>
        <v>0.66666666666666663</v>
      </c>
      <c r="V153" s="141">
        <f t="shared" si="78"/>
        <v>6.9272727272727277</v>
      </c>
      <c r="W153" s="142">
        <f t="shared" si="98"/>
        <v>0.91666666666666663</v>
      </c>
      <c r="X153" s="144">
        <f t="shared" si="90"/>
        <v>5.2666666666666666</v>
      </c>
      <c r="Y153" s="144">
        <f t="shared" si="91"/>
        <v>18.266666666666666</v>
      </c>
      <c r="Z153" s="144">
        <f t="shared" si="92"/>
        <v>6.9272727272727277</v>
      </c>
      <c r="AA153" s="10"/>
      <c r="AB153" s="357" t="str">
        <f>VLOOKUP($B153,'2007-2020 Metadata'!$A$4:$S$214,MATCH("Urban Area /Monitoring Zone",'2007-2020 Metadata'!$A$4:$S$4,0),FALSE)</f>
        <v>Invercargill</v>
      </c>
      <c r="AC153" s="87" t="str">
        <f>VLOOKUP(B153,'2007-2020 Metadata'!$A$6:$A$214,1,FALSE)</f>
        <v>DUN010</v>
      </c>
      <c r="AD153" s="230" t="str">
        <f>VLOOKUP($AC153,'2007-2020 Metadata'!$A$6:$S$214,9,FALSE)</f>
        <v>Invercargill</v>
      </c>
      <c r="AE153" s="248">
        <f>IF(ISBLANK(VLOOKUP($AC153,'2007-2020 Metadata'!$A$6:$S$214,19,FALSE)),"",VLOOKUP($AC153,'2007-2020 Metadata'!$A$6:$S$214,19,FALSE))</f>
        <v>3</v>
      </c>
      <c r="AF153" s="88" t="str">
        <f>VLOOKUP($B153,'2007-2020 Metadata'!$A$4:$S$214,MATCH("Site type",'2007-2020 Metadata'!$A$4:$S$4,0),FALSE)</f>
        <v>Background</v>
      </c>
      <c r="AG153" s="143">
        <f t="shared" si="99"/>
        <v>2.8</v>
      </c>
      <c r="AH153" s="143">
        <f t="shared" si="100"/>
        <v>12.7</v>
      </c>
      <c r="AI153" s="144">
        <f t="shared" si="93"/>
        <v>6.9272727272727277</v>
      </c>
    </row>
    <row r="154" spans="1:35" ht="12.75" x14ac:dyDescent="0.2">
      <c r="A154" s="202"/>
      <c r="B154" s="193" t="s">
        <v>468</v>
      </c>
      <c r="C154" s="190">
        <v>11.5</v>
      </c>
      <c r="D154" s="190">
        <v>12.6</v>
      </c>
      <c r="E154" s="190">
        <v>12</v>
      </c>
      <c r="F154" s="190">
        <v>13.7</v>
      </c>
      <c r="G154" s="190">
        <v>16.7</v>
      </c>
      <c r="H154" s="190">
        <v>16.100000000000001</v>
      </c>
      <c r="I154" s="190">
        <v>15.1</v>
      </c>
      <c r="J154" s="190">
        <v>12.7</v>
      </c>
      <c r="K154" s="190">
        <v>15.3</v>
      </c>
      <c r="L154" s="190">
        <v>10.6</v>
      </c>
      <c r="M154" s="190">
        <v>7.8</v>
      </c>
      <c r="N154" s="190">
        <v>6.8</v>
      </c>
      <c r="O154" s="191">
        <f t="shared" si="82"/>
        <v>12.575000000000001</v>
      </c>
      <c r="P154" s="191">
        <f t="shared" si="83"/>
        <v>23.641896573032732</v>
      </c>
      <c r="Q154" s="192">
        <f t="shared" si="84"/>
        <v>1</v>
      </c>
      <c r="R154" s="140">
        <f t="shared" si="74"/>
        <v>12.033333333333333</v>
      </c>
      <c r="S154" s="150">
        <f t="shared" si="96"/>
        <v>1</v>
      </c>
      <c r="T154" s="140">
        <f t="shared" si="76"/>
        <v>14.366666666666665</v>
      </c>
      <c r="U154" s="150">
        <f t="shared" si="97"/>
        <v>1</v>
      </c>
      <c r="V154" s="141">
        <f t="shared" si="78"/>
        <v>12.575000000000001</v>
      </c>
      <c r="W154" s="142">
        <f t="shared" si="98"/>
        <v>1</v>
      </c>
      <c r="X154" s="144">
        <f t="shared" si="90"/>
        <v>15.919047619047619</v>
      </c>
      <c r="Y154" s="144">
        <f t="shared" si="91"/>
        <v>19.37142857142857</v>
      </c>
      <c r="Z154" s="144">
        <f t="shared" si="92"/>
        <v>17.31547619047619</v>
      </c>
      <c r="AA154" s="10"/>
      <c r="AB154" s="357" t="str">
        <f>VLOOKUP($B154,'2007-2020 Metadata'!$A$4:$S$214,MATCH("Urban Area /Monitoring Zone",'2007-2020 Metadata'!$A$4:$S$4,0),FALSE)</f>
        <v>Dunedin</v>
      </c>
      <c r="AC154" s="87" t="str">
        <f>VLOOKUP(B154,'2007-2020 Metadata'!$A$6:$A$214,1,FALSE)</f>
        <v>DUN011</v>
      </c>
      <c r="AD154" s="230" t="str">
        <f>VLOOKUP($AC154,'2007-2020 Metadata'!$A$6:$S$214,9,FALSE)</f>
        <v>Dunedin</v>
      </c>
      <c r="AE154" s="248">
        <f>IF(ISBLANK(VLOOKUP($AC154,'2007-2020 Metadata'!$A$6:$S$214,19,FALSE)),"",VLOOKUP($AC154,'2007-2020 Metadata'!$A$6:$S$214,19,FALSE))</f>
        <v>3</v>
      </c>
      <c r="AF154" s="88" t="str">
        <f>VLOOKUP($B154,'2007-2020 Metadata'!$A$4:$S$214,MATCH("Site type",'2007-2020 Metadata'!$A$4:$S$4,0),FALSE)</f>
        <v>SH</v>
      </c>
      <c r="AG154" s="143">
        <f t="shared" si="99"/>
        <v>6.8</v>
      </c>
      <c r="AH154" s="143">
        <f t="shared" si="100"/>
        <v>16.7</v>
      </c>
      <c r="AI154" s="144">
        <f t="shared" si="93"/>
        <v>17.31547619047619</v>
      </c>
    </row>
    <row r="155" spans="1:35" ht="11.25" thickBot="1" x14ac:dyDescent="0.2">
      <c r="A155" s="196"/>
      <c r="B155" s="89"/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89"/>
      <c r="S155" s="108"/>
      <c r="T155" s="89"/>
      <c r="U155" s="108"/>
      <c r="V155" s="89"/>
      <c r="W155" s="90"/>
      <c r="X155" s="198"/>
      <c r="Y155" s="198"/>
      <c r="Z155" s="199"/>
      <c r="AA155" s="45"/>
      <c r="AB155" s="101"/>
      <c r="AC155" s="90"/>
      <c r="AD155" s="90"/>
      <c r="AE155" s="90"/>
      <c r="AF155" s="92"/>
      <c r="AG155" s="200"/>
      <c r="AH155" s="91"/>
      <c r="AI155" s="92"/>
    </row>
    <row r="156" spans="1:35" ht="11.25" thickTop="1" x14ac:dyDescent="0.15">
      <c r="A156" s="196"/>
      <c r="B156" s="182"/>
      <c r="C156" s="237" t="s">
        <v>487</v>
      </c>
      <c r="D156" s="181"/>
      <c r="E156" s="181"/>
      <c r="F156" s="181"/>
      <c r="G156" s="181"/>
      <c r="H156" s="181"/>
      <c r="I156" s="181"/>
      <c r="J156" s="181"/>
      <c r="K156" s="181"/>
      <c r="L156" s="181"/>
      <c r="M156" s="181"/>
      <c r="N156" s="181"/>
      <c r="O156" s="195"/>
      <c r="P156" s="195"/>
      <c r="Q156" s="195"/>
      <c r="R156" s="45"/>
      <c r="S156" s="45"/>
      <c r="T156" s="45"/>
      <c r="U156" s="45"/>
      <c r="V156" s="45"/>
      <c r="W156" s="45"/>
      <c r="X156" s="45"/>
      <c r="Y156" s="45"/>
      <c r="AA156" s="45"/>
      <c r="AC156" s="45"/>
    </row>
    <row r="157" spans="1:35" x14ac:dyDescent="0.15">
      <c r="A157" s="196"/>
      <c r="B157" s="240" t="s">
        <v>455</v>
      </c>
      <c r="C157" s="206"/>
      <c r="D157" s="181"/>
      <c r="E157" s="181"/>
      <c r="F157" s="181"/>
      <c r="G157" s="181"/>
      <c r="H157" s="181"/>
      <c r="I157" s="181"/>
      <c r="J157" s="181"/>
      <c r="K157" s="181"/>
      <c r="L157" s="181"/>
      <c r="M157" s="181"/>
      <c r="N157" s="181"/>
      <c r="O157" s="195"/>
      <c r="P157" s="195"/>
      <c r="Q157" s="195"/>
      <c r="R157" s="45"/>
      <c r="S157" s="45"/>
      <c r="T157" s="45"/>
      <c r="U157" s="45"/>
      <c r="V157" s="45"/>
      <c r="W157" s="45"/>
      <c r="X157" s="45"/>
      <c r="Y157" s="45"/>
      <c r="AA157" s="45"/>
      <c r="AC157" s="45"/>
    </row>
    <row r="158" spans="1:35" x14ac:dyDescent="0.15">
      <c r="A158" s="196"/>
      <c r="B158" s="321"/>
      <c r="C158" s="301" t="s">
        <v>456</v>
      </c>
      <c r="D158" s="181"/>
      <c r="E158" s="181"/>
      <c r="F158" s="181"/>
      <c r="G158" s="181"/>
      <c r="H158" s="181"/>
      <c r="I158" s="181"/>
      <c r="J158" s="181"/>
      <c r="K158" s="181"/>
      <c r="L158" s="181"/>
      <c r="M158" s="181"/>
      <c r="N158" s="181"/>
      <c r="O158" s="195"/>
      <c r="P158" s="195"/>
      <c r="Q158" s="195"/>
      <c r="R158" s="45"/>
      <c r="S158" s="45"/>
      <c r="T158" s="45"/>
      <c r="U158" s="45"/>
      <c r="V158" s="45"/>
      <c r="W158" s="45"/>
      <c r="X158" s="45"/>
      <c r="Y158" s="45"/>
      <c r="AA158" s="45"/>
      <c r="AC158" s="45"/>
    </row>
    <row r="159" spans="1:35" x14ac:dyDescent="0.15">
      <c r="A159" s="196"/>
      <c r="B159" s="371"/>
      <c r="C159" s="301" t="s">
        <v>1085</v>
      </c>
      <c r="D159" s="181"/>
      <c r="E159" s="181"/>
      <c r="F159" s="181"/>
      <c r="G159" s="181"/>
      <c r="H159" s="181"/>
      <c r="I159" s="181"/>
      <c r="J159" s="181"/>
      <c r="K159" s="181"/>
      <c r="L159" s="181"/>
      <c r="M159" s="181"/>
      <c r="N159" s="181"/>
      <c r="O159" s="195"/>
      <c r="P159" s="195"/>
      <c r="Q159" s="195"/>
      <c r="R159" s="25"/>
      <c r="S159" s="25"/>
    </row>
    <row r="160" spans="1:35" x14ac:dyDescent="0.15">
      <c r="A160" s="196"/>
      <c r="B160" s="242"/>
      <c r="C160" s="206" t="s">
        <v>488</v>
      </c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95"/>
      <c r="P160" s="195"/>
      <c r="Q160" s="195"/>
      <c r="R160" s="25"/>
      <c r="S160" s="25"/>
    </row>
    <row r="161" spans="1:19" x14ac:dyDescent="0.15">
      <c r="A161" s="196"/>
      <c r="B161" s="243"/>
      <c r="C161" s="206" t="s">
        <v>457</v>
      </c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95"/>
      <c r="P161" s="195"/>
      <c r="Q161" s="195"/>
      <c r="R161" s="25"/>
      <c r="S161" s="25"/>
    </row>
    <row r="162" spans="1:19" x14ac:dyDescent="0.15">
      <c r="A162" s="196"/>
      <c r="B162" s="244"/>
      <c r="C162" s="206" t="s">
        <v>458</v>
      </c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95"/>
      <c r="P162" s="195"/>
      <c r="Q162" s="195"/>
      <c r="R162" s="25"/>
      <c r="S162" s="25"/>
    </row>
    <row r="163" spans="1:19" x14ac:dyDescent="0.15">
      <c r="A163" s="196"/>
      <c r="B163" s="245"/>
      <c r="C163" s="206" t="s">
        <v>489</v>
      </c>
      <c r="D163" s="181"/>
      <c r="E163" s="181"/>
      <c r="F163" s="181"/>
      <c r="G163" s="181"/>
      <c r="H163" s="181"/>
      <c r="I163" s="181"/>
      <c r="J163" s="181"/>
      <c r="K163" s="181"/>
      <c r="L163" s="181"/>
      <c r="M163" s="181"/>
      <c r="N163" s="181"/>
      <c r="O163" s="195"/>
      <c r="P163" s="195"/>
      <c r="Q163" s="195"/>
      <c r="R163" s="25"/>
      <c r="S163" s="25"/>
    </row>
    <row r="164" spans="1:19" x14ac:dyDescent="0.15">
      <c r="A164" s="196"/>
      <c r="B164" s="254"/>
      <c r="C164" s="206" t="s">
        <v>540</v>
      </c>
      <c r="D164" s="181"/>
      <c r="E164" s="181"/>
      <c r="F164" s="181"/>
      <c r="G164" s="181"/>
      <c r="H164" s="181"/>
      <c r="I164" s="181"/>
      <c r="J164" s="181"/>
      <c r="K164" s="181"/>
      <c r="L164" s="181"/>
      <c r="M164" s="181"/>
      <c r="N164" s="181"/>
      <c r="O164" s="195"/>
      <c r="P164" s="195"/>
      <c r="Q164" s="195"/>
      <c r="R164" s="25"/>
      <c r="S164" s="25"/>
    </row>
    <row r="165" spans="1:19" x14ac:dyDescent="0.15">
      <c r="A165" s="196"/>
      <c r="B165" s="372"/>
      <c r="C165" s="10" t="s">
        <v>1086</v>
      </c>
      <c r="D165" s="181"/>
      <c r="E165" s="181"/>
      <c r="F165" s="181"/>
      <c r="G165" s="181"/>
      <c r="H165" s="181"/>
      <c r="I165" s="181"/>
      <c r="J165" s="181"/>
      <c r="K165" s="181"/>
      <c r="L165" s="181"/>
      <c r="M165" s="181"/>
      <c r="N165" s="181"/>
      <c r="O165" s="195"/>
      <c r="P165" s="195"/>
      <c r="Q165" s="195"/>
      <c r="R165" s="25"/>
      <c r="S165" s="25"/>
    </row>
    <row r="166" spans="1:19" x14ac:dyDescent="0.15">
      <c r="A166" s="196"/>
      <c r="B166" s="182"/>
      <c r="C166" s="181"/>
      <c r="D166" s="181"/>
      <c r="E166" s="181"/>
      <c r="F166" s="181"/>
      <c r="G166" s="181"/>
      <c r="H166" s="181"/>
      <c r="I166" s="181"/>
      <c r="J166" s="181"/>
      <c r="K166" s="181"/>
      <c r="L166" s="181"/>
      <c r="M166" s="181"/>
      <c r="N166" s="181"/>
      <c r="O166" s="195"/>
      <c r="P166" s="195"/>
      <c r="Q166" s="195"/>
      <c r="R166" s="25"/>
      <c r="S166" s="25"/>
    </row>
    <row r="167" spans="1:19" x14ac:dyDescent="0.15">
      <c r="A167" s="196"/>
      <c r="B167" s="182"/>
      <c r="C167" s="181"/>
      <c r="D167" s="181"/>
      <c r="E167" s="181"/>
      <c r="F167" s="181"/>
      <c r="G167" s="181"/>
      <c r="H167" s="181"/>
      <c r="I167" s="181"/>
      <c r="J167" s="181"/>
      <c r="K167" s="181"/>
      <c r="L167" s="181"/>
      <c r="M167" s="181"/>
      <c r="N167" s="181"/>
      <c r="O167" s="195"/>
      <c r="P167" s="195"/>
      <c r="Q167" s="195"/>
      <c r="R167" s="25"/>
      <c r="S167" s="25"/>
    </row>
    <row r="168" spans="1:19" x14ac:dyDescent="0.15">
      <c r="A168" s="196"/>
      <c r="B168" s="182"/>
      <c r="C168" s="181"/>
      <c r="D168" s="181"/>
      <c r="E168" s="181"/>
      <c r="F168" s="181"/>
      <c r="G168" s="181"/>
      <c r="H168" s="181"/>
      <c r="I168" s="181"/>
      <c r="J168" s="181"/>
      <c r="K168" s="181"/>
      <c r="L168" s="181"/>
      <c r="M168" s="181"/>
      <c r="N168" s="181"/>
      <c r="O168" s="195"/>
      <c r="P168" s="195"/>
      <c r="Q168" s="195"/>
      <c r="R168" s="25"/>
      <c r="S168" s="25"/>
    </row>
    <row r="169" spans="1:19" x14ac:dyDescent="0.15">
      <c r="A169" s="196"/>
      <c r="B169" s="182"/>
      <c r="C169" s="181"/>
      <c r="D169" s="181"/>
      <c r="E169" s="181"/>
      <c r="F169" s="181"/>
      <c r="G169" s="181"/>
      <c r="H169" s="181"/>
      <c r="I169" s="181"/>
      <c r="J169" s="181"/>
      <c r="K169" s="181"/>
      <c r="L169" s="181"/>
      <c r="M169" s="181"/>
      <c r="N169" s="181"/>
      <c r="O169" s="195"/>
      <c r="P169" s="195"/>
      <c r="Q169" s="195"/>
      <c r="R169" s="25"/>
      <c r="S169" s="25"/>
    </row>
    <row r="170" spans="1:19" x14ac:dyDescent="0.15">
      <c r="A170" s="196"/>
      <c r="B170" s="182"/>
      <c r="C170" s="181"/>
      <c r="D170" s="181"/>
      <c r="E170" s="181"/>
      <c r="F170" s="181"/>
      <c r="G170" s="181"/>
      <c r="H170" s="181"/>
      <c r="I170" s="181"/>
      <c r="J170" s="181"/>
      <c r="K170" s="181"/>
      <c r="L170" s="181"/>
      <c r="M170" s="181"/>
      <c r="N170" s="181"/>
      <c r="O170" s="195"/>
      <c r="P170" s="195"/>
      <c r="Q170" s="195"/>
      <c r="R170" s="25"/>
      <c r="S170" s="25"/>
    </row>
    <row r="171" spans="1:19" x14ac:dyDescent="0.15">
      <c r="A171" s="196"/>
      <c r="B171" s="182"/>
      <c r="C171" s="181"/>
      <c r="D171" s="181"/>
      <c r="E171" s="181"/>
      <c r="F171" s="181"/>
      <c r="G171" s="181"/>
      <c r="H171" s="181"/>
      <c r="I171" s="181"/>
      <c r="J171" s="181"/>
      <c r="K171" s="181"/>
      <c r="L171" s="181"/>
      <c r="M171" s="181"/>
      <c r="N171" s="181"/>
      <c r="O171" s="195"/>
      <c r="P171" s="195"/>
      <c r="Q171" s="195"/>
      <c r="R171" s="25"/>
      <c r="S171" s="25"/>
    </row>
    <row r="172" spans="1:19" x14ac:dyDescent="0.15">
      <c r="A172" s="196"/>
      <c r="B172" s="182"/>
      <c r="C172" s="181"/>
      <c r="D172" s="181"/>
      <c r="E172" s="181"/>
      <c r="F172" s="181"/>
      <c r="G172" s="181"/>
      <c r="H172" s="181"/>
      <c r="I172" s="181"/>
      <c r="J172" s="181"/>
      <c r="K172" s="181"/>
      <c r="L172" s="181"/>
      <c r="M172" s="181"/>
      <c r="N172" s="181"/>
      <c r="O172" s="195"/>
      <c r="P172" s="195"/>
      <c r="Q172" s="195"/>
      <c r="R172" s="25"/>
      <c r="S172" s="25"/>
    </row>
    <row r="173" spans="1:19" x14ac:dyDescent="0.15">
      <c r="A173" s="196"/>
      <c r="B173" s="182"/>
      <c r="C173" s="181"/>
      <c r="D173" s="181"/>
      <c r="E173" s="181"/>
      <c r="F173" s="181"/>
      <c r="G173" s="181"/>
      <c r="H173" s="181"/>
      <c r="I173" s="181"/>
      <c r="J173" s="181"/>
      <c r="K173" s="181"/>
      <c r="L173" s="181"/>
      <c r="M173" s="181"/>
      <c r="N173" s="181"/>
      <c r="O173" s="195"/>
      <c r="P173" s="195"/>
      <c r="Q173" s="195"/>
      <c r="R173" s="25"/>
      <c r="S173" s="25"/>
    </row>
    <row r="174" spans="1:19" x14ac:dyDescent="0.15">
      <c r="A174" s="196"/>
      <c r="B174" s="182"/>
      <c r="C174" s="181"/>
      <c r="D174" s="181"/>
      <c r="E174" s="181"/>
      <c r="F174" s="181"/>
      <c r="G174" s="181"/>
      <c r="H174" s="181"/>
      <c r="I174" s="181"/>
      <c r="J174" s="181"/>
      <c r="K174" s="181"/>
      <c r="L174" s="181"/>
      <c r="M174" s="181"/>
      <c r="N174" s="181"/>
      <c r="O174" s="195"/>
      <c r="P174" s="195"/>
      <c r="Q174" s="195"/>
      <c r="R174" s="25"/>
      <c r="S174" s="25"/>
    </row>
    <row r="175" spans="1:19" x14ac:dyDescent="0.15">
      <c r="A175" s="196"/>
      <c r="B175" s="182"/>
      <c r="C175" s="181"/>
      <c r="D175" s="181"/>
      <c r="E175" s="181"/>
      <c r="F175" s="181"/>
      <c r="G175" s="181"/>
      <c r="H175" s="181"/>
      <c r="I175" s="181"/>
      <c r="J175" s="181"/>
      <c r="K175" s="181"/>
      <c r="L175" s="181"/>
      <c r="M175" s="181"/>
      <c r="N175" s="181"/>
      <c r="O175" s="195"/>
      <c r="P175" s="195"/>
      <c r="Q175" s="195"/>
      <c r="R175" s="25"/>
      <c r="S175" s="25"/>
    </row>
    <row r="176" spans="1:19" x14ac:dyDescent="0.15">
      <c r="A176" s="196"/>
      <c r="B176" s="182"/>
      <c r="C176" s="181"/>
      <c r="D176" s="181"/>
      <c r="E176" s="181"/>
      <c r="F176" s="181"/>
      <c r="G176" s="181"/>
      <c r="H176" s="181"/>
      <c r="I176" s="181"/>
      <c r="J176" s="181"/>
      <c r="K176" s="181"/>
      <c r="L176" s="181"/>
      <c r="M176" s="181"/>
      <c r="N176" s="181"/>
      <c r="O176" s="195"/>
      <c r="P176" s="195"/>
      <c r="Q176" s="195"/>
      <c r="R176" s="25"/>
      <c r="S176" s="25"/>
    </row>
    <row r="177" spans="1:19" x14ac:dyDescent="0.15">
      <c r="A177" s="196"/>
      <c r="B177" s="182"/>
      <c r="C177" s="181"/>
      <c r="D177" s="181"/>
      <c r="E177" s="181"/>
      <c r="F177" s="181"/>
      <c r="G177" s="181"/>
      <c r="H177" s="181"/>
      <c r="I177" s="181"/>
      <c r="J177" s="181"/>
      <c r="K177" s="181"/>
      <c r="L177" s="181"/>
      <c r="M177" s="181"/>
      <c r="N177" s="181"/>
      <c r="O177" s="195"/>
      <c r="P177" s="195"/>
      <c r="Q177" s="195"/>
      <c r="R177" s="25"/>
      <c r="S177" s="25"/>
    </row>
    <row r="178" spans="1:19" x14ac:dyDescent="0.15">
      <c r="A178" s="196"/>
      <c r="B178" s="182"/>
      <c r="C178" s="181"/>
      <c r="D178" s="181"/>
      <c r="E178" s="181"/>
      <c r="F178" s="181"/>
      <c r="G178" s="181"/>
      <c r="H178" s="181"/>
      <c r="I178" s="181"/>
      <c r="J178" s="181"/>
      <c r="K178" s="181"/>
      <c r="L178" s="181"/>
      <c r="M178" s="181"/>
      <c r="N178" s="181"/>
      <c r="O178" s="195"/>
      <c r="P178" s="195"/>
      <c r="Q178" s="195"/>
      <c r="R178" s="25"/>
      <c r="S178" s="25"/>
    </row>
    <row r="179" spans="1:19" x14ac:dyDescent="0.15">
      <c r="A179" s="196"/>
      <c r="B179" s="182"/>
      <c r="C179" s="181"/>
      <c r="D179" s="181"/>
      <c r="E179" s="181"/>
      <c r="F179" s="181"/>
      <c r="G179" s="181"/>
      <c r="H179" s="181"/>
      <c r="I179" s="181"/>
      <c r="J179" s="181"/>
      <c r="K179" s="181"/>
      <c r="L179" s="181"/>
      <c r="M179" s="181"/>
      <c r="N179" s="181"/>
      <c r="O179" s="195"/>
      <c r="P179" s="195"/>
      <c r="Q179" s="195"/>
      <c r="R179" s="25"/>
      <c r="S179" s="25"/>
    </row>
    <row r="180" spans="1:19" x14ac:dyDescent="0.15">
      <c r="A180" s="196"/>
      <c r="B180" s="182"/>
      <c r="C180" s="181"/>
      <c r="D180" s="181"/>
      <c r="E180" s="181"/>
      <c r="F180" s="181"/>
      <c r="G180" s="181"/>
      <c r="H180" s="181"/>
      <c r="I180" s="181"/>
      <c r="J180" s="181"/>
      <c r="K180" s="181"/>
      <c r="L180" s="181"/>
      <c r="M180" s="181"/>
      <c r="N180" s="181"/>
      <c r="O180" s="195"/>
      <c r="P180" s="195"/>
      <c r="Q180" s="195"/>
      <c r="R180" s="25"/>
      <c r="S180" s="25"/>
    </row>
    <row r="181" spans="1:19" x14ac:dyDescent="0.15">
      <c r="A181" s="196"/>
      <c r="B181" s="182"/>
      <c r="C181" s="181"/>
      <c r="D181" s="181"/>
      <c r="E181" s="181"/>
      <c r="F181" s="181"/>
      <c r="G181" s="181"/>
      <c r="H181" s="181"/>
      <c r="I181" s="181"/>
      <c r="J181" s="181"/>
      <c r="K181" s="181"/>
      <c r="L181" s="181"/>
      <c r="M181" s="181"/>
      <c r="N181" s="181"/>
      <c r="O181" s="195"/>
      <c r="P181" s="195"/>
      <c r="Q181" s="195"/>
      <c r="R181" s="25"/>
      <c r="S181" s="25"/>
    </row>
    <row r="182" spans="1:19" x14ac:dyDescent="0.15">
      <c r="A182" s="196"/>
      <c r="B182" s="182"/>
      <c r="C182" s="181"/>
      <c r="D182" s="181"/>
      <c r="E182" s="181"/>
      <c r="F182" s="181"/>
      <c r="G182" s="181"/>
      <c r="H182" s="181"/>
      <c r="I182" s="181"/>
      <c r="J182" s="181"/>
      <c r="K182" s="181"/>
      <c r="L182" s="181"/>
      <c r="M182" s="181"/>
      <c r="N182" s="181"/>
      <c r="O182" s="195"/>
      <c r="P182" s="195"/>
      <c r="Q182" s="195"/>
      <c r="R182" s="25"/>
      <c r="S182" s="25"/>
    </row>
    <row r="183" spans="1:19" x14ac:dyDescent="0.15">
      <c r="A183" s="196"/>
      <c r="B183" s="182"/>
      <c r="C183" s="181"/>
      <c r="D183" s="181"/>
      <c r="E183" s="181"/>
      <c r="F183" s="181"/>
      <c r="G183" s="181"/>
      <c r="H183" s="181"/>
      <c r="I183" s="181"/>
      <c r="J183" s="181"/>
      <c r="K183" s="181"/>
      <c r="L183" s="181"/>
      <c r="M183" s="181"/>
      <c r="N183" s="181"/>
      <c r="O183" s="195"/>
      <c r="P183" s="195"/>
      <c r="Q183" s="195"/>
      <c r="R183" s="25"/>
      <c r="S183" s="25"/>
    </row>
    <row r="184" spans="1:19" x14ac:dyDescent="0.15">
      <c r="A184" s="196"/>
      <c r="B184" s="182"/>
      <c r="C184" s="181"/>
      <c r="D184" s="181"/>
      <c r="E184" s="181"/>
      <c r="F184" s="181"/>
      <c r="G184" s="181"/>
      <c r="H184" s="181"/>
      <c r="I184" s="181"/>
      <c r="J184" s="181"/>
      <c r="K184" s="181"/>
      <c r="L184" s="181"/>
      <c r="M184" s="181"/>
      <c r="N184" s="181"/>
      <c r="O184" s="195"/>
      <c r="P184" s="195"/>
      <c r="Q184" s="195"/>
      <c r="R184" s="25"/>
      <c r="S184" s="25"/>
    </row>
    <row r="185" spans="1:19" x14ac:dyDescent="0.15">
      <c r="A185" s="196"/>
      <c r="B185" s="182"/>
      <c r="C185" s="181"/>
      <c r="D185" s="181"/>
      <c r="E185" s="181"/>
      <c r="F185" s="181"/>
      <c r="G185" s="181"/>
      <c r="H185" s="181"/>
      <c r="I185" s="181"/>
      <c r="J185" s="181"/>
      <c r="K185" s="181"/>
      <c r="L185" s="181"/>
      <c r="M185" s="181"/>
      <c r="N185" s="181"/>
      <c r="O185" s="195"/>
      <c r="P185" s="195"/>
      <c r="Q185" s="195"/>
      <c r="R185" s="25"/>
      <c r="S185" s="25"/>
    </row>
    <row r="186" spans="1:19" x14ac:dyDescent="0.15">
      <c r="A186" s="196"/>
      <c r="B186" s="182"/>
      <c r="C186" s="181"/>
      <c r="D186" s="181"/>
      <c r="E186" s="181"/>
      <c r="F186" s="181"/>
      <c r="G186" s="181"/>
      <c r="H186" s="181"/>
      <c r="I186" s="181"/>
      <c r="J186" s="181"/>
      <c r="K186" s="181"/>
      <c r="L186" s="181"/>
      <c r="M186" s="181"/>
      <c r="N186" s="181"/>
      <c r="O186" s="195"/>
      <c r="P186" s="195"/>
      <c r="Q186" s="195"/>
      <c r="R186" s="25"/>
      <c r="S186" s="25"/>
    </row>
    <row r="187" spans="1:19" x14ac:dyDescent="0.15">
      <c r="A187" s="196"/>
      <c r="B187" s="182"/>
      <c r="C187" s="181"/>
      <c r="D187" s="181"/>
      <c r="E187" s="181"/>
      <c r="F187" s="181"/>
      <c r="G187" s="181"/>
      <c r="H187" s="181"/>
      <c r="I187" s="181"/>
      <c r="J187" s="181"/>
      <c r="K187" s="181"/>
      <c r="L187" s="181"/>
      <c r="M187" s="181"/>
      <c r="N187" s="181"/>
      <c r="O187" s="195"/>
      <c r="P187" s="195"/>
      <c r="Q187" s="195"/>
      <c r="R187" s="25"/>
      <c r="S187" s="25"/>
    </row>
    <row r="188" spans="1:19" x14ac:dyDescent="0.15">
      <c r="A188" s="196"/>
      <c r="B188" s="182"/>
      <c r="C188" s="181"/>
      <c r="D188" s="181"/>
      <c r="E188" s="181"/>
      <c r="F188" s="181"/>
      <c r="G188" s="181"/>
      <c r="H188" s="181"/>
      <c r="I188" s="181"/>
      <c r="J188" s="181"/>
      <c r="K188" s="181"/>
      <c r="L188" s="181"/>
      <c r="M188" s="181"/>
      <c r="N188" s="181"/>
      <c r="O188" s="195"/>
      <c r="P188" s="195"/>
      <c r="Q188" s="195"/>
      <c r="R188" s="25"/>
      <c r="S188" s="25"/>
    </row>
    <row r="189" spans="1:19" x14ac:dyDescent="0.15">
      <c r="A189" s="196"/>
      <c r="B189" s="182"/>
      <c r="C189" s="181"/>
      <c r="D189" s="181"/>
      <c r="E189" s="181"/>
      <c r="F189" s="181"/>
      <c r="G189" s="181"/>
      <c r="H189" s="181"/>
      <c r="I189" s="181"/>
      <c r="J189" s="181"/>
      <c r="K189" s="181"/>
      <c r="L189" s="181"/>
      <c r="M189" s="181"/>
      <c r="N189" s="181"/>
      <c r="O189" s="195"/>
      <c r="P189" s="195"/>
      <c r="Q189" s="195"/>
      <c r="R189" s="25"/>
      <c r="S189" s="25"/>
    </row>
    <row r="190" spans="1:19" x14ac:dyDescent="0.15">
      <c r="A190" s="196"/>
      <c r="B190" s="182"/>
      <c r="C190" s="181"/>
      <c r="D190" s="181"/>
      <c r="E190" s="181"/>
      <c r="F190" s="181"/>
      <c r="G190" s="181"/>
      <c r="H190" s="181"/>
      <c r="I190" s="181"/>
      <c r="J190" s="181"/>
      <c r="K190" s="181"/>
      <c r="L190" s="181"/>
      <c r="M190" s="181"/>
      <c r="N190" s="181"/>
      <c r="O190" s="195"/>
      <c r="P190" s="195"/>
      <c r="Q190" s="195"/>
      <c r="R190" s="25"/>
      <c r="S190" s="25"/>
    </row>
    <row r="191" spans="1:19" x14ac:dyDescent="0.15">
      <c r="A191" s="196"/>
      <c r="B191" s="182"/>
      <c r="C191" s="181"/>
      <c r="D191" s="181"/>
      <c r="E191" s="181"/>
      <c r="F191" s="181"/>
      <c r="G191" s="181"/>
      <c r="H191" s="181"/>
      <c r="I191" s="181"/>
      <c r="J191" s="181"/>
      <c r="K191" s="181"/>
      <c r="L191" s="181"/>
      <c r="M191" s="181"/>
      <c r="N191" s="181"/>
      <c r="O191" s="195"/>
      <c r="P191" s="195"/>
      <c r="Q191" s="195"/>
      <c r="R191" s="25"/>
      <c r="S191" s="25"/>
    </row>
    <row r="192" spans="1:19" x14ac:dyDescent="0.15">
      <c r="A192" s="196"/>
      <c r="B192" s="182"/>
      <c r="C192" s="181"/>
      <c r="D192" s="181"/>
      <c r="E192" s="181"/>
      <c r="F192" s="181"/>
      <c r="G192" s="181"/>
      <c r="H192" s="181"/>
      <c r="I192" s="181"/>
      <c r="J192" s="181"/>
      <c r="K192" s="181"/>
      <c r="L192" s="181"/>
      <c r="M192" s="181"/>
      <c r="N192" s="181"/>
      <c r="O192" s="195"/>
      <c r="P192" s="195"/>
      <c r="Q192" s="195"/>
      <c r="R192" s="25"/>
      <c r="S192" s="25"/>
    </row>
    <row r="193" spans="1:19" x14ac:dyDescent="0.15">
      <c r="A193" s="196"/>
      <c r="B193" s="182"/>
      <c r="C193" s="181"/>
      <c r="D193" s="181"/>
      <c r="E193" s="181"/>
      <c r="F193" s="181"/>
      <c r="G193" s="181"/>
      <c r="H193" s="181"/>
      <c r="I193" s="181"/>
      <c r="J193" s="181"/>
      <c r="K193" s="181"/>
      <c r="L193" s="181"/>
      <c r="M193" s="181"/>
      <c r="N193" s="181"/>
      <c r="O193" s="195"/>
      <c r="P193" s="195"/>
      <c r="Q193" s="195"/>
      <c r="R193" s="25"/>
      <c r="S193" s="25"/>
    </row>
    <row r="194" spans="1:19" x14ac:dyDescent="0.15">
      <c r="A194" s="196"/>
      <c r="B194" s="182"/>
      <c r="C194" s="181"/>
      <c r="D194" s="181"/>
      <c r="E194" s="181"/>
      <c r="F194" s="181"/>
      <c r="G194" s="181"/>
      <c r="H194" s="181"/>
      <c r="I194" s="181"/>
      <c r="J194" s="181"/>
      <c r="K194" s="181"/>
      <c r="L194" s="181"/>
      <c r="M194" s="181"/>
      <c r="N194" s="181"/>
      <c r="O194" s="195"/>
      <c r="P194" s="195"/>
      <c r="Q194" s="195"/>
      <c r="R194" s="25"/>
      <c r="S194" s="25"/>
    </row>
    <row r="195" spans="1:19" x14ac:dyDescent="0.15">
      <c r="A195" s="196"/>
      <c r="B195" s="182"/>
      <c r="C195" s="181"/>
      <c r="D195" s="181"/>
      <c r="E195" s="181"/>
      <c r="F195" s="181"/>
      <c r="G195" s="181"/>
      <c r="H195" s="181"/>
      <c r="I195" s="181"/>
      <c r="J195" s="181"/>
      <c r="K195" s="181"/>
      <c r="L195" s="181"/>
      <c r="M195" s="181"/>
      <c r="N195" s="181"/>
      <c r="O195" s="195"/>
      <c r="P195" s="195"/>
      <c r="Q195" s="195"/>
      <c r="R195" s="25"/>
      <c r="S195" s="25"/>
    </row>
    <row r="196" spans="1:19" x14ac:dyDescent="0.15">
      <c r="A196" s="196"/>
      <c r="B196" s="182"/>
      <c r="C196" s="181"/>
      <c r="D196" s="181"/>
      <c r="E196" s="181"/>
      <c r="F196" s="181"/>
      <c r="G196" s="181"/>
      <c r="H196" s="181"/>
      <c r="I196" s="181"/>
      <c r="J196" s="181"/>
      <c r="K196" s="181"/>
      <c r="L196" s="181"/>
      <c r="M196" s="181"/>
      <c r="N196" s="181"/>
      <c r="O196" s="195"/>
      <c r="P196" s="195"/>
      <c r="Q196" s="195"/>
      <c r="R196" s="25"/>
      <c r="S196" s="25"/>
    </row>
    <row r="197" spans="1:19" x14ac:dyDescent="0.15">
      <c r="A197" s="196"/>
      <c r="B197" s="182"/>
      <c r="C197" s="181"/>
      <c r="D197" s="181"/>
      <c r="E197" s="181"/>
      <c r="F197" s="181"/>
      <c r="G197" s="181"/>
      <c r="H197" s="181"/>
      <c r="I197" s="181"/>
      <c r="J197" s="181"/>
      <c r="K197" s="181"/>
      <c r="L197" s="181"/>
      <c r="M197" s="181"/>
      <c r="N197" s="181"/>
      <c r="O197" s="195"/>
      <c r="P197" s="195"/>
      <c r="Q197" s="195"/>
      <c r="R197" s="25"/>
      <c r="S197" s="25"/>
    </row>
    <row r="198" spans="1:19" x14ac:dyDescent="0.15">
      <c r="A198" s="196"/>
      <c r="B198" s="182"/>
      <c r="C198" s="181"/>
      <c r="D198" s="181"/>
      <c r="E198" s="181"/>
      <c r="F198" s="181"/>
      <c r="G198" s="181"/>
      <c r="H198" s="181"/>
      <c r="I198" s="181"/>
      <c r="J198" s="181"/>
      <c r="K198" s="181"/>
      <c r="L198" s="181"/>
      <c r="M198" s="181"/>
      <c r="N198" s="181"/>
      <c r="O198" s="195"/>
      <c r="P198" s="195"/>
      <c r="Q198" s="195"/>
      <c r="R198" s="25"/>
      <c r="S198" s="25"/>
    </row>
    <row r="199" spans="1:19" x14ac:dyDescent="0.15">
      <c r="A199" s="196"/>
      <c r="B199" s="182"/>
      <c r="C199" s="181"/>
      <c r="D199" s="181"/>
      <c r="E199" s="181"/>
      <c r="F199" s="181"/>
      <c r="G199" s="181"/>
      <c r="H199" s="181"/>
      <c r="I199" s="181"/>
      <c r="J199" s="181"/>
      <c r="K199" s="181"/>
      <c r="L199" s="181"/>
      <c r="M199" s="181"/>
      <c r="N199" s="181"/>
      <c r="O199" s="195"/>
      <c r="P199" s="195"/>
      <c r="Q199" s="195"/>
      <c r="R199" s="25"/>
      <c r="S199" s="25"/>
    </row>
    <row r="200" spans="1:19" x14ac:dyDescent="0.15">
      <c r="A200" s="196"/>
      <c r="B200" s="182"/>
      <c r="C200" s="181"/>
      <c r="D200" s="181"/>
      <c r="E200" s="181"/>
      <c r="F200" s="181"/>
      <c r="G200" s="181"/>
      <c r="H200" s="181"/>
      <c r="I200" s="181"/>
      <c r="J200" s="181"/>
      <c r="K200" s="181"/>
      <c r="L200" s="181"/>
      <c r="M200" s="181"/>
      <c r="N200" s="181"/>
      <c r="O200" s="195"/>
      <c r="P200" s="195"/>
      <c r="Q200" s="195"/>
      <c r="R200" s="25"/>
      <c r="S200" s="25"/>
    </row>
    <row r="201" spans="1:19" x14ac:dyDescent="0.15">
      <c r="A201" s="196"/>
      <c r="B201" s="182"/>
      <c r="C201" s="181"/>
      <c r="D201" s="181"/>
      <c r="E201" s="181"/>
      <c r="F201" s="181"/>
      <c r="G201" s="181"/>
      <c r="H201" s="181"/>
      <c r="I201" s="181"/>
      <c r="J201" s="181"/>
      <c r="K201" s="181"/>
      <c r="L201" s="181"/>
      <c r="M201" s="181"/>
      <c r="N201" s="181"/>
      <c r="O201" s="195"/>
      <c r="P201" s="195"/>
      <c r="Q201" s="195"/>
      <c r="R201" s="25"/>
      <c r="S201" s="25"/>
    </row>
    <row r="202" spans="1:19" x14ac:dyDescent="0.15">
      <c r="A202" s="196"/>
      <c r="B202" s="182"/>
      <c r="C202" s="181"/>
      <c r="D202" s="181"/>
      <c r="E202" s="181"/>
      <c r="F202" s="181"/>
      <c r="G202" s="181"/>
      <c r="H202" s="181"/>
      <c r="I202" s="181"/>
      <c r="J202" s="181"/>
      <c r="K202" s="181"/>
      <c r="L202" s="181"/>
      <c r="M202" s="181"/>
      <c r="N202" s="181"/>
      <c r="O202" s="195"/>
      <c r="P202" s="195"/>
      <c r="Q202" s="195"/>
      <c r="R202" s="25"/>
      <c r="S202" s="25"/>
    </row>
    <row r="203" spans="1:19" x14ac:dyDescent="0.15">
      <c r="A203" s="196"/>
      <c r="B203" s="182"/>
      <c r="C203" s="181"/>
      <c r="D203" s="181"/>
      <c r="E203" s="181"/>
      <c r="F203" s="181"/>
      <c r="G203" s="181"/>
      <c r="H203" s="181"/>
      <c r="I203" s="181"/>
      <c r="J203" s="181"/>
      <c r="K203" s="181"/>
      <c r="L203" s="181"/>
      <c r="M203" s="181"/>
      <c r="N203" s="181"/>
      <c r="O203" s="195"/>
      <c r="P203" s="195"/>
      <c r="Q203" s="195"/>
      <c r="R203" s="25"/>
      <c r="S203" s="25"/>
    </row>
    <row r="204" spans="1:19" x14ac:dyDescent="0.15">
      <c r="A204" s="196"/>
      <c r="B204" s="182"/>
      <c r="C204" s="181"/>
      <c r="D204" s="181"/>
      <c r="E204" s="181"/>
      <c r="F204" s="181"/>
      <c r="G204" s="181"/>
      <c r="H204" s="181"/>
      <c r="I204" s="181"/>
      <c r="J204" s="181"/>
      <c r="K204" s="181"/>
      <c r="L204" s="181"/>
      <c r="M204" s="181"/>
      <c r="N204" s="181"/>
      <c r="O204" s="195"/>
      <c r="P204" s="195"/>
      <c r="Q204" s="195"/>
      <c r="R204" s="25"/>
      <c r="S204" s="25"/>
    </row>
    <row r="205" spans="1:19" x14ac:dyDescent="0.15">
      <c r="A205" s="196"/>
      <c r="B205" s="182"/>
      <c r="C205" s="181"/>
      <c r="D205" s="181"/>
      <c r="E205" s="181"/>
      <c r="F205" s="181"/>
      <c r="G205" s="181"/>
      <c r="H205" s="181"/>
      <c r="I205" s="181"/>
      <c r="J205" s="181"/>
      <c r="K205" s="181"/>
      <c r="L205" s="181"/>
      <c r="M205" s="181"/>
      <c r="N205" s="181"/>
      <c r="O205" s="195"/>
      <c r="P205" s="195"/>
      <c r="Q205" s="195"/>
      <c r="R205" s="25"/>
      <c r="S205" s="25"/>
    </row>
    <row r="206" spans="1:19" x14ac:dyDescent="0.15">
      <c r="A206" s="196"/>
      <c r="B206" s="182"/>
      <c r="C206" s="181"/>
      <c r="D206" s="181"/>
      <c r="E206" s="181"/>
      <c r="F206" s="181"/>
      <c r="G206" s="181"/>
      <c r="H206" s="181"/>
      <c r="I206" s="181"/>
      <c r="J206" s="181"/>
      <c r="K206" s="181"/>
      <c r="L206" s="181"/>
      <c r="M206" s="181"/>
      <c r="N206" s="181"/>
      <c r="O206" s="195"/>
      <c r="P206" s="195"/>
      <c r="Q206" s="195"/>
      <c r="R206" s="25"/>
      <c r="S206" s="25"/>
    </row>
    <row r="207" spans="1:19" x14ac:dyDescent="0.15">
      <c r="A207" s="196"/>
      <c r="B207" s="182"/>
      <c r="C207" s="181"/>
      <c r="D207" s="181"/>
      <c r="E207" s="181"/>
      <c r="F207" s="181"/>
      <c r="G207" s="181"/>
      <c r="H207" s="181"/>
      <c r="I207" s="181"/>
      <c r="J207" s="181"/>
      <c r="K207" s="181"/>
      <c r="L207" s="181"/>
      <c r="M207" s="181"/>
      <c r="N207" s="181"/>
      <c r="O207" s="195"/>
      <c r="P207" s="195"/>
      <c r="Q207" s="195"/>
      <c r="R207" s="25"/>
      <c r="S207" s="25"/>
    </row>
    <row r="208" spans="1:19" x14ac:dyDescent="0.15">
      <c r="A208" s="196"/>
      <c r="B208" s="182"/>
      <c r="C208" s="181"/>
      <c r="D208" s="181"/>
      <c r="E208" s="181"/>
      <c r="F208" s="181"/>
      <c r="G208" s="181"/>
      <c r="H208" s="181"/>
      <c r="I208" s="181"/>
      <c r="J208" s="181"/>
      <c r="K208" s="181"/>
      <c r="L208" s="181"/>
      <c r="M208" s="181"/>
      <c r="N208" s="181"/>
      <c r="O208" s="195"/>
      <c r="P208" s="195"/>
      <c r="Q208" s="195"/>
      <c r="R208" s="25"/>
      <c r="S208" s="25"/>
    </row>
    <row r="209" spans="1:19" x14ac:dyDescent="0.15">
      <c r="A209" s="196"/>
      <c r="B209" s="182"/>
      <c r="C209" s="181"/>
      <c r="D209" s="181"/>
      <c r="E209" s="181"/>
      <c r="F209" s="181"/>
      <c r="G209" s="181"/>
      <c r="H209" s="181"/>
      <c r="I209" s="181"/>
      <c r="J209" s="181"/>
      <c r="K209" s="181"/>
      <c r="L209" s="181"/>
      <c r="M209" s="181"/>
      <c r="N209" s="181"/>
      <c r="O209" s="195"/>
      <c r="P209" s="195"/>
      <c r="Q209" s="195"/>
      <c r="R209" s="25"/>
      <c r="S209" s="25"/>
    </row>
    <row r="210" spans="1:19" x14ac:dyDescent="0.15">
      <c r="A210" s="196"/>
      <c r="B210" s="182"/>
      <c r="C210" s="181"/>
      <c r="D210" s="181"/>
      <c r="E210" s="181"/>
      <c r="F210" s="181"/>
      <c r="G210" s="181"/>
      <c r="H210" s="181"/>
      <c r="I210" s="181"/>
      <c r="J210" s="181"/>
      <c r="K210" s="181"/>
      <c r="L210" s="181"/>
      <c r="M210" s="181"/>
      <c r="N210" s="181"/>
      <c r="O210" s="195"/>
      <c r="P210" s="195"/>
      <c r="Q210" s="195"/>
      <c r="R210" s="25"/>
      <c r="S210" s="25"/>
    </row>
    <row r="211" spans="1:19" x14ac:dyDescent="0.15">
      <c r="A211" s="196"/>
      <c r="B211" s="182"/>
      <c r="C211" s="181"/>
      <c r="D211" s="181"/>
      <c r="E211" s="181"/>
      <c r="F211" s="181"/>
      <c r="G211" s="181"/>
      <c r="H211" s="181"/>
      <c r="I211" s="181"/>
      <c r="J211" s="181"/>
      <c r="K211" s="181"/>
      <c r="L211" s="181"/>
      <c r="M211" s="181"/>
      <c r="N211" s="181"/>
      <c r="O211" s="195"/>
      <c r="P211" s="195"/>
      <c r="Q211" s="195"/>
      <c r="R211" s="25"/>
      <c r="S211" s="25"/>
    </row>
    <row r="212" spans="1:19" x14ac:dyDescent="0.15">
      <c r="A212" s="196"/>
      <c r="B212" s="182"/>
      <c r="C212" s="181"/>
      <c r="D212" s="181"/>
      <c r="E212" s="181"/>
      <c r="F212" s="181"/>
      <c r="G212" s="181"/>
      <c r="H212" s="181"/>
      <c r="I212" s="181"/>
      <c r="J212" s="181"/>
      <c r="K212" s="181"/>
      <c r="L212" s="181"/>
      <c r="M212" s="181"/>
      <c r="N212" s="181"/>
      <c r="O212" s="195"/>
      <c r="P212" s="195"/>
      <c r="Q212" s="195"/>
      <c r="R212" s="25"/>
      <c r="S212" s="25"/>
    </row>
    <row r="213" spans="1:19" x14ac:dyDescent="0.15">
      <c r="A213" s="196"/>
      <c r="B213" s="182"/>
      <c r="C213" s="181"/>
      <c r="D213" s="181"/>
      <c r="E213" s="181"/>
      <c r="F213" s="181"/>
      <c r="G213" s="181"/>
      <c r="H213" s="181"/>
      <c r="I213" s="181"/>
      <c r="J213" s="181"/>
      <c r="K213" s="181"/>
      <c r="L213" s="181"/>
      <c r="M213" s="181"/>
      <c r="N213" s="181"/>
      <c r="O213" s="195"/>
      <c r="P213" s="195"/>
      <c r="Q213" s="195"/>
      <c r="R213" s="25"/>
      <c r="S213" s="25"/>
    </row>
    <row r="214" spans="1:19" x14ac:dyDescent="0.15">
      <c r="A214" s="196"/>
      <c r="B214" s="182"/>
      <c r="C214" s="181"/>
      <c r="D214" s="181"/>
      <c r="E214" s="181"/>
      <c r="F214" s="181"/>
      <c r="G214" s="181"/>
      <c r="H214" s="181"/>
      <c r="I214" s="181"/>
      <c r="J214" s="181"/>
      <c r="K214" s="181"/>
      <c r="L214" s="181"/>
      <c r="M214" s="181"/>
      <c r="N214" s="181"/>
      <c r="O214" s="195"/>
      <c r="P214" s="195"/>
      <c r="Q214" s="195"/>
      <c r="R214" s="25"/>
      <c r="S214" s="25"/>
    </row>
    <row r="215" spans="1:19" x14ac:dyDescent="0.15">
      <c r="A215" s="196"/>
      <c r="B215" s="182"/>
      <c r="C215" s="181"/>
      <c r="D215" s="181"/>
      <c r="E215" s="181"/>
      <c r="F215" s="181"/>
      <c r="G215" s="181"/>
      <c r="H215" s="181"/>
      <c r="I215" s="181"/>
      <c r="J215" s="181"/>
      <c r="K215" s="181"/>
      <c r="L215" s="181"/>
      <c r="M215" s="181"/>
      <c r="N215" s="181"/>
      <c r="O215" s="195"/>
      <c r="P215" s="195"/>
      <c r="Q215" s="195"/>
      <c r="R215" s="25"/>
      <c r="S215" s="25"/>
    </row>
    <row r="216" spans="1:19" x14ac:dyDescent="0.15">
      <c r="A216" s="196"/>
      <c r="B216" s="182"/>
      <c r="C216" s="181"/>
      <c r="D216" s="181"/>
      <c r="E216" s="181"/>
      <c r="F216" s="181"/>
      <c r="G216" s="181"/>
      <c r="H216" s="181"/>
      <c r="I216" s="181"/>
      <c r="J216" s="181"/>
      <c r="K216" s="181"/>
      <c r="L216" s="181"/>
      <c r="M216" s="181"/>
      <c r="N216" s="181"/>
      <c r="O216" s="195"/>
      <c r="P216" s="195"/>
      <c r="Q216" s="195"/>
      <c r="R216" s="25"/>
      <c r="S216" s="25"/>
    </row>
    <row r="217" spans="1:19" x14ac:dyDescent="0.15">
      <c r="A217" s="196"/>
      <c r="B217" s="182"/>
      <c r="C217" s="181"/>
      <c r="D217" s="181"/>
      <c r="E217" s="181"/>
      <c r="F217" s="181"/>
      <c r="G217" s="181"/>
      <c r="H217" s="181"/>
      <c r="I217" s="181"/>
      <c r="J217" s="181"/>
      <c r="K217" s="181"/>
      <c r="L217" s="181"/>
      <c r="M217" s="181"/>
      <c r="N217" s="181"/>
      <c r="O217" s="195"/>
      <c r="P217" s="195"/>
      <c r="Q217" s="195"/>
      <c r="R217" s="25"/>
      <c r="S217" s="25"/>
    </row>
    <row r="218" spans="1:19" x14ac:dyDescent="0.15">
      <c r="A218" s="196"/>
      <c r="B218" s="182"/>
      <c r="C218" s="181"/>
      <c r="D218" s="181"/>
      <c r="E218" s="181"/>
      <c r="F218" s="181"/>
      <c r="G218" s="181"/>
      <c r="H218" s="181"/>
      <c r="I218" s="181"/>
      <c r="J218" s="181"/>
      <c r="K218" s="181"/>
      <c r="L218" s="181"/>
      <c r="M218" s="181"/>
      <c r="N218" s="181"/>
      <c r="O218" s="195"/>
      <c r="P218" s="195"/>
      <c r="Q218" s="195"/>
      <c r="R218" s="25"/>
      <c r="S218" s="25"/>
    </row>
    <row r="219" spans="1:19" x14ac:dyDescent="0.15">
      <c r="A219" s="196"/>
      <c r="B219" s="182"/>
      <c r="C219" s="181"/>
      <c r="D219" s="181"/>
      <c r="E219" s="181"/>
      <c r="F219" s="181"/>
      <c r="G219" s="181"/>
      <c r="H219" s="181"/>
      <c r="I219" s="181"/>
      <c r="J219" s="181"/>
      <c r="K219" s="181"/>
      <c r="L219" s="181"/>
      <c r="M219" s="181"/>
      <c r="N219" s="181"/>
      <c r="O219" s="195"/>
      <c r="P219" s="195"/>
      <c r="Q219" s="195"/>
      <c r="R219" s="25"/>
      <c r="S219" s="25"/>
    </row>
    <row r="220" spans="1:19" x14ac:dyDescent="0.15">
      <c r="A220" s="196"/>
      <c r="B220" s="182"/>
      <c r="C220" s="181"/>
      <c r="D220" s="181"/>
      <c r="E220" s="181"/>
      <c r="F220" s="181"/>
      <c r="G220" s="181"/>
      <c r="H220" s="181"/>
      <c r="I220" s="181"/>
      <c r="J220" s="181"/>
      <c r="K220" s="181"/>
      <c r="L220" s="181"/>
      <c r="M220" s="181"/>
      <c r="N220" s="181"/>
      <c r="O220" s="195"/>
      <c r="P220" s="195"/>
      <c r="Q220" s="195"/>
      <c r="R220" s="25"/>
      <c r="S220" s="25"/>
    </row>
    <row r="221" spans="1:19" x14ac:dyDescent="0.15">
      <c r="A221" s="196"/>
      <c r="B221" s="182"/>
      <c r="C221" s="181"/>
      <c r="D221" s="181"/>
      <c r="E221" s="181"/>
      <c r="F221" s="181"/>
      <c r="G221" s="181"/>
      <c r="H221" s="181"/>
      <c r="I221" s="181"/>
      <c r="J221" s="181"/>
      <c r="K221" s="181"/>
      <c r="L221" s="181"/>
      <c r="M221" s="181"/>
      <c r="N221" s="181"/>
      <c r="O221" s="195"/>
      <c r="P221" s="195"/>
      <c r="Q221" s="195"/>
      <c r="R221" s="25"/>
      <c r="S221" s="25"/>
    </row>
    <row r="222" spans="1:19" x14ac:dyDescent="0.15">
      <c r="A222" s="196"/>
      <c r="B222" s="182"/>
      <c r="C222" s="181"/>
      <c r="D222" s="181"/>
      <c r="E222" s="181"/>
      <c r="F222" s="181"/>
      <c r="G222" s="181"/>
      <c r="H222" s="181"/>
      <c r="I222" s="181"/>
      <c r="J222" s="181"/>
      <c r="K222" s="181"/>
      <c r="L222" s="181"/>
      <c r="M222" s="181"/>
      <c r="N222" s="181"/>
      <c r="O222" s="195"/>
      <c r="P222" s="195"/>
      <c r="Q222" s="195"/>
      <c r="R222" s="25"/>
      <c r="S222" s="25"/>
    </row>
    <row r="223" spans="1:19" x14ac:dyDescent="0.15">
      <c r="A223" s="196"/>
      <c r="B223" s="182"/>
      <c r="C223" s="181"/>
      <c r="D223" s="181"/>
      <c r="E223" s="181"/>
      <c r="F223" s="181"/>
      <c r="G223" s="181"/>
      <c r="H223" s="181"/>
      <c r="I223" s="181"/>
      <c r="J223" s="181"/>
      <c r="K223" s="181"/>
      <c r="L223" s="181"/>
      <c r="M223" s="181"/>
      <c r="N223" s="181"/>
      <c r="O223" s="195"/>
      <c r="P223" s="195"/>
      <c r="Q223" s="195"/>
      <c r="R223" s="25"/>
      <c r="S223" s="25"/>
    </row>
    <row r="224" spans="1:19" x14ac:dyDescent="0.15">
      <c r="A224" s="196"/>
      <c r="B224" s="182"/>
      <c r="C224" s="181"/>
      <c r="D224" s="181"/>
      <c r="E224" s="181"/>
      <c r="F224" s="181"/>
      <c r="G224" s="181"/>
      <c r="H224" s="181"/>
      <c r="I224" s="181"/>
      <c r="J224" s="181"/>
      <c r="K224" s="181"/>
      <c r="L224" s="181"/>
      <c r="M224" s="181"/>
      <c r="N224" s="181"/>
      <c r="O224" s="195"/>
      <c r="P224" s="195"/>
      <c r="Q224" s="195"/>
      <c r="R224" s="25"/>
      <c r="S224" s="25"/>
    </row>
    <row r="225" spans="2:19" x14ac:dyDescent="0.15">
      <c r="B225" s="182"/>
      <c r="C225" s="181"/>
      <c r="D225" s="181"/>
      <c r="E225" s="181"/>
      <c r="F225" s="181"/>
      <c r="G225" s="181"/>
      <c r="H225" s="181"/>
      <c r="I225" s="181"/>
      <c r="J225" s="181"/>
      <c r="K225" s="181"/>
      <c r="L225" s="181"/>
      <c r="M225" s="181"/>
      <c r="N225" s="181"/>
      <c r="O225" s="195"/>
      <c r="P225" s="195"/>
      <c r="Q225" s="195"/>
      <c r="R225" s="25"/>
      <c r="S225" s="25"/>
    </row>
    <row r="226" spans="2:19" x14ac:dyDescent="0.15">
      <c r="B226" s="182"/>
      <c r="C226" s="181"/>
      <c r="D226" s="181"/>
      <c r="E226" s="181"/>
      <c r="F226" s="181"/>
      <c r="G226" s="181"/>
      <c r="H226" s="181"/>
      <c r="I226" s="181"/>
      <c r="J226" s="181"/>
      <c r="K226" s="181"/>
      <c r="L226" s="181"/>
      <c r="M226" s="181"/>
      <c r="N226" s="181"/>
      <c r="O226" s="195"/>
      <c r="P226" s="195"/>
      <c r="Q226" s="195"/>
      <c r="R226" s="25"/>
      <c r="S226" s="25"/>
    </row>
    <row r="227" spans="2:19" x14ac:dyDescent="0.15">
      <c r="B227" s="182"/>
      <c r="C227" s="181"/>
      <c r="D227" s="181"/>
      <c r="E227" s="181"/>
      <c r="F227" s="181"/>
      <c r="G227" s="181"/>
      <c r="H227" s="181"/>
      <c r="I227" s="181"/>
      <c r="J227" s="181"/>
      <c r="K227" s="181"/>
      <c r="L227" s="181"/>
      <c r="M227" s="181"/>
      <c r="N227" s="181"/>
      <c r="O227" s="195"/>
      <c r="P227" s="195"/>
      <c r="Q227" s="195"/>
      <c r="R227" s="25"/>
      <c r="S227" s="25"/>
    </row>
    <row r="228" spans="2:19" x14ac:dyDescent="0.15">
      <c r="B228" s="182"/>
      <c r="C228" s="181"/>
      <c r="D228" s="181"/>
      <c r="E228" s="181"/>
      <c r="F228" s="181"/>
      <c r="G228" s="181"/>
      <c r="H228" s="181"/>
      <c r="I228" s="181"/>
      <c r="J228" s="181"/>
      <c r="K228" s="181"/>
      <c r="L228" s="181"/>
      <c r="M228" s="181"/>
      <c r="N228" s="181"/>
      <c r="O228" s="195"/>
      <c r="P228" s="195"/>
      <c r="Q228" s="195"/>
      <c r="R228" s="25"/>
      <c r="S228" s="25"/>
    </row>
    <row r="229" spans="2:19" x14ac:dyDescent="0.15">
      <c r="B229" s="182"/>
      <c r="C229" s="181"/>
      <c r="D229" s="181"/>
      <c r="E229" s="181"/>
      <c r="F229" s="181"/>
      <c r="G229" s="181"/>
      <c r="H229" s="181"/>
      <c r="I229" s="181"/>
      <c r="J229" s="181"/>
      <c r="K229" s="181"/>
      <c r="L229" s="181"/>
      <c r="M229" s="181"/>
      <c r="N229" s="181"/>
      <c r="O229" s="195"/>
      <c r="P229" s="195"/>
      <c r="Q229" s="195"/>
      <c r="R229" s="25"/>
      <c r="S229" s="25"/>
    </row>
    <row r="230" spans="2:19" x14ac:dyDescent="0.15">
      <c r="B230" s="182"/>
      <c r="C230" s="181"/>
      <c r="D230" s="181"/>
      <c r="E230" s="181"/>
      <c r="F230" s="181"/>
      <c r="G230" s="181"/>
      <c r="H230" s="181"/>
      <c r="I230" s="181"/>
      <c r="J230" s="181"/>
      <c r="K230" s="181"/>
      <c r="L230" s="181"/>
      <c r="M230" s="181"/>
      <c r="N230" s="181"/>
      <c r="O230" s="195"/>
      <c r="P230" s="195"/>
      <c r="Q230" s="195"/>
      <c r="R230" s="25"/>
      <c r="S230" s="25"/>
    </row>
    <row r="231" spans="2:19" x14ac:dyDescent="0.15">
      <c r="B231" s="182"/>
      <c r="C231" s="181"/>
      <c r="D231" s="181"/>
      <c r="E231" s="181"/>
      <c r="F231" s="181"/>
      <c r="G231" s="181"/>
      <c r="H231" s="181"/>
      <c r="I231" s="181"/>
      <c r="J231" s="181"/>
      <c r="K231" s="181"/>
      <c r="L231" s="181"/>
      <c r="M231" s="181"/>
      <c r="N231" s="181"/>
      <c r="O231" s="195"/>
      <c r="P231" s="195"/>
      <c r="Q231" s="195"/>
      <c r="R231" s="25"/>
      <c r="S231" s="25"/>
    </row>
    <row r="232" spans="2:19" x14ac:dyDescent="0.15">
      <c r="B232" s="182"/>
      <c r="C232" s="181"/>
      <c r="D232" s="181"/>
      <c r="E232" s="181"/>
      <c r="F232" s="181"/>
      <c r="G232" s="181"/>
      <c r="H232" s="181"/>
      <c r="I232" s="181"/>
      <c r="J232" s="181"/>
      <c r="K232" s="181"/>
      <c r="L232" s="181"/>
      <c r="M232" s="181"/>
      <c r="N232" s="181"/>
      <c r="O232" s="195"/>
      <c r="P232" s="195"/>
      <c r="Q232" s="195"/>
      <c r="R232" s="25"/>
      <c r="S232" s="25"/>
    </row>
    <row r="233" spans="2:19" x14ac:dyDescent="0.15">
      <c r="B233" s="182"/>
      <c r="C233" s="181"/>
      <c r="D233" s="181"/>
      <c r="E233" s="181"/>
      <c r="F233" s="181"/>
      <c r="G233" s="181"/>
      <c r="H233" s="181"/>
      <c r="I233" s="181"/>
      <c r="J233" s="181"/>
      <c r="K233" s="181"/>
      <c r="L233" s="181"/>
      <c r="M233" s="181"/>
      <c r="N233" s="181"/>
      <c r="O233" s="195"/>
      <c r="P233" s="195"/>
      <c r="Q233" s="195"/>
      <c r="R233" s="25"/>
      <c r="S233" s="25"/>
    </row>
    <row r="234" spans="2:19" x14ac:dyDescent="0.15">
      <c r="B234" s="182"/>
      <c r="C234" s="181"/>
      <c r="D234" s="181"/>
      <c r="E234" s="181"/>
      <c r="F234" s="181"/>
      <c r="G234" s="181"/>
      <c r="H234" s="181"/>
      <c r="I234" s="181"/>
      <c r="J234" s="181"/>
      <c r="K234" s="181"/>
      <c r="L234" s="181"/>
      <c r="M234" s="181"/>
      <c r="N234" s="181"/>
      <c r="O234" s="195"/>
      <c r="P234" s="195"/>
      <c r="Q234" s="195"/>
      <c r="R234" s="25"/>
      <c r="S234" s="25"/>
    </row>
    <row r="235" spans="2:19" x14ac:dyDescent="0.15">
      <c r="B235" s="182"/>
      <c r="C235" s="181"/>
      <c r="D235" s="181"/>
      <c r="E235" s="181"/>
      <c r="F235" s="181"/>
      <c r="G235" s="181"/>
      <c r="H235" s="181"/>
      <c r="I235" s="181"/>
      <c r="J235" s="181"/>
      <c r="K235" s="181"/>
      <c r="L235" s="181"/>
      <c r="M235" s="181"/>
      <c r="N235" s="181"/>
      <c r="O235" s="195"/>
      <c r="P235" s="195"/>
      <c r="Q235" s="195"/>
      <c r="R235" s="25"/>
      <c r="S235" s="25"/>
    </row>
    <row r="236" spans="2:19" x14ac:dyDescent="0.15">
      <c r="B236" s="182"/>
      <c r="C236" s="181"/>
      <c r="D236" s="181"/>
      <c r="E236" s="181"/>
      <c r="F236" s="181"/>
      <c r="G236" s="181"/>
      <c r="H236" s="181"/>
      <c r="I236" s="181"/>
      <c r="J236" s="181"/>
      <c r="K236" s="181"/>
      <c r="L236" s="181"/>
      <c r="M236" s="181"/>
      <c r="N236" s="181"/>
      <c r="O236" s="195"/>
      <c r="P236" s="195"/>
      <c r="Q236" s="195"/>
      <c r="R236" s="25"/>
      <c r="S236" s="25"/>
    </row>
    <row r="237" spans="2:19" x14ac:dyDescent="0.15">
      <c r="B237" s="182"/>
      <c r="C237" s="181"/>
      <c r="D237" s="181"/>
      <c r="E237" s="181"/>
      <c r="F237" s="181"/>
      <c r="G237" s="181"/>
      <c r="H237" s="181"/>
      <c r="I237" s="181"/>
      <c r="J237" s="181"/>
      <c r="K237" s="181"/>
      <c r="L237" s="181"/>
      <c r="M237" s="181"/>
      <c r="N237" s="181"/>
      <c r="O237" s="195"/>
      <c r="P237" s="195"/>
      <c r="Q237" s="195"/>
      <c r="R237" s="25"/>
      <c r="S237" s="25"/>
    </row>
    <row r="238" spans="2:19" x14ac:dyDescent="0.15">
      <c r="B238" s="182"/>
      <c r="C238" s="181"/>
      <c r="D238" s="181"/>
      <c r="E238" s="181"/>
      <c r="F238" s="181"/>
      <c r="G238" s="181"/>
      <c r="H238" s="181"/>
      <c r="I238" s="181"/>
      <c r="J238" s="181"/>
      <c r="K238" s="181"/>
      <c r="L238" s="181"/>
      <c r="M238" s="181"/>
      <c r="N238" s="181"/>
      <c r="O238" s="195"/>
      <c r="P238" s="195"/>
      <c r="Q238" s="195"/>
      <c r="R238" s="25"/>
      <c r="S238" s="25"/>
    </row>
    <row r="239" spans="2:19" x14ac:dyDescent="0.15">
      <c r="B239" s="182"/>
      <c r="C239" s="181"/>
      <c r="D239" s="181"/>
      <c r="E239" s="181"/>
      <c r="F239" s="181"/>
      <c r="G239" s="181"/>
      <c r="H239" s="181"/>
      <c r="I239" s="181"/>
      <c r="J239" s="181"/>
      <c r="K239" s="181"/>
      <c r="L239" s="181"/>
      <c r="M239" s="181"/>
      <c r="N239" s="181"/>
      <c r="O239" s="195"/>
      <c r="P239" s="195"/>
      <c r="Q239" s="195"/>
      <c r="R239" s="25"/>
      <c r="S239" s="25"/>
    </row>
    <row r="240" spans="2:19" x14ac:dyDescent="0.15">
      <c r="B240" s="182"/>
      <c r="C240" s="181"/>
      <c r="D240" s="181"/>
      <c r="E240" s="181"/>
      <c r="F240" s="181"/>
      <c r="G240" s="181"/>
      <c r="H240" s="181"/>
      <c r="I240" s="181"/>
      <c r="J240" s="181"/>
      <c r="K240" s="181"/>
      <c r="L240" s="181"/>
      <c r="M240" s="181"/>
      <c r="N240" s="181"/>
      <c r="O240" s="195"/>
      <c r="P240" s="195"/>
      <c r="Q240" s="195"/>
      <c r="R240" s="25"/>
      <c r="S240" s="25"/>
    </row>
    <row r="241" spans="2:19" x14ac:dyDescent="0.15">
      <c r="B241" s="182"/>
      <c r="C241" s="181"/>
      <c r="D241" s="181"/>
      <c r="E241" s="181"/>
      <c r="F241" s="181"/>
      <c r="G241" s="181"/>
      <c r="H241" s="181"/>
      <c r="I241" s="181"/>
      <c r="J241" s="181"/>
      <c r="K241" s="181"/>
      <c r="L241" s="181"/>
      <c r="M241" s="181"/>
      <c r="N241" s="181"/>
      <c r="O241" s="195"/>
      <c r="P241" s="195"/>
      <c r="Q241" s="195"/>
      <c r="R241" s="25"/>
      <c r="S241" s="25"/>
    </row>
    <row r="242" spans="2:19" x14ac:dyDescent="0.15">
      <c r="B242" s="182"/>
      <c r="C242" s="181"/>
      <c r="D242" s="181"/>
      <c r="E242" s="181"/>
      <c r="F242" s="181"/>
      <c r="G242" s="181"/>
      <c r="H242" s="181"/>
      <c r="I242" s="181"/>
      <c r="J242" s="181"/>
      <c r="K242" s="181"/>
      <c r="L242" s="181"/>
      <c r="M242" s="181"/>
      <c r="N242" s="181"/>
      <c r="O242" s="195"/>
      <c r="P242" s="195"/>
      <c r="Q242" s="195"/>
      <c r="R242" s="25"/>
      <c r="S242" s="25"/>
    </row>
    <row r="243" spans="2:19" x14ac:dyDescent="0.15">
      <c r="B243" s="182"/>
      <c r="C243" s="181"/>
      <c r="D243" s="181"/>
      <c r="E243" s="181"/>
      <c r="F243" s="181"/>
      <c r="G243" s="181"/>
      <c r="H243" s="181"/>
      <c r="I243" s="181"/>
      <c r="J243" s="181"/>
      <c r="K243" s="181"/>
      <c r="L243" s="181"/>
      <c r="M243" s="181"/>
      <c r="N243" s="181"/>
      <c r="O243" s="195"/>
      <c r="P243" s="195"/>
      <c r="Q243" s="195"/>
      <c r="R243" s="25"/>
      <c r="S243" s="25"/>
    </row>
    <row r="244" spans="2:19" x14ac:dyDescent="0.15">
      <c r="B244" s="182"/>
      <c r="C244" s="181"/>
      <c r="D244" s="181"/>
      <c r="E244" s="181"/>
      <c r="F244" s="181"/>
      <c r="G244" s="181"/>
      <c r="H244" s="181"/>
      <c r="I244" s="181"/>
      <c r="J244" s="181"/>
      <c r="K244" s="181"/>
      <c r="L244" s="181"/>
      <c r="M244" s="181"/>
      <c r="N244" s="181"/>
      <c r="O244" s="195"/>
      <c r="P244" s="195"/>
      <c r="Q244" s="195"/>
      <c r="R244" s="25"/>
      <c r="S244" s="25"/>
    </row>
    <row r="245" spans="2:19" x14ac:dyDescent="0.15">
      <c r="B245" s="182"/>
      <c r="C245" s="181"/>
      <c r="D245" s="181"/>
      <c r="E245" s="181"/>
      <c r="F245" s="181"/>
      <c r="G245" s="181"/>
      <c r="H245" s="181"/>
      <c r="I245" s="181"/>
      <c r="J245" s="181"/>
      <c r="K245" s="181"/>
      <c r="L245" s="181"/>
      <c r="M245" s="181"/>
      <c r="N245" s="181"/>
      <c r="O245" s="195"/>
      <c r="P245" s="195"/>
      <c r="Q245" s="195"/>
      <c r="R245" s="25"/>
      <c r="S245" s="25"/>
    </row>
    <row r="246" spans="2:19" x14ac:dyDescent="0.15">
      <c r="B246" s="182"/>
      <c r="C246" s="181"/>
      <c r="D246" s="181"/>
      <c r="E246" s="181"/>
      <c r="F246" s="181"/>
      <c r="G246" s="181"/>
      <c r="H246" s="181"/>
      <c r="I246" s="181"/>
      <c r="J246" s="181"/>
      <c r="K246" s="181"/>
      <c r="L246" s="181"/>
      <c r="M246" s="181"/>
      <c r="N246" s="181"/>
      <c r="O246" s="195"/>
      <c r="P246" s="195"/>
      <c r="Q246" s="195"/>
      <c r="R246" s="25"/>
      <c r="S246" s="25"/>
    </row>
    <row r="247" spans="2:19" x14ac:dyDescent="0.15">
      <c r="B247" s="182"/>
      <c r="C247" s="181"/>
      <c r="D247" s="181"/>
      <c r="E247" s="181"/>
      <c r="F247" s="181"/>
      <c r="G247" s="181"/>
      <c r="H247" s="181"/>
      <c r="I247" s="181"/>
      <c r="J247" s="181"/>
      <c r="K247" s="181"/>
      <c r="L247" s="181"/>
      <c r="M247" s="181"/>
      <c r="N247" s="181"/>
      <c r="O247" s="195"/>
      <c r="P247" s="195"/>
      <c r="Q247" s="195"/>
      <c r="R247" s="25"/>
      <c r="S247" s="25"/>
    </row>
    <row r="248" spans="2:19" x14ac:dyDescent="0.15">
      <c r="B248" s="182"/>
      <c r="C248" s="181"/>
      <c r="D248" s="181"/>
      <c r="E248" s="181"/>
      <c r="F248" s="181"/>
      <c r="G248" s="181"/>
      <c r="H248" s="181"/>
      <c r="I248" s="181"/>
      <c r="J248" s="181"/>
      <c r="K248" s="181"/>
      <c r="L248" s="181"/>
      <c r="M248" s="181"/>
      <c r="N248" s="181"/>
      <c r="O248" s="195"/>
      <c r="P248" s="195"/>
      <c r="Q248" s="195"/>
      <c r="R248" s="25"/>
      <c r="S248" s="25"/>
    </row>
    <row r="249" spans="2:19" x14ac:dyDescent="0.15">
      <c r="B249" s="182"/>
      <c r="C249" s="181"/>
      <c r="D249" s="181"/>
      <c r="E249" s="181"/>
      <c r="F249" s="181"/>
      <c r="G249" s="181"/>
      <c r="H249" s="181"/>
      <c r="I249" s="181"/>
      <c r="J249" s="181"/>
      <c r="K249" s="181"/>
      <c r="L249" s="181"/>
      <c r="M249" s="181"/>
      <c r="N249" s="181"/>
      <c r="O249" s="195"/>
      <c r="P249" s="195"/>
      <c r="Q249" s="195"/>
      <c r="R249" s="25"/>
      <c r="S249" s="25"/>
    </row>
    <row r="250" spans="2:19" x14ac:dyDescent="0.15">
      <c r="B250" s="182"/>
      <c r="C250" s="181"/>
      <c r="D250" s="181"/>
      <c r="E250" s="181"/>
      <c r="F250" s="181"/>
      <c r="G250" s="181"/>
      <c r="H250" s="181"/>
      <c r="I250" s="181"/>
      <c r="J250" s="181"/>
      <c r="K250" s="181"/>
      <c r="L250" s="181"/>
      <c r="M250" s="181"/>
      <c r="N250" s="181"/>
      <c r="O250" s="195"/>
      <c r="P250" s="195"/>
      <c r="Q250" s="195"/>
      <c r="R250" s="25"/>
      <c r="S250" s="25"/>
    </row>
    <row r="251" spans="2:19" x14ac:dyDescent="0.15">
      <c r="B251" s="182"/>
      <c r="C251" s="181"/>
      <c r="D251" s="181"/>
      <c r="E251" s="181"/>
      <c r="F251" s="181"/>
      <c r="G251" s="181"/>
      <c r="H251" s="181"/>
      <c r="I251" s="181"/>
      <c r="J251" s="181"/>
      <c r="K251" s="181"/>
      <c r="L251" s="181"/>
      <c r="M251" s="181"/>
      <c r="N251" s="181"/>
      <c r="O251" s="195"/>
      <c r="P251" s="195"/>
      <c r="Q251" s="195"/>
      <c r="R251" s="25"/>
      <c r="S251" s="25"/>
    </row>
    <row r="252" spans="2:19" x14ac:dyDescent="0.15">
      <c r="B252" s="182"/>
      <c r="C252" s="181"/>
      <c r="D252" s="181"/>
      <c r="E252" s="181"/>
      <c r="F252" s="181"/>
      <c r="G252" s="181"/>
      <c r="H252" s="181"/>
      <c r="I252" s="181"/>
      <c r="J252" s="181"/>
      <c r="K252" s="181"/>
      <c r="L252" s="181"/>
      <c r="M252" s="181"/>
      <c r="N252" s="181"/>
      <c r="O252" s="195"/>
      <c r="P252" s="195"/>
      <c r="Q252" s="195"/>
      <c r="R252" s="25"/>
      <c r="S252" s="25"/>
    </row>
    <row r="253" spans="2:19" x14ac:dyDescent="0.15">
      <c r="B253" s="182"/>
      <c r="C253" s="181"/>
      <c r="D253" s="181"/>
      <c r="E253" s="181"/>
      <c r="F253" s="181"/>
      <c r="G253" s="181"/>
      <c r="H253" s="181"/>
      <c r="I253" s="181"/>
      <c r="J253" s="181"/>
      <c r="K253" s="181"/>
      <c r="L253" s="181"/>
      <c r="M253" s="181"/>
      <c r="N253" s="181"/>
      <c r="O253" s="195"/>
      <c r="P253" s="195"/>
      <c r="Q253" s="195"/>
      <c r="R253" s="25"/>
      <c r="S253" s="25"/>
    </row>
    <row r="254" spans="2:19" x14ac:dyDescent="0.15">
      <c r="B254" s="182"/>
      <c r="C254" s="181"/>
      <c r="D254" s="181"/>
      <c r="E254" s="181"/>
      <c r="F254" s="181"/>
      <c r="G254" s="181"/>
      <c r="H254" s="181"/>
      <c r="I254" s="181"/>
      <c r="J254" s="181"/>
      <c r="K254" s="181"/>
      <c r="L254" s="181"/>
      <c r="M254" s="181"/>
      <c r="N254" s="181"/>
      <c r="O254" s="195"/>
      <c r="P254" s="195"/>
      <c r="Q254" s="195"/>
      <c r="R254" s="25"/>
      <c r="S254" s="25"/>
    </row>
    <row r="255" spans="2:19" x14ac:dyDescent="0.15">
      <c r="B255" s="182"/>
      <c r="C255" s="181"/>
      <c r="D255" s="181"/>
      <c r="E255" s="181"/>
      <c r="F255" s="181"/>
      <c r="G255" s="181"/>
      <c r="H255" s="181"/>
      <c r="I255" s="181"/>
      <c r="J255" s="181"/>
      <c r="K255" s="181"/>
      <c r="L255" s="181"/>
      <c r="M255" s="181"/>
      <c r="N255" s="181"/>
      <c r="O255" s="195"/>
      <c r="P255" s="195"/>
      <c r="Q255" s="195"/>
      <c r="R255" s="25"/>
      <c r="S255" s="25"/>
    </row>
    <row r="256" spans="2:19" x14ac:dyDescent="0.15">
      <c r="B256" s="182"/>
      <c r="C256" s="181"/>
      <c r="D256" s="181"/>
      <c r="E256" s="181"/>
      <c r="F256" s="181"/>
      <c r="G256" s="181"/>
      <c r="H256" s="181"/>
      <c r="I256" s="181"/>
      <c r="J256" s="181"/>
      <c r="K256" s="181"/>
      <c r="L256" s="181"/>
      <c r="M256" s="181"/>
      <c r="N256" s="181"/>
      <c r="O256" s="195"/>
      <c r="P256" s="195"/>
      <c r="Q256" s="195"/>
      <c r="R256" s="25"/>
      <c r="S256" s="25"/>
    </row>
    <row r="257" spans="2:19" x14ac:dyDescent="0.15">
      <c r="B257" s="182"/>
      <c r="C257" s="181"/>
      <c r="D257" s="181"/>
      <c r="E257" s="181"/>
      <c r="F257" s="181"/>
      <c r="G257" s="181"/>
      <c r="H257" s="181"/>
      <c r="I257" s="181"/>
      <c r="J257" s="181"/>
      <c r="K257" s="181"/>
      <c r="L257" s="181"/>
      <c r="M257" s="181"/>
      <c r="N257" s="181"/>
      <c r="O257" s="195"/>
      <c r="P257" s="195"/>
      <c r="Q257" s="195"/>
      <c r="R257" s="25"/>
      <c r="S257" s="25"/>
    </row>
    <row r="258" spans="2:19" x14ac:dyDescent="0.15">
      <c r="B258" s="182"/>
      <c r="C258" s="181"/>
      <c r="D258" s="181"/>
      <c r="E258" s="181"/>
      <c r="F258" s="181"/>
      <c r="G258" s="181"/>
      <c r="H258" s="181"/>
      <c r="I258" s="181"/>
      <c r="J258" s="181"/>
      <c r="K258" s="181"/>
      <c r="L258" s="181"/>
      <c r="M258" s="181"/>
      <c r="N258" s="181"/>
      <c r="O258" s="195"/>
      <c r="P258" s="195"/>
      <c r="Q258" s="195"/>
      <c r="R258" s="25"/>
      <c r="S258" s="25"/>
    </row>
    <row r="259" spans="2:19" x14ac:dyDescent="0.15">
      <c r="B259" s="182"/>
      <c r="C259" s="181"/>
      <c r="D259" s="181"/>
      <c r="E259" s="181"/>
      <c r="F259" s="181"/>
      <c r="G259" s="181"/>
      <c r="H259" s="181"/>
      <c r="I259" s="181"/>
      <c r="J259" s="181"/>
      <c r="K259" s="181"/>
      <c r="L259" s="181"/>
      <c r="M259" s="181"/>
      <c r="N259" s="181"/>
      <c r="O259" s="195"/>
      <c r="P259" s="195"/>
      <c r="Q259" s="195"/>
      <c r="R259" s="25"/>
      <c r="S259" s="25"/>
    </row>
    <row r="260" spans="2:19" x14ac:dyDescent="0.15">
      <c r="B260" s="182"/>
      <c r="C260" s="181"/>
      <c r="D260" s="181"/>
      <c r="E260" s="181"/>
      <c r="F260" s="181"/>
      <c r="G260" s="181"/>
      <c r="H260" s="181"/>
      <c r="I260" s="181"/>
      <c r="J260" s="181"/>
      <c r="K260" s="181"/>
      <c r="L260" s="181"/>
      <c r="M260" s="181"/>
      <c r="N260" s="181"/>
      <c r="O260" s="195"/>
      <c r="P260" s="195"/>
      <c r="Q260" s="195"/>
      <c r="R260" s="25"/>
      <c r="S260" s="25"/>
    </row>
    <row r="261" spans="2:19" x14ac:dyDescent="0.15">
      <c r="B261" s="182"/>
      <c r="C261" s="181"/>
      <c r="D261" s="181"/>
      <c r="E261" s="181"/>
      <c r="F261" s="181"/>
      <c r="G261" s="181"/>
      <c r="H261" s="181"/>
      <c r="I261" s="181"/>
      <c r="J261" s="181"/>
      <c r="K261" s="181"/>
      <c r="L261" s="181"/>
      <c r="M261" s="181"/>
      <c r="N261" s="181"/>
      <c r="O261" s="195"/>
      <c r="P261" s="195"/>
      <c r="Q261" s="195"/>
      <c r="R261" s="25"/>
      <c r="S261" s="25"/>
    </row>
    <row r="262" spans="2:19" x14ac:dyDescent="0.15">
      <c r="B262" s="182"/>
      <c r="C262" s="181"/>
      <c r="D262" s="181"/>
      <c r="E262" s="181"/>
      <c r="F262" s="181"/>
      <c r="G262" s="181"/>
      <c r="H262" s="181"/>
      <c r="I262" s="181"/>
      <c r="J262" s="181"/>
      <c r="K262" s="181"/>
      <c r="L262" s="181"/>
      <c r="M262" s="181"/>
      <c r="N262" s="181"/>
      <c r="O262" s="195"/>
      <c r="P262" s="195"/>
      <c r="Q262" s="195"/>
      <c r="R262" s="25"/>
      <c r="S262" s="25"/>
    </row>
    <row r="263" spans="2:19" x14ac:dyDescent="0.15">
      <c r="B263" s="182"/>
      <c r="C263" s="181"/>
      <c r="D263" s="181"/>
      <c r="E263" s="181"/>
      <c r="F263" s="181"/>
      <c r="G263" s="181"/>
      <c r="H263" s="181"/>
      <c r="I263" s="181"/>
      <c r="J263" s="181"/>
      <c r="K263" s="181"/>
      <c r="L263" s="181"/>
      <c r="M263" s="181"/>
      <c r="N263" s="181"/>
      <c r="O263" s="195"/>
      <c r="P263" s="195"/>
      <c r="Q263" s="195"/>
      <c r="R263" s="25"/>
      <c r="S263" s="25"/>
    </row>
    <row r="264" spans="2:19" x14ac:dyDescent="0.15">
      <c r="B264" s="182"/>
      <c r="C264" s="181"/>
      <c r="D264" s="181"/>
      <c r="E264" s="181"/>
      <c r="F264" s="181"/>
      <c r="G264" s="181"/>
      <c r="H264" s="181"/>
      <c r="I264" s="181"/>
      <c r="J264" s="181"/>
      <c r="K264" s="181"/>
      <c r="L264" s="181"/>
      <c r="M264" s="181"/>
      <c r="N264" s="181"/>
      <c r="O264" s="195"/>
      <c r="P264" s="195"/>
      <c r="Q264" s="195"/>
      <c r="R264" s="25"/>
      <c r="S264" s="25"/>
    </row>
    <row r="265" spans="2:19" x14ac:dyDescent="0.15">
      <c r="B265" s="182"/>
      <c r="C265" s="181"/>
      <c r="D265" s="181"/>
      <c r="E265" s="181"/>
      <c r="F265" s="181"/>
      <c r="G265" s="181"/>
      <c r="H265" s="181"/>
      <c r="I265" s="181"/>
      <c r="J265" s="181"/>
      <c r="K265" s="181"/>
      <c r="L265" s="181"/>
      <c r="M265" s="181"/>
      <c r="N265" s="181"/>
      <c r="O265" s="195"/>
      <c r="P265" s="195"/>
      <c r="Q265" s="195"/>
      <c r="R265" s="25"/>
      <c r="S265" s="25"/>
    </row>
    <row r="266" spans="2:19" x14ac:dyDescent="0.15">
      <c r="B266" s="182"/>
      <c r="C266" s="181"/>
      <c r="D266" s="181"/>
      <c r="E266" s="181"/>
      <c r="F266" s="181"/>
      <c r="G266" s="181"/>
      <c r="H266" s="181"/>
      <c r="I266" s="181"/>
      <c r="J266" s="181"/>
      <c r="K266" s="181"/>
      <c r="L266" s="181"/>
      <c r="M266" s="181"/>
      <c r="N266" s="181"/>
      <c r="O266" s="195"/>
      <c r="P266" s="195"/>
      <c r="Q266" s="195"/>
      <c r="R266" s="25"/>
      <c r="S266" s="25"/>
    </row>
    <row r="267" spans="2:19" x14ac:dyDescent="0.15">
      <c r="B267" s="182"/>
      <c r="C267" s="181"/>
      <c r="D267" s="181"/>
      <c r="E267" s="181"/>
      <c r="F267" s="181"/>
      <c r="G267" s="181"/>
      <c r="H267" s="181"/>
      <c r="I267" s="181"/>
      <c r="J267" s="181"/>
      <c r="K267" s="181"/>
      <c r="L267" s="181"/>
      <c r="M267" s="181"/>
      <c r="N267" s="181"/>
      <c r="O267" s="195"/>
      <c r="P267" s="195"/>
      <c r="Q267" s="195"/>
      <c r="R267" s="25"/>
      <c r="S267" s="25"/>
    </row>
    <row r="268" spans="2:19" x14ac:dyDescent="0.15">
      <c r="B268" s="182"/>
      <c r="C268" s="181"/>
      <c r="D268" s="181"/>
      <c r="E268" s="181"/>
      <c r="F268" s="181"/>
      <c r="G268" s="181"/>
      <c r="H268" s="181"/>
      <c r="I268" s="181"/>
      <c r="J268" s="181"/>
      <c r="K268" s="181"/>
      <c r="L268" s="181"/>
      <c r="M268" s="181"/>
      <c r="N268" s="181"/>
      <c r="O268" s="195"/>
      <c r="P268" s="195"/>
      <c r="Q268" s="195"/>
      <c r="R268" s="25"/>
      <c r="S268" s="25"/>
    </row>
    <row r="269" spans="2:19" x14ac:dyDescent="0.15">
      <c r="B269" s="182"/>
      <c r="C269" s="181"/>
      <c r="D269" s="181"/>
      <c r="E269" s="181"/>
      <c r="F269" s="181"/>
      <c r="G269" s="181"/>
      <c r="H269" s="181"/>
      <c r="I269" s="181"/>
      <c r="J269" s="181"/>
      <c r="K269" s="181"/>
      <c r="L269" s="181"/>
      <c r="M269" s="181"/>
      <c r="N269" s="181"/>
      <c r="O269" s="195"/>
      <c r="P269" s="195"/>
      <c r="Q269" s="195"/>
      <c r="R269" s="25"/>
      <c r="S269" s="25"/>
    </row>
    <row r="270" spans="2:19" x14ac:dyDescent="0.15">
      <c r="B270" s="182"/>
      <c r="C270" s="181"/>
      <c r="D270" s="181"/>
      <c r="E270" s="181"/>
      <c r="F270" s="181"/>
      <c r="G270" s="181"/>
      <c r="H270" s="181"/>
      <c r="I270" s="181"/>
      <c r="J270" s="181"/>
      <c r="K270" s="181"/>
      <c r="L270" s="181"/>
      <c r="M270" s="181"/>
      <c r="N270" s="181"/>
      <c r="O270" s="195"/>
      <c r="P270" s="195"/>
      <c r="Q270" s="195"/>
      <c r="R270" s="25"/>
      <c r="S270" s="25"/>
    </row>
    <row r="271" spans="2:19" x14ac:dyDescent="0.15">
      <c r="B271" s="182"/>
      <c r="C271" s="181"/>
      <c r="D271" s="181"/>
      <c r="E271" s="181"/>
      <c r="F271" s="181"/>
      <c r="G271" s="181"/>
      <c r="H271" s="181"/>
      <c r="I271" s="181"/>
      <c r="J271" s="181"/>
      <c r="K271" s="181"/>
      <c r="L271" s="181"/>
      <c r="M271" s="181"/>
      <c r="N271" s="181"/>
      <c r="O271" s="195"/>
      <c r="P271" s="195"/>
      <c r="Q271" s="195"/>
      <c r="R271" s="25"/>
      <c r="S271" s="25"/>
    </row>
    <row r="272" spans="2:19" x14ac:dyDescent="0.15">
      <c r="B272" s="182"/>
      <c r="C272" s="181"/>
      <c r="D272" s="181"/>
      <c r="E272" s="181"/>
      <c r="F272" s="181"/>
      <c r="G272" s="181"/>
      <c r="H272" s="181"/>
      <c r="I272" s="181"/>
      <c r="J272" s="181"/>
      <c r="K272" s="181"/>
      <c r="L272" s="181"/>
      <c r="M272" s="181"/>
      <c r="N272" s="181"/>
      <c r="O272" s="195"/>
      <c r="P272" s="195"/>
      <c r="Q272" s="195"/>
      <c r="R272" s="25"/>
      <c r="S272" s="25"/>
    </row>
    <row r="273" spans="2:35" x14ac:dyDescent="0.15">
      <c r="B273" s="182"/>
      <c r="C273" s="181"/>
      <c r="D273" s="181"/>
      <c r="E273" s="181"/>
      <c r="F273" s="181"/>
      <c r="G273" s="181"/>
      <c r="H273" s="181"/>
      <c r="I273" s="181"/>
      <c r="J273" s="181"/>
      <c r="K273" s="181"/>
      <c r="L273" s="181"/>
      <c r="M273" s="181"/>
      <c r="N273" s="181"/>
      <c r="O273" s="195"/>
      <c r="P273" s="195"/>
      <c r="Q273" s="195"/>
      <c r="R273" s="25"/>
      <c r="S273" s="25"/>
    </row>
    <row r="274" spans="2:35" x14ac:dyDescent="0.15">
      <c r="B274" s="182"/>
      <c r="C274" s="181"/>
      <c r="D274" s="181"/>
      <c r="E274" s="181"/>
      <c r="F274" s="181"/>
      <c r="G274" s="181"/>
      <c r="H274" s="181"/>
      <c r="I274" s="181"/>
      <c r="J274" s="181"/>
      <c r="K274" s="181"/>
      <c r="L274" s="181"/>
      <c r="M274" s="181"/>
      <c r="N274" s="181"/>
      <c r="O274" s="195"/>
      <c r="P274" s="195"/>
      <c r="Q274" s="195"/>
      <c r="R274" s="25"/>
      <c r="S274" s="25"/>
    </row>
    <row r="275" spans="2:35" x14ac:dyDescent="0.15">
      <c r="B275" s="182"/>
      <c r="C275" s="181"/>
      <c r="D275" s="181"/>
      <c r="E275" s="181"/>
      <c r="F275" s="181"/>
      <c r="G275" s="181"/>
      <c r="H275" s="181"/>
      <c r="I275" s="181"/>
      <c r="J275" s="181"/>
      <c r="K275" s="181"/>
      <c r="L275" s="181"/>
      <c r="M275" s="181"/>
      <c r="N275" s="181"/>
      <c r="O275" s="195"/>
      <c r="P275" s="195"/>
      <c r="Q275" s="195"/>
      <c r="R275" s="25"/>
      <c r="S275" s="25"/>
    </row>
    <row r="276" spans="2:35" x14ac:dyDescent="0.15">
      <c r="B276" s="182"/>
      <c r="C276" s="181"/>
      <c r="D276" s="181"/>
      <c r="E276" s="181"/>
      <c r="F276" s="181"/>
      <c r="G276" s="181"/>
      <c r="H276" s="181"/>
      <c r="I276" s="181"/>
      <c r="J276" s="181"/>
      <c r="K276" s="181"/>
      <c r="L276" s="181"/>
      <c r="M276" s="181"/>
      <c r="N276" s="181"/>
      <c r="O276" s="195"/>
      <c r="P276" s="195"/>
      <c r="Q276" s="195"/>
      <c r="R276" s="25"/>
      <c r="S276" s="25"/>
    </row>
    <row r="277" spans="2:35" x14ac:dyDescent="0.15">
      <c r="B277" s="182"/>
      <c r="C277" s="181"/>
      <c r="D277" s="181"/>
      <c r="E277" s="181"/>
      <c r="F277" s="181"/>
      <c r="G277" s="181"/>
      <c r="H277" s="181"/>
      <c r="I277" s="181"/>
      <c r="J277" s="181"/>
      <c r="K277" s="181"/>
      <c r="L277" s="181"/>
      <c r="M277" s="181"/>
      <c r="N277" s="181"/>
      <c r="O277" s="195"/>
      <c r="P277" s="195"/>
      <c r="Q277" s="195"/>
      <c r="R277" s="25"/>
      <c r="S277" s="25"/>
    </row>
    <row r="278" spans="2:35" x14ac:dyDescent="0.15">
      <c r="B278" s="182"/>
      <c r="C278" s="181"/>
      <c r="D278" s="181"/>
      <c r="E278" s="181"/>
      <c r="F278" s="181"/>
      <c r="G278" s="181"/>
      <c r="H278" s="181"/>
      <c r="I278" s="181"/>
      <c r="J278" s="181"/>
      <c r="K278" s="181"/>
      <c r="L278" s="181"/>
      <c r="M278" s="181"/>
      <c r="N278" s="181"/>
      <c r="O278" s="195"/>
      <c r="P278" s="195"/>
      <c r="Q278" s="195"/>
      <c r="R278" s="25"/>
      <c r="S278" s="25"/>
      <c r="Z278" s="50"/>
      <c r="AA278" s="50"/>
      <c r="AB278" s="50"/>
      <c r="AC278" s="50"/>
      <c r="AF278" s="50"/>
      <c r="AG278" s="50"/>
      <c r="AH278" s="50"/>
      <c r="AI278" s="50"/>
    </row>
    <row r="279" spans="2:35" x14ac:dyDescent="0.15">
      <c r="B279" s="182"/>
      <c r="C279" s="181"/>
      <c r="D279" s="181"/>
      <c r="E279" s="181"/>
      <c r="F279" s="181"/>
      <c r="G279" s="181"/>
      <c r="H279" s="181"/>
      <c r="I279" s="181"/>
      <c r="J279" s="181"/>
      <c r="K279" s="181"/>
      <c r="L279" s="181"/>
      <c r="M279" s="181"/>
      <c r="N279" s="181"/>
      <c r="O279" s="195"/>
      <c r="P279" s="195"/>
      <c r="Q279" s="195"/>
      <c r="R279" s="25"/>
      <c r="S279" s="25"/>
      <c r="Z279" s="50"/>
      <c r="AA279" s="50"/>
      <c r="AB279" s="50"/>
      <c r="AC279" s="50"/>
      <c r="AF279" s="50"/>
      <c r="AG279" s="50"/>
      <c r="AH279" s="50"/>
      <c r="AI279" s="50"/>
    </row>
    <row r="280" spans="2:35" x14ac:dyDescent="0.15">
      <c r="B280" s="182"/>
      <c r="C280" s="181"/>
      <c r="D280" s="181"/>
      <c r="E280" s="181"/>
      <c r="F280" s="181"/>
      <c r="G280" s="181"/>
      <c r="H280" s="181"/>
      <c r="I280" s="181"/>
      <c r="J280" s="181"/>
      <c r="K280" s="181"/>
      <c r="L280" s="181"/>
      <c r="M280" s="181"/>
      <c r="N280" s="181"/>
      <c r="O280" s="195"/>
      <c r="P280" s="195"/>
      <c r="Q280" s="195"/>
      <c r="R280" s="25"/>
      <c r="S280" s="25"/>
      <c r="Z280" s="50"/>
      <c r="AA280" s="50"/>
      <c r="AB280" s="50"/>
      <c r="AC280" s="50"/>
      <c r="AF280" s="50"/>
      <c r="AG280" s="50"/>
      <c r="AH280" s="50"/>
      <c r="AI280" s="50"/>
    </row>
    <row r="281" spans="2:35" x14ac:dyDescent="0.15">
      <c r="B281" s="182"/>
      <c r="C281" s="181"/>
      <c r="D281" s="181"/>
      <c r="E281" s="181"/>
      <c r="F281" s="181"/>
      <c r="G281" s="181"/>
      <c r="H281" s="181"/>
      <c r="I281" s="181"/>
      <c r="J281" s="181"/>
      <c r="K281" s="181"/>
      <c r="L281" s="181"/>
      <c r="M281" s="181"/>
      <c r="N281" s="181"/>
      <c r="O281" s="195"/>
      <c r="P281" s="195"/>
      <c r="Q281" s="195"/>
      <c r="R281" s="25"/>
      <c r="S281" s="25"/>
      <c r="Z281" s="50"/>
      <c r="AA281" s="50"/>
      <c r="AB281" s="50"/>
      <c r="AC281" s="50"/>
      <c r="AF281" s="50"/>
      <c r="AG281" s="50"/>
      <c r="AH281" s="50"/>
      <c r="AI281" s="50"/>
    </row>
    <row r="282" spans="2:35" x14ac:dyDescent="0.15">
      <c r="B282" s="182"/>
      <c r="C282" s="181"/>
      <c r="D282" s="181"/>
      <c r="E282" s="181"/>
      <c r="F282" s="181"/>
      <c r="G282" s="181"/>
      <c r="H282" s="181"/>
      <c r="I282" s="181"/>
      <c r="J282" s="181"/>
      <c r="K282" s="181"/>
      <c r="L282" s="181"/>
      <c r="M282" s="181"/>
      <c r="N282" s="181"/>
      <c r="O282" s="195"/>
      <c r="P282" s="195"/>
      <c r="Q282" s="195"/>
      <c r="R282" s="25"/>
      <c r="S282" s="25"/>
      <c r="Z282" s="50"/>
      <c r="AA282" s="50"/>
      <c r="AB282" s="50"/>
      <c r="AC282" s="50"/>
      <c r="AF282" s="50"/>
      <c r="AG282" s="50"/>
      <c r="AH282" s="50"/>
      <c r="AI282" s="50"/>
    </row>
    <row r="283" spans="2:35" x14ac:dyDescent="0.15">
      <c r="B283" s="182"/>
      <c r="C283" s="181"/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95"/>
      <c r="P283" s="195"/>
      <c r="Q283" s="195"/>
      <c r="R283" s="25"/>
      <c r="S283" s="25"/>
      <c r="Z283" s="50"/>
      <c r="AA283" s="50"/>
      <c r="AB283" s="50"/>
      <c r="AC283" s="50"/>
      <c r="AF283" s="50"/>
      <c r="AG283" s="50"/>
      <c r="AH283" s="50"/>
      <c r="AI283" s="50"/>
    </row>
    <row r="284" spans="2:35" x14ac:dyDescent="0.15">
      <c r="B284" s="182"/>
      <c r="C284" s="181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95"/>
      <c r="P284" s="195"/>
      <c r="Q284" s="195"/>
      <c r="R284" s="25"/>
      <c r="S284" s="25"/>
      <c r="Z284" s="50"/>
      <c r="AA284" s="50"/>
      <c r="AB284" s="50"/>
      <c r="AC284" s="50"/>
      <c r="AF284" s="50"/>
      <c r="AG284" s="50"/>
      <c r="AH284" s="50"/>
      <c r="AI284" s="50"/>
    </row>
    <row r="285" spans="2:35" x14ac:dyDescent="0.15">
      <c r="B285" s="182"/>
      <c r="C285" s="181"/>
      <c r="D285" s="181"/>
      <c r="E285" s="181"/>
      <c r="F285" s="181"/>
      <c r="G285" s="181"/>
      <c r="H285" s="181"/>
      <c r="I285" s="181"/>
      <c r="J285" s="181"/>
      <c r="K285" s="181"/>
      <c r="L285" s="181"/>
      <c r="M285" s="181"/>
      <c r="N285" s="181"/>
      <c r="O285" s="188"/>
      <c r="P285" s="188"/>
      <c r="Q285" s="188"/>
      <c r="R285" s="25"/>
      <c r="S285" s="25"/>
      <c r="Z285" s="50"/>
      <c r="AA285" s="50"/>
      <c r="AB285" s="50"/>
      <c r="AC285" s="50"/>
      <c r="AF285" s="50"/>
      <c r="AG285" s="50"/>
      <c r="AH285" s="50"/>
      <c r="AI285" s="50"/>
    </row>
    <row r="286" spans="2:35" x14ac:dyDescent="0.15">
      <c r="B286" s="182"/>
      <c r="C286" s="181"/>
      <c r="D286" s="181"/>
      <c r="E286" s="181"/>
      <c r="F286" s="181"/>
      <c r="G286" s="181"/>
      <c r="H286" s="181"/>
      <c r="I286" s="181"/>
      <c r="J286" s="181"/>
      <c r="K286" s="181"/>
      <c r="L286" s="181"/>
      <c r="M286" s="181"/>
      <c r="N286" s="181"/>
      <c r="O286" s="188"/>
      <c r="P286" s="188"/>
      <c r="Q286" s="188"/>
      <c r="R286" s="25"/>
      <c r="S286" s="25"/>
      <c r="Z286" s="50"/>
      <c r="AA286" s="50"/>
      <c r="AB286" s="50"/>
      <c r="AC286" s="50"/>
      <c r="AF286" s="50"/>
      <c r="AG286" s="50"/>
      <c r="AH286" s="50"/>
      <c r="AI286" s="50"/>
    </row>
    <row r="287" spans="2:35" x14ac:dyDescent="0.15">
      <c r="B287" s="182"/>
      <c r="C287" s="181"/>
      <c r="D287" s="181"/>
      <c r="E287" s="181"/>
      <c r="F287" s="181"/>
      <c r="G287" s="181"/>
      <c r="H287" s="181"/>
      <c r="I287" s="181"/>
      <c r="J287" s="181"/>
      <c r="K287" s="181"/>
      <c r="L287" s="181"/>
      <c r="M287" s="181"/>
      <c r="N287" s="181"/>
      <c r="O287" s="188"/>
      <c r="P287" s="188"/>
      <c r="Q287" s="188"/>
      <c r="R287" s="25"/>
      <c r="S287" s="25"/>
      <c r="Z287" s="50"/>
      <c r="AA287" s="50"/>
      <c r="AB287" s="50"/>
      <c r="AC287" s="50"/>
      <c r="AF287" s="50"/>
      <c r="AG287" s="50"/>
      <c r="AH287" s="50"/>
      <c r="AI287" s="50"/>
    </row>
    <row r="288" spans="2:35" x14ac:dyDescent="0.15">
      <c r="B288" s="182"/>
      <c r="C288" s="181"/>
      <c r="D288" s="181"/>
      <c r="E288" s="181"/>
      <c r="F288" s="181"/>
      <c r="G288" s="181"/>
      <c r="H288" s="181"/>
      <c r="I288" s="181"/>
      <c r="J288" s="181"/>
      <c r="K288" s="181"/>
      <c r="L288" s="181"/>
      <c r="M288" s="181"/>
      <c r="N288" s="181"/>
      <c r="O288" s="188"/>
      <c r="P288" s="188"/>
      <c r="Q288" s="188"/>
      <c r="R288" s="25"/>
      <c r="S288" s="25"/>
      <c r="Z288" s="50"/>
      <c r="AA288" s="50"/>
      <c r="AB288" s="50"/>
      <c r="AC288" s="50"/>
      <c r="AF288" s="50"/>
      <c r="AG288" s="50"/>
      <c r="AH288" s="50"/>
      <c r="AI288" s="50"/>
    </row>
    <row r="289" spans="1:35" x14ac:dyDescent="0.15">
      <c r="B289" s="182"/>
      <c r="C289" s="181"/>
      <c r="D289" s="181"/>
      <c r="E289" s="181"/>
      <c r="F289" s="181"/>
      <c r="G289" s="181"/>
      <c r="H289" s="181"/>
      <c r="I289" s="181"/>
      <c r="J289" s="181"/>
      <c r="K289" s="181"/>
      <c r="L289" s="181"/>
      <c r="M289" s="181"/>
      <c r="N289" s="181"/>
      <c r="O289" s="188"/>
      <c r="P289" s="188"/>
      <c r="Q289" s="188"/>
      <c r="R289" s="25"/>
      <c r="S289" s="25"/>
      <c r="Z289" s="50"/>
      <c r="AA289" s="50"/>
      <c r="AB289" s="50"/>
      <c r="AC289" s="50"/>
      <c r="AF289" s="50"/>
      <c r="AG289" s="50"/>
      <c r="AH289" s="50"/>
      <c r="AI289" s="50"/>
    </row>
    <row r="290" spans="1:35" x14ac:dyDescent="0.15">
      <c r="B290" s="182"/>
      <c r="C290" s="181"/>
      <c r="D290" s="181"/>
      <c r="E290" s="181"/>
      <c r="F290" s="181"/>
      <c r="G290" s="181"/>
      <c r="H290" s="181"/>
      <c r="I290" s="181"/>
      <c r="J290" s="181"/>
      <c r="K290" s="181"/>
      <c r="L290" s="181"/>
      <c r="M290" s="181"/>
      <c r="N290" s="181"/>
      <c r="O290" s="188"/>
      <c r="P290" s="188"/>
      <c r="Q290" s="188"/>
      <c r="R290" s="25"/>
      <c r="S290" s="25"/>
      <c r="Z290" s="50"/>
      <c r="AA290" s="50"/>
      <c r="AB290" s="50"/>
      <c r="AC290" s="50"/>
      <c r="AF290" s="50"/>
      <c r="AG290" s="50"/>
      <c r="AH290" s="50"/>
      <c r="AI290" s="50"/>
    </row>
    <row r="291" spans="1:35" x14ac:dyDescent="0.15">
      <c r="B291" s="182"/>
      <c r="C291" s="181"/>
      <c r="D291" s="181"/>
      <c r="E291" s="181"/>
      <c r="F291" s="181"/>
      <c r="G291" s="181"/>
      <c r="H291" s="181"/>
      <c r="I291" s="181"/>
      <c r="J291" s="181"/>
      <c r="K291" s="181"/>
      <c r="L291" s="181"/>
      <c r="M291" s="181"/>
      <c r="N291" s="181"/>
      <c r="O291" s="188"/>
      <c r="P291" s="188"/>
      <c r="Q291" s="188"/>
      <c r="R291" s="25"/>
      <c r="S291" s="25"/>
      <c r="Z291" s="50"/>
      <c r="AA291" s="50"/>
      <c r="AB291" s="50"/>
      <c r="AC291" s="50"/>
      <c r="AF291" s="50"/>
      <c r="AG291" s="50"/>
      <c r="AH291" s="50"/>
      <c r="AI291" s="50"/>
    </row>
    <row r="292" spans="1:35" x14ac:dyDescent="0.15">
      <c r="B292" s="182"/>
      <c r="C292" s="181"/>
      <c r="D292" s="181"/>
      <c r="E292" s="181"/>
      <c r="F292" s="181"/>
      <c r="G292" s="181"/>
      <c r="H292" s="181"/>
      <c r="I292" s="181"/>
      <c r="J292" s="181"/>
      <c r="K292" s="181"/>
      <c r="L292" s="181"/>
      <c r="M292" s="181"/>
      <c r="N292" s="181"/>
      <c r="O292" s="188"/>
      <c r="P292" s="188"/>
      <c r="Q292" s="188"/>
      <c r="R292" s="25"/>
      <c r="S292" s="25"/>
      <c r="Z292" s="50"/>
      <c r="AA292" s="50"/>
      <c r="AB292" s="50"/>
      <c r="AC292" s="50"/>
      <c r="AF292" s="50"/>
      <c r="AG292" s="50"/>
      <c r="AH292" s="50"/>
      <c r="AI292" s="50"/>
    </row>
    <row r="293" spans="1:35" x14ac:dyDescent="0.15">
      <c r="B293" s="182"/>
      <c r="C293" s="181"/>
      <c r="D293" s="181"/>
      <c r="E293" s="181"/>
      <c r="F293" s="181"/>
      <c r="G293" s="181"/>
      <c r="H293" s="181"/>
      <c r="I293" s="181"/>
      <c r="J293" s="181"/>
      <c r="K293" s="181"/>
      <c r="L293" s="181"/>
      <c r="M293" s="181"/>
      <c r="N293" s="181"/>
      <c r="O293" s="188"/>
      <c r="P293" s="188"/>
      <c r="Q293" s="188"/>
      <c r="R293" s="25"/>
      <c r="S293" s="25"/>
      <c r="Z293" s="50"/>
      <c r="AA293" s="50"/>
      <c r="AB293" s="50"/>
      <c r="AC293" s="50"/>
      <c r="AF293" s="50"/>
      <c r="AG293" s="50"/>
      <c r="AH293" s="50"/>
      <c r="AI293" s="50"/>
    </row>
    <row r="294" spans="1:35" x14ac:dyDescent="0.15">
      <c r="B294" s="182"/>
      <c r="C294" s="181"/>
      <c r="D294" s="181"/>
      <c r="E294" s="181"/>
      <c r="F294" s="181"/>
      <c r="G294" s="181"/>
      <c r="H294" s="181"/>
      <c r="I294" s="181"/>
      <c r="J294" s="181"/>
      <c r="K294" s="181"/>
      <c r="L294" s="181"/>
      <c r="M294" s="181"/>
      <c r="N294" s="181"/>
      <c r="O294" s="188"/>
      <c r="P294" s="188"/>
      <c r="Q294" s="188"/>
      <c r="R294" s="25"/>
      <c r="S294" s="25"/>
      <c r="Z294" s="50"/>
      <c r="AA294" s="50"/>
      <c r="AB294" s="50"/>
      <c r="AC294" s="50"/>
      <c r="AF294" s="50"/>
      <c r="AG294" s="50"/>
      <c r="AH294" s="50"/>
      <c r="AI294" s="50"/>
    </row>
    <row r="295" spans="1:35" x14ac:dyDescent="0.15">
      <c r="B295" s="182"/>
      <c r="C295" s="181"/>
      <c r="D295" s="181"/>
      <c r="E295" s="181"/>
      <c r="F295" s="181"/>
      <c r="G295" s="181"/>
      <c r="H295" s="181"/>
      <c r="I295" s="181"/>
      <c r="J295" s="181"/>
      <c r="K295" s="181"/>
      <c r="L295" s="181"/>
      <c r="M295" s="181"/>
      <c r="N295" s="181"/>
      <c r="O295" s="188"/>
      <c r="P295" s="188"/>
      <c r="Q295" s="188"/>
      <c r="R295" s="25"/>
      <c r="S295" s="25"/>
      <c r="Z295" s="50"/>
      <c r="AA295" s="50"/>
      <c r="AB295" s="50"/>
      <c r="AC295" s="50"/>
      <c r="AF295" s="50"/>
      <c r="AG295" s="50"/>
      <c r="AH295" s="50"/>
      <c r="AI295" s="50"/>
    </row>
    <row r="296" spans="1:35" s="196" customFormat="1" x14ac:dyDescent="0.15">
      <c r="A296" s="188"/>
      <c r="B296" s="182"/>
      <c r="C296" s="181"/>
      <c r="D296" s="181"/>
      <c r="E296" s="181"/>
      <c r="F296" s="181"/>
      <c r="G296" s="181"/>
      <c r="H296" s="181"/>
      <c r="I296" s="181"/>
      <c r="J296" s="181"/>
      <c r="K296" s="181"/>
      <c r="L296" s="181"/>
      <c r="M296" s="181"/>
      <c r="N296" s="181"/>
      <c r="R296" s="25"/>
      <c r="S296" s="25"/>
      <c r="T296" s="21"/>
      <c r="U296" s="10"/>
      <c r="V296" s="10"/>
      <c r="W296" s="10"/>
      <c r="X296" s="10"/>
      <c r="Y296" s="10"/>
      <c r="Z296" s="50"/>
      <c r="AA296" s="50"/>
      <c r="AB296" s="50"/>
      <c r="AC296" s="50"/>
      <c r="AD296" s="230"/>
      <c r="AE296" s="230"/>
      <c r="AF296" s="50"/>
      <c r="AG296" s="50"/>
      <c r="AH296" s="50"/>
      <c r="AI296" s="50"/>
    </row>
    <row r="297" spans="1:35" s="196" customFormat="1" x14ac:dyDescent="0.15">
      <c r="A297" s="188"/>
      <c r="B297" s="182"/>
      <c r="C297" s="181"/>
      <c r="D297" s="181"/>
      <c r="E297" s="181"/>
      <c r="F297" s="181"/>
      <c r="G297" s="181"/>
      <c r="H297" s="181"/>
      <c r="I297" s="181"/>
      <c r="J297" s="181"/>
      <c r="K297" s="181"/>
      <c r="L297" s="181"/>
      <c r="M297" s="181"/>
      <c r="N297" s="181"/>
      <c r="R297" s="26"/>
      <c r="S297" s="26"/>
      <c r="T297" s="21"/>
      <c r="U297" s="10"/>
      <c r="V297" s="10"/>
      <c r="W297" s="10"/>
      <c r="X297" s="10"/>
      <c r="Y297" s="10"/>
      <c r="Z297" s="50"/>
      <c r="AA297" s="50"/>
      <c r="AB297" s="50"/>
      <c r="AC297" s="50"/>
      <c r="AD297" s="230"/>
      <c r="AE297" s="230"/>
      <c r="AF297" s="50"/>
      <c r="AG297" s="50"/>
      <c r="AH297" s="50"/>
      <c r="AI297" s="50"/>
    </row>
    <row r="298" spans="1:35" s="196" customFormat="1" x14ac:dyDescent="0.15">
      <c r="A298" s="188"/>
      <c r="B298" s="182"/>
      <c r="C298" s="181"/>
      <c r="D298" s="181"/>
      <c r="E298" s="181"/>
      <c r="F298" s="181"/>
      <c r="G298" s="181"/>
      <c r="H298" s="181"/>
      <c r="I298" s="181"/>
      <c r="J298" s="181"/>
      <c r="K298" s="181"/>
      <c r="L298" s="181"/>
      <c r="M298" s="181"/>
      <c r="N298" s="181"/>
      <c r="R298" s="26"/>
      <c r="S298" s="26"/>
      <c r="T298" s="21"/>
      <c r="U298" s="10"/>
      <c r="V298" s="10"/>
      <c r="W298" s="10"/>
      <c r="X298" s="10"/>
      <c r="Y298" s="10"/>
      <c r="Z298" s="50"/>
      <c r="AA298" s="50"/>
      <c r="AB298" s="50"/>
      <c r="AC298" s="50"/>
      <c r="AD298" s="230"/>
      <c r="AE298" s="230"/>
      <c r="AF298" s="50"/>
      <c r="AG298" s="50"/>
      <c r="AH298" s="50"/>
      <c r="AI298" s="50"/>
    </row>
    <row r="299" spans="1:35" s="196" customFormat="1" x14ac:dyDescent="0.15">
      <c r="A299" s="188"/>
      <c r="B299" s="182"/>
      <c r="C299" s="181"/>
      <c r="D299" s="181"/>
      <c r="E299" s="181"/>
      <c r="F299" s="181"/>
      <c r="G299" s="181"/>
      <c r="H299" s="181"/>
      <c r="I299" s="181"/>
      <c r="J299" s="181"/>
      <c r="K299" s="181"/>
      <c r="L299" s="181"/>
      <c r="M299" s="181"/>
      <c r="N299" s="181"/>
      <c r="R299" s="26"/>
      <c r="S299" s="26"/>
      <c r="T299" s="21"/>
      <c r="U299" s="10"/>
      <c r="V299" s="10"/>
      <c r="W299" s="10"/>
      <c r="X299" s="10"/>
      <c r="Y299" s="10"/>
      <c r="Z299" s="50"/>
      <c r="AA299" s="50"/>
      <c r="AB299" s="50"/>
      <c r="AC299" s="50"/>
      <c r="AD299" s="230"/>
      <c r="AE299" s="230"/>
      <c r="AF299" s="50"/>
      <c r="AG299" s="50"/>
      <c r="AH299" s="50"/>
      <c r="AI299" s="50"/>
    </row>
    <row r="300" spans="1:35" s="196" customFormat="1" x14ac:dyDescent="0.15">
      <c r="A300" s="188"/>
      <c r="B300" s="182"/>
      <c r="C300" s="181"/>
      <c r="D300" s="181"/>
      <c r="E300" s="181"/>
      <c r="F300" s="181"/>
      <c r="G300" s="181"/>
      <c r="H300" s="181"/>
      <c r="I300" s="181"/>
      <c r="J300" s="181"/>
      <c r="K300" s="181"/>
      <c r="L300" s="181"/>
      <c r="M300" s="181"/>
      <c r="N300" s="181"/>
      <c r="R300" s="26"/>
      <c r="S300" s="26"/>
      <c r="T300" s="21"/>
      <c r="U300" s="10"/>
      <c r="V300" s="10"/>
      <c r="W300" s="10"/>
      <c r="X300" s="10"/>
      <c r="Y300" s="10"/>
      <c r="Z300" s="50"/>
      <c r="AA300" s="50"/>
      <c r="AB300" s="50"/>
      <c r="AC300" s="50"/>
      <c r="AD300" s="230"/>
      <c r="AE300" s="230"/>
      <c r="AF300" s="50"/>
      <c r="AG300" s="50"/>
      <c r="AH300" s="50"/>
      <c r="AI300" s="50"/>
    </row>
    <row r="301" spans="1:35" s="196" customFormat="1" x14ac:dyDescent="0.15">
      <c r="A301" s="188"/>
      <c r="B301" s="182"/>
      <c r="C301" s="181"/>
      <c r="D301" s="181"/>
      <c r="E301" s="181"/>
      <c r="F301" s="181"/>
      <c r="G301" s="181"/>
      <c r="H301" s="181"/>
      <c r="I301" s="181"/>
      <c r="J301" s="181"/>
      <c r="K301" s="181"/>
      <c r="L301" s="181"/>
      <c r="M301" s="181"/>
      <c r="N301" s="181"/>
      <c r="R301" s="26"/>
      <c r="S301" s="26"/>
      <c r="T301" s="21"/>
      <c r="U301" s="10"/>
      <c r="V301" s="10"/>
      <c r="W301" s="10"/>
      <c r="X301" s="10"/>
      <c r="Y301" s="10"/>
      <c r="Z301" s="50"/>
      <c r="AA301" s="50"/>
      <c r="AB301" s="50"/>
      <c r="AC301" s="50"/>
      <c r="AD301" s="230"/>
      <c r="AE301" s="230"/>
      <c r="AF301" s="50"/>
      <c r="AG301" s="50"/>
      <c r="AH301" s="50"/>
      <c r="AI301" s="50"/>
    </row>
    <row r="302" spans="1:35" s="196" customFormat="1" x14ac:dyDescent="0.15">
      <c r="A302" s="188"/>
      <c r="B302" s="182"/>
      <c r="C302" s="181"/>
      <c r="D302" s="181"/>
      <c r="E302" s="181"/>
      <c r="F302" s="181"/>
      <c r="G302" s="181"/>
      <c r="H302" s="181"/>
      <c r="I302" s="181"/>
      <c r="J302" s="181"/>
      <c r="K302" s="181"/>
      <c r="L302" s="181"/>
      <c r="M302" s="181"/>
      <c r="N302" s="181"/>
      <c r="R302" s="26"/>
      <c r="S302" s="26"/>
      <c r="T302" s="21"/>
      <c r="U302" s="10"/>
      <c r="V302" s="10"/>
      <c r="W302" s="10"/>
      <c r="X302" s="10"/>
      <c r="Y302" s="10"/>
      <c r="Z302" s="50"/>
      <c r="AA302" s="50"/>
      <c r="AB302" s="50"/>
      <c r="AC302" s="50"/>
      <c r="AD302" s="230"/>
      <c r="AE302" s="230"/>
      <c r="AF302" s="50"/>
      <c r="AG302" s="50"/>
      <c r="AH302" s="50"/>
      <c r="AI302" s="50"/>
    </row>
    <row r="303" spans="1:35" s="196" customFormat="1" x14ac:dyDescent="0.15">
      <c r="A303" s="188"/>
      <c r="B303" s="182"/>
      <c r="C303" s="181"/>
      <c r="D303" s="181"/>
      <c r="E303" s="181"/>
      <c r="F303" s="181"/>
      <c r="G303" s="181"/>
      <c r="H303" s="181"/>
      <c r="I303" s="181"/>
      <c r="J303" s="181"/>
      <c r="K303" s="181"/>
      <c r="L303" s="181"/>
      <c r="M303" s="181"/>
      <c r="N303" s="181"/>
      <c r="R303" s="26"/>
      <c r="S303" s="26"/>
      <c r="T303" s="21"/>
      <c r="U303" s="10"/>
      <c r="V303" s="10"/>
      <c r="W303" s="10"/>
      <c r="X303" s="10"/>
      <c r="Y303" s="10"/>
      <c r="Z303" s="50"/>
      <c r="AA303" s="50"/>
      <c r="AB303" s="50"/>
      <c r="AC303" s="50"/>
      <c r="AD303" s="230"/>
      <c r="AE303" s="230"/>
      <c r="AF303" s="50"/>
      <c r="AG303" s="50"/>
      <c r="AH303" s="50"/>
      <c r="AI303" s="50"/>
    </row>
    <row r="304" spans="1:35" s="196" customFormat="1" x14ac:dyDescent="0.15">
      <c r="A304" s="188"/>
      <c r="B304" s="182"/>
      <c r="C304" s="181"/>
      <c r="D304" s="181"/>
      <c r="E304" s="181"/>
      <c r="F304" s="181"/>
      <c r="G304" s="181"/>
      <c r="H304" s="181"/>
      <c r="I304" s="181"/>
      <c r="J304" s="181"/>
      <c r="K304" s="181"/>
      <c r="L304" s="181"/>
      <c r="M304" s="181"/>
      <c r="N304" s="181"/>
      <c r="R304" s="26"/>
      <c r="S304" s="26"/>
      <c r="T304" s="21"/>
      <c r="U304" s="10"/>
      <c r="V304" s="10"/>
      <c r="W304" s="10"/>
      <c r="X304" s="10"/>
      <c r="Y304" s="10"/>
      <c r="Z304" s="50"/>
      <c r="AA304" s="50"/>
      <c r="AB304" s="50"/>
      <c r="AC304" s="50"/>
      <c r="AD304" s="230"/>
      <c r="AE304" s="230"/>
      <c r="AF304" s="50"/>
      <c r="AG304" s="50"/>
      <c r="AH304" s="50"/>
      <c r="AI304" s="50"/>
    </row>
    <row r="305" spans="1:35" s="196" customFormat="1" x14ac:dyDescent="0.15">
      <c r="A305" s="188"/>
      <c r="B305" s="182"/>
      <c r="C305" s="181"/>
      <c r="D305" s="181"/>
      <c r="E305" s="181"/>
      <c r="F305" s="181"/>
      <c r="G305" s="181"/>
      <c r="H305" s="181"/>
      <c r="I305" s="181"/>
      <c r="J305" s="181"/>
      <c r="K305" s="181"/>
      <c r="L305" s="181"/>
      <c r="M305" s="181"/>
      <c r="N305" s="181"/>
      <c r="R305" s="26"/>
      <c r="S305" s="26"/>
      <c r="T305" s="21"/>
      <c r="U305" s="10"/>
      <c r="V305" s="10"/>
      <c r="W305" s="10"/>
      <c r="X305" s="10"/>
      <c r="Y305" s="10"/>
      <c r="Z305" s="50"/>
      <c r="AA305" s="50"/>
      <c r="AB305" s="50"/>
      <c r="AC305" s="50"/>
      <c r="AD305" s="230"/>
      <c r="AE305" s="230"/>
      <c r="AF305" s="50"/>
      <c r="AG305" s="50"/>
      <c r="AH305" s="50"/>
      <c r="AI305" s="50"/>
    </row>
    <row r="306" spans="1:35" s="196" customFormat="1" x14ac:dyDescent="0.15">
      <c r="A306" s="188"/>
      <c r="B306" s="182"/>
      <c r="C306" s="181"/>
      <c r="D306" s="181"/>
      <c r="E306" s="181"/>
      <c r="F306" s="181"/>
      <c r="G306" s="181"/>
      <c r="H306" s="181"/>
      <c r="I306" s="181"/>
      <c r="J306" s="181"/>
      <c r="K306" s="181"/>
      <c r="L306" s="181"/>
      <c r="M306" s="181"/>
      <c r="N306" s="181"/>
      <c r="R306" s="26"/>
      <c r="S306" s="26"/>
      <c r="T306" s="21"/>
      <c r="U306" s="20"/>
      <c r="V306" s="20"/>
      <c r="W306" s="20"/>
      <c r="X306" s="20"/>
      <c r="Y306" s="20"/>
      <c r="Z306" s="50"/>
      <c r="AA306" s="50"/>
      <c r="AB306" s="50"/>
      <c r="AC306" s="50"/>
      <c r="AD306" s="230"/>
      <c r="AE306" s="230"/>
      <c r="AF306" s="50"/>
      <c r="AG306" s="50"/>
      <c r="AH306" s="50"/>
      <c r="AI306" s="50"/>
    </row>
    <row r="307" spans="1:35" s="196" customFormat="1" x14ac:dyDescent="0.15">
      <c r="A307" s="188"/>
      <c r="B307" s="182"/>
      <c r="C307" s="181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R307" s="26"/>
      <c r="S307" s="26"/>
      <c r="T307" s="21"/>
      <c r="U307" s="20"/>
      <c r="V307" s="20"/>
      <c r="W307" s="20"/>
      <c r="X307" s="20"/>
      <c r="Y307" s="20"/>
      <c r="Z307" s="50"/>
      <c r="AA307" s="50"/>
      <c r="AB307" s="50"/>
      <c r="AC307" s="50"/>
      <c r="AD307" s="247"/>
      <c r="AE307" s="247"/>
      <c r="AF307" s="50"/>
      <c r="AG307" s="50"/>
      <c r="AH307" s="50"/>
      <c r="AI307" s="50"/>
    </row>
    <row r="308" spans="1:35" s="196" customFormat="1" x14ac:dyDescent="0.15">
      <c r="A308" s="188"/>
      <c r="B308" s="182"/>
      <c r="C308" s="181"/>
      <c r="D308" s="181"/>
      <c r="E308" s="181"/>
      <c r="F308" s="181"/>
      <c r="G308" s="181"/>
      <c r="H308" s="181"/>
      <c r="I308" s="181"/>
      <c r="J308" s="181"/>
      <c r="K308" s="181"/>
      <c r="L308" s="181"/>
      <c r="M308" s="181"/>
      <c r="N308" s="181"/>
      <c r="R308" s="26"/>
      <c r="S308" s="26"/>
      <c r="T308" s="21"/>
      <c r="U308" s="20"/>
      <c r="V308" s="20"/>
      <c r="W308" s="20"/>
      <c r="X308" s="20"/>
      <c r="Y308" s="20"/>
      <c r="Z308" s="50"/>
      <c r="AA308" s="50"/>
      <c r="AB308" s="50"/>
      <c r="AC308" s="50"/>
      <c r="AD308" s="247"/>
      <c r="AE308" s="247"/>
      <c r="AF308" s="50"/>
      <c r="AG308" s="50"/>
      <c r="AH308" s="50"/>
      <c r="AI308" s="50"/>
    </row>
    <row r="309" spans="1:35" s="196" customFormat="1" x14ac:dyDescent="0.15">
      <c r="A309" s="188"/>
      <c r="B309" s="182"/>
      <c r="C309" s="181"/>
      <c r="D309" s="181"/>
      <c r="E309" s="181"/>
      <c r="F309" s="181"/>
      <c r="G309" s="181"/>
      <c r="H309" s="181"/>
      <c r="I309" s="181"/>
      <c r="J309" s="181"/>
      <c r="K309" s="181"/>
      <c r="L309" s="181"/>
      <c r="M309" s="181"/>
      <c r="N309" s="181"/>
      <c r="R309" s="26"/>
      <c r="S309" s="26"/>
      <c r="T309" s="21"/>
      <c r="U309" s="20"/>
      <c r="V309" s="20"/>
      <c r="W309" s="20"/>
      <c r="X309" s="20"/>
      <c r="Y309" s="20"/>
      <c r="Z309" s="50"/>
      <c r="AA309" s="50"/>
      <c r="AB309" s="50"/>
      <c r="AC309" s="50"/>
      <c r="AD309" s="247"/>
      <c r="AE309" s="247"/>
      <c r="AF309" s="50"/>
      <c r="AG309" s="50"/>
      <c r="AH309" s="50"/>
      <c r="AI309" s="50"/>
    </row>
    <row r="310" spans="1:35" s="196" customFormat="1" x14ac:dyDescent="0.15">
      <c r="A310" s="188"/>
      <c r="B310" s="182"/>
      <c r="C310" s="181"/>
      <c r="D310" s="181"/>
      <c r="E310" s="181"/>
      <c r="F310" s="181"/>
      <c r="G310" s="181"/>
      <c r="H310" s="181"/>
      <c r="I310" s="181"/>
      <c r="J310" s="181"/>
      <c r="K310" s="181"/>
      <c r="L310" s="181"/>
      <c r="M310" s="181"/>
      <c r="N310" s="181"/>
      <c r="R310" s="26"/>
      <c r="S310" s="26"/>
      <c r="T310" s="21"/>
      <c r="U310" s="20"/>
      <c r="V310" s="20"/>
      <c r="W310" s="20"/>
      <c r="X310" s="20"/>
      <c r="Y310" s="20"/>
      <c r="Z310" s="50"/>
      <c r="AA310" s="50"/>
      <c r="AB310" s="50"/>
      <c r="AC310" s="50"/>
      <c r="AD310" s="247"/>
      <c r="AE310" s="247"/>
      <c r="AF310" s="50"/>
      <c r="AG310" s="50"/>
      <c r="AH310" s="50"/>
      <c r="AI310" s="50"/>
    </row>
    <row r="311" spans="1:35" s="196" customFormat="1" x14ac:dyDescent="0.15">
      <c r="A311" s="188"/>
      <c r="B311" s="182"/>
      <c r="C311" s="181"/>
      <c r="D311" s="181"/>
      <c r="E311" s="181"/>
      <c r="F311" s="181"/>
      <c r="G311" s="181"/>
      <c r="H311" s="181"/>
      <c r="I311" s="181"/>
      <c r="J311" s="181"/>
      <c r="K311" s="181"/>
      <c r="L311" s="181"/>
      <c r="M311" s="181"/>
      <c r="N311" s="181"/>
      <c r="R311" s="26"/>
      <c r="S311" s="26"/>
      <c r="T311" s="21"/>
      <c r="U311" s="20"/>
      <c r="V311" s="20"/>
      <c r="W311" s="20"/>
      <c r="X311" s="20"/>
      <c r="Y311" s="20"/>
      <c r="Z311" s="50"/>
      <c r="AA311" s="50"/>
      <c r="AB311" s="50"/>
      <c r="AC311" s="50"/>
      <c r="AD311" s="247"/>
      <c r="AE311" s="247"/>
      <c r="AF311" s="50"/>
      <c r="AG311" s="50"/>
      <c r="AH311" s="50"/>
      <c r="AI311" s="50"/>
    </row>
    <row r="312" spans="1:35" s="196" customFormat="1" x14ac:dyDescent="0.15">
      <c r="A312" s="188"/>
      <c r="B312" s="182"/>
      <c r="C312" s="181"/>
      <c r="D312" s="181"/>
      <c r="E312" s="181"/>
      <c r="F312" s="181"/>
      <c r="G312" s="181"/>
      <c r="H312" s="181"/>
      <c r="I312" s="181"/>
      <c r="J312" s="181"/>
      <c r="K312" s="181"/>
      <c r="L312" s="181"/>
      <c r="M312" s="181"/>
      <c r="N312" s="181"/>
      <c r="R312" s="26"/>
      <c r="S312" s="26"/>
      <c r="T312" s="21"/>
      <c r="U312" s="20"/>
      <c r="V312" s="20"/>
      <c r="W312" s="20"/>
      <c r="X312" s="20"/>
      <c r="Y312" s="20"/>
      <c r="Z312" s="50"/>
      <c r="AA312" s="50"/>
      <c r="AB312" s="50"/>
      <c r="AC312" s="50"/>
      <c r="AD312" s="247"/>
      <c r="AE312" s="247"/>
      <c r="AF312" s="50"/>
      <c r="AG312" s="50"/>
      <c r="AH312" s="50"/>
      <c r="AI312" s="50"/>
    </row>
    <row r="313" spans="1:35" s="196" customFormat="1" x14ac:dyDescent="0.15">
      <c r="A313" s="188"/>
      <c r="B313" s="182"/>
      <c r="C313" s="181"/>
      <c r="D313" s="181"/>
      <c r="E313" s="181"/>
      <c r="F313" s="181"/>
      <c r="G313" s="181"/>
      <c r="H313" s="181"/>
      <c r="I313" s="181"/>
      <c r="J313" s="181"/>
      <c r="K313" s="181"/>
      <c r="L313" s="181"/>
      <c r="M313" s="181"/>
      <c r="N313" s="181"/>
      <c r="R313" s="26"/>
      <c r="S313" s="26"/>
      <c r="T313" s="21"/>
      <c r="U313" s="20"/>
      <c r="V313" s="20"/>
      <c r="W313" s="20"/>
      <c r="X313" s="20"/>
      <c r="Y313" s="20"/>
      <c r="Z313" s="50"/>
      <c r="AA313" s="50"/>
      <c r="AB313" s="50"/>
      <c r="AC313" s="50"/>
      <c r="AD313" s="247"/>
      <c r="AE313" s="247"/>
      <c r="AF313" s="50"/>
      <c r="AG313" s="50"/>
      <c r="AH313" s="50"/>
      <c r="AI313" s="50"/>
    </row>
    <row r="314" spans="1:35" s="196" customFormat="1" x14ac:dyDescent="0.15">
      <c r="A314" s="188"/>
      <c r="B314" s="182"/>
      <c r="C314" s="181"/>
      <c r="D314" s="181"/>
      <c r="E314" s="181"/>
      <c r="F314" s="181"/>
      <c r="G314" s="181"/>
      <c r="H314" s="181"/>
      <c r="I314" s="181"/>
      <c r="J314" s="181"/>
      <c r="K314" s="181"/>
      <c r="L314" s="181"/>
      <c r="M314" s="181"/>
      <c r="N314" s="181"/>
      <c r="R314" s="26"/>
      <c r="S314" s="26"/>
      <c r="T314" s="21"/>
      <c r="U314" s="20"/>
      <c r="V314" s="20"/>
      <c r="W314" s="20"/>
      <c r="X314" s="20"/>
      <c r="Y314" s="20"/>
      <c r="Z314" s="50"/>
      <c r="AA314" s="50"/>
      <c r="AB314" s="50"/>
      <c r="AC314" s="50"/>
      <c r="AD314" s="247"/>
      <c r="AE314" s="247"/>
      <c r="AF314" s="50"/>
      <c r="AG314" s="50"/>
      <c r="AH314" s="50"/>
      <c r="AI314" s="50"/>
    </row>
    <row r="315" spans="1:35" s="196" customFormat="1" x14ac:dyDescent="0.15">
      <c r="A315" s="188"/>
      <c r="B315" s="182"/>
      <c r="C315" s="181"/>
      <c r="D315" s="181"/>
      <c r="E315" s="181"/>
      <c r="F315" s="181"/>
      <c r="G315" s="181"/>
      <c r="H315" s="181"/>
      <c r="I315" s="181"/>
      <c r="J315" s="181"/>
      <c r="K315" s="181"/>
      <c r="L315" s="181"/>
      <c r="M315" s="181"/>
      <c r="N315" s="181"/>
      <c r="R315" s="26"/>
      <c r="S315" s="26"/>
      <c r="T315" s="21"/>
      <c r="U315" s="20"/>
      <c r="V315" s="20"/>
      <c r="W315" s="20"/>
      <c r="X315" s="20"/>
      <c r="Y315" s="20"/>
      <c r="Z315" s="50"/>
      <c r="AA315" s="50"/>
      <c r="AB315" s="50"/>
      <c r="AC315" s="50"/>
      <c r="AD315" s="247"/>
      <c r="AE315" s="247"/>
      <c r="AF315" s="50"/>
      <c r="AG315" s="50"/>
      <c r="AH315" s="50"/>
      <c r="AI315" s="50"/>
    </row>
    <row r="316" spans="1:35" s="196" customFormat="1" x14ac:dyDescent="0.15">
      <c r="A316" s="188"/>
      <c r="B316" s="182"/>
      <c r="C316" s="181"/>
      <c r="D316" s="181"/>
      <c r="E316" s="181"/>
      <c r="F316" s="181"/>
      <c r="G316" s="181"/>
      <c r="H316" s="181"/>
      <c r="I316" s="181"/>
      <c r="J316" s="181"/>
      <c r="K316" s="181"/>
      <c r="L316" s="181"/>
      <c r="M316" s="181"/>
      <c r="N316" s="181"/>
      <c r="R316" s="26"/>
      <c r="S316" s="26"/>
      <c r="T316" s="21"/>
      <c r="U316" s="20"/>
      <c r="V316" s="20"/>
      <c r="W316" s="20"/>
      <c r="X316" s="20"/>
      <c r="Y316" s="20"/>
      <c r="Z316" s="50"/>
      <c r="AA316" s="50"/>
      <c r="AB316" s="50"/>
      <c r="AC316" s="50"/>
      <c r="AD316" s="247"/>
      <c r="AE316" s="247"/>
      <c r="AF316" s="50"/>
      <c r="AG316" s="50"/>
      <c r="AH316" s="50"/>
      <c r="AI316" s="50"/>
    </row>
    <row r="317" spans="1:35" s="196" customFormat="1" x14ac:dyDescent="0.15">
      <c r="A317" s="188"/>
      <c r="B317" s="182"/>
      <c r="C317" s="181"/>
      <c r="D317" s="181"/>
      <c r="E317" s="181"/>
      <c r="F317" s="181"/>
      <c r="G317" s="181"/>
      <c r="H317" s="181"/>
      <c r="I317" s="181"/>
      <c r="J317" s="181"/>
      <c r="K317" s="181"/>
      <c r="L317" s="181"/>
      <c r="M317" s="181"/>
      <c r="N317" s="181"/>
      <c r="R317" s="26"/>
      <c r="S317" s="26"/>
      <c r="T317" s="21"/>
      <c r="U317" s="20"/>
      <c r="V317" s="20"/>
      <c r="W317" s="20"/>
      <c r="X317" s="20"/>
      <c r="Y317" s="20"/>
      <c r="Z317" s="50"/>
      <c r="AA317" s="50"/>
      <c r="AB317" s="50"/>
      <c r="AC317" s="50"/>
      <c r="AD317" s="247"/>
      <c r="AE317" s="247"/>
      <c r="AF317" s="50"/>
      <c r="AG317" s="50"/>
      <c r="AH317" s="50"/>
      <c r="AI317" s="50"/>
    </row>
    <row r="318" spans="1:35" s="196" customFormat="1" x14ac:dyDescent="0.15">
      <c r="A318" s="188"/>
      <c r="B318" s="182"/>
      <c r="C318" s="181"/>
      <c r="D318" s="181"/>
      <c r="E318" s="181"/>
      <c r="F318" s="181"/>
      <c r="G318" s="181"/>
      <c r="H318" s="181"/>
      <c r="I318" s="181"/>
      <c r="J318" s="181"/>
      <c r="K318" s="181"/>
      <c r="L318" s="181"/>
      <c r="M318" s="181"/>
      <c r="N318" s="181"/>
      <c r="R318" s="26"/>
      <c r="S318" s="26"/>
      <c r="T318" s="21"/>
      <c r="U318" s="20"/>
      <c r="V318" s="20"/>
      <c r="W318" s="20"/>
      <c r="X318" s="20"/>
      <c r="Y318" s="20"/>
      <c r="Z318" s="50"/>
      <c r="AA318" s="50"/>
      <c r="AB318" s="50"/>
      <c r="AC318" s="50"/>
      <c r="AD318" s="247"/>
      <c r="AE318" s="247"/>
      <c r="AF318" s="50"/>
      <c r="AG318" s="50"/>
      <c r="AH318" s="50"/>
      <c r="AI318" s="50"/>
    </row>
    <row r="319" spans="1:35" s="196" customFormat="1" x14ac:dyDescent="0.15">
      <c r="A319" s="188"/>
      <c r="B319" s="182"/>
      <c r="C319" s="181"/>
      <c r="D319" s="181"/>
      <c r="E319" s="181"/>
      <c r="F319" s="181"/>
      <c r="G319" s="181"/>
      <c r="H319" s="181"/>
      <c r="I319" s="181"/>
      <c r="J319" s="181"/>
      <c r="K319" s="181"/>
      <c r="L319" s="181"/>
      <c r="M319" s="181"/>
      <c r="N319" s="181"/>
      <c r="R319" s="26"/>
      <c r="S319" s="26"/>
      <c r="T319" s="21"/>
      <c r="U319" s="20"/>
      <c r="V319" s="20"/>
      <c r="W319" s="20"/>
      <c r="X319" s="20"/>
      <c r="Y319" s="20"/>
      <c r="Z319" s="50"/>
      <c r="AA319" s="50"/>
      <c r="AB319" s="50"/>
      <c r="AC319" s="50"/>
      <c r="AD319" s="247"/>
      <c r="AE319" s="247"/>
      <c r="AF319" s="50"/>
      <c r="AG319" s="50"/>
      <c r="AH319" s="50"/>
      <c r="AI319" s="50"/>
    </row>
    <row r="320" spans="1:35" s="196" customFormat="1" x14ac:dyDescent="0.15">
      <c r="A320" s="188"/>
      <c r="B320" s="182"/>
      <c r="C320" s="181"/>
      <c r="D320" s="181"/>
      <c r="E320" s="181"/>
      <c r="F320" s="181"/>
      <c r="G320" s="181"/>
      <c r="H320" s="181"/>
      <c r="I320" s="181"/>
      <c r="J320" s="181"/>
      <c r="K320" s="181"/>
      <c r="L320" s="181"/>
      <c r="M320" s="181"/>
      <c r="N320" s="181"/>
      <c r="R320" s="26"/>
      <c r="S320" s="26"/>
      <c r="T320" s="21"/>
      <c r="U320" s="20"/>
      <c r="V320" s="20"/>
      <c r="W320" s="20"/>
      <c r="X320" s="20"/>
      <c r="Y320" s="20"/>
      <c r="Z320" s="50"/>
      <c r="AA320" s="50"/>
      <c r="AB320" s="50"/>
      <c r="AC320" s="50"/>
      <c r="AD320" s="247"/>
      <c r="AE320" s="247"/>
      <c r="AF320" s="50"/>
      <c r="AG320" s="50"/>
      <c r="AH320" s="50"/>
      <c r="AI320" s="50"/>
    </row>
    <row r="321" spans="1:35" s="196" customFormat="1" x14ac:dyDescent="0.15">
      <c r="A321" s="188"/>
      <c r="B321" s="182"/>
      <c r="C321" s="181"/>
      <c r="D321" s="181"/>
      <c r="E321" s="181"/>
      <c r="F321" s="181"/>
      <c r="G321" s="181"/>
      <c r="H321" s="181"/>
      <c r="I321" s="181"/>
      <c r="J321" s="181"/>
      <c r="K321" s="181"/>
      <c r="L321" s="181"/>
      <c r="M321" s="181"/>
      <c r="N321" s="181"/>
      <c r="R321" s="26"/>
      <c r="S321" s="26"/>
      <c r="T321" s="21"/>
      <c r="U321" s="20"/>
      <c r="V321" s="20"/>
      <c r="W321" s="20"/>
      <c r="X321" s="20"/>
      <c r="Y321" s="20"/>
      <c r="Z321" s="50"/>
      <c r="AA321" s="50"/>
      <c r="AB321" s="50"/>
      <c r="AC321" s="50"/>
      <c r="AD321" s="247"/>
      <c r="AE321" s="247"/>
      <c r="AF321" s="50"/>
      <c r="AG321" s="50"/>
      <c r="AH321" s="50"/>
      <c r="AI321" s="50"/>
    </row>
    <row r="322" spans="1:35" s="196" customFormat="1" x14ac:dyDescent="0.15">
      <c r="A322" s="188"/>
      <c r="B322" s="182"/>
      <c r="C322" s="181"/>
      <c r="D322" s="181"/>
      <c r="E322" s="181"/>
      <c r="F322" s="181"/>
      <c r="G322" s="181"/>
      <c r="H322" s="181"/>
      <c r="I322" s="181"/>
      <c r="J322" s="181"/>
      <c r="K322" s="181"/>
      <c r="L322" s="181"/>
      <c r="M322" s="181"/>
      <c r="N322" s="181"/>
      <c r="R322" s="26"/>
      <c r="S322" s="26"/>
      <c r="T322" s="21"/>
      <c r="U322" s="20"/>
      <c r="V322" s="20"/>
      <c r="W322" s="20"/>
      <c r="X322" s="20"/>
      <c r="Y322" s="20"/>
      <c r="Z322" s="50"/>
      <c r="AA322" s="50"/>
      <c r="AB322" s="50"/>
      <c r="AC322" s="50"/>
      <c r="AD322" s="247"/>
      <c r="AE322" s="247"/>
      <c r="AF322" s="50"/>
      <c r="AG322" s="50"/>
      <c r="AH322" s="50"/>
      <c r="AI322" s="50"/>
    </row>
    <row r="323" spans="1:35" s="196" customFormat="1" x14ac:dyDescent="0.15">
      <c r="A323" s="188"/>
      <c r="B323" s="182"/>
      <c r="C323" s="181"/>
      <c r="D323" s="181"/>
      <c r="E323" s="181"/>
      <c r="F323" s="181"/>
      <c r="G323" s="181"/>
      <c r="H323" s="181"/>
      <c r="I323" s="181"/>
      <c r="J323" s="181"/>
      <c r="K323" s="181"/>
      <c r="L323" s="181"/>
      <c r="M323" s="181"/>
      <c r="N323" s="181"/>
      <c r="R323" s="26"/>
      <c r="S323" s="26"/>
      <c r="T323" s="21"/>
      <c r="U323" s="20"/>
      <c r="V323" s="20"/>
      <c r="W323" s="20"/>
      <c r="X323" s="20"/>
      <c r="Y323" s="20"/>
      <c r="Z323" s="50"/>
      <c r="AA323" s="50"/>
      <c r="AB323" s="50"/>
      <c r="AC323" s="50"/>
      <c r="AD323" s="247"/>
      <c r="AE323" s="247"/>
      <c r="AF323" s="50"/>
      <c r="AG323" s="50"/>
      <c r="AH323" s="50"/>
      <c r="AI323" s="50"/>
    </row>
    <row r="324" spans="1:35" s="196" customFormat="1" x14ac:dyDescent="0.15">
      <c r="A324" s="188"/>
      <c r="B324" s="182"/>
      <c r="C324" s="181"/>
      <c r="D324" s="181"/>
      <c r="E324" s="181"/>
      <c r="F324" s="181"/>
      <c r="G324" s="181"/>
      <c r="H324" s="181"/>
      <c r="I324" s="181"/>
      <c r="J324" s="181"/>
      <c r="K324" s="181"/>
      <c r="L324" s="181"/>
      <c r="M324" s="181"/>
      <c r="N324" s="181"/>
      <c r="R324" s="26"/>
      <c r="S324" s="26"/>
      <c r="T324" s="21"/>
      <c r="U324" s="20"/>
      <c r="V324" s="20"/>
      <c r="W324" s="20"/>
      <c r="X324" s="20"/>
      <c r="Y324" s="20"/>
      <c r="Z324" s="50"/>
      <c r="AA324" s="50"/>
      <c r="AB324" s="50"/>
      <c r="AC324" s="50"/>
      <c r="AD324" s="247"/>
      <c r="AE324" s="247"/>
      <c r="AF324" s="50"/>
      <c r="AG324" s="50"/>
      <c r="AH324" s="50"/>
      <c r="AI324" s="50"/>
    </row>
    <row r="325" spans="1:35" s="196" customFormat="1" x14ac:dyDescent="0.15">
      <c r="A325" s="188"/>
      <c r="B325" s="182"/>
      <c r="C325" s="181"/>
      <c r="D325" s="181"/>
      <c r="E325" s="181"/>
      <c r="F325" s="181"/>
      <c r="G325" s="181"/>
      <c r="H325" s="181"/>
      <c r="I325" s="181"/>
      <c r="J325" s="181"/>
      <c r="K325" s="181"/>
      <c r="L325" s="181"/>
      <c r="M325" s="181"/>
      <c r="N325" s="181"/>
      <c r="R325" s="26"/>
      <c r="S325" s="26"/>
      <c r="T325" s="21"/>
      <c r="U325" s="20"/>
      <c r="V325" s="20"/>
      <c r="W325" s="20"/>
      <c r="X325" s="20"/>
      <c r="Y325" s="20"/>
      <c r="Z325" s="50"/>
      <c r="AA325" s="50"/>
      <c r="AB325" s="50"/>
      <c r="AC325" s="50"/>
      <c r="AD325" s="247"/>
      <c r="AE325" s="247"/>
      <c r="AF325" s="50"/>
      <c r="AG325" s="50"/>
      <c r="AH325" s="50"/>
      <c r="AI325" s="50"/>
    </row>
    <row r="326" spans="1:35" s="196" customFormat="1" x14ac:dyDescent="0.15">
      <c r="A326" s="188"/>
      <c r="B326" s="182"/>
      <c r="C326" s="181"/>
      <c r="D326" s="181"/>
      <c r="E326" s="181"/>
      <c r="F326" s="181"/>
      <c r="G326" s="181"/>
      <c r="H326" s="181"/>
      <c r="I326" s="181"/>
      <c r="J326" s="181"/>
      <c r="K326" s="181"/>
      <c r="L326" s="181"/>
      <c r="M326" s="181"/>
      <c r="N326" s="181"/>
      <c r="R326" s="26"/>
      <c r="S326" s="26"/>
      <c r="T326" s="21"/>
      <c r="U326" s="20"/>
      <c r="V326" s="20"/>
      <c r="W326" s="20"/>
      <c r="X326" s="20"/>
      <c r="Y326" s="20"/>
      <c r="Z326" s="50"/>
      <c r="AA326" s="50"/>
      <c r="AB326" s="50"/>
      <c r="AC326" s="50"/>
      <c r="AD326" s="247"/>
      <c r="AE326" s="247"/>
      <c r="AF326" s="50"/>
      <c r="AG326" s="50"/>
      <c r="AH326" s="50"/>
      <c r="AI326" s="50"/>
    </row>
    <row r="327" spans="1:35" s="196" customFormat="1" x14ac:dyDescent="0.15">
      <c r="A327" s="188"/>
      <c r="B327" s="182"/>
      <c r="C327" s="181"/>
      <c r="D327" s="181"/>
      <c r="E327" s="181"/>
      <c r="F327" s="181"/>
      <c r="G327" s="181"/>
      <c r="H327" s="181"/>
      <c r="I327" s="181"/>
      <c r="J327" s="181"/>
      <c r="K327" s="181"/>
      <c r="L327" s="181"/>
      <c r="M327" s="181"/>
      <c r="N327" s="181"/>
      <c r="R327" s="26"/>
      <c r="S327" s="26"/>
      <c r="T327" s="21"/>
      <c r="U327" s="20"/>
      <c r="V327" s="20"/>
      <c r="W327" s="20"/>
      <c r="X327" s="20"/>
      <c r="Y327" s="20"/>
      <c r="Z327" s="50"/>
      <c r="AA327" s="50"/>
      <c r="AB327" s="50"/>
      <c r="AC327" s="50"/>
      <c r="AD327" s="247"/>
      <c r="AE327" s="247"/>
      <c r="AF327" s="50"/>
      <c r="AG327" s="50"/>
      <c r="AH327" s="50"/>
      <c r="AI327" s="50"/>
    </row>
    <row r="328" spans="1:35" s="196" customFormat="1" x14ac:dyDescent="0.15">
      <c r="A328" s="188"/>
      <c r="B328" s="182"/>
      <c r="C328" s="181"/>
      <c r="D328" s="181"/>
      <c r="E328" s="181"/>
      <c r="F328" s="181"/>
      <c r="G328" s="181"/>
      <c r="H328" s="181"/>
      <c r="I328" s="181"/>
      <c r="J328" s="181"/>
      <c r="K328" s="181"/>
      <c r="L328" s="181"/>
      <c r="M328" s="181"/>
      <c r="N328" s="181"/>
      <c r="R328" s="26"/>
      <c r="S328" s="26"/>
      <c r="T328" s="21"/>
      <c r="U328" s="20"/>
      <c r="V328" s="20"/>
      <c r="W328" s="20"/>
      <c r="X328" s="20"/>
      <c r="Y328" s="20"/>
      <c r="Z328" s="50"/>
      <c r="AA328" s="50"/>
      <c r="AB328" s="50"/>
      <c r="AC328" s="50"/>
      <c r="AD328" s="247"/>
      <c r="AE328" s="247"/>
      <c r="AF328" s="50"/>
      <c r="AG328" s="50"/>
      <c r="AH328" s="50"/>
      <c r="AI328" s="50"/>
    </row>
    <row r="329" spans="1:35" s="196" customFormat="1" x14ac:dyDescent="0.15">
      <c r="A329" s="188"/>
      <c r="B329" s="182"/>
      <c r="C329" s="181"/>
      <c r="D329" s="181"/>
      <c r="E329" s="181"/>
      <c r="F329" s="181"/>
      <c r="G329" s="181"/>
      <c r="H329" s="181"/>
      <c r="I329" s="181"/>
      <c r="J329" s="181"/>
      <c r="K329" s="181"/>
      <c r="L329" s="181"/>
      <c r="M329" s="181"/>
      <c r="N329" s="181"/>
      <c r="R329" s="26"/>
      <c r="S329" s="26"/>
      <c r="T329" s="21"/>
      <c r="U329" s="20"/>
      <c r="V329" s="20"/>
      <c r="W329" s="20"/>
      <c r="X329" s="20"/>
      <c r="Y329" s="20"/>
      <c r="Z329" s="50"/>
      <c r="AA329" s="50"/>
      <c r="AB329" s="50"/>
      <c r="AC329" s="50"/>
      <c r="AD329" s="247"/>
      <c r="AE329" s="247"/>
      <c r="AF329" s="50"/>
      <c r="AG329" s="50"/>
      <c r="AH329" s="50"/>
      <c r="AI329" s="50"/>
    </row>
    <row r="330" spans="1:35" s="196" customFormat="1" x14ac:dyDescent="0.15">
      <c r="A330" s="188"/>
      <c r="B330" s="182"/>
      <c r="C330" s="181"/>
      <c r="D330" s="181"/>
      <c r="E330" s="181"/>
      <c r="F330" s="181"/>
      <c r="G330" s="181"/>
      <c r="H330" s="181"/>
      <c r="I330" s="181"/>
      <c r="J330" s="181"/>
      <c r="K330" s="181"/>
      <c r="L330" s="181"/>
      <c r="M330" s="181"/>
      <c r="N330" s="181"/>
      <c r="R330" s="26"/>
      <c r="S330" s="26"/>
      <c r="T330" s="21"/>
      <c r="U330" s="20"/>
      <c r="V330" s="20"/>
      <c r="W330" s="20"/>
      <c r="X330" s="20"/>
      <c r="Y330" s="20"/>
      <c r="Z330" s="50"/>
      <c r="AA330" s="50"/>
      <c r="AB330" s="50"/>
      <c r="AC330" s="50"/>
      <c r="AD330" s="247"/>
      <c r="AE330" s="247"/>
      <c r="AF330" s="50"/>
      <c r="AG330" s="50"/>
      <c r="AH330" s="50"/>
      <c r="AI330" s="50"/>
    </row>
    <row r="331" spans="1:35" s="196" customFormat="1" x14ac:dyDescent="0.15">
      <c r="A331" s="188"/>
      <c r="B331" s="182"/>
      <c r="C331" s="181"/>
      <c r="D331" s="181"/>
      <c r="E331" s="181"/>
      <c r="F331" s="181"/>
      <c r="G331" s="181"/>
      <c r="H331" s="181"/>
      <c r="I331" s="181"/>
      <c r="J331" s="181"/>
      <c r="K331" s="181"/>
      <c r="L331" s="181"/>
      <c r="M331" s="181"/>
      <c r="N331" s="181"/>
      <c r="R331" s="26"/>
      <c r="S331" s="26"/>
      <c r="T331" s="21"/>
      <c r="U331" s="20"/>
      <c r="V331" s="20"/>
      <c r="W331" s="20"/>
      <c r="X331" s="20"/>
      <c r="Y331" s="20"/>
      <c r="Z331" s="50"/>
      <c r="AA331" s="50"/>
      <c r="AB331" s="50"/>
      <c r="AC331" s="50"/>
      <c r="AD331" s="247"/>
      <c r="AE331" s="247"/>
      <c r="AF331" s="50"/>
      <c r="AG331" s="50"/>
      <c r="AH331" s="50"/>
      <c r="AI331" s="50"/>
    </row>
    <row r="332" spans="1:35" s="196" customFormat="1" x14ac:dyDescent="0.15">
      <c r="A332" s="188"/>
      <c r="B332" s="182"/>
      <c r="C332" s="181"/>
      <c r="D332" s="181"/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  <c r="R332" s="26"/>
      <c r="S332" s="26"/>
      <c r="T332" s="21"/>
      <c r="U332" s="20"/>
      <c r="V332" s="20"/>
      <c r="W332" s="20"/>
      <c r="X332" s="20"/>
      <c r="Y332" s="20"/>
      <c r="Z332" s="50"/>
      <c r="AA332" s="50"/>
      <c r="AB332" s="50"/>
      <c r="AC332" s="50"/>
      <c r="AD332" s="247"/>
      <c r="AE332" s="247"/>
      <c r="AF332" s="50"/>
      <c r="AG332" s="50"/>
      <c r="AH332" s="50"/>
      <c r="AI332" s="50"/>
    </row>
    <row r="333" spans="1:35" s="196" customFormat="1" x14ac:dyDescent="0.15">
      <c r="A333" s="188"/>
      <c r="B333" s="182"/>
      <c r="C333" s="181"/>
      <c r="D333" s="181"/>
      <c r="E333" s="181"/>
      <c r="F333" s="181"/>
      <c r="G333" s="181"/>
      <c r="H333" s="181"/>
      <c r="I333" s="181"/>
      <c r="J333" s="181"/>
      <c r="K333" s="181"/>
      <c r="L333" s="181"/>
      <c r="M333" s="181"/>
      <c r="N333" s="181"/>
      <c r="R333" s="26"/>
      <c r="S333" s="26"/>
      <c r="T333" s="21"/>
      <c r="U333" s="20"/>
      <c r="V333" s="20"/>
      <c r="W333" s="20"/>
      <c r="X333" s="20"/>
      <c r="Y333" s="20"/>
      <c r="Z333" s="50"/>
      <c r="AA333" s="50"/>
      <c r="AB333" s="50"/>
      <c r="AC333" s="50"/>
      <c r="AD333" s="247"/>
      <c r="AE333" s="247"/>
      <c r="AF333" s="50"/>
      <c r="AG333" s="50"/>
      <c r="AH333" s="50"/>
      <c r="AI333" s="50"/>
    </row>
    <row r="334" spans="1:35" s="196" customFormat="1" x14ac:dyDescent="0.15">
      <c r="A334" s="188"/>
      <c r="B334" s="182"/>
      <c r="C334" s="181"/>
      <c r="D334" s="181"/>
      <c r="E334" s="181"/>
      <c r="F334" s="181"/>
      <c r="G334" s="181"/>
      <c r="H334" s="181"/>
      <c r="I334" s="181"/>
      <c r="J334" s="181"/>
      <c r="K334" s="181"/>
      <c r="L334" s="181"/>
      <c r="M334" s="181"/>
      <c r="N334" s="181"/>
      <c r="R334" s="26"/>
      <c r="S334" s="26"/>
      <c r="T334" s="21"/>
      <c r="U334" s="20"/>
      <c r="V334" s="20"/>
      <c r="W334" s="20"/>
      <c r="X334" s="20"/>
      <c r="Y334" s="20"/>
      <c r="Z334" s="50"/>
      <c r="AA334" s="50"/>
      <c r="AB334" s="50"/>
      <c r="AC334" s="50"/>
      <c r="AD334" s="247"/>
      <c r="AE334" s="247"/>
      <c r="AF334" s="50"/>
      <c r="AG334" s="50"/>
      <c r="AH334" s="50"/>
      <c r="AI334" s="50"/>
    </row>
    <row r="335" spans="1:35" s="196" customFormat="1" x14ac:dyDescent="0.15">
      <c r="A335" s="188"/>
      <c r="B335" s="182"/>
      <c r="C335" s="181"/>
      <c r="D335" s="181"/>
      <c r="E335" s="181"/>
      <c r="F335" s="181"/>
      <c r="G335" s="181"/>
      <c r="H335" s="181"/>
      <c r="I335" s="181"/>
      <c r="J335" s="181"/>
      <c r="K335" s="181"/>
      <c r="L335" s="181"/>
      <c r="M335" s="181"/>
      <c r="N335" s="181"/>
      <c r="R335" s="26"/>
      <c r="S335" s="26"/>
      <c r="T335" s="21"/>
      <c r="U335" s="20"/>
      <c r="V335" s="20"/>
      <c r="W335" s="20"/>
      <c r="X335" s="20"/>
      <c r="Y335" s="20"/>
      <c r="Z335" s="50"/>
      <c r="AA335" s="50"/>
      <c r="AB335" s="50"/>
      <c r="AC335" s="50"/>
      <c r="AD335" s="247"/>
      <c r="AE335" s="247"/>
      <c r="AF335" s="50"/>
      <c r="AG335" s="50"/>
      <c r="AH335" s="50"/>
      <c r="AI335" s="50"/>
    </row>
    <row r="336" spans="1:35" s="196" customFormat="1" x14ac:dyDescent="0.15">
      <c r="A336" s="188"/>
      <c r="B336" s="182"/>
      <c r="C336" s="181"/>
      <c r="D336" s="181"/>
      <c r="E336" s="181"/>
      <c r="F336" s="181"/>
      <c r="G336" s="181"/>
      <c r="H336" s="181"/>
      <c r="I336" s="181"/>
      <c r="J336" s="181"/>
      <c r="K336" s="181"/>
      <c r="L336" s="181"/>
      <c r="M336" s="181"/>
      <c r="N336" s="181"/>
      <c r="R336" s="26"/>
      <c r="S336" s="26"/>
      <c r="T336" s="21"/>
      <c r="U336" s="20"/>
      <c r="V336" s="20"/>
      <c r="W336" s="20"/>
      <c r="X336" s="20"/>
      <c r="Y336" s="20"/>
      <c r="Z336" s="50"/>
      <c r="AA336" s="50"/>
      <c r="AB336" s="50"/>
      <c r="AC336" s="50"/>
      <c r="AD336" s="247"/>
      <c r="AE336" s="247"/>
      <c r="AF336" s="50"/>
      <c r="AG336" s="50"/>
      <c r="AH336" s="50"/>
      <c r="AI336" s="50"/>
    </row>
    <row r="337" spans="1:35" s="196" customFormat="1" x14ac:dyDescent="0.15">
      <c r="A337" s="188"/>
      <c r="B337" s="182"/>
      <c r="C337" s="181"/>
      <c r="D337" s="181"/>
      <c r="E337" s="181"/>
      <c r="F337" s="181"/>
      <c r="G337" s="181"/>
      <c r="H337" s="181"/>
      <c r="I337" s="181"/>
      <c r="J337" s="181"/>
      <c r="K337" s="181"/>
      <c r="L337" s="181"/>
      <c r="M337" s="181"/>
      <c r="N337" s="181"/>
      <c r="R337" s="26"/>
      <c r="S337" s="26"/>
      <c r="T337" s="21"/>
      <c r="U337" s="20"/>
      <c r="V337" s="20"/>
      <c r="W337" s="20"/>
      <c r="X337" s="20"/>
      <c r="Y337" s="20"/>
      <c r="Z337" s="50"/>
      <c r="AA337" s="50"/>
      <c r="AB337" s="50"/>
      <c r="AC337" s="50"/>
      <c r="AD337" s="247"/>
      <c r="AE337" s="247"/>
      <c r="AF337" s="50"/>
      <c r="AG337" s="50"/>
      <c r="AH337" s="50"/>
      <c r="AI337" s="50"/>
    </row>
    <row r="338" spans="1:35" s="196" customFormat="1" x14ac:dyDescent="0.15">
      <c r="A338" s="188"/>
      <c r="B338" s="182"/>
      <c r="C338" s="181"/>
      <c r="D338" s="181"/>
      <c r="E338" s="181"/>
      <c r="F338" s="181"/>
      <c r="G338" s="181"/>
      <c r="H338" s="181"/>
      <c r="I338" s="181"/>
      <c r="J338" s="181"/>
      <c r="K338" s="181"/>
      <c r="L338" s="181"/>
      <c r="M338" s="181"/>
      <c r="N338" s="181"/>
      <c r="R338" s="26"/>
      <c r="S338" s="26"/>
      <c r="T338" s="21"/>
      <c r="U338" s="20"/>
      <c r="V338" s="20"/>
      <c r="W338" s="20"/>
      <c r="X338" s="20"/>
      <c r="Y338" s="20"/>
      <c r="Z338" s="50"/>
      <c r="AA338" s="50"/>
      <c r="AB338" s="50"/>
      <c r="AC338" s="50"/>
      <c r="AD338" s="247"/>
      <c r="AE338" s="247"/>
      <c r="AF338" s="50"/>
      <c r="AG338" s="50"/>
      <c r="AH338" s="50"/>
      <c r="AI338" s="50"/>
    </row>
    <row r="339" spans="1:35" s="196" customFormat="1" x14ac:dyDescent="0.15">
      <c r="A339" s="188"/>
      <c r="B339" s="182"/>
      <c r="C339" s="181"/>
      <c r="D339" s="181"/>
      <c r="E339" s="181"/>
      <c r="F339" s="181"/>
      <c r="G339" s="181"/>
      <c r="H339" s="181"/>
      <c r="I339" s="181"/>
      <c r="J339" s="181"/>
      <c r="K339" s="181"/>
      <c r="L339" s="181"/>
      <c r="M339" s="181"/>
      <c r="N339" s="181"/>
      <c r="R339" s="26"/>
      <c r="S339" s="26"/>
      <c r="T339" s="21"/>
      <c r="U339" s="20"/>
      <c r="V339" s="20"/>
      <c r="W339" s="20"/>
      <c r="X339" s="20"/>
      <c r="Y339" s="20"/>
      <c r="Z339" s="50"/>
      <c r="AA339" s="50"/>
      <c r="AB339" s="50"/>
      <c r="AC339" s="50"/>
      <c r="AD339" s="247"/>
      <c r="AE339" s="247"/>
      <c r="AF339" s="50"/>
      <c r="AG339" s="50"/>
      <c r="AH339" s="50"/>
      <c r="AI339" s="50"/>
    </row>
    <row r="340" spans="1:35" s="196" customFormat="1" x14ac:dyDescent="0.15">
      <c r="A340" s="188"/>
      <c r="B340" s="182"/>
      <c r="C340" s="181"/>
      <c r="D340" s="181"/>
      <c r="E340" s="181"/>
      <c r="F340" s="181"/>
      <c r="G340" s="181"/>
      <c r="H340" s="181"/>
      <c r="I340" s="181"/>
      <c r="J340" s="181"/>
      <c r="K340" s="181"/>
      <c r="L340" s="181"/>
      <c r="M340" s="181"/>
      <c r="N340" s="181"/>
      <c r="R340" s="26"/>
      <c r="S340" s="26"/>
      <c r="T340" s="21"/>
      <c r="U340" s="20"/>
      <c r="V340" s="20"/>
      <c r="W340" s="20"/>
      <c r="X340" s="20"/>
      <c r="Y340" s="20"/>
      <c r="Z340" s="50"/>
      <c r="AA340" s="50"/>
      <c r="AB340" s="50"/>
      <c r="AC340" s="50"/>
      <c r="AD340" s="247"/>
      <c r="AE340" s="247"/>
      <c r="AF340" s="50"/>
      <c r="AG340" s="50"/>
      <c r="AH340" s="50"/>
      <c r="AI340" s="50"/>
    </row>
    <row r="341" spans="1:35" s="196" customFormat="1" x14ac:dyDescent="0.15">
      <c r="A341" s="188"/>
      <c r="B341" s="182"/>
      <c r="C341" s="181"/>
      <c r="D341" s="181"/>
      <c r="E341" s="181"/>
      <c r="F341" s="181"/>
      <c r="G341" s="181"/>
      <c r="H341" s="181"/>
      <c r="I341" s="181"/>
      <c r="J341" s="181"/>
      <c r="K341" s="181"/>
      <c r="L341" s="181"/>
      <c r="M341" s="181"/>
      <c r="N341" s="181"/>
      <c r="R341" s="26"/>
      <c r="S341" s="26"/>
      <c r="T341" s="21"/>
      <c r="U341" s="20"/>
      <c r="V341" s="20"/>
      <c r="W341" s="20"/>
      <c r="X341" s="20"/>
      <c r="Y341" s="20"/>
      <c r="Z341" s="50"/>
      <c r="AA341" s="50"/>
      <c r="AB341" s="50"/>
      <c r="AC341" s="50"/>
      <c r="AD341" s="247"/>
      <c r="AE341" s="247"/>
      <c r="AF341" s="50"/>
      <c r="AG341" s="50"/>
      <c r="AH341" s="50"/>
      <c r="AI341" s="50"/>
    </row>
    <row r="342" spans="1:35" s="196" customFormat="1" x14ac:dyDescent="0.15">
      <c r="A342" s="188"/>
      <c r="B342" s="182"/>
      <c r="C342" s="181"/>
      <c r="D342" s="181"/>
      <c r="E342" s="181"/>
      <c r="F342" s="181"/>
      <c r="G342" s="181"/>
      <c r="H342" s="181"/>
      <c r="I342" s="181"/>
      <c r="J342" s="181"/>
      <c r="K342" s="181"/>
      <c r="L342" s="181"/>
      <c r="M342" s="181"/>
      <c r="N342" s="181"/>
      <c r="R342" s="26"/>
      <c r="S342" s="26"/>
      <c r="T342" s="21"/>
      <c r="U342" s="20"/>
      <c r="V342" s="20"/>
      <c r="W342" s="20"/>
      <c r="X342" s="20"/>
      <c r="Y342" s="20"/>
      <c r="Z342" s="50"/>
      <c r="AA342" s="50"/>
      <c r="AB342" s="50"/>
      <c r="AC342" s="50"/>
      <c r="AD342" s="247"/>
      <c r="AE342" s="247"/>
      <c r="AF342" s="50"/>
      <c r="AG342" s="50"/>
      <c r="AH342" s="50"/>
      <c r="AI342" s="50"/>
    </row>
    <row r="343" spans="1:35" s="196" customFormat="1" x14ac:dyDescent="0.15">
      <c r="A343" s="188"/>
      <c r="B343" s="182"/>
      <c r="C343" s="181"/>
      <c r="D343" s="181"/>
      <c r="E343" s="181"/>
      <c r="F343" s="181"/>
      <c r="G343" s="181"/>
      <c r="H343" s="181"/>
      <c r="I343" s="181"/>
      <c r="J343" s="181"/>
      <c r="K343" s="181"/>
      <c r="L343" s="181"/>
      <c r="M343" s="181"/>
      <c r="N343" s="181"/>
      <c r="R343" s="26"/>
      <c r="S343" s="26"/>
      <c r="T343" s="21"/>
      <c r="U343" s="20"/>
      <c r="V343" s="20"/>
      <c r="W343" s="20"/>
      <c r="X343" s="20"/>
      <c r="Y343" s="20"/>
      <c r="Z343" s="50"/>
      <c r="AA343" s="50"/>
      <c r="AB343" s="50"/>
      <c r="AC343" s="50"/>
      <c r="AD343" s="247"/>
      <c r="AE343" s="247"/>
      <c r="AF343" s="50"/>
      <c r="AG343" s="50"/>
      <c r="AH343" s="50"/>
      <c r="AI343" s="50"/>
    </row>
    <row r="344" spans="1:35" s="196" customFormat="1" x14ac:dyDescent="0.15">
      <c r="A344" s="188"/>
      <c r="B344" s="182"/>
      <c r="C344" s="181"/>
      <c r="D344" s="181"/>
      <c r="E344" s="181"/>
      <c r="F344" s="181"/>
      <c r="G344" s="181"/>
      <c r="H344" s="181"/>
      <c r="I344" s="181"/>
      <c r="J344" s="181"/>
      <c r="K344" s="181"/>
      <c r="L344" s="181"/>
      <c r="M344" s="181"/>
      <c r="N344" s="181"/>
      <c r="R344" s="26"/>
      <c r="S344" s="26"/>
      <c r="T344" s="21"/>
      <c r="U344" s="20"/>
      <c r="V344" s="20"/>
      <c r="W344" s="20"/>
      <c r="X344" s="20"/>
      <c r="Y344" s="20"/>
      <c r="Z344" s="50"/>
      <c r="AA344" s="50"/>
      <c r="AB344" s="50"/>
      <c r="AC344" s="50"/>
      <c r="AD344" s="247"/>
      <c r="AE344" s="247"/>
      <c r="AF344" s="50"/>
      <c r="AG344" s="50"/>
      <c r="AH344" s="50"/>
      <c r="AI344" s="50"/>
    </row>
    <row r="345" spans="1:35" s="196" customFormat="1" x14ac:dyDescent="0.15">
      <c r="A345" s="188"/>
      <c r="B345" s="182"/>
      <c r="C345" s="181"/>
      <c r="D345" s="181"/>
      <c r="E345" s="181"/>
      <c r="F345" s="181"/>
      <c r="G345" s="181"/>
      <c r="H345" s="181"/>
      <c r="I345" s="181"/>
      <c r="J345" s="181"/>
      <c r="K345" s="181"/>
      <c r="L345" s="181"/>
      <c r="M345" s="181"/>
      <c r="N345" s="181"/>
      <c r="R345" s="26"/>
      <c r="S345" s="26"/>
      <c r="T345" s="21"/>
      <c r="U345" s="20"/>
      <c r="V345" s="20"/>
      <c r="W345" s="20"/>
      <c r="X345" s="20"/>
      <c r="Y345" s="20"/>
      <c r="Z345" s="50"/>
      <c r="AA345" s="50"/>
      <c r="AB345" s="50"/>
      <c r="AC345" s="50"/>
      <c r="AD345" s="247"/>
      <c r="AE345" s="247"/>
      <c r="AF345" s="50"/>
      <c r="AG345" s="50"/>
      <c r="AH345" s="50"/>
      <c r="AI345" s="50"/>
    </row>
    <row r="346" spans="1:35" s="196" customFormat="1" x14ac:dyDescent="0.15">
      <c r="A346" s="188"/>
      <c r="B346" s="182"/>
      <c r="C346" s="181"/>
      <c r="D346" s="181"/>
      <c r="E346" s="181"/>
      <c r="F346" s="181"/>
      <c r="G346" s="181"/>
      <c r="H346" s="181"/>
      <c r="I346" s="181"/>
      <c r="J346" s="181"/>
      <c r="K346" s="181"/>
      <c r="L346" s="181"/>
      <c r="M346" s="181"/>
      <c r="N346" s="181"/>
      <c r="R346" s="26"/>
      <c r="S346" s="26"/>
      <c r="T346" s="21"/>
      <c r="U346" s="20"/>
      <c r="V346" s="20"/>
      <c r="W346" s="20"/>
      <c r="X346" s="20"/>
      <c r="Y346" s="20"/>
      <c r="Z346" s="50"/>
      <c r="AA346" s="50"/>
      <c r="AB346" s="50"/>
      <c r="AC346" s="50"/>
      <c r="AD346" s="247"/>
      <c r="AE346" s="247"/>
      <c r="AF346" s="50"/>
      <c r="AG346" s="50"/>
      <c r="AH346" s="50"/>
      <c r="AI346" s="50"/>
    </row>
    <row r="347" spans="1:35" s="196" customFormat="1" x14ac:dyDescent="0.15">
      <c r="A347" s="188"/>
      <c r="B347" s="182"/>
      <c r="C347" s="181"/>
      <c r="D347" s="181"/>
      <c r="E347" s="181"/>
      <c r="F347" s="181"/>
      <c r="G347" s="181"/>
      <c r="H347" s="181"/>
      <c r="I347" s="181"/>
      <c r="J347" s="181"/>
      <c r="K347" s="181"/>
      <c r="L347" s="181"/>
      <c r="M347" s="181"/>
      <c r="N347" s="181"/>
      <c r="R347" s="26"/>
      <c r="S347" s="26"/>
      <c r="T347" s="21"/>
      <c r="U347" s="20"/>
      <c r="V347" s="20"/>
      <c r="W347" s="20"/>
      <c r="X347" s="20"/>
      <c r="Y347" s="20"/>
      <c r="Z347" s="50"/>
      <c r="AA347" s="50"/>
      <c r="AB347" s="50"/>
      <c r="AC347" s="50"/>
      <c r="AD347" s="247"/>
      <c r="AE347" s="247"/>
      <c r="AF347" s="50"/>
      <c r="AG347" s="50"/>
      <c r="AH347" s="50"/>
      <c r="AI347" s="50"/>
    </row>
    <row r="348" spans="1:35" s="196" customFormat="1" x14ac:dyDescent="0.15">
      <c r="A348" s="188"/>
      <c r="B348" s="182"/>
      <c r="C348" s="181"/>
      <c r="D348" s="181"/>
      <c r="E348" s="181"/>
      <c r="F348" s="181"/>
      <c r="G348" s="181"/>
      <c r="H348" s="181"/>
      <c r="I348" s="181"/>
      <c r="J348" s="181"/>
      <c r="K348" s="181"/>
      <c r="L348" s="181"/>
      <c r="M348" s="181"/>
      <c r="N348" s="181"/>
      <c r="R348" s="26"/>
      <c r="S348" s="26"/>
      <c r="T348" s="21"/>
      <c r="U348" s="20"/>
      <c r="V348" s="20"/>
      <c r="W348" s="20"/>
      <c r="X348" s="20"/>
      <c r="Y348" s="20"/>
      <c r="Z348" s="50"/>
      <c r="AA348" s="50"/>
      <c r="AB348" s="50"/>
      <c r="AC348" s="50"/>
      <c r="AD348" s="247"/>
      <c r="AE348" s="247"/>
      <c r="AF348" s="50"/>
      <c r="AG348" s="50"/>
      <c r="AH348" s="50"/>
      <c r="AI348" s="50"/>
    </row>
    <row r="349" spans="1:35" s="196" customFormat="1" x14ac:dyDescent="0.15">
      <c r="A349" s="188"/>
      <c r="B349" s="182"/>
      <c r="C349" s="181"/>
      <c r="D349" s="181"/>
      <c r="E349" s="181"/>
      <c r="F349" s="181"/>
      <c r="G349" s="181"/>
      <c r="H349" s="181"/>
      <c r="I349" s="181"/>
      <c r="J349" s="181"/>
      <c r="K349" s="181"/>
      <c r="L349" s="181"/>
      <c r="M349" s="181"/>
      <c r="N349" s="181"/>
      <c r="R349" s="26"/>
      <c r="S349" s="26"/>
      <c r="T349" s="21"/>
      <c r="U349" s="20"/>
      <c r="V349" s="20"/>
      <c r="W349" s="20"/>
      <c r="X349" s="20"/>
      <c r="Y349" s="20"/>
      <c r="Z349" s="50"/>
      <c r="AA349" s="50"/>
      <c r="AB349" s="50"/>
      <c r="AC349" s="50"/>
      <c r="AD349" s="247"/>
      <c r="AE349" s="247"/>
      <c r="AF349" s="50"/>
      <c r="AG349" s="50"/>
      <c r="AH349" s="50"/>
      <c r="AI349" s="50"/>
    </row>
    <row r="350" spans="1:35" s="196" customFormat="1" x14ac:dyDescent="0.15">
      <c r="A350" s="188"/>
      <c r="B350" s="182"/>
      <c r="C350" s="181"/>
      <c r="D350" s="181"/>
      <c r="E350" s="181"/>
      <c r="F350" s="181"/>
      <c r="G350" s="181"/>
      <c r="H350" s="181"/>
      <c r="I350" s="181"/>
      <c r="J350" s="181"/>
      <c r="K350" s="181"/>
      <c r="L350" s="181"/>
      <c r="M350" s="181"/>
      <c r="N350" s="181"/>
      <c r="R350" s="26"/>
      <c r="S350" s="26"/>
      <c r="T350" s="21"/>
      <c r="U350" s="20"/>
      <c r="V350" s="20"/>
      <c r="W350" s="20"/>
      <c r="X350" s="20"/>
      <c r="Y350" s="20"/>
      <c r="Z350" s="50"/>
      <c r="AA350" s="50"/>
      <c r="AB350" s="50"/>
      <c r="AC350" s="50"/>
      <c r="AD350" s="247"/>
      <c r="AE350" s="247"/>
      <c r="AF350" s="50"/>
      <c r="AG350" s="50"/>
      <c r="AH350" s="50"/>
      <c r="AI350" s="50"/>
    </row>
    <row r="351" spans="1:35" s="196" customFormat="1" x14ac:dyDescent="0.15">
      <c r="A351" s="188"/>
      <c r="B351" s="182"/>
      <c r="C351" s="181"/>
      <c r="D351" s="181"/>
      <c r="E351" s="181"/>
      <c r="F351" s="181"/>
      <c r="G351" s="181"/>
      <c r="H351" s="181"/>
      <c r="I351" s="181"/>
      <c r="J351" s="181"/>
      <c r="K351" s="181"/>
      <c r="L351" s="181"/>
      <c r="M351" s="181"/>
      <c r="N351" s="181"/>
      <c r="R351" s="26"/>
      <c r="S351" s="26"/>
      <c r="T351" s="21"/>
      <c r="U351" s="20"/>
      <c r="V351" s="20"/>
      <c r="W351" s="20"/>
      <c r="X351" s="20"/>
      <c r="Y351" s="20"/>
      <c r="Z351" s="50"/>
      <c r="AA351" s="50"/>
      <c r="AB351" s="50"/>
      <c r="AC351" s="50"/>
      <c r="AD351" s="247"/>
      <c r="AE351" s="247"/>
      <c r="AF351" s="50"/>
      <c r="AG351" s="50"/>
      <c r="AH351" s="50"/>
      <c r="AI351" s="50"/>
    </row>
    <row r="352" spans="1:35" s="196" customFormat="1" x14ac:dyDescent="0.15">
      <c r="A352" s="188"/>
      <c r="B352" s="182"/>
      <c r="C352" s="181"/>
      <c r="D352" s="181"/>
      <c r="E352" s="181"/>
      <c r="F352" s="181"/>
      <c r="G352" s="181"/>
      <c r="H352" s="181"/>
      <c r="I352" s="181"/>
      <c r="J352" s="181"/>
      <c r="K352" s="181"/>
      <c r="L352" s="181"/>
      <c r="M352" s="181"/>
      <c r="N352" s="181"/>
      <c r="R352" s="26"/>
      <c r="S352" s="26"/>
      <c r="T352" s="21"/>
      <c r="U352" s="20"/>
      <c r="V352" s="20"/>
      <c r="W352" s="20"/>
      <c r="X352" s="20"/>
      <c r="Y352" s="20"/>
      <c r="Z352" s="50"/>
      <c r="AA352" s="50"/>
      <c r="AB352" s="50"/>
      <c r="AC352" s="50"/>
      <c r="AD352" s="247"/>
      <c r="AE352" s="247"/>
      <c r="AF352" s="50"/>
      <c r="AG352" s="50"/>
      <c r="AH352" s="50"/>
      <c r="AI352" s="50"/>
    </row>
    <row r="353" spans="1:35" s="196" customFormat="1" x14ac:dyDescent="0.15">
      <c r="A353" s="188"/>
      <c r="B353" s="182"/>
      <c r="C353" s="181"/>
      <c r="D353" s="181"/>
      <c r="E353" s="181"/>
      <c r="F353" s="181"/>
      <c r="G353" s="181"/>
      <c r="H353" s="181"/>
      <c r="I353" s="181"/>
      <c r="J353" s="181"/>
      <c r="K353" s="181"/>
      <c r="L353" s="181"/>
      <c r="M353" s="181"/>
      <c r="N353" s="181"/>
      <c r="R353" s="26"/>
      <c r="S353" s="26"/>
      <c r="T353" s="21"/>
      <c r="U353" s="20"/>
      <c r="V353" s="20"/>
      <c r="W353" s="20"/>
      <c r="X353" s="20"/>
      <c r="Y353" s="20"/>
      <c r="Z353" s="50"/>
      <c r="AA353" s="50"/>
      <c r="AB353" s="50"/>
      <c r="AC353" s="50"/>
      <c r="AD353" s="247"/>
      <c r="AE353" s="247"/>
      <c r="AF353" s="50"/>
      <c r="AG353" s="50"/>
      <c r="AH353" s="50"/>
      <c r="AI353" s="50"/>
    </row>
    <row r="354" spans="1:35" s="196" customFormat="1" x14ac:dyDescent="0.15">
      <c r="A354" s="188"/>
      <c r="B354" s="182"/>
      <c r="C354" s="181"/>
      <c r="D354" s="181"/>
      <c r="E354" s="181"/>
      <c r="F354" s="181"/>
      <c r="G354" s="181"/>
      <c r="H354" s="181"/>
      <c r="I354" s="181"/>
      <c r="J354" s="181"/>
      <c r="K354" s="181"/>
      <c r="L354" s="181"/>
      <c r="M354" s="181"/>
      <c r="N354" s="181"/>
      <c r="R354" s="26"/>
      <c r="S354" s="26"/>
      <c r="T354" s="21"/>
      <c r="U354" s="20"/>
      <c r="V354" s="20"/>
      <c r="W354" s="20"/>
      <c r="X354" s="20"/>
      <c r="Y354" s="20"/>
      <c r="Z354" s="50"/>
      <c r="AA354" s="50"/>
      <c r="AB354" s="50"/>
      <c r="AC354" s="50"/>
      <c r="AD354" s="247"/>
      <c r="AE354" s="247"/>
      <c r="AF354" s="50"/>
      <c r="AG354" s="50"/>
      <c r="AH354" s="50"/>
      <c r="AI354" s="50"/>
    </row>
    <row r="355" spans="1:35" s="196" customFormat="1" x14ac:dyDescent="0.15">
      <c r="A355" s="188"/>
      <c r="B355" s="182"/>
      <c r="C355" s="181"/>
      <c r="D355" s="181"/>
      <c r="E355" s="181"/>
      <c r="F355" s="181"/>
      <c r="G355" s="181"/>
      <c r="H355" s="181"/>
      <c r="I355" s="181"/>
      <c r="J355" s="181"/>
      <c r="K355" s="181"/>
      <c r="L355" s="181"/>
      <c r="M355" s="181"/>
      <c r="N355" s="181"/>
      <c r="R355" s="26"/>
      <c r="S355" s="26"/>
      <c r="T355" s="21"/>
      <c r="U355" s="20"/>
      <c r="V355" s="20"/>
      <c r="W355" s="20"/>
      <c r="X355" s="20"/>
      <c r="Y355" s="20"/>
      <c r="Z355" s="50"/>
      <c r="AA355" s="50"/>
      <c r="AB355" s="50"/>
      <c r="AC355" s="50"/>
      <c r="AD355" s="247"/>
      <c r="AE355" s="247"/>
      <c r="AF355" s="50"/>
      <c r="AG355" s="50"/>
      <c r="AH355" s="50"/>
      <c r="AI355" s="50"/>
    </row>
    <row r="356" spans="1:35" s="196" customFormat="1" x14ac:dyDescent="0.15">
      <c r="A356" s="188"/>
      <c r="B356" s="182"/>
      <c r="C356" s="181"/>
      <c r="D356" s="181"/>
      <c r="E356" s="181"/>
      <c r="F356" s="181"/>
      <c r="G356" s="181"/>
      <c r="H356" s="181"/>
      <c r="I356" s="181"/>
      <c r="J356" s="181"/>
      <c r="K356" s="181"/>
      <c r="L356" s="181"/>
      <c r="M356" s="181"/>
      <c r="N356" s="181"/>
      <c r="R356" s="26"/>
      <c r="S356" s="26"/>
      <c r="T356" s="21"/>
      <c r="U356" s="20"/>
      <c r="V356" s="20"/>
      <c r="W356" s="20"/>
      <c r="X356" s="20"/>
      <c r="Y356" s="20"/>
      <c r="Z356" s="50"/>
      <c r="AA356" s="50"/>
      <c r="AB356" s="50"/>
      <c r="AC356" s="50"/>
      <c r="AD356" s="247"/>
      <c r="AE356" s="247"/>
      <c r="AF356" s="50"/>
      <c r="AG356" s="50"/>
      <c r="AH356" s="50"/>
      <c r="AI356" s="50"/>
    </row>
    <row r="357" spans="1:35" s="196" customFormat="1" x14ac:dyDescent="0.15">
      <c r="A357" s="188"/>
      <c r="B357" s="182"/>
      <c r="C357" s="181"/>
      <c r="D357" s="181"/>
      <c r="E357" s="181"/>
      <c r="F357" s="181"/>
      <c r="G357" s="181"/>
      <c r="H357" s="181"/>
      <c r="I357" s="181"/>
      <c r="J357" s="181"/>
      <c r="K357" s="181"/>
      <c r="L357" s="181"/>
      <c r="M357" s="181"/>
      <c r="N357" s="181"/>
      <c r="R357" s="26"/>
      <c r="S357" s="26"/>
      <c r="T357" s="21"/>
      <c r="U357" s="20"/>
      <c r="V357" s="20"/>
      <c r="W357" s="20"/>
      <c r="X357" s="20"/>
      <c r="Y357" s="20"/>
      <c r="Z357" s="50"/>
      <c r="AA357" s="50"/>
      <c r="AB357" s="50"/>
      <c r="AC357" s="50"/>
      <c r="AD357" s="247"/>
      <c r="AE357" s="247"/>
      <c r="AF357" s="50"/>
      <c r="AG357" s="50"/>
      <c r="AH357" s="50"/>
      <c r="AI357" s="50"/>
    </row>
    <row r="358" spans="1:35" s="196" customFormat="1" x14ac:dyDescent="0.15">
      <c r="A358" s="188"/>
      <c r="B358" s="182"/>
      <c r="C358" s="181"/>
      <c r="D358" s="181"/>
      <c r="E358" s="181"/>
      <c r="F358" s="181"/>
      <c r="G358" s="181"/>
      <c r="H358" s="181"/>
      <c r="I358" s="181"/>
      <c r="J358" s="181"/>
      <c r="K358" s="181"/>
      <c r="L358" s="181"/>
      <c r="M358" s="181"/>
      <c r="N358" s="181"/>
      <c r="R358" s="26"/>
      <c r="S358" s="26"/>
      <c r="T358" s="21"/>
      <c r="U358" s="20"/>
      <c r="V358" s="20"/>
      <c r="W358" s="20"/>
      <c r="X358" s="20"/>
      <c r="Y358" s="20"/>
      <c r="Z358" s="50"/>
      <c r="AA358" s="50"/>
      <c r="AB358" s="50"/>
      <c r="AC358" s="50"/>
      <c r="AD358" s="247"/>
      <c r="AE358" s="247"/>
      <c r="AF358" s="50"/>
      <c r="AG358" s="50"/>
      <c r="AH358" s="50"/>
      <c r="AI358" s="50"/>
    </row>
    <row r="359" spans="1:35" s="196" customFormat="1" x14ac:dyDescent="0.15">
      <c r="A359" s="188"/>
      <c r="B359" s="182"/>
      <c r="C359" s="181"/>
      <c r="D359" s="181"/>
      <c r="E359" s="181"/>
      <c r="F359" s="181"/>
      <c r="G359" s="181"/>
      <c r="H359" s="181"/>
      <c r="I359" s="181"/>
      <c r="J359" s="181"/>
      <c r="K359" s="181"/>
      <c r="L359" s="181"/>
      <c r="M359" s="181"/>
      <c r="N359" s="181"/>
      <c r="R359" s="26"/>
      <c r="S359" s="26"/>
      <c r="T359" s="21"/>
      <c r="U359" s="20"/>
      <c r="V359" s="20"/>
      <c r="W359" s="20"/>
      <c r="X359" s="20"/>
      <c r="Y359" s="20"/>
      <c r="Z359" s="50"/>
      <c r="AA359" s="50"/>
      <c r="AB359" s="50"/>
      <c r="AC359" s="50"/>
      <c r="AD359" s="247"/>
      <c r="AE359" s="247"/>
      <c r="AF359" s="50"/>
      <c r="AG359" s="50"/>
      <c r="AH359" s="50"/>
      <c r="AI359" s="50"/>
    </row>
    <row r="360" spans="1:35" s="196" customFormat="1" x14ac:dyDescent="0.15">
      <c r="A360" s="188"/>
      <c r="B360" s="182"/>
      <c r="C360" s="181"/>
      <c r="D360" s="181"/>
      <c r="E360" s="181"/>
      <c r="F360" s="181"/>
      <c r="G360" s="181"/>
      <c r="H360" s="181"/>
      <c r="I360" s="181"/>
      <c r="J360" s="181"/>
      <c r="K360" s="181"/>
      <c r="L360" s="181"/>
      <c r="M360" s="181"/>
      <c r="N360" s="181"/>
      <c r="R360" s="26"/>
      <c r="S360" s="26"/>
      <c r="T360" s="21"/>
      <c r="U360" s="20"/>
      <c r="V360" s="20"/>
      <c r="W360" s="20"/>
      <c r="X360" s="20"/>
      <c r="Y360" s="20"/>
      <c r="Z360" s="50"/>
      <c r="AA360" s="50"/>
      <c r="AB360" s="50"/>
      <c r="AC360" s="50"/>
      <c r="AD360" s="247"/>
      <c r="AE360" s="247"/>
      <c r="AF360" s="50"/>
      <c r="AG360" s="50"/>
      <c r="AH360" s="50"/>
      <c r="AI360" s="50"/>
    </row>
    <row r="361" spans="1:35" s="196" customFormat="1" x14ac:dyDescent="0.15">
      <c r="A361" s="188"/>
      <c r="B361" s="182"/>
      <c r="C361" s="181"/>
      <c r="D361" s="181"/>
      <c r="E361" s="181"/>
      <c r="F361" s="181"/>
      <c r="G361" s="181"/>
      <c r="H361" s="181"/>
      <c r="I361" s="181"/>
      <c r="J361" s="181"/>
      <c r="K361" s="181"/>
      <c r="L361" s="181"/>
      <c r="M361" s="181"/>
      <c r="N361" s="181"/>
      <c r="R361" s="26"/>
      <c r="S361" s="26"/>
      <c r="T361" s="21"/>
      <c r="U361" s="20"/>
      <c r="V361" s="20"/>
      <c r="W361" s="20"/>
      <c r="X361" s="20"/>
      <c r="Y361" s="20"/>
      <c r="Z361" s="50"/>
      <c r="AA361" s="50"/>
      <c r="AB361" s="50"/>
      <c r="AC361" s="50"/>
      <c r="AD361" s="247"/>
      <c r="AE361" s="247"/>
      <c r="AF361" s="50"/>
      <c r="AG361" s="50"/>
      <c r="AH361" s="50"/>
      <c r="AI361" s="50"/>
    </row>
    <row r="362" spans="1:35" s="196" customFormat="1" x14ac:dyDescent="0.15">
      <c r="A362" s="188"/>
      <c r="B362" s="182"/>
      <c r="C362" s="181"/>
      <c r="D362" s="181"/>
      <c r="E362" s="181"/>
      <c r="F362" s="181"/>
      <c r="G362" s="181"/>
      <c r="H362" s="181"/>
      <c r="I362" s="181"/>
      <c r="J362" s="181"/>
      <c r="K362" s="181"/>
      <c r="L362" s="181"/>
      <c r="M362" s="181"/>
      <c r="N362" s="181"/>
      <c r="R362" s="26"/>
      <c r="S362" s="26"/>
      <c r="T362" s="21"/>
      <c r="U362" s="20"/>
      <c r="V362" s="20"/>
      <c r="W362" s="20"/>
      <c r="X362" s="20"/>
      <c r="Y362" s="20"/>
      <c r="Z362" s="50"/>
      <c r="AA362" s="50"/>
      <c r="AB362" s="50"/>
      <c r="AC362" s="50"/>
      <c r="AD362" s="247"/>
      <c r="AE362" s="247"/>
      <c r="AF362" s="50"/>
      <c r="AG362" s="50"/>
      <c r="AH362" s="50"/>
      <c r="AI362" s="50"/>
    </row>
    <row r="363" spans="1:35" s="196" customFormat="1" x14ac:dyDescent="0.15">
      <c r="A363" s="188"/>
      <c r="B363" s="182"/>
      <c r="C363" s="181"/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R363" s="26"/>
      <c r="S363" s="26"/>
      <c r="T363" s="21"/>
      <c r="U363" s="20"/>
      <c r="V363" s="20"/>
      <c r="W363" s="20"/>
      <c r="X363" s="20"/>
      <c r="Y363" s="20"/>
      <c r="Z363" s="50"/>
      <c r="AA363" s="50"/>
      <c r="AB363" s="50"/>
      <c r="AC363" s="50"/>
      <c r="AD363" s="247"/>
      <c r="AE363" s="247"/>
      <c r="AF363" s="50"/>
      <c r="AG363" s="50"/>
      <c r="AH363" s="50"/>
      <c r="AI363" s="50"/>
    </row>
    <row r="364" spans="1:35" s="196" customFormat="1" x14ac:dyDescent="0.15">
      <c r="A364" s="188"/>
      <c r="B364" s="182"/>
      <c r="C364" s="181"/>
      <c r="D364" s="181"/>
      <c r="E364" s="181"/>
      <c r="F364" s="181"/>
      <c r="G364" s="181"/>
      <c r="H364" s="181"/>
      <c r="I364" s="181"/>
      <c r="J364" s="181"/>
      <c r="K364" s="181"/>
      <c r="L364" s="181"/>
      <c r="M364" s="181"/>
      <c r="N364" s="181"/>
      <c r="R364" s="26"/>
      <c r="S364" s="26"/>
      <c r="T364" s="21"/>
      <c r="U364" s="20"/>
      <c r="V364" s="20"/>
      <c r="W364" s="20"/>
      <c r="X364" s="20"/>
      <c r="Y364" s="20"/>
      <c r="Z364" s="50"/>
      <c r="AA364" s="50"/>
      <c r="AB364" s="50"/>
      <c r="AC364" s="50"/>
      <c r="AD364" s="247"/>
      <c r="AE364" s="247"/>
      <c r="AF364" s="50"/>
      <c r="AG364" s="50"/>
      <c r="AH364" s="50"/>
      <c r="AI364" s="50"/>
    </row>
    <row r="365" spans="1:35" s="196" customFormat="1" x14ac:dyDescent="0.15">
      <c r="A365" s="188"/>
      <c r="B365" s="182"/>
      <c r="C365" s="181"/>
      <c r="D365" s="181"/>
      <c r="E365" s="181"/>
      <c r="F365" s="181"/>
      <c r="G365" s="181"/>
      <c r="H365" s="181"/>
      <c r="I365" s="181"/>
      <c r="J365" s="181"/>
      <c r="K365" s="181"/>
      <c r="L365" s="181"/>
      <c r="M365" s="181"/>
      <c r="N365" s="181"/>
      <c r="R365" s="26"/>
      <c r="S365" s="26"/>
      <c r="T365" s="21"/>
      <c r="U365" s="20"/>
      <c r="V365" s="20"/>
      <c r="W365" s="20"/>
      <c r="X365" s="20"/>
      <c r="Y365" s="20"/>
      <c r="Z365" s="50"/>
      <c r="AA365" s="50"/>
      <c r="AB365" s="50"/>
      <c r="AC365" s="50"/>
      <c r="AD365" s="247"/>
      <c r="AE365" s="247"/>
      <c r="AF365" s="50"/>
      <c r="AG365" s="50"/>
      <c r="AH365" s="50"/>
      <c r="AI365" s="50"/>
    </row>
    <row r="366" spans="1:35" s="196" customFormat="1" x14ac:dyDescent="0.15">
      <c r="A366" s="188"/>
      <c r="B366" s="182"/>
      <c r="C366" s="181"/>
      <c r="D366" s="181"/>
      <c r="E366" s="181"/>
      <c r="F366" s="181"/>
      <c r="G366" s="181"/>
      <c r="H366" s="181"/>
      <c r="I366" s="181"/>
      <c r="J366" s="181"/>
      <c r="K366" s="181"/>
      <c r="L366" s="181"/>
      <c r="M366" s="181"/>
      <c r="N366" s="181"/>
      <c r="R366" s="26"/>
      <c r="S366" s="26"/>
      <c r="T366" s="21"/>
      <c r="U366" s="20"/>
      <c r="V366" s="20"/>
      <c r="W366" s="20"/>
      <c r="X366" s="20"/>
      <c r="Y366" s="20"/>
      <c r="Z366" s="50"/>
      <c r="AA366" s="50"/>
      <c r="AB366" s="50"/>
      <c r="AC366" s="50"/>
      <c r="AD366" s="247"/>
      <c r="AE366" s="247"/>
      <c r="AF366" s="50"/>
      <c r="AG366" s="50"/>
      <c r="AH366" s="50"/>
      <c r="AI366" s="50"/>
    </row>
    <row r="367" spans="1:35" s="196" customFormat="1" x14ac:dyDescent="0.15">
      <c r="A367" s="188"/>
      <c r="B367" s="182"/>
      <c r="C367" s="181"/>
      <c r="D367" s="181"/>
      <c r="E367" s="181"/>
      <c r="F367" s="181"/>
      <c r="G367" s="181"/>
      <c r="H367" s="181"/>
      <c r="I367" s="181"/>
      <c r="J367" s="181"/>
      <c r="K367" s="181"/>
      <c r="L367" s="181"/>
      <c r="M367" s="181"/>
      <c r="N367" s="181"/>
      <c r="R367" s="26"/>
      <c r="S367" s="26"/>
      <c r="T367" s="21"/>
      <c r="U367" s="20"/>
      <c r="V367" s="20"/>
      <c r="W367" s="20"/>
      <c r="X367" s="20"/>
      <c r="Y367" s="20"/>
      <c r="Z367" s="50"/>
      <c r="AA367" s="50"/>
      <c r="AB367" s="50"/>
      <c r="AC367" s="50"/>
      <c r="AD367" s="247"/>
      <c r="AE367" s="247"/>
      <c r="AF367" s="50"/>
      <c r="AG367" s="50"/>
      <c r="AH367" s="50"/>
      <c r="AI367" s="50"/>
    </row>
    <row r="368" spans="1:35" s="196" customFormat="1" x14ac:dyDescent="0.15">
      <c r="A368" s="188"/>
      <c r="B368" s="182"/>
      <c r="C368" s="181"/>
      <c r="D368" s="181"/>
      <c r="E368" s="181"/>
      <c r="F368" s="181"/>
      <c r="G368" s="181"/>
      <c r="H368" s="181"/>
      <c r="I368" s="181"/>
      <c r="J368" s="181"/>
      <c r="K368" s="181"/>
      <c r="L368" s="181"/>
      <c r="M368" s="181"/>
      <c r="N368" s="181"/>
      <c r="R368" s="26"/>
      <c r="S368" s="26"/>
      <c r="T368" s="21"/>
      <c r="U368" s="20"/>
      <c r="V368" s="20"/>
      <c r="W368" s="20"/>
      <c r="X368" s="20"/>
      <c r="Y368" s="20"/>
      <c r="Z368" s="50"/>
      <c r="AA368" s="50"/>
      <c r="AB368" s="50"/>
      <c r="AC368" s="50"/>
      <c r="AD368" s="247"/>
      <c r="AE368" s="247"/>
      <c r="AF368" s="50"/>
      <c r="AG368" s="50"/>
      <c r="AH368" s="50"/>
      <c r="AI368" s="50"/>
    </row>
    <row r="369" spans="1:35" s="196" customFormat="1" x14ac:dyDescent="0.15">
      <c r="A369" s="188"/>
      <c r="B369" s="182"/>
      <c r="C369" s="181"/>
      <c r="D369" s="181"/>
      <c r="E369" s="181"/>
      <c r="F369" s="181"/>
      <c r="G369" s="181"/>
      <c r="H369" s="181"/>
      <c r="I369" s="181"/>
      <c r="J369" s="181"/>
      <c r="K369" s="181"/>
      <c r="L369" s="181"/>
      <c r="M369" s="181"/>
      <c r="N369" s="181"/>
      <c r="R369" s="26"/>
      <c r="S369" s="26"/>
      <c r="T369" s="21"/>
      <c r="U369" s="20"/>
      <c r="V369" s="20"/>
      <c r="W369" s="20"/>
      <c r="X369" s="20"/>
      <c r="Y369" s="20"/>
      <c r="Z369" s="50"/>
      <c r="AA369" s="50"/>
      <c r="AB369" s="50"/>
      <c r="AC369" s="50"/>
      <c r="AD369" s="247"/>
      <c r="AE369" s="247"/>
      <c r="AF369" s="50"/>
      <c r="AG369" s="50"/>
      <c r="AH369" s="50"/>
      <c r="AI369" s="50"/>
    </row>
    <row r="370" spans="1:35" s="196" customFormat="1" x14ac:dyDescent="0.15">
      <c r="A370" s="188"/>
      <c r="B370" s="182"/>
      <c r="C370" s="181"/>
      <c r="D370" s="181"/>
      <c r="E370" s="181"/>
      <c r="F370" s="181"/>
      <c r="G370" s="181"/>
      <c r="H370" s="181"/>
      <c r="I370" s="181"/>
      <c r="J370" s="181"/>
      <c r="K370" s="181"/>
      <c r="L370" s="181"/>
      <c r="M370" s="181"/>
      <c r="N370" s="181"/>
      <c r="R370" s="26"/>
      <c r="S370" s="26"/>
      <c r="T370" s="21"/>
      <c r="U370" s="20"/>
      <c r="V370" s="20"/>
      <c r="W370" s="20"/>
      <c r="X370" s="20"/>
      <c r="Y370" s="20"/>
      <c r="Z370" s="50"/>
      <c r="AA370" s="50"/>
      <c r="AB370" s="50"/>
      <c r="AC370" s="50"/>
      <c r="AD370" s="247"/>
      <c r="AE370" s="247"/>
      <c r="AF370" s="50"/>
      <c r="AG370" s="50"/>
      <c r="AH370" s="50"/>
      <c r="AI370" s="50"/>
    </row>
    <row r="371" spans="1:35" s="196" customFormat="1" x14ac:dyDescent="0.15">
      <c r="A371" s="188"/>
      <c r="B371" s="182"/>
      <c r="C371" s="181"/>
      <c r="D371" s="181"/>
      <c r="E371" s="181"/>
      <c r="F371" s="181"/>
      <c r="G371" s="181"/>
      <c r="H371" s="181"/>
      <c r="I371" s="181"/>
      <c r="J371" s="181"/>
      <c r="K371" s="181"/>
      <c r="L371" s="181"/>
      <c r="M371" s="181"/>
      <c r="N371" s="181"/>
      <c r="R371" s="26"/>
      <c r="S371" s="26"/>
      <c r="T371" s="21"/>
      <c r="U371" s="20"/>
      <c r="V371" s="20"/>
      <c r="W371" s="20"/>
      <c r="X371" s="20"/>
      <c r="Y371" s="20"/>
      <c r="Z371" s="50"/>
      <c r="AA371" s="50"/>
      <c r="AB371" s="50"/>
      <c r="AC371" s="50"/>
      <c r="AD371" s="247"/>
      <c r="AE371" s="247"/>
      <c r="AF371" s="50"/>
      <c r="AG371" s="50"/>
      <c r="AH371" s="50"/>
      <c r="AI371" s="50"/>
    </row>
    <row r="372" spans="1:35" s="196" customFormat="1" x14ac:dyDescent="0.15">
      <c r="A372" s="188"/>
      <c r="B372" s="182"/>
      <c r="C372" s="181"/>
      <c r="D372" s="181"/>
      <c r="E372" s="181"/>
      <c r="F372" s="181"/>
      <c r="G372" s="181"/>
      <c r="H372" s="181"/>
      <c r="I372" s="181"/>
      <c r="J372" s="181"/>
      <c r="K372" s="181"/>
      <c r="L372" s="181"/>
      <c r="M372" s="181"/>
      <c r="N372" s="181"/>
      <c r="R372" s="26"/>
      <c r="S372" s="26"/>
      <c r="T372" s="21"/>
      <c r="U372" s="20"/>
      <c r="V372" s="20"/>
      <c r="W372" s="20"/>
      <c r="X372" s="20"/>
      <c r="Y372" s="20"/>
      <c r="Z372" s="50"/>
      <c r="AA372" s="50"/>
      <c r="AB372" s="50"/>
      <c r="AC372" s="50"/>
      <c r="AD372" s="247"/>
      <c r="AE372" s="247"/>
      <c r="AF372" s="50"/>
      <c r="AG372" s="50"/>
      <c r="AH372" s="50"/>
      <c r="AI372" s="50"/>
    </row>
    <row r="373" spans="1:35" s="196" customFormat="1" x14ac:dyDescent="0.15">
      <c r="A373" s="188"/>
      <c r="B373" s="182"/>
      <c r="C373" s="181"/>
      <c r="D373" s="181"/>
      <c r="E373" s="181"/>
      <c r="F373" s="181"/>
      <c r="G373" s="181"/>
      <c r="H373" s="181"/>
      <c r="I373" s="181"/>
      <c r="J373" s="181"/>
      <c r="K373" s="181"/>
      <c r="L373" s="181"/>
      <c r="M373" s="181"/>
      <c r="N373" s="181"/>
      <c r="R373" s="26"/>
      <c r="S373" s="26"/>
      <c r="T373" s="21"/>
      <c r="U373" s="20"/>
      <c r="V373" s="20"/>
      <c r="W373" s="20"/>
      <c r="X373" s="20"/>
      <c r="Y373" s="20"/>
      <c r="Z373" s="50"/>
      <c r="AA373" s="50"/>
      <c r="AB373" s="50"/>
      <c r="AC373" s="50"/>
      <c r="AD373" s="247"/>
      <c r="AE373" s="247"/>
      <c r="AF373" s="50"/>
      <c r="AG373" s="50"/>
      <c r="AH373" s="50"/>
      <c r="AI373" s="50"/>
    </row>
    <row r="374" spans="1:35" s="196" customFormat="1" x14ac:dyDescent="0.15">
      <c r="A374" s="188"/>
      <c r="B374" s="182"/>
      <c r="C374" s="181"/>
      <c r="D374" s="181"/>
      <c r="E374" s="181"/>
      <c r="F374" s="181"/>
      <c r="G374" s="181"/>
      <c r="H374" s="181"/>
      <c r="I374" s="181"/>
      <c r="J374" s="181"/>
      <c r="K374" s="181"/>
      <c r="L374" s="181"/>
      <c r="M374" s="181"/>
      <c r="N374" s="181"/>
      <c r="R374" s="26"/>
      <c r="S374" s="26"/>
      <c r="T374" s="21"/>
      <c r="U374" s="20"/>
      <c r="V374" s="20"/>
      <c r="W374" s="20"/>
      <c r="X374" s="20"/>
      <c r="Y374" s="20"/>
      <c r="Z374" s="50"/>
      <c r="AA374" s="50"/>
      <c r="AB374" s="50"/>
      <c r="AC374" s="50"/>
      <c r="AD374" s="247"/>
      <c r="AE374" s="247"/>
      <c r="AF374" s="50"/>
      <c r="AG374" s="50"/>
      <c r="AH374" s="50"/>
      <c r="AI374" s="50"/>
    </row>
    <row r="375" spans="1:35" s="196" customFormat="1" x14ac:dyDescent="0.15">
      <c r="A375" s="188"/>
      <c r="B375" s="182"/>
      <c r="C375" s="181"/>
      <c r="D375" s="181"/>
      <c r="E375" s="181"/>
      <c r="F375" s="181"/>
      <c r="G375" s="181"/>
      <c r="H375" s="181"/>
      <c r="I375" s="181"/>
      <c r="J375" s="181"/>
      <c r="K375" s="181"/>
      <c r="L375" s="181"/>
      <c r="M375" s="181"/>
      <c r="N375" s="181"/>
      <c r="R375" s="26"/>
      <c r="S375" s="26"/>
      <c r="T375" s="21"/>
      <c r="U375" s="20"/>
      <c r="V375" s="20"/>
      <c r="W375" s="20"/>
      <c r="X375" s="20"/>
      <c r="Y375" s="20"/>
      <c r="Z375" s="50"/>
      <c r="AA375" s="50"/>
      <c r="AB375" s="50"/>
      <c r="AC375" s="50"/>
      <c r="AD375" s="247"/>
      <c r="AE375" s="247"/>
      <c r="AF375" s="50"/>
      <c r="AG375" s="50"/>
      <c r="AH375" s="50"/>
      <c r="AI375" s="50"/>
    </row>
    <row r="376" spans="1:35" s="196" customFormat="1" x14ac:dyDescent="0.15">
      <c r="A376" s="188"/>
      <c r="B376" s="182"/>
      <c r="C376" s="181"/>
      <c r="D376" s="181"/>
      <c r="E376" s="181"/>
      <c r="F376" s="181"/>
      <c r="G376" s="181"/>
      <c r="H376" s="181"/>
      <c r="I376" s="181"/>
      <c r="J376" s="181"/>
      <c r="K376" s="181"/>
      <c r="L376" s="181"/>
      <c r="M376" s="181"/>
      <c r="N376" s="181"/>
      <c r="R376" s="26"/>
      <c r="S376" s="26"/>
      <c r="T376" s="21"/>
      <c r="U376" s="20"/>
      <c r="V376" s="20"/>
      <c r="W376" s="20"/>
      <c r="X376" s="20"/>
      <c r="Y376" s="20"/>
      <c r="Z376" s="50"/>
      <c r="AA376" s="50"/>
      <c r="AB376" s="50"/>
      <c r="AC376" s="50"/>
      <c r="AD376" s="247"/>
      <c r="AE376" s="247"/>
      <c r="AF376" s="50"/>
      <c r="AG376" s="50"/>
      <c r="AH376" s="50"/>
      <c r="AI376" s="50"/>
    </row>
    <row r="377" spans="1:35" s="196" customFormat="1" x14ac:dyDescent="0.15">
      <c r="A377" s="188"/>
      <c r="B377" s="182"/>
      <c r="C377" s="181"/>
      <c r="D377" s="181"/>
      <c r="E377" s="181"/>
      <c r="F377" s="181"/>
      <c r="G377" s="181"/>
      <c r="H377" s="181"/>
      <c r="I377" s="181"/>
      <c r="J377" s="181"/>
      <c r="K377" s="181"/>
      <c r="L377" s="181"/>
      <c r="M377" s="181"/>
      <c r="N377" s="181"/>
      <c r="R377" s="26"/>
      <c r="S377" s="26"/>
      <c r="T377" s="21"/>
      <c r="U377" s="20"/>
      <c r="V377" s="20"/>
      <c r="W377" s="20"/>
      <c r="X377" s="20"/>
      <c r="Y377" s="20"/>
      <c r="Z377" s="50"/>
      <c r="AA377" s="50"/>
      <c r="AB377" s="50"/>
      <c r="AC377" s="50"/>
      <c r="AD377" s="247"/>
      <c r="AE377" s="247"/>
      <c r="AF377" s="50"/>
      <c r="AG377" s="50"/>
      <c r="AH377" s="50"/>
      <c r="AI377" s="50"/>
    </row>
    <row r="378" spans="1:35" s="196" customFormat="1" x14ac:dyDescent="0.15">
      <c r="A378" s="188"/>
      <c r="B378" s="182"/>
      <c r="C378" s="181"/>
      <c r="D378" s="181"/>
      <c r="E378" s="181"/>
      <c r="F378" s="181"/>
      <c r="G378" s="181"/>
      <c r="H378" s="181"/>
      <c r="I378" s="181"/>
      <c r="J378" s="181"/>
      <c r="K378" s="181"/>
      <c r="L378" s="181"/>
      <c r="M378" s="181"/>
      <c r="N378" s="181"/>
      <c r="R378" s="26"/>
      <c r="S378" s="26"/>
      <c r="T378" s="21"/>
      <c r="U378" s="20"/>
      <c r="V378" s="20"/>
      <c r="W378" s="20"/>
      <c r="X378" s="20"/>
      <c r="Y378" s="20"/>
      <c r="Z378" s="50"/>
      <c r="AA378" s="50"/>
      <c r="AB378" s="50"/>
      <c r="AC378" s="50"/>
      <c r="AD378" s="247"/>
      <c r="AE378" s="247"/>
      <c r="AF378" s="50"/>
      <c r="AG378" s="50"/>
      <c r="AH378" s="50"/>
      <c r="AI378" s="50"/>
    </row>
    <row r="379" spans="1:35" s="196" customFormat="1" x14ac:dyDescent="0.15">
      <c r="A379" s="188"/>
      <c r="B379" s="182"/>
      <c r="C379" s="181"/>
      <c r="D379" s="181"/>
      <c r="E379" s="181"/>
      <c r="F379" s="181"/>
      <c r="G379" s="181"/>
      <c r="H379" s="181"/>
      <c r="I379" s="181"/>
      <c r="J379" s="181"/>
      <c r="K379" s="181"/>
      <c r="L379" s="181"/>
      <c r="M379" s="181"/>
      <c r="N379" s="181"/>
      <c r="R379" s="26"/>
      <c r="S379" s="26"/>
      <c r="T379" s="21"/>
      <c r="U379" s="20"/>
      <c r="V379" s="20"/>
      <c r="W379" s="20"/>
      <c r="X379" s="20"/>
      <c r="Y379" s="20"/>
      <c r="Z379" s="50"/>
      <c r="AA379" s="50"/>
      <c r="AB379" s="50"/>
      <c r="AC379" s="50"/>
      <c r="AD379" s="247"/>
      <c r="AE379" s="247"/>
      <c r="AF379" s="50"/>
      <c r="AG379" s="50"/>
      <c r="AH379" s="50"/>
      <c r="AI379" s="50"/>
    </row>
    <row r="380" spans="1:35" s="196" customFormat="1" x14ac:dyDescent="0.15">
      <c r="A380" s="188"/>
      <c r="B380" s="182"/>
      <c r="C380" s="181"/>
      <c r="D380" s="181"/>
      <c r="E380" s="181"/>
      <c r="F380" s="181"/>
      <c r="G380" s="181"/>
      <c r="H380" s="181"/>
      <c r="I380" s="181"/>
      <c r="J380" s="181"/>
      <c r="K380" s="181"/>
      <c r="L380" s="181"/>
      <c r="M380" s="181"/>
      <c r="N380" s="181"/>
      <c r="R380" s="26"/>
      <c r="S380" s="26"/>
      <c r="T380" s="21"/>
      <c r="U380" s="20"/>
      <c r="V380" s="20"/>
      <c r="W380" s="20"/>
      <c r="X380" s="20"/>
      <c r="Y380" s="20"/>
      <c r="Z380" s="50"/>
      <c r="AA380" s="50"/>
      <c r="AB380" s="50"/>
      <c r="AC380" s="50"/>
      <c r="AD380" s="247"/>
      <c r="AE380" s="247"/>
      <c r="AF380" s="50"/>
      <c r="AG380" s="50"/>
      <c r="AH380" s="50"/>
      <c r="AI380" s="50"/>
    </row>
    <row r="381" spans="1:35" s="196" customFormat="1" x14ac:dyDescent="0.15">
      <c r="A381" s="188"/>
      <c r="B381" s="182"/>
      <c r="C381" s="181"/>
      <c r="D381" s="181"/>
      <c r="E381" s="181"/>
      <c r="F381" s="181"/>
      <c r="G381" s="181"/>
      <c r="H381" s="181"/>
      <c r="I381" s="181"/>
      <c r="J381" s="181"/>
      <c r="K381" s="181"/>
      <c r="L381" s="181"/>
      <c r="M381" s="181"/>
      <c r="N381" s="181"/>
      <c r="R381" s="26"/>
      <c r="S381" s="26"/>
      <c r="T381" s="21"/>
      <c r="U381" s="20"/>
      <c r="V381" s="20"/>
      <c r="W381" s="20"/>
      <c r="X381" s="20"/>
      <c r="Y381" s="20"/>
      <c r="Z381" s="50"/>
      <c r="AA381" s="50"/>
      <c r="AB381" s="50"/>
      <c r="AC381" s="50"/>
      <c r="AD381" s="247"/>
      <c r="AE381" s="247"/>
      <c r="AF381" s="50"/>
      <c r="AG381" s="50"/>
      <c r="AH381" s="50"/>
      <c r="AI381" s="50"/>
    </row>
    <row r="382" spans="1:35" s="196" customFormat="1" x14ac:dyDescent="0.15">
      <c r="A382" s="188"/>
      <c r="B382" s="182"/>
      <c r="C382" s="181"/>
      <c r="D382" s="181"/>
      <c r="E382" s="181"/>
      <c r="F382" s="181"/>
      <c r="G382" s="181"/>
      <c r="H382" s="181"/>
      <c r="I382" s="181"/>
      <c r="J382" s="181"/>
      <c r="K382" s="181"/>
      <c r="L382" s="181"/>
      <c r="M382" s="181"/>
      <c r="N382" s="181"/>
      <c r="R382" s="26"/>
      <c r="S382" s="26"/>
      <c r="T382" s="21"/>
      <c r="U382" s="20"/>
      <c r="V382" s="20"/>
      <c r="W382" s="20"/>
      <c r="X382" s="20"/>
      <c r="Y382" s="20"/>
      <c r="Z382" s="50"/>
      <c r="AA382" s="50"/>
      <c r="AB382" s="50"/>
      <c r="AC382" s="50"/>
      <c r="AD382" s="247"/>
      <c r="AE382" s="247"/>
      <c r="AF382" s="50"/>
      <c r="AG382" s="50"/>
      <c r="AH382" s="50"/>
      <c r="AI382" s="50"/>
    </row>
    <row r="383" spans="1:35" s="196" customFormat="1" x14ac:dyDescent="0.15">
      <c r="A383" s="188"/>
      <c r="B383" s="182"/>
      <c r="C383" s="181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R383" s="26"/>
      <c r="S383" s="26"/>
      <c r="T383" s="21"/>
      <c r="U383" s="20"/>
      <c r="V383" s="20"/>
      <c r="W383" s="20"/>
      <c r="X383" s="20"/>
      <c r="Y383" s="20"/>
      <c r="Z383" s="50"/>
      <c r="AA383" s="50"/>
      <c r="AB383" s="50"/>
      <c r="AC383" s="50"/>
      <c r="AD383" s="247"/>
      <c r="AE383" s="247"/>
      <c r="AF383" s="50"/>
      <c r="AG383" s="50"/>
      <c r="AH383" s="50"/>
      <c r="AI383" s="50"/>
    </row>
    <row r="384" spans="1:35" s="196" customFormat="1" x14ac:dyDescent="0.15">
      <c r="A384" s="188"/>
      <c r="B384" s="182"/>
      <c r="C384" s="181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R384" s="26"/>
      <c r="S384" s="26"/>
      <c r="T384" s="21"/>
      <c r="U384" s="20"/>
      <c r="V384" s="20"/>
      <c r="W384" s="20"/>
      <c r="X384" s="20"/>
      <c r="Y384" s="20"/>
      <c r="Z384" s="50"/>
      <c r="AA384" s="50"/>
      <c r="AB384" s="50"/>
      <c r="AC384" s="50"/>
      <c r="AD384" s="247"/>
      <c r="AE384" s="247"/>
      <c r="AF384" s="50"/>
      <c r="AG384" s="50"/>
      <c r="AH384" s="50"/>
      <c r="AI384" s="50"/>
    </row>
    <row r="385" spans="1:35" s="196" customFormat="1" x14ac:dyDescent="0.15">
      <c r="A385" s="188"/>
      <c r="B385" s="182"/>
      <c r="C385" s="181"/>
      <c r="D385" s="181"/>
      <c r="E385" s="181"/>
      <c r="F385" s="181"/>
      <c r="G385" s="181"/>
      <c r="H385" s="181"/>
      <c r="I385" s="181"/>
      <c r="J385" s="181"/>
      <c r="K385" s="181"/>
      <c r="L385" s="181"/>
      <c r="M385" s="181"/>
      <c r="N385" s="181"/>
      <c r="R385" s="26"/>
      <c r="S385" s="26"/>
      <c r="T385" s="21"/>
      <c r="U385" s="20"/>
      <c r="V385" s="20"/>
      <c r="W385" s="20"/>
      <c r="X385" s="20"/>
      <c r="Y385" s="20"/>
      <c r="Z385" s="50"/>
      <c r="AA385" s="50"/>
      <c r="AB385" s="50"/>
      <c r="AC385" s="50"/>
      <c r="AD385" s="247"/>
      <c r="AE385" s="247"/>
      <c r="AF385" s="50"/>
      <c r="AG385" s="50"/>
      <c r="AH385" s="50"/>
      <c r="AI385" s="50"/>
    </row>
    <row r="386" spans="1:35" s="196" customFormat="1" x14ac:dyDescent="0.15">
      <c r="A386" s="188"/>
      <c r="B386" s="182"/>
      <c r="C386" s="181"/>
      <c r="D386" s="181"/>
      <c r="E386" s="181"/>
      <c r="F386" s="181"/>
      <c r="G386" s="181"/>
      <c r="H386" s="181"/>
      <c r="I386" s="181"/>
      <c r="J386" s="181"/>
      <c r="K386" s="181"/>
      <c r="L386" s="181"/>
      <c r="M386" s="181"/>
      <c r="N386" s="181"/>
      <c r="R386" s="26"/>
      <c r="S386" s="26"/>
      <c r="T386" s="21"/>
      <c r="U386" s="20"/>
      <c r="V386" s="20"/>
      <c r="W386" s="20"/>
      <c r="X386" s="20"/>
      <c r="Y386" s="20"/>
      <c r="Z386" s="50"/>
      <c r="AA386" s="50"/>
      <c r="AB386" s="50"/>
      <c r="AC386" s="50"/>
      <c r="AD386" s="247"/>
      <c r="AE386" s="247"/>
      <c r="AF386" s="50"/>
      <c r="AG386" s="50"/>
      <c r="AH386" s="50"/>
      <c r="AI386" s="50"/>
    </row>
    <row r="387" spans="1:35" s="196" customFormat="1" x14ac:dyDescent="0.15">
      <c r="A387" s="188"/>
      <c r="B387" s="182"/>
      <c r="C387" s="181"/>
      <c r="D387" s="181"/>
      <c r="E387" s="181"/>
      <c r="F387" s="181"/>
      <c r="G387" s="181"/>
      <c r="H387" s="181"/>
      <c r="I387" s="181"/>
      <c r="J387" s="181"/>
      <c r="K387" s="181"/>
      <c r="L387" s="181"/>
      <c r="M387" s="181"/>
      <c r="N387" s="181"/>
      <c r="R387" s="26"/>
      <c r="S387" s="26"/>
      <c r="T387" s="21"/>
      <c r="U387" s="20"/>
      <c r="V387" s="20"/>
      <c r="W387" s="20"/>
      <c r="X387" s="20"/>
      <c r="Y387" s="20"/>
      <c r="Z387" s="50"/>
      <c r="AA387" s="50"/>
      <c r="AB387" s="50"/>
      <c r="AC387" s="50"/>
      <c r="AD387" s="247"/>
      <c r="AE387" s="247"/>
      <c r="AF387" s="50"/>
      <c r="AG387" s="50"/>
      <c r="AH387" s="50"/>
      <c r="AI387" s="50"/>
    </row>
    <row r="388" spans="1:35" s="196" customFormat="1" x14ac:dyDescent="0.15">
      <c r="A388" s="188"/>
      <c r="B388" s="182"/>
      <c r="C388" s="181"/>
      <c r="D388" s="181"/>
      <c r="E388" s="181"/>
      <c r="F388" s="181"/>
      <c r="G388" s="181"/>
      <c r="H388" s="181"/>
      <c r="I388" s="181"/>
      <c r="J388" s="181"/>
      <c r="K388" s="181"/>
      <c r="L388" s="181"/>
      <c r="M388" s="181"/>
      <c r="N388" s="181"/>
      <c r="R388" s="26"/>
      <c r="S388" s="26"/>
      <c r="T388" s="21"/>
      <c r="U388" s="20"/>
      <c r="V388" s="20"/>
      <c r="W388" s="20"/>
      <c r="X388" s="20"/>
      <c r="Y388" s="20"/>
      <c r="Z388" s="39"/>
      <c r="AA388" s="39"/>
      <c r="AB388" s="39"/>
      <c r="AC388" s="39"/>
      <c r="AD388" s="247"/>
      <c r="AE388" s="247"/>
      <c r="AF388" s="39"/>
      <c r="AG388" s="39"/>
      <c r="AH388" s="39"/>
      <c r="AI388" s="39"/>
    </row>
    <row r="389" spans="1:35" s="196" customFormat="1" x14ac:dyDescent="0.15">
      <c r="A389" s="188"/>
      <c r="B389" s="182"/>
      <c r="C389" s="181"/>
      <c r="D389" s="181"/>
      <c r="E389" s="181"/>
      <c r="F389" s="181"/>
      <c r="G389" s="181"/>
      <c r="H389" s="181"/>
      <c r="I389" s="181"/>
      <c r="J389" s="181"/>
      <c r="K389" s="181"/>
      <c r="L389" s="181"/>
      <c r="M389" s="181"/>
      <c r="N389" s="181"/>
      <c r="R389" s="26"/>
      <c r="S389" s="26"/>
      <c r="T389" s="21"/>
      <c r="U389" s="20"/>
      <c r="V389" s="20"/>
      <c r="W389" s="20"/>
      <c r="X389" s="20"/>
      <c r="Y389" s="20"/>
      <c r="Z389" s="39"/>
      <c r="AA389" s="39"/>
      <c r="AB389" s="39"/>
      <c r="AC389" s="39"/>
      <c r="AD389" s="247"/>
      <c r="AE389" s="247"/>
      <c r="AF389" s="39"/>
      <c r="AG389" s="39"/>
      <c r="AH389" s="39"/>
      <c r="AI389" s="39"/>
    </row>
    <row r="390" spans="1:35" s="196" customFormat="1" x14ac:dyDescent="0.15">
      <c r="A390" s="188"/>
      <c r="B390" s="182"/>
      <c r="C390" s="181"/>
      <c r="D390" s="181"/>
      <c r="E390" s="181"/>
      <c r="F390" s="181"/>
      <c r="G390" s="181"/>
      <c r="H390" s="181"/>
      <c r="I390" s="181"/>
      <c r="J390" s="181"/>
      <c r="K390" s="181"/>
      <c r="L390" s="181"/>
      <c r="M390" s="181"/>
      <c r="N390" s="181"/>
      <c r="R390" s="26"/>
      <c r="S390" s="26"/>
      <c r="T390" s="21"/>
      <c r="U390" s="20"/>
      <c r="V390" s="20"/>
      <c r="W390" s="20"/>
      <c r="X390" s="20"/>
      <c r="Y390" s="20"/>
      <c r="Z390" s="39"/>
      <c r="AA390" s="39"/>
      <c r="AB390" s="39"/>
      <c r="AC390" s="39"/>
      <c r="AD390" s="247"/>
      <c r="AE390" s="247"/>
      <c r="AF390" s="39"/>
      <c r="AG390" s="39"/>
      <c r="AH390" s="39"/>
      <c r="AI390" s="39"/>
    </row>
    <row r="391" spans="1:35" s="196" customFormat="1" x14ac:dyDescent="0.15">
      <c r="A391" s="188"/>
      <c r="B391" s="182"/>
      <c r="C391" s="181"/>
      <c r="D391" s="181"/>
      <c r="E391" s="181"/>
      <c r="F391" s="181"/>
      <c r="G391" s="181"/>
      <c r="H391" s="181"/>
      <c r="I391" s="181"/>
      <c r="J391" s="181"/>
      <c r="K391" s="181"/>
      <c r="L391" s="181"/>
      <c r="M391" s="181"/>
      <c r="N391" s="181"/>
      <c r="R391" s="26"/>
      <c r="S391" s="26"/>
      <c r="T391" s="21"/>
      <c r="U391" s="20"/>
      <c r="V391" s="20"/>
      <c r="W391" s="20"/>
      <c r="X391" s="20"/>
      <c r="Y391" s="20"/>
      <c r="Z391" s="39"/>
      <c r="AA391" s="39"/>
      <c r="AB391" s="39"/>
      <c r="AC391" s="39"/>
      <c r="AD391" s="247"/>
      <c r="AE391" s="247"/>
      <c r="AF391" s="39"/>
      <c r="AG391" s="39"/>
      <c r="AH391" s="39"/>
      <c r="AI391" s="39"/>
    </row>
    <row r="392" spans="1:35" s="196" customFormat="1" x14ac:dyDescent="0.15">
      <c r="A392" s="188"/>
      <c r="B392" s="182"/>
      <c r="C392" s="181"/>
      <c r="D392" s="181"/>
      <c r="E392" s="181"/>
      <c r="F392" s="181"/>
      <c r="G392" s="181"/>
      <c r="H392" s="181"/>
      <c r="I392" s="181"/>
      <c r="J392" s="181"/>
      <c r="K392" s="181"/>
      <c r="L392" s="181"/>
      <c r="M392" s="181"/>
      <c r="N392" s="181"/>
      <c r="R392" s="26"/>
      <c r="S392" s="26"/>
      <c r="T392" s="21"/>
      <c r="U392" s="20"/>
      <c r="V392" s="20"/>
      <c r="W392" s="20"/>
      <c r="X392" s="20"/>
      <c r="Y392" s="20"/>
      <c r="Z392" s="39"/>
      <c r="AA392" s="39"/>
      <c r="AB392" s="39"/>
      <c r="AC392" s="39"/>
      <c r="AD392" s="247"/>
      <c r="AE392" s="247"/>
      <c r="AF392" s="39"/>
      <c r="AG392" s="39"/>
      <c r="AH392" s="39"/>
      <c r="AI392" s="39"/>
    </row>
    <row r="393" spans="1:35" s="196" customFormat="1" x14ac:dyDescent="0.15">
      <c r="A393" s="188"/>
      <c r="B393" s="182"/>
      <c r="C393" s="181"/>
      <c r="D393" s="181"/>
      <c r="E393" s="181"/>
      <c r="F393" s="181"/>
      <c r="G393" s="181"/>
      <c r="H393" s="181"/>
      <c r="I393" s="181"/>
      <c r="J393" s="181"/>
      <c r="K393" s="181"/>
      <c r="L393" s="181"/>
      <c r="M393" s="181"/>
      <c r="N393" s="181"/>
      <c r="R393" s="26"/>
      <c r="S393" s="26"/>
      <c r="T393" s="21"/>
      <c r="U393" s="20"/>
      <c r="V393" s="20"/>
      <c r="W393" s="20"/>
      <c r="X393" s="20"/>
      <c r="Y393" s="20"/>
      <c r="Z393" s="39"/>
      <c r="AA393" s="39"/>
      <c r="AB393" s="39"/>
      <c r="AC393" s="39"/>
      <c r="AD393" s="247"/>
      <c r="AE393" s="247"/>
      <c r="AF393" s="39"/>
      <c r="AG393" s="39"/>
      <c r="AH393" s="39"/>
      <c r="AI393" s="39"/>
    </row>
    <row r="394" spans="1:35" s="196" customFormat="1" x14ac:dyDescent="0.15">
      <c r="A394" s="188"/>
      <c r="B394" s="182"/>
      <c r="C394" s="181"/>
      <c r="D394" s="181"/>
      <c r="E394" s="181"/>
      <c r="F394" s="181"/>
      <c r="G394" s="181"/>
      <c r="H394" s="181"/>
      <c r="I394" s="181"/>
      <c r="J394" s="181"/>
      <c r="K394" s="181"/>
      <c r="L394" s="181"/>
      <c r="M394" s="181"/>
      <c r="N394" s="181"/>
      <c r="R394" s="26"/>
      <c r="S394" s="26"/>
      <c r="T394" s="21"/>
      <c r="U394" s="20"/>
      <c r="V394" s="20"/>
      <c r="W394" s="20"/>
      <c r="X394" s="20"/>
      <c r="Y394" s="20"/>
      <c r="Z394" s="39"/>
      <c r="AA394" s="39"/>
      <c r="AB394" s="39"/>
      <c r="AC394" s="39"/>
      <c r="AD394" s="247"/>
      <c r="AE394" s="247"/>
      <c r="AF394" s="39"/>
      <c r="AG394" s="39"/>
      <c r="AH394" s="39"/>
      <c r="AI394" s="39"/>
    </row>
    <row r="395" spans="1:35" s="196" customFormat="1" x14ac:dyDescent="0.15">
      <c r="A395" s="188"/>
      <c r="B395" s="182"/>
      <c r="C395" s="181"/>
      <c r="D395" s="181"/>
      <c r="E395" s="181"/>
      <c r="F395" s="181"/>
      <c r="G395" s="181"/>
      <c r="H395" s="181"/>
      <c r="I395" s="181"/>
      <c r="J395" s="181"/>
      <c r="K395" s="181"/>
      <c r="L395" s="181"/>
      <c r="M395" s="181"/>
      <c r="N395" s="181"/>
      <c r="R395" s="26"/>
      <c r="S395" s="26"/>
      <c r="T395" s="21"/>
      <c r="U395" s="20"/>
      <c r="V395" s="20"/>
      <c r="W395" s="20"/>
      <c r="X395" s="20"/>
      <c r="Y395" s="20"/>
      <c r="Z395" s="39"/>
      <c r="AA395" s="39"/>
      <c r="AB395" s="39"/>
      <c r="AC395" s="39"/>
      <c r="AD395" s="247"/>
      <c r="AE395" s="247"/>
      <c r="AF395" s="39"/>
      <c r="AG395" s="39"/>
      <c r="AH395" s="39"/>
      <c r="AI395" s="39"/>
    </row>
    <row r="396" spans="1:35" s="196" customFormat="1" x14ac:dyDescent="0.15">
      <c r="A396" s="188"/>
      <c r="B396" s="182"/>
      <c r="C396" s="181"/>
      <c r="D396" s="181"/>
      <c r="E396" s="181"/>
      <c r="F396" s="181"/>
      <c r="G396" s="181"/>
      <c r="H396" s="181"/>
      <c r="I396" s="181"/>
      <c r="J396" s="181"/>
      <c r="K396" s="181"/>
      <c r="L396" s="181"/>
      <c r="M396" s="181"/>
      <c r="N396" s="181"/>
      <c r="R396" s="26"/>
      <c r="S396" s="26"/>
      <c r="T396" s="21"/>
      <c r="U396" s="20"/>
      <c r="V396" s="20"/>
      <c r="W396" s="20"/>
      <c r="X396" s="20"/>
      <c r="Y396" s="20"/>
      <c r="Z396" s="39"/>
      <c r="AA396" s="39"/>
      <c r="AB396" s="39"/>
      <c r="AC396" s="39"/>
      <c r="AD396" s="247"/>
      <c r="AE396" s="247"/>
      <c r="AF396" s="39"/>
      <c r="AG396" s="39"/>
      <c r="AH396" s="39"/>
      <c r="AI396" s="39"/>
    </row>
    <row r="397" spans="1:35" s="196" customFormat="1" x14ac:dyDescent="0.15">
      <c r="A397" s="188"/>
      <c r="B397" s="182"/>
      <c r="C397" s="181"/>
      <c r="D397" s="181"/>
      <c r="E397" s="181"/>
      <c r="F397" s="181"/>
      <c r="G397" s="181"/>
      <c r="H397" s="181"/>
      <c r="I397" s="181"/>
      <c r="J397" s="181"/>
      <c r="K397" s="181"/>
      <c r="L397" s="181"/>
      <c r="M397" s="181"/>
      <c r="N397" s="181"/>
      <c r="R397" s="26"/>
      <c r="S397" s="26"/>
      <c r="T397" s="21"/>
      <c r="U397" s="20"/>
      <c r="V397" s="20"/>
      <c r="W397" s="20"/>
      <c r="X397" s="20"/>
      <c r="Y397" s="20"/>
      <c r="Z397" s="39"/>
      <c r="AA397" s="39"/>
      <c r="AB397" s="39"/>
      <c r="AC397" s="39"/>
      <c r="AD397" s="247"/>
      <c r="AE397" s="247"/>
      <c r="AF397" s="39"/>
      <c r="AG397" s="39"/>
      <c r="AH397" s="39"/>
      <c r="AI397" s="39"/>
    </row>
    <row r="398" spans="1:35" s="196" customFormat="1" x14ac:dyDescent="0.15">
      <c r="A398" s="188"/>
      <c r="B398" s="182"/>
      <c r="C398" s="181"/>
      <c r="D398" s="181"/>
      <c r="E398" s="181"/>
      <c r="F398" s="181"/>
      <c r="G398" s="181"/>
      <c r="H398" s="181"/>
      <c r="I398" s="181"/>
      <c r="J398" s="181"/>
      <c r="K398" s="181"/>
      <c r="L398" s="181"/>
      <c r="M398" s="181"/>
      <c r="N398" s="181"/>
      <c r="R398" s="26"/>
      <c r="S398" s="26"/>
      <c r="T398" s="21"/>
      <c r="U398" s="20"/>
      <c r="V398" s="20"/>
      <c r="W398" s="20"/>
      <c r="X398" s="20"/>
      <c r="Y398" s="20"/>
      <c r="Z398" s="39"/>
      <c r="AA398" s="39"/>
      <c r="AB398" s="39"/>
      <c r="AC398" s="39"/>
      <c r="AD398" s="247"/>
      <c r="AE398" s="247"/>
      <c r="AF398" s="39"/>
      <c r="AG398" s="39"/>
      <c r="AH398" s="39"/>
      <c r="AI398" s="39"/>
    </row>
    <row r="399" spans="1:35" s="196" customFormat="1" x14ac:dyDescent="0.15">
      <c r="A399" s="188"/>
      <c r="B399" s="182"/>
      <c r="C399" s="181"/>
      <c r="D399" s="181"/>
      <c r="E399" s="181"/>
      <c r="F399" s="181"/>
      <c r="G399" s="181"/>
      <c r="H399" s="181"/>
      <c r="I399" s="181"/>
      <c r="J399" s="181"/>
      <c r="K399" s="181"/>
      <c r="L399" s="181"/>
      <c r="M399" s="181"/>
      <c r="N399" s="181"/>
      <c r="R399" s="26"/>
      <c r="S399" s="26"/>
      <c r="T399" s="21"/>
      <c r="U399" s="20"/>
      <c r="V399" s="20"/>
      <c r="W399" s="20"/>
      <c r="X399" s="20"/>
      <c r="Y399" s="20"/>
      <c r="Z399" s="39"/>
      <c r="AA399" s="39"/>
      <c r="AB399" s="39"/>
      <c r="AC399" s="39"/>
      <c r="AD399" s="247"/>
      <c r="AE399" s="247"/>
      <c r="AF399" s="39"/>
      <c r="AG399" s="39"/>
      <c r="AH399" s="39"/>
      <c r="AI399" s="39"/>
    </row>
    <row r="400" spans="1:35" s="196" customFormat="1" x14ac:dyDescent="0.15">
      <c r="A400" s="188"/>
      <c r="B400" s="182"/>
      <c r="C400" s="181"/>
      <c r="D400" s="181"/>
      <c r="E400" s="181"/>
      <c r="F400" s="181"/>
      <c r="G400" s="181"/>
      <c r="H400" s="181"/>
      <c r="I400" s="181"/>
      <c r="J400" s="181"/>
      <c r="K400" s="181"/>
      <c r="L400" s="181"/>
      <c r="M400" s="181"/>
      <c r="N400" s="181"/>
      <c r="R400" s="26"/>
      <c r="S400" s="26"/>
      <c r="T400" s="21"/>
      <c r="U400" s="20"/>
      <c r="V400" s="20"/>
      <c r="W400" s="20"/>
      <c r="X400" s="20"/>
      <c r="Y400" s="20"/>
      <c r="Z400" s="39"/>
      <c r="AA400" s="39"/>
      <c r="AB400" s="39"/>
      <c r="AC400" s="39"/>
      <c r="AD400" s="247"/>
      <c r="AE400" s="247"/>
      <c r="AF400" s="39"/>
      <c r="AG400" s="39"/>
      <c r="AH400" s="39"/>
      <c r="AI400" s="39"/>
    </row>
    <row r="401" spans="1:35" s="196" customFormat="1" x14ac:dyDescent="0.15">
      <c r="A401" s="188"/>
      <c r="B401" s="182"/>
      <c r="C401" s="181"/>
      <c r="D401" s="181"/>
      <c r="E401" s="181"/>
      <c r="F401" s="181"/>
      <c r="G401" s="181"/>
      <c r="H401" s="181"/>
      <c r="I401" s="181"/>
      <c r="J401" s="181"/>
      <c r="K401" s="181"/>
      <c r="L401" s="181"/>
      <c r="M401" s="181"/>
      <c r="N401" s="181"/>
      <c r="R401" s="26"/>
      <c r="S401" s="26"/>
      <c r="T401" s="21"/>
      <c r="U401" s="20"/>
      <c r="V401" s="20"/>
      <c r="W401" s="20"/>
      <c r="X401" s="20"/>
      <c r="Y401" s="20"/>
      <c r="Z401" s="39"/>
      <c r="AA401" s="39"/>
      <c r="AB401" s="39"/>
      <c r="AC401" s="39"/>
      <c r="AD401" s="247"/>
      <c r="AE401" s="247"/>
      <c r="AF401" s="39"/>
      <c r="AG401" s="39"/>
      <c r="AH401" s="39"/>
      <c r="AI401" s="39"/>
    </row>
    <row r="402" spans="1:35" s="196" customFormat="1" x14ac:dyDescent="0.15">
      <c r="A402" s="188"/>
      <c r="B402" s="182"/>
      <c r="C402" s="181"/>
      <c r="D402" s="181"/>
      <c r="E402" s="181"/>
      <c r="F402" s="181"/>
      <c r="G402" s="181"/>
      <c r="H402" s="181"/>
      <c r="I402" s="181"/>
      <c r="J402" s="181"/>
      <c r="K402" s="181"/>
      <c r="L402" s="181"/>
      <c r="M402" s="181"/>
      <c r="N402" s="181"/>
      <c r="R402" s="26"/>
      <c r="S402" s="26"/>
      <c r="T402" s="21"/>
      <c r="U402" s="20"/>
      <c r="V402" s="20"/>
      <c r="W402" s="20"/>
      <c r="X402" s="20"/>
      <c r="Y402" s="20"/>
      <c r="Z402" s="39"/>
      <c r="AA402" s="39"/>
      <c r="AB402" s="39"/>
      <c r="AC402" s="39"/>
      <c r="AD402" s="247"/>
      <c r="AE402" s="247"/>
      <c r="AF402" s="39"/>
      <c r="AG402" s="39"/>
      <c r="AH402" s="39"/>
      <c r="AI402" s="39"/>
    </row>
    <row r="403" spans="1:35" s="196" customFormat="1" x14ac:dyDescent="0.15">
      <c r="A403" s="188"/>
      <c r="B403" s="182"/>
      <c r="C403" s="181"/>
      <c r="D403" s="181"/>
      <c r="E403" s="181"/>
      <c r="F403" s="181"/>
      <c r="G403" s="181"/>
      <c r="H403" s="181"/>
      <c r="I403" s="181"/>
      <c r="J403" s="181"/>
      <c r="K403" s="181"/>
      <c r="L403" s="181"/>
      <c r="M403" s="181"/>
      <c r="N403" s="181"/>
      <c r="R403" s="26"/>
      <c r="S403" s="26"/>
      <c r="T403" s="21"/>
      <c r="U403" s="20"/>
      <c r="V403" s="20"/>
      <c r="W403" s="20"/>
      <c r="X403" s="20"/>
      <c r="Y403" s="20"/>
      <c r="Z403" s="39"/>
      <c r="AA403" s="39"/>
      <c r="AB403" s="39"/>
      <c r="AC403" s="39"/>
      <c r="AD403" s="247"/>
      <c r="AE403" s="247"/>
      <c r="AF403" s="39"/>
      <c r="AG403" s="39"/>
      <c r="AH403" s="39"/>
      <c r="AI403" s="39"/>
    </row>
    <row r="404" spans="1:35" s="196" customFormat="1" x14ac:dyDescent="0.15">
      <c r="A404" s="188"/>
      <c r="B404" s="197"/>
      <c r="C404" s="188"/>
      <c r="D404" s="188"/>
      <c r="E404" s="188"/>
      <c r="F404" s="188"/>
      <c r="G404" s="188"/>
      <c r="H404" s="188"/>
      <c r="I404" s="188"/>
      <c r="J404" s="188"/>
      <c r="K404" s="188"/>
      <c r="L404" s="188"/>
      <c r="M404" s="188"/>
      <c r="N404" s="188"/>
      <c r="R404" s="26"/>
      <c r="S404" s="26"/>
      <c r="T404" s="21"/>
      <c r="U404" s="20"/>
      <c r="V404" s="20"/>
      <c r="W404" s="20"/>
      <c r="X404" s="20"/>
      <c r="Y404" s="20"/>
      <c r="Z404" s="39"/>
      <c r="AA404" s="39"/>
      <c r="AB404" s="39"/>
      <c r="AC404" s="39"/>
      <c r="AD404" s="247"/>
      <c r="AE404" s="247"/>
      <c r="AF404" s="39"/>
      <c r="AG404" s="39"/>
      <c r="AH404" s="39"/>
      <c r="AI404" s="39"/>
    </row>
    <row r="405" spans="1:35" s="196" customFormat="1" x14ac:dyDescent="0.15">
      <c r="A405" s="188"/>
      <c r="B405" s="197"/>
      <c r="C405" s="188"/>
      <c r="D405" s="188"/>
      <c r="E405" s="188"/>
      <c r="F405" s="188"/>
      <c r="G405" s="188"/>
      <c r="H405" s="188"/>
      <c r="I405" s="188"/>
      <c r="J405" s="188"/>
      <c r="K405" s="188"/>
      <c r="L405" s="188"/>
      <c r="M405" s="188"/>
      <c r="N405" s="188"/>
      <c r="R405" s="26"/>
      <c r="S405" s="26"/>
      <c r="T405" s="21"/>
      <c r="U405" s="20"/>
      <c r="V405" s="20"/>
      <c r="W405" s="20"/>
      <c r="X405" s="20"/>
      <c r="Y405" s="20"/>
      <c r="Z405" s="39"/>
      <c r="AA405" s="39"/>
      <c r="AB405" s="39"/>
      <c r="AC405" s="39"/>
      <c r="AD405" s="247"/>
      <c r="AE405" s="247"/>
      <c r="AF405" s="39"/>
      <c r="AG405" s="39"/>
      <c r="AH405" s="39"/>
      <c r="AI405" s="39"/>
    </row>
    <row r="406" spans="1:35" x14ac:dyDescent="0.15">
      <c r="U406" s="20"/>
      <c r="V406" s="20"/>
      <c r="W406" s="20"/>
      <c r="X406" s="20"/>
      <c r="Y406" s="20"/>
      <c r="AD406" s="247"/>
      <c r="AE406" s="247"/>
    </row>
    <row r="407" spans="1:35" x14ac:dyDescent="0.15">
      <c r="U407" s="20"/>
      <c r="V407" s="20"/>
      <c r="W407" s="20"/>
      <c r="X407" s="20"/>
      <c r="Y407" s="20"/>
      <c r="AD407" s="247"/>
      <c r="AE407" s="247"/>
    </row>
    <row r="408" spans="1:35" x14ac:dyDescent="0.15">
      <c r="U408" s="20"/>
      <c r="V408" s="20"/>
      <c r="W408" s="20"/>
      <c r="X408" s="20"/>
      <c r="Y408" s="20"/>
      <c r="AD408" s="247"/>
      <c r="AE408" s="247"/>
    </row>
    <row r="409" spans="1:35" x14ac:dyDescent="0.15">
      <c r="U409" s="20"/>
      <c r="V409" s="20"/>
      <c r="W409" s="20"/>
      <c r="X409" s="20"/>
      <c r="Y409" s="20"/>
      <c r="AD409" s="247"/>
      <c r="AE409" s="247"/>
    </row>
    <row r="410" spans="1:35" x14ac:dyDescent="0.15">
      <c r="U410" s="20"/>
      <c r="V410" s="20"/>
      <c r="W410" s="20"/>
      <c r="X410" s="20"/>
      <c r="Y410" s="20"/>
      <c r="AD410" s="247"/>
      <c r="AE410" s="247"/>
    </row>
    <row r="411" spans="1:35" x14ac:dyDescent="0.15">
      <c r="U411" s="20"/>
      <c r="V411" s="20"/>
      <c r="W411" s="20"/>
      <c r="X411" s="20"/>
      <c r="Y411" s="20"/>
      <c r="AD411" s="247"/>
      <c r="AE411" s="247"/>
    </row>
    <row r="412" spans="1:35" x14ac:dyDescent="0.15">
      <c r="U412" s="20"/>
      <c r="V412" s="20"/>
      <c r="W412" s="20"/>
      <c r="X412" s="20"/>
      <c r="Y412" s="20"/>
      <c r="AD412" s="247"/>
      <c r="AE412" s="247"/>
    </row>
    <row r="413" spans="1:35" x14ac:dyDescent="0.15">
      <c r="U413" s="20"/>
      <c r="V413" s="20"/>
      <c r="W413" s="20"/>
      <c r="X413" s="20"/>
      <c r="Y413" s="20"/>
      <c r="AD413" s="247"/>
      <c r="AE413" s="247"/>
    </row>
    <row r="414" spans="1:35" x14ac:dyDescent="0.15">
      <c r="U414" s="20"/>
      <c r="V414" s="20"/>
      <c r="W414" s="20"/>
      <c r="X414" s="20"/>
      <c r="Y414" s="20"/>
      <c r="AD414" s="247"/>
      <c r="AE414" s="247"/>
    </row>
    <row r="415" spans="1:35" x14ac:dyDescent="0.15">
      <c r="U415" s="20"/>
      <c r="V415" s="20"/>
      <c r="W415" s="20"/>
      <c r="X415" s="20"/>
      <c r="Y415" s="20"/>
      <c r="AD415" s="247"/>
      <c r="AE415" s="247"/>
    </row>
    <row r="416" spans="1:35" x14ac:dyDescent="0.15">
      <c r="AD416" s="247"/>
      <c r="AE416" s="247"/>
    </row>
  </sheetData>
  <sheetProtection formatCells="0" formatColumns="0" formatRows="0" insertColumns="0" insertRows="0" insertHyperlinks="0" deleteColumns="0" deleteRows="0" sort="0" autoFilter="0" pivotTables="0"/>
  <dataConsolidate function="average">
    <dataRefs count="1">
      <dataRef ref="A6:B221" sheet="Monthly Summary Jan-Mar" r:id="rId1"/>
    </dataRefs>
  </dataConsolidate>
  <mergeCells count="10">
    <mergeCell ref="B1:Q1"/>
    <mergeCell ref="B2:Q2"/>
    <mergeCell ref="B3:Q3"/>
    <mergeCell ref="X4:Z4"/>
    <mergeCell ref="C5:P5"/>
    <mergeCell ref="Q5:Q6"/>
    <mergeCell ref="S5:S6"/>
    <mergeCell ref="U5:U6"/>
    <mergeCell ref="W5:W6"/>
    <mergeCell ref="Z5:Z6"/>
  </mergeCells>
  <phoneticPr fontId="0" type="noConversion"/>
  <conditionalFormatting sqref="Q7:Q154 S7:S154 U7:U154 W7:W154">
    <cfRule type="cellIs" dxfId="166" priority="33" stopIfTrue="1" operator="lessThan">
      <formula>0.5</formula>
    </cfRule>
    <cfRule type="cellIs" dxfId="165" priority="60" stopIfTrue="1" operator="lessThan">
      <formula>0.75</formula>
    </cfRule>
  </conditionalFormatting>
  <conditionalFormatting sqref="F99:N154 F7:J10 F12:J34 F37:J39 I36:J36 F35:H35 F41:J97 O7:O154">
    <cfRule type="cellIs" dxfId="164" priority="26" stopIfTrue="1" operator="greaterThan">
      <formula>30</formula>
    </cfRule>
    <cfRule type="cellIs" dxfId="163" priority="27" stopIfTrue="1" operator="between">
      <formula>0.1</formula>
      <formula>10</formula>
    </cfRule>
    <cfRule type="cellIs" dxfId="162" priority="28" stopIfTrue="1" operator="lessThan">
      <formula>0.1</formula>
    </cfRule>
  </conditionalFormatting>
  <conditionalFormatting sqref="C7:C11 C125:C154 C13:C35 C37:C39 C41:C123">
    <cfRule type="cellIs" dxfId="161" priority="23" stopIfTrue="1" operator="greaterThan">
      <formula>30</formula>
    </cfRule>
    <cfRule type="cellIs" dxfId="160" priority="24" stopIfTrue="1" operator="between">
      <formula>0.1</formula>
      <formula>10</formula>
    </cfRule>
    <cfRule type="cellIs" dxfId="159" priority="25" stopIfTrue="1" operator="lessThan">
      <formula>0.1</formula>
    </cfRule>
  </conditionalFormatting>
  <conditionalFormatting sqref="N8:N10 N12:N34 N36:N38 N40:N97">
    <cfRule type="cellIs" dxfId="158" priority="16" stopIfTrue="1" operator="greaterThan">
      <formula>30</formula>
    </cfRule>
    <cfRule type="cellIs" dxfId="157" priority="17" stopIfTrue="1" operator="between">
      <formula>0.1</formula>
      <formula>10</formula>
    </cfRule>
    <cfRule type="cellIs" dxfId="156" priority="18" stopIfTrue="1" operator="lessThan">
      <formula>0.1</formula>
    </cfRule>
  </conditionalFormatting>
  <conditionalFormatting sqref="E99:E154 E7:E11 E13:E35 E37:E39 E41:E97">
    <cfRule type="cellIs" dxfId="155" priority="6" stopIfTrue="1" operator="greaterThan">
      <formula>30</formula>
    </cfRule>
    <cfRule type="cellIs" dxfId="154" priority="7" stopIfTrue="1" operator="between">
      <formula>0.1</formula>
      <formula>10</formula>
    </cfRule>
    <cfRule type="cellIs" dxfId="153" priority="8" stopIfTrue="1" operator="lessThan">
      <formula>0.1</formula>
    </cfRule>
  </conditionalFormatting>
  <conditionalFormatting sqref="P7:P154">
    <cfRule type="containsBlanks" priority="19" stopIfTrue="1">
      <formula>LEN(TRIM(P7))=0</formula>
    </cfRule>
    <cfRule type="cellIs" dxfId="152" priority="30" stopIfTrue="1" operator="greaterThan">
      <formula>40</formula>
    </cfRule>
  </conditionalFormatting>
  <conditionalFormatting sqref="L7:N10 L12:N34 L36:N38 L40:N97">
    <cfRule type="cellIs" dxfId="151" priority="20" stopIfTrue="1" operator="greaterThan">
      <formula>30</formula>
    </cfRule>
    <cfRule type="cellIs" dxfId="150" priority="21" stopIfTrue="1" operator="between">
      <formula>0.1</formula>
      <formula>10</formula>
    </cfRule>
    <cfRule type="cellIs" dxfId="149" priority="22" stopIfTrue="1" operator="lessThan">
      <formula>0.1</formula>
    </cfRule>
  </conditionalFormatting>
  <conditionalFormatting sqref="D7:D11 D125:D154 D13:D35 D37:D39 D41:D123">
    <cfRule type="cellIs" dxfId="148" priority="13" stopIfTrue="1" operator="greaterThan">
      <formula>30</formula>
    </cfRule>
    <cfRule type="cellIs" dxfId="147" priority="14" stopIfTrue="1" operator="between">
      <formula>0.1</formula>
      <formula>10</formula>
    </cfRule>
    <cfRule type="cellIs" dxfId="146" priority="15" stopIfTrue="1" operator="lessThan">
      <formula>0.1</formula>
    </cfRule>
  </conditionalFormatting>
  <conditionalFormatting sqref="K7:K10 K12:K34 K36:K39 K41:K97">
    <cfRule type="cellIs" dxfId="145" priority="3" stopIfTrue="1" operator="greaterThan">
      <formula>30</formula>
    </cfRule>
    <cfRule type="cellIs" dxfId="144" priority="4" stopIfTrue="1" operator="between">
      <formula>0.1</formula>
      <formula>10</formula>
    </cfRule>
    <cfRule type="cellIs" dxfId="143" priority="5" stopIfTrue="1" operator="lessThan">
      <formula>0.1</formula>
    </cfRule>
  </conditionalFormatting>
  <printOptions horizontalCentered="1"/>
  <pageMargins left="0.74803149606299213" right="0.74803149606299213" top="0.98425196850393704" bottom="0.98425196850393704" header="0.51181102362204722" footer="0.51181102362204722"/>
  <pageSetup paperSize="8" scale="50" orientation="portrait" r:id="rId2"/>
  <headerFooter alignWithMargins="0"/>
  <ignoredErrors>
    <ignoredError sqref="U41:U154 S41:S154 S7:S11 U7:U11 S13:S35 U13:U35 S37:S39 U37:U39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AJ442"/>
  <sheetViews>
    <sheetView zoomScaleNormal="100" workbookViewId="0">
      <pane xSplit="2" ySplit="6" topLeftCell="C7" activePane="bottomRight" state="frozen"/>
      <selection activeCell="K42" sqref="K42"/>
      <selection pane="topRight" activeCell="K42" sqref="K42"/>
      <selection pane="bottomLeft" activeCell="K42" sqref="K42"/>
      <selection pane="bottomRight" activeCell="AD7" sqref="AD7"/>
    </sheetView>
  </sheetViews>
  <sheetFormatPr defaultColWidth="9.140625" defaultRowHeight="10.5" x14ac:dyDescent="0.15"/>
  <cols>
    <col min="1" max="1" width="9.140625" style="110"/>
    <col min="2" max="2" width="15.7109375" style="109" customWidth="1"/>
    <col min="3" max="14" width="15.7109375" style="110" customWidth="1"/>
    <col min="15" max="17" width="15.7109375" style="111" customWidth="1"/>
    <col min="18" max="19" width="11.7109375" style="26" customWidth="1"/>
    <col min="20" max="20" width="11.7109375" style="21" customWidth="1"/>
    <col min="21" max="25" width="11.7109375" style="10" customWidth="1"/>
    <col min="26" max="26" width="11.7109375" style="39" customWidth="1"/>
    <col min="27" max="27" width="10.7109375" style="39" customWidth="1"/>
    <col min="28" max="28" width="21" style="39" bestFit="1" customWidth="1"/>
    <col min="29" max="29" width="10.7109375" style="39" customWidth="1"/>
    <col min="30" max="30" width="16.7109375" style="230" bestFit="1" customWidth="1"/>
    <col min="31" max="31" width="9.140625" style="230"/>
    <col min="32" max="32" width="12.42578125" style="39" bestFit="1" customWidth="1"/>
    <col min="33" max="35" width="9.140625" style="39"/>
    <col min="36" max="16384" width="9.140625" style="110"/>
  </cols>
  <sheetData>
    <row r="1" spans="2:35" s="112" customFormat="1" ht="18" customHeight="1" thickTop="1" x14ac:dyDescent="0.15">
      <c r="B1" s="452" t="s">
        <v>448</v>
      </c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4"/>
      <c r="R1" s="26"/>
      <c r="S1" s="26"/>
      <c r="T1" s="21"/>
      <c r="U1" s="10"/>
      <c r="V1" s="10"/>
      <c r="W1" s="10"/>
      <c r="X1" s="10"/>
      <c r="Y1" s="10"/>
      <c r="Z1" s="39"/>
      <c r="AA1" s="39"/>
      <c r="AB1" s="39"/>
      <c r="AC1" s="39"/>
      <c r="AD1" s="206"/>
      <c r="AE1" s="206"/>
      <c r="AF1" s="39"/>
      <c r="AG1" s="39"/>
      <c r="AH1" s="39"/>
      <c r="AI1" s="39"/>
    </row>
    <row r="2" spans="2:35" s="112" customFormat="1" ht="18" customHeight="1" x14ac:dyDescent="0.15">
      <c r="B2" s="455" t="s">
        <v>449</v>
      </c>
      <c r="C2" s="456"/>
      <c r="D2" s="456"/>
      <c r="E2" s="456"/>
      <c r="F2" s="456"/>
      <c r="G2" s="456"/>
      <c r="H2" s="456"/>
      <c r="I2" s="456"/>
      <c r="J2" s="456"/>
      <c r="K2" s="456"/>
      <c r="L2" s="456"/>
      <c r="M2" s="456"/>
      <c r="N2" s="456"/>
      <c r="O2" s="456"/>
      <c r="P2" s="456"/>
      <c r="Q2" s="457"/>
      <c r="R2" s="23"/>
      <c r="S2" s="23"/>
      <c r="T2" s="3"/>
      <c r="U2" s="2"/>
      <c r="V2" s="2"/>
      <c r="W2" s="2"/>
      <c r="X2" s="175"/>
      <c r="Y2" s="2"/>
      <c r="Z2" s="31"/>
      <c r="AA2" s="31"/>
      <c r="AB2" s="93"/>
      <c r="AC2" s="93"/>
      <c r="AD2" s="206"/>
      <c r="AE2" s="206"/>
      <c r="AF2" s="93"/>
      <c r="AG2" s="93"/>
      <c r="AH2" s="93"/>
      <c r="AI2" s="31"/>
    </row>
    <row r="3" spans="2:35" s="112" customFormat="1" ht="18" customHeight="1" thickBot="1" x14ac:dyDescent="0.2">
      <c r="B3" s="458" t="s">
        <v>507</v>
      </c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459"/>
      <c r="O3" s="459"/>
      <c r="P3" s="459"/>
      <c r="Q3" s="460"/>
      <c r="R3" s="23"/>
      <c r="S3" s="23"/>
      <c r="T3" s="3"/>
      <c r="U3" s="2"/>
      <c r="V3" s="2"/>
      <c r="W3" s="2"/>
      <c r="X3" s="2"/>
      <c r="Y3" s="2"/>
      <c r="Z3" s="31"/>
      <c r="AA3" s="31"/>
      <c r="AB3" s="93"/>
      <c r="AC3" s="93"/>
      <c r="AD3" s="206"/>
      <c r="AE3" s="206"/>
      <c r="AF3" s="93"/>
      <c r="AG3" s="93"/>
      <c r="AH3" s="93"/>
      <c r="AI3" s="31"/>
    </row>
    <row r="4" spans="2:35" s="112" customFormat="1" ht="12" thickTop="1" thickBot="1" x14ac:dyDescent="0.2">
      <c r="B4" s="114"/>
      <c r="O4" s="115"/>
      <c r="P4" s="115"/>
      <c r="Q4" s="115"/>
      <c r="R4" s="21" t="s">
        <v>497</v>
      </c>
      <c r="S4" s="21"/>
      <c r="T4" s="21" t="s">
        <v>498</v>
      </c>
      <c r="U4" s="10"/>
      <c r="V4" s="10"/>
      <c r="W4" s="10"/>
      <c r="X4" s="449" t="s">
        <v>508</v>
      </c>
      <c r="Y4" s="449"/>
      <c r="Z4" s="449"/>
      <c r="AA4" s="105"/>
      <c r="AB4" s="31"/>
      <c r="AC4" s="31"/>
      <c r="AD4" s="206"/>
      <c r="AE4" s="206"/>
      <c r="AF4" s="31"/>
      <c r="AG4" s="31"/>
      <c r="AH4" s="31"/>
      <c r="AI4" s="31"/>
    </row>
    <row r="5" spans="2:35" s="112" customFormat="1" ht="11.45" customHeight="1" thickTop="1" thickBot="1" x14ac:dyDescent="0.2">
      <c r="B5" s="113"/>
      <c r="C5" s="461" t="s">
        <v>451</v>
      </c>
      <c r="D5" s="462"/>
      <c r="E5" s="462"/>
      <c r="F5" s="462"/>
      <c r="G5" s="462"/>
      <c r="H5" s="462"/>
      <c r="I5" s="462"/>
      <c r="J5" s="462"/>
      <c r="K5" s="462"/>
      <c r="L5" s="462"/>
      <c r="M5" s="462"/>
      <c r="N5" s="462"/>
      <c r="O5" s="462"/>
      <c r="P5" s="463"/>
      <c r="Q5" s="464" t="s">
        <v>452</v>
      </c>
      <c r="R5" s="139" t="s">
        <v>461</v>
      </c>
      <c r="S5" s="450" t="s">
        <v>452</v>
      </c>
      <c r="T5" s="139" t="s">
        <v>460</v>
      </c>
      <c r="U5" s="450" t="s">
        <v>452</v>
      </c>
      <c r="V5" s="168" t="s">
        <v>494</v>
      </c>
      <c r="W5" s="450" t="s">
        <v>452</v>
      </c>
      <c r="X5" s="139" t="s">
        <v>461</v>
      </c>
      <c r="Y5" s="139" t="s">
        <v>460</v>
      </c>
      <c r="Z5" s="450" t="s">
        <v>509</v>
      </c>
      <c r="AA5" s="107"/>
      <c r="AB5" s="95"/>
      <c r="AC5" s="96"/>
      <c r="AD5" s="96"/>
      <c r="AE5" s="96"/>
      <c r="AF5" s="96"/>
      <c r="AG5" s="96"/>
      <c r="AH5" s="96"/>
      <c r="AI5" s="97"/>
    </row>
    <row r="6" spans="2:35" s="112" customFormat="1" ht="14.25" customHeight="1" thickTop="1" x14ac:dyDescent="0.15">
      <c r="B6" s="116" t="s">
        <v>453</v>
      </c>
      <c r="C6" s="117">
        <v>42005</v>
      </c>
      <c r="D6" s="117">
        <v>42036</v>
      </c>
      <c r="E6" s="117">
        <v>42064</v>
      </c>
      <c r="F6" s="117">
        <v>42095</v>
      </c>
      <c r="G6" s="117">
        <v>42125</v>
      </c>
      <c r="H6" s="117">
        <v>42156</v>
      </c>
      <c r="I6" s="117">
        <v>42186</v>
      </c>
      <c r="J6" s="117">
        <v>42217</v>
      </c>
      <c r="K6" s="117">
        <v>42248</v>
      </c>
      <c r="L6" s="117">
        <v>42278</v>
      </c>
      <c r="M6" s="117">
        <v>42309</v>
      </c>
      <c r="N6" s="117">
        <v>42339</v>
      </c>
      <c r="O6" s="162" t="s">
        <v>454</v>
      </c>
      <c r="P6" s="162" t="s">
        <v>484</v>
      </c>
      <c r="Q6" s="465"/>
      <c r="R6" s="149" t="s">
        <v>454</v>
      </c>
      <c r="S6" s="451"/>
      <c r="T6" s="149" t="s">
        <v>454</v>
      </c>
      <c r="U6" s="451"/>
      <c r="V6" s="158" t="s">
        <v>454</v>
      </c>
      <c r="W6" s="451"/>
      <c r="X6" s="149" t="s">
        <v>454</v>
      </c>
      <c r="Y6" s="149" t="s">
        <v>454</v>
      </c>
      <c r="Z6" s="451"/>
      <c r="AA6" s="31"/>
      <c r="AB6" s="98" t="s">
        <v>166</v>
      </c>
      <c r="AC6" s="34" t="s">
        <v>476</v>
      </c>
      <c r="AD6" s="34" t="s">
        <v>1087</v>
      </c>
      <c r="AE6" s="34" t="s">
        <v>1088</v>
      </c>
      <c r="AF6" s="34" t="s">
        <v>472</v>
      </c>
      <c r="AG6" s="34" t="s">
        <v>474</v>
      </c>
      <c r="AH6" s="34" t="s">
        <v>473</v>
      </c>
      <c r="AI6" s="99" t="s">
        <v>475</v>
      </c>
    </row>
    <row r="7" spans="2:35" ht="12" customHeight="1" x14ac:dyDescent="0.15">
      <c r="B7" s="118" t="s">
        <v>3</v>
      </c>
      <c r="C7" s="119">
        <v>13.8</v>
      </c>
      <c r="D7" s="119">
        <v>10.9</v>
      </c>
      <c r="E7" s="119"/>
      <c r="F7" s="173"/>
      <c r="G7" s="173"/>
      <c r="H7" s="173"/>
      <c r="I7" s="173"/>
      <c r="J7" s="173"/>
      <c r="K7" s="173"/>
      <c r="L7" s="173"/>
      <c r="M7" s="173"/>
      <c r="N7" s="173"/>
      <c r="O7" s="121">
        <f>(AVERAGE(C7:N7))</f>
        <v>12.350000000000001</v>
      </c>
      <c r="P7" s="121">
        <f>IFERROR((STDEV(C7:N7)/O7)*100,"")</f>
        <v>16.604126845675868</v>
      </c>
      <c r="Q7" s="122">
        <f t="shared" ref="Q7:Q42" si="0">COUNT(C7:N7)/COUNT($C$6:$N$6)</f>
        <v>0.16666666666666666</v>
      </c>
      <c r="R7" s="140">
        <f t="shared" ref="R7:R43" si="1">IF($S7=0%,"",IF($S7&gt;66%,AVERAGE($C7:$E7),"-"))</f>
        <v>12.350000000000001</v>
      </c>
      <c r="S7" s="150">
        <f t="shared" ref="S7:S42" si="2">COUNT(C7:E7)/3</f>
        <v>0.66666666666666663</v>
      </c>
      <c r="T7" s="140" t="str">
        <f>IF($U7=0%,"",IF($U7&gt;66%,AVERAGE($I7:$K7),"-"))</f>
        <v/>
      </c>
      <c r="U7" s="150">
        <f>COUNT(I7:K7)/3</f>
        <v>0</v>
      </c>
      <c r="V7" s="141" t="str">
        <f>IF(AND(($S7&gt;33%),($U7&gt;33%),($W7&gt;=75%)),AVERAGE($C7:$N7),"-")</f>
        <v>-</v>
      </c>
      <c r="W7" s="142">
        <f>Q7</f>
        <v>0.16666666666666666</v>
      </c>
      <c r="X7" s="144">
        <f>IF(VLOOKUP($B7,$AC$6:$AI$166,3,FALSE)="",$R7,IF(ISERROR(AVERAGEIF($AD$6:$AD$166,VLOOKUP($B7,$AC$6:$AI$166,2,FALSE),$R$6:$R$166)),"",AVERAGEIF($AD$6:$AD$166,VLOOKUP($B7,$AC$6:$AI$166,2,FALSE),$R$6:$R$166)))</f>
        <v>12.350000000000001</v>
      </c>
      <c r="Y7" s="144">
        <f t="shared" ref="Y7:Y40" si="3">IF(VLOOKUP($B7,$AC$6:$AI$166,3,FALSE)="",$T7,IF(ISERROR(AVERAGEIF($AD$6:$AD$166,VLOOKUP($B7,$AC$6:$AI$166,2,FALSE),$T$6:$T$166)),"",AVERAGEIF($AD$6:$AD$166,VLOOKUP($B7,$AC$6:$AI$166,2,FALSE),$T$6:$T$166)))</f>
        <v>15.299999999999999</v>
      </c>
      <c r="Z7" s="144" t="str">
        <f t="shared" ref="Z7:Z40" si="4">IF(VLOOKUP($B7,$AC$6:$AI$166,3,FALSE)="",$V7,IF(ISERROR(AVERAGEIF($AD$6:$AD$166,VLOOKUP($B7,$AC$6:$AI$166,2,FALSE),$V$6:$V$166)),"",AVERAGEIF($AD$6:$AD$166,VLOOKUP($B7,$AC$6:$AI$166,2,FALSE),$V$6:$V$166)))</f>
        <v/>
      </c>
      <c r="AA7" s="10"/>
      <c r="AB7" s="100" t="str">
        <f>VLOOKUP($B7,'2007-2020 Metadata'!$A$4:$S$214,MATCH("Urban Area /Monitoring Zone",'2007-2020 Metadata'!$A$4:$S$4,0),FALSE)</f>
        <v>Auckland - Northern</v>
      </c>
      <c r="AC7" s="87" t="str">
        <f>VLOOKUP(B7,'2007-2020 Metadata'!$A$6:$A$214,1,FALSE)</f>
        <v>AUC004</v>
      </c>
      <c r="AD7" s="230" t="str">
        <f>VLOOKUP($AC7,'2007-2020 Metadata'!$A$6:$S$214,9,FALSE)</f>
        <v>Rodney</v>
      </c>
      <c r="AE7" s="248">
        <f>IF(ISBLANK(VLOOKUP($AC7,'2007-2020 Metadata'!$A$6:$S$214,19,FALSE)),"",VLOOKUP($AC7,'2007-2020 Metadata'!$A$6:$S$214,19,FALSE))</f>
        <v>2.5</v>
      </c>
      <c r="AF7" s="88" t="str">
        <f>VLOOKUP($B7,'2007-2020 Metadata'!$A$4:$S$214,MATCH("Site type",'2007-2020 Metadata'!$A$4:$S$4,0),FALSE)</f>
        <v>SH</v>
      </c>
      <c r="AG7" s="143">
        <f>MIN(C7:N7)</f>
        <v>10.9</v>
      </c>
      <c r="AH7" s="143">
        <f>MAX(C7:N7)</f>
        <v>13.8</v>
      </c>
      <c r="AI7" s="144" t="str">
        <f>IF(W7&gt;=75%,Z7," ")</f>
        <v xml:space="preserve"> </v>
      </c>
    </row>
    <row r="8" spans="2:35" ht="12" customHeight="1" x14ac:dyDescent="0.15">
      <c r="B8" s="118" t="s">
        <v>989</v>
      </c>
      <c r="C8" s="173"/>
      <c r="D8" s="173"/>
      <c r="E8" s="173"/>
      <c r="F8" s="119">
        <v>17.399999999999999</v>
      </c>
      <c r="G8" s="119">
        <v>17.600000000000001</v>
      </c>
      <c r="H8" s="119">
        <v>17.3</v>
      </c>
      <c r="I8" s="119">
        <v>17.899999999999999</v>
      </c>
      <c r="J8" s="119">
        <v>19.600000000000001</v>
      </c>
      <c r="K8" s="119">
        <v>8.4</v>
      </c>
      <c r="L8" s="119">
        <v>12.5</v>
      </c>
      <c r="M8" s="119">
        <v>12.1</v>
      </c>
      <c r="N8" s="119">
        <v>8.9</v>
      </c>
      <c r="O8" s="121">
        <f>(AVERAGE(C8:N8))</f>
        <v>14.633333333333333</v>
      </c>
      <c r="P8" s="121">
        <f>IFERROR((STDEV(C8:N8)/O8)*100,"")</f>
        <v>28.750365332067414</v>
      </c>
      <c r="Q8" s="122">
        <f t="shared" si="0"/>
        <v>0.75</v>
      </c>
      <c r="R8" s="140" t="str">
        <f t="shared" si="1"/>
        <v/>
      </c>
      <c r="S8" s="150">
        <f t="shared" ref="S8" si="5">COUNT(C8:E8)/3</f>
        <v>0</v>
      </c>
      <c r="T8" s="140">
        <f>IF($U8=0%,"",IF($U8&gt;66%,AVERAGE($I8:$K8),"-"))</f>
        <v>15.299999999999999</v>
      </c>
      <c r="U8" s="150">
        <f>COUNT(I8:K8)/3</f>
        <v>1</v>
      </c>
      <c r="V8" s="141" t="str">
        <f>IF(AND(($S8&gt;33%),($U8&gt;33%),($W8&gt;=75%)),AVERAGE($C8:$N8),"-")</f>
        <v>-</v>
      </c>
      <c r="W8" s="142">
        <f>Q8</f>
        <v>0.75</v>
      </c>
      <c r="X8" s="144" t="str">
        <f t="shared" ref="X8:X40" si="6">IF(VLOOKUP($B8,$AC$6:$AI$166,3,FALSE)="",$R8,IF(ISERROR(AVERAGEIF($AD$6:$AD$166,VLOOKUP($B8,$AC$6:$AI$166,2,FALSE),$R$6:$R$166)),"",AVERAGEIF($AD$6:$AD$166,VLOOKUP($B8,$AC$6:$AI$166,2,FALSE),$R$6:$R$166)))</f>
        <v/>
      </c>
      <c r="Y8" s="144">
        <f t="shared" si="3"/>
        <v>15.299999999999999</v>
      </c>
      <c r="Z8" s="144" t="str">
        <f t="shared" si="4"/>
        <v>-</v>
      </c>
      <c r="AA8" s="10"/>
      <c r="AB8" s="357" t="str">
        <f>VLOOKUP($B8,'2007-2020 Metadata'!$A$4:$S$214,MATCH("Urban Area /Monitoring Zone",'2007-2020 Metadata'!$A$4:$S$4,0),FALSE)</f>
        <v>Auckland - Northern</v>
      </c>
      <c r="AC8" s="87" t="str">
        <f>VLOOKUP(B8,'2007-2020 Metadata'!$A$6:$A$214,1,FALSE)</f>
        <v>AUC004a</v>
      </c>
      <c r="AD8" s="230" t="str">
        <f>VLOOKUP($AC8,'2007-2020 Metadata'!$A$6:$S$214,9,FALSE)</f>
        <v>Rodney</v>
      </c>
      <c r="AE8" s="248" t="str">
        <f>IF(ISBLANK(VLOOKUP($AC8,'2007-2020 Metadata'!$A$6:$S$214,19,FALSE)),"",VLOOKUP($AC8,'2007-2020 Metadata'!$A$6:$S$214,19,FALSE))</f>
        <v/>
      </c>
      <c r="AF8" s="88" t="str">
        <f>VLOOKUP($B8,'2007-2020 Metadata'!$A$4:$S$214,MATCH("Site type",'2007-2020 Metadata'!$A$4:$S$4,0),FALSE)</f>
        <v>Local (ex SH)</v>
      </c>
      <c r="AG8" s="143">
        <f>MIN(C8:N8)</f>
        <v>8.4</v>
      </c>
      <c r="AH8" s="143">
        <f>MAX(C8:N8)</f>
        <v>19.600000000000001</v>
      </c>
      <c r="AI8" s="144" t="str">
        <f>IF(W8&gt;=75%,Z8," ")</f>
        <v>-</v>
      </c>
    </row>
    <row r="9" spans="2:35" ht="12" customHeight="1" x14ac:dyDescent="0.15">
      <c r="B9" s="123" t="s">
        <v>4</v>
      </c>
      <c r="C9" s="119">
        <v>28.6</v>
      </c>
      <c r="D9" s="119">
        <v>30.3</v>
      </c>
      <c r="E9" s="119">
        <v>31.6</v>
      </c>
      <c r="F9" s="119">
        <v>31.5</v>
      </c>
      <c r="G9" s="119">
        <v>31.7</v>
      </c>
      <c r="H9" s="119">
        <v>35.799999999999997</v>
      </c>
      <c r="I9" s="119">
        <v>38.799999999999997</v>
      </c>
      <c r="J9" s="119">
        <v>38.299999999999997</v>
      </c>
      <c r="K9" s="119">
        <v>29.5</v>
      </c>
      <c r="L9" s="119">
        <v>32.700000000000003</v>
      </c>
      <c r="M9" s="119">
        <v>26.4</v>
      </c>
      <c r="N9" s="119">
        <v>21.6</v>
      </c>
      <c r="O9" s="121">
        <f t="shared" ref="O9:O78" si="7">(AVERAGE(C9:N9))</f>
        <v>31.400000000000002</v>
      </c>
      <c r="P9" s="121">
        <f t="shared" ref="P9:P78" si="8">IFERROR((STDEV(C9:N9)/O9)*100,"")</f>
        <v>15.401397930382569</v>
      </c>
      <c r="Q9" s="122">
        <f t="shared" si="0"/>
        <v>1</v>
      </c>
      <c r="R9" s="140">
        <f t="shared" si="1"/>
        <v>30.166666666666668</v>
      </c>
      <c r="S9" s="150">
        <f t="shared" si="2"/>
        <v>1</v>
      </c>
      <c r="T9" s="140">
        <f t="shared" ref="T9:T79" si="9">IF($U9=0%,"",IF($U9&gt;66%,AVERAGE($I9:$K9),"-"))</f>
        <v>35.533333333333331</v>
      </c>
      <c r="U9" s="150">
        <f t="shared" ref="U9:U79" si="10">COUNT(I9:K9)/3</f>
        <v>1</v>
      </c>
      <c r="V9" s="141">
        <f t="shared" ref="V9:V79" si="11">IF(AND(($S9&gt;33%),($U9&gt;33%),($W9&gt;=75%)),AVERAGE($C9:$N9),"-")</f>
        <v>31.400000000000002</v>
      </c>
      <c r="W9" s="142">
        <f t="shared" ref="W9:W79" si="12">Q9</f>
        <v>1</v>
      </c>
      <c r="X9" s="144">
        <f t="shared" si="6"/>
        <v>22.672727272727272</v>
      </c>
      <c r="Y9" s="144">
        <f t="shared" si="3"/>
        <v>31.904573466749103</v>
      </c>
      <c r="Z9" s="144">
        <f t="shared" si="4"/>
        <v>26.143692364855983</v>
      </c>
      <c r="AA9" s="10"/>
      <c r="AB9" s="357" t="str">
        <f>VLOOKUP($B9,'2007-2020 Metadata'!$A$4:$S$214,MATCH("Urban Area /Monitoring Zone",'2007-2020 Metadata'!$A$4:$S$4,0),FALSE)</f>
        <v>Auckland - Northern</v>
      </c>
      <c r="AC9" s="87" t="str">
        <f>VLOOKUP(B9,'2007-2020 Metadata'!$A$6:$A$214,1,FALSE)</f>
        <v>AUC005</v>
      </c>
      <c r="AD9" s="230" t="str">
        <f>VLOOKUP($AC9,'2007-2020 Metadata'!$A$6:$S$214,9,FALSE)</f>
        <v xml:space="preserve">North Shore </v>
      </c>
      <c r="AE9" s="248">
        <f>IF(ISBLANK(VLOOKUP($AC9,'2007-2020 Metadata'!$A$6:$S$214,19,FALSE)),"",VLOOKUP($AC9,'2007-2020 Metadata'!$A$6:$S$214,19,FALSE))</f>
        <v>2.1</v>
      </c>
      <c r="AF9" s="88" t="str">
        <f>VLOOKUP($B9,'2007-2020 Metadata'!$A$4:$S$214,MATCH("Site type",'2007-2020 Metadata'!$A$4:$S$4,0),FALSE)</f>
        <v>Local</v>
      </c>
      <c r="AG9" s="143">
        <f t="shared" ref="AG9:AG79" si="13">MIN(C9:N9)</f>
        <v>21.6</v>
      </c>
      <c r="AH9" s="143">
        <f t="shared" ref="AH9:AH79" si="14">MAX(C9:N9)</f>
        <v>38.799999999999997</v>
      </c>
      <c r="AI9" s="144">
        <f t="shared" ref="AI9:AI79" si="15">IF(W9&gt;=75%,Z9," ")</f>
        <v>26.143692364855983</v>
      </c>
    </row>
    <row r="10" spans="2:35" ht="12" customHeight="1" x14ac:dyDescent="0.15">
      <c r="B10" s="123" t="s">
        <v>6</v>
      </c>
      <c r="C10" s="119">
        <v>25.5</v>
      </c>
      <c r="D10" s="119">
        <v>27.5</v>
      </c>
      <c r="E10" s="119">
        <v>28.1</v>
      </c>
      <c r="F10" s="119">
        <v>28.2</v>
      </c>
      <c r="G10" s="119">
        <v>28.7</v>
      </c>
      <c r="H10" s="119">
        <v>25.8</v>
      </c>
      <c r="I10" s="119">
        <v>33.299999999999997</v>
      </c>
      <c r="J10" s="119">
        <v>40.5</v>
      </c>
      <c r="K10" s="119">
        <v>21.9</v>
      </c>
      <c r="L10" s="119">
        <v>14.4</v>
      </c>
      <c r="M10" s="119">
        <v>24.5</v>
      </c>
      <c r="N10" s="119">
        <v>13</v>
      </c>
      <c r="O10" s="121">
        <f t="shared" si="7"/>
        <v>25.95</v>
      </c>
      <c r="P10" s="121">
        <f t="shared" si="8"/>
        <v>28.583759091530332</v>
      </c>
      <c r="Q10" s="122">
        <f t="shared" si="0"/>
        <v>1</v>
      </c>
      <c r="R10" s="140">
        <f t="shared" si="1"/>
        <v>27.033333333333331</v>
      </c>
      <c r="S10" s="150">
        <f t="shared" si="2"/>
        <v>1</v>
      </c>
      <c r="T10" s="140">
        <f t="shared" si="9"/>
        <v>31.899999999999995</v>
      </c>
      <c r="U10" s="150">
        <f t="shared" si="10"/>
        <v>1</v>
      </c>
      <c r="V10" s="141">
        <f t="shared" si="11"/>
        <v>25.95</v>
      </c>
      <c r="W10" s="142">
        <f t="shared" si="12"/>
        <v>1</v>
      </c>
      <c r="X10" s="144">
        <f t="shared" si="6"/>
        <v>22.672727272727272</v>
      </c>
      <c r="Y10" s="144">
        <f t="shared" si="3"/>
        <v>31.904573466749103</v>
      </c>
      <c r="Z10" s="144">
        <f t="shared" si="4"/>
        <v>26.143692364855983</v>
      </c>
      <c r="AA10" s="10"/>
      <c r="AB10" s="357" t="str">
        <f>VLOOKUP($B10,'2007-2020 Metadata'!$A$4:$S$214,MATCH("Urban Area /Monitoring Zone",'2007-2020 Metadata'!$A$4:$S$4,0),FALSE)</f>
        <v>Auckland - Northern</v>
      </c>
      <c r="AC10" s="87" t="str">
        <f>VLOOKUP(B10,'2007-2020 Metadata'!$A$6:$A$214,1,FALSE)</f>
        <v>AUC007</v>
      </c>
      <c r="AD10" s="230" t="str">
        <f>VLOOKUP($AC10,'2007-2020 Metadata'!$A$6:$S$214,9,FALSE)</f>
        <v xml:space="preserve">North Shore </v>
      </c>
      <c r="AE10" s="248">
        <f>IF(ISBLANK(VLOOKUP($AC10,'2007-2020 Metadata'!$A$6:$S$214,19,FALSE)),"",VLOOKUP($AC10,'2007-2020 Metadata'!$A$6:$S$214,19,FALSE))</f>
        <v>3</v>
      </c>
      <c r="AF10" s="88" t="str">
        <f>VLOOKUP($B10,'2007-2020 Metadata'!$A$4:$S$214,MATCH("Site type",'2007-2020 Metadata'!$A$4:$S$4,0),FALSE)</f>
        <v>SH</v>
      </c>
      <c r="AG10" s="143">
        <f t="shared" si="13"/>
        <v>13</v>
      </c>
      <c r="AH10" s="143">
        <f t="shared" si="14"/>
        <v>40.5</v>
      </c>
      <c r="AI10" s="144">
        <f t="shared" si="15"/>
        <v>26.143692364855983</v>
      </c>
    </row>
    <row r="11" spans="2:35" ht="12" customHeight="1" x14ac:dyDescent="0.15">
      <c r="B11" s="123" t="s">
        <v>7</v>
      </c>
      <c r="C11" s="119">
        <v>17.399999999999999</v>
      </c>
      <c r="D11" s="119">
        <v>28.1</v>
      </c>
      <c r="E11" s="119">
        <v>32.299999999999997</v>
      </c>
      <c r="F11" s="119">
        <v>31.5</v>
      </c>
      <c r="G11" s="119">
        <v>32.200000000000003</v>
      </c>
      <c r="H11" s="119">
        <v>24.8</v>
      </c>
      <c r="I11" s="119">
        <v>33.200000000000003</v>
      </c>
      <c r="J11" s="119">
        <v>40.700000000000003</v>
      </c>
      <c r="K11" s="119">
        <v>24.6</v>
      </c>
      <c r="L11" s="119">
        <v>13.5</v>
      </c>
      <c r="M11" s="119">
        <v>23.1</v>
      </c>
      <c r="N11" s="119">
        <v>12.3</v>
      </c>
      <c r="O11" s="121">
        <f t="shared" si="7"/>
        <v>26.141666666666669</v>
      </c>
      <c r="P11" s="121">
        <f t="shared" si="8"/>
        <v>32.829449524777679</v>
      </c>
      <c r="Q11" s="122">
        <f t="shared" si="0"/>
        <v>1</v>
      </c>
      <c r="R11" s="140">
        <f t="shared" si="1"/>
        <v>25.933333333333334</v>
      </c>
      <c r="S11" s="150">
        <f t="shared" si="2"/>
        <v>1</v>
      </c>
      <c r="T11" s="140">
        <f t="shared" si="9"/>
        <v>32.833333333333336</v>
      </c>
      <c r="U11" s="150">
        <f t="shared" si="10"/>
        <v>1</v>
      </c>
      <c r="V11" s="141">
        <f t="shared" si="11"/>
        <v>26.141666666666669</v>
      </c>
      <c r="W11" s="142">
        <f t="shared" si="12"/>
        <v>1</v>
      </c>
      <c r="X11" s="144">
        <f t="shared" si="6"/>
        <v>25.064102564102559</v>
      </c>
      <c r="Y11" s="144">
        <f t="shared" si="3"/>
        <v>35.905555555555551</v>
      </c>
      <c r="Z11" s="144">
        <f t="shared" si="4"/>
        <v>28.912500000000001</v>
      </c>
      <c r="AA11" s="10"/>
      <c r="AB11" s="357" t="str">
        <f>VLOOKUP($B11,'2007-2020 Metadata'!$A$4:$S$214,MATCH("Urban Area /Monitoring Zone",'2007-2020 Metadata'!$A$4:$S$4,0),FALSE)</f>
        <v>Auckland - Central</v>
      </c>
      <c r="AC11" s="87" t="str">
        <f>VLOOKUP(B11,'2007-2020 Metadata'!$A$6:$A$214,1,FALSE)</f>
        <v>AUC008</v>
      </c>
      <c r="AD11" s="230" t="str">
        <f>VLOOKUP($AC11,'2007-2020 Metadata'!$A$6:$S$214,9,FALSE)</f>
        <v>Auckland</v>
      </c>
      <c r="AE11" s="248">
        <f>IF(ISBLANK(VLOOKUP($AC11,'2007-2020 Metadata'!$A$6:$S$214,19,FALSE)),"",VLOOKUP($AC11,'2007-2020 Metadata'!$A$6:$S$214,19,FALSE))</f>
        <v>3</v>
      </c>
      <c r="AF11" s="88" t="str">
        <f>VLOOKUP($B11,'2007-2020 Metadata'!$A$4:$S$214,MATCH("Site type",'2007-2020 Metadata'!$A$4:$S$4,0),FALSE)</f>
        <v>SH</v>
      </c>
      <c r="AG11" s="143">
        <f t="shared" si="13"/>
        <v>12.3</v>
      </c>
      <c r="AH11" s="143">
        <f t="shared" si="14"/>
        <v>40.700000000000003</v>
      </c>
      <c r="AI11" s="144">
        <f t="shared" si="15"/>
        <v>28.912500000000001</v>
      </c>
    </row>
    <row r="12" spans="2:35" ht="12" customHeight="1" x14ac:dyDescent="0.15">
      <c r="B12" s="123" t="s">
        <v>8</v>
      </c>
      <c r="C12" s="119">
        <v>34.799999999999997</v>
      </c>
      <c r="D12" s="119">
        <v>35.299999999999997</v>
      </c>
      <c r="E12" s="119">
        <v>35.9</v>
      </c>
      <c r="F12" s="119"/>
      <c r="G12" s="119"/>
      <c r="H12" s="119"/>
      <c r="I12" s="119"/>
      <c r="J12" s="119">
        <v>49.1</v>
      </c>
      <c r="K12" s="119">
        <v>38.6</v>
      </c>
      <c r="L12" s="173"/>
      <c r="M12" s="173"/>
      <c r="N12" s="173"/>
      <c r="O12" s="121">
        <f t="shared" si="7"/>
        <v>38.739999999999995</v>
      </c>
      <c r="P12" s="121">
        <f t="shared" si="8"/>
        <v>15.421687895230384</v>
      </c>
      <c r="Q12" s="122">
        <f t="shared" si="0"/>
        <v>0.41666666666666669</v>
      </c>
      <c r="R12" s="140">
        <f t="shared" si="1"/>
        <v>35.333333333333336</v>
      </c>
      <c r="S12" s="150">
        <f t="shared" si="2"/>
        <v>1</v>
      </c>
      <c r="T12" s="140">
        <f t="shared" si="9"/>
        <v>43.85</v>
      </c>
      <c r="U12" s="150">
        <f t="shared" si="10"/>
        <v>0.66666666666666663</v>
      </c>
      <c r="V12" s="141" t="str">
        <f t="shared" si="11"/>
        <v>-</v>
      </c>
      <c r="W12" s="142">
        <f t="shared" si="12"/>
        <v>0.41666666666666669</v>
      </c>
      <c r="X12" s="144">
        <f t="shared" si="6"/>
        <v>25.064102564102559</v>
      </c>
      <c r="Y12" s="144">
        <f t="shared" si="3"/>
        <v>35.905555555555551</v>
      </c>
      <c r="Z12" s="144">
        <f t="shared" si="4"/>
        <v>28.912500000000001</v>
      </c>
      <c r="AA12" s="10"/>
      <c r="AB12" s="357" t="str">
        <f>VLOOKUP($B12,'2007-2020 Metadata'!$A$4:$S$214,MATCH("Urban Area /Monitoring Zone",'2007-2020 Metadata'!$A$4:$S$4,0),FALSE)</f>
        <v>Auckland - Central</v>
      </c>
      <c r="AC12" s="87" t="str">
        <f>VLOOKUP(B12,'2007-2020 Metadata'!$A$6:$A$214,1,FALSE)</f>
        <v>AUC009</v>
      </c>
      <c r="AD12" s="230" t="str">
        <f>VLOOKUP($AC12,'2007-2020 Metadata'!$A$6:$S$214,9,FALSE)</f>
        <v>Auckland</v>
      </c>
      <c r="AE12" s="248">
        <f>IF(ISBLANK(VLOOKUP($AC12,'2007-2020 Metadata'!$A$6:$S$214,19,FALSE)),"",VLOOKUP($AC12,'2007-2020 Metadata'!$A$6:$S$214,19,FALSE))</f>
        <v>3</v>
      </c>
      <c r="AF12" s="88" t="str">
        <f>VLOOKUP($B12,'2007-2020 Metadata'!$A$4:$S$214,MATCH("Site type",'2007-2020 Metadata'!$A$4:$S$4,0),FALSE)</f>
        <v>SH</v>
      </c>
      <c r="AG12" s="143">
        <f t="shared" si="13"/>
        <v>34.799999999999997</v>
      </c>
      <c r="AH12" s="143">
        <f t="shared" si="14"/>
        <v>49.1</v>
      </c>
      <c r="AI12" s="144" t="str">
        <f t="shared" si="15"/>
        <v xml:space="preserve"> </v>
      </c>
    </row>
    <row r="13" spans="2:35" ht="12" customHeight="1" x14ac:dyDescent="0.15">
      <c r="B13" s="123" t="s">
        <v>990</v>
      </c>
      <c r="C13" s="173"/>
      <c r="D13" s="173"/>
      <c r="E13" s="173"/>
      <c r="F13" s="173"/>
      <c r="G13" s="173"/>
      <c r="H13" s="173"/>
      <c r="I13" s="173"/>
      <c r="J13" s="173"/>
      <c r="K13" s="173"/>
      <c r="L13" s="119">
        <v>40.6</v>
      </c>
      <c r="M13" s="119">
        <v>22.7</v>
      </c>
      <c r="N13" s="119">
        <v>25.7</v>
      </c>
      <c r="O13" s="121">
        <f t="shared" ref="O13" si="16">(AVERAGE(C13:N13))</f>
        <v>29.666666666666668</v>
      </c>
      <c r="P13" s="121">
        <f t="shared" si="8"/>
        <v>32.314458282855064</v>
      </c>
      <c r="Q13" s="122">
        <f t="shared" si="0"/>
        <v>0.25</v>
      </c>
      <c r="R13" s="140" t="str">
        <f t="shared" si="1"/>
        <v/>
      </c>
      <c r="S13" s="150">
        <f t="shared" ref="S13" si="17">COUNT(C13:E13)/3</f>
        <v>0</v>
      </c>
      <c r="T13" s="140" t="str">
        <f t="shared" si="9"/>
        <v/>
      </c>
      <c r="U13" s="150">
        <f t="shared" ref="U13" si="18">COUNT(I13:K13)/3</f>
        <v>0</v>
      </c>
      <c r="V13" s="141" t="str">
        <f t="shared" si="11"/>
        <v>-</v>
      </c>
      <c r="W13" s="142">
        <f t="shared" ref="W13" si="19">Q13</f>
        <v>0.25</v>
      </c>
      <c r="X13" s="144" t="str">
        <f t="shared" si="6"/>
        <v/>
      </c>
      <c r="Y13" s="144" t="str">
        <f t="shared" si="3"/>
        <v/>
      </c>
      <c r="Z13" s="144" t="str">
        <f t="shared" si="4"/>
        <v>-</v>
      </c>
      <c r="AA13" s="10"/>
      <c r="AB13" s="357" t="str">
        <f>VLOOKUP($B13,'2007-2020 Metadata'!$A$4:$S$214,MATCH("Urban Area /Monitoring Zone",'2007-2020 Metadata'!$A$4:$S$4,0),FALSE)</f>
        <v>Auckland - Central</v>
      </c>
      <c r="AC13" s="87" t="str">
        <f>VLOOKUP(B13,'2007-2020 Metadata'!$A$6:$A$214,1,FALSE)</f>
        <v>AUC009a</v>
      </c>
      <c r="AD13" s="230" t="str">
        <f>VLOOKUP($AC13,'2007-2020 Metadata'!$A$6:$S$214,9,FALSE)</f>
        <v>Auckland</v>
      </c>
      <c r="AE13" s="248" t="str">
        <f>IF(ISBLANK(VLOOKUP($AC13,'2007-2020 Metadata'!$A$6:$S$214,19,FALSE)),"",VLOOKUP($AC13,'2007-2020 Metadata'!$A$6:$S$214,19,FALSE))</f>
        <v/>
      </c>
      <c r="AF13" s="88" t="str">
        <f>VLOOKUP($B13,'2007-2020 Metadata'!$A$4:$S$214,MATCH("Site type",'2007-2020 Metadata'!$A$4:$S$4,0),FALSE)</f>
        <v>SH</v>
      </c>
      <c r="AG13" s="143">
        <f t="shared" ref="AG13" si="20">MIN(C13:N13)</f>
        <v>22.7</v>
      </c>
      <c r="AH13" s="143">
        <f t="shared" ref="AH13" si="21">MAX(C13:N13)</f>
        <v>40.6</v>
      </c>
      <c r="AI13" s="144" t="str">
        <f t="shared" ref="AI13" si="22">IF(W13&gt;=75%,Z13," ")</f>
        <v xml:space="preserve"> </v>
      </c>
    </row>
    <row r="14" spans="2:35" ht="12" customHeight="1" x14ac:dyDescent="0.15">
      <c r="B14" s="123" t="s">
        <v>9</v>
      </c>
      <c r="C14" s="119">
        <v>28.7</v>
      </c>
      <c r="D14" s="119">
        <v>33.9</v>
      </c>
      <c r="E14" s="119">
        <v>32.9</v>
      </c>
      <c r="F14" s="119">
        <v>40.4</v>
      </c>
      <c r="G14" s="119">
        <v>43.6</v>
      </c>
      <c r="H14" s="119">
        <v>54.1</v>
      </c>
      <c r="I14" s="119">
        <v>50.5</v>
      </c>
      <c r="J14" s="119">
        <v>37.200000000000003</v>
      </c>
      <c r="K14" s="119">
        <v>34.4</v>
      </c>
      <c r="L14" s="119">
        <v>38.9</v>
      </c>
      <c r="M14" s="119">
        <v>30</v>
      </c>
      <c r="N14" s="119">
        <v>25.2</v>
      </c>
      <c r="O14" s="121">
        <f t="shared" si="7"/>
        <v>37.483333333333327</v>
      </c>
      <c r="P14" s="121">
        <f t="shared" si="8"/>
        <v>23.047311899770623</v>
      </c>
      <c r="Q14" s="122">
        <f t="shared" si="0"/>
        <v>1</v>
      </c>
      <c r="R14" s="140">
        <f t="shared" si="1"/>
        <v>31.833333333333332</v>
      </c>
      <c r="S14" s="150">
        <f t="shared" si="2"/>
        <v>1</v>
      </c>
      <c r="T14" s="140">
        <f t="shared" si="9"/>
        <v>40.699999999999996</v>
      </c>
      <c r="U14" s="150">
        <f t="shared" si="10"/>
        <v>1</v>
      </c>
      <c r="V14" s="141">
        <f t="shared" si="11"/>
        <v>37.483333333333327</v>
      </c>
      <c r="W14" s="142">
        <f t="shared" si="12"/>
        <v>1</v>
      </c>
      <c r="X14" s="144">
        <f t="shared" si="6"/>
        <v>25.064102564102559</v>
      </c>
      <c r="Y14" s="144">
        <f t="shared" si="3"/>
        <v>35.905555555555551</v>
      </c>
      <c r="Z14" s="144">
        <f t="shared" si="4"/>
        <v>28.912500000000001</v>
      </c>
      <c r="AA14" s="10"/>
      <c r="AB14" s="357" t="str">
        <f>VLOOKUP($B14,'2007-2020 Metadata'!$A$4:$S$214,MATCH("Urban Area /Monitoring Zone",'2007-2020 Metadata'!$A$4:$S$4,0),FALSE)</f>
        <v>Auckland - Central</v>
      </c>
      <c r="AC14" s="87" t="str">
        <f>VLOOKUP(B14,'2007-2020 Metadata'!$A$6:$A$214,1,FALSE)</f>
        <v>AUC011</v>
      </c>
      <c r="AD14" s="230" t="str">
        <f>VLOOKUP($AC14,'2007-2020 Metadata'!$A$6:$S$214,9,FALSE)</f>
        <v>Auckland</v>
      </c>
      <c r="AE14" s="248">
        <f>IF(ISBLANK(VLOOKUP($AC14,'2007-2020 Metadata'!$A$6:$S$214,19,FALSE)),"",VLOOKUP($AC14,'2007-2020 Metadata'!$A$6:$S$214,19,FALSE))</f>
        <v>3</v>
      </c>
      <c r="AF14" s="88" t="str">
        <f>VLOOKUP($B14,'2007-2020 Metadata'!$A$4:$S$214,MATCH("Site type",'2007-2020 Metadata'!$A$4:$S$4,0),FALSE)</f>
        <v>SH</v>
      </c>
      <c r="AG14" s="143">
        <f t="shared" si="13"/>
        <v>25.2</v>
      </c>
      <c r="AH14" s="143">
        <f t="shared" si="14"/>
        <v>54.1</v>
      </c>
      <c r="AI14" s="144">
        <f t="shared" si="15"/>
        <v>28.912500000000001</v>
      </c>
    </row>
    <row r="15" spans="2:35" ht="12" customHeight="1" x14ac:dyDescent="0.15">
      <c r="B15" s="123" t="s">
        <v>10</v>
      </c>
      <c r="C15" s="119">
        <v>21.7</v>
      </c>
      <c r="D15" s="119">
        <v>24.8</v>
      </c>
      <c r="E15" s="119">
        <v>27.5</v>
      </c>
      <c r="F15" s="119">
        <v>35.9</v>
      </c>
      <c r="G15" s="119">
        <v>36.9</v>
      </c>
      <c r="H15" s="119">
        <v>38.6</v>
      </c>
      <c r="I15" s="119">
        <v>43.7</v>
      </c>
      <c r="J15" s="119">
        <v>30.3</v>
      </c>
      <c r="K15" s="119">
        <v>31.7</v>
      </c>
      <c r="L15" s="119">
        <v>26.5</v>
      </c>
      <c r="M15" s="119">
        <v>26</v>
      </c>
      <c r="N15" s="119">
        <v>12.4</v>
      </c>
      <c r="O15" s="121">
        <f t="shared" si="7"/>
        <v>29.666666666666668</v>
      </c>
      <c r="P15" s="121">
        <f t="shared" si="8"/>
        <v>28.491833115680933</v>
      </c>
      <c r="Q15" s="122">
        <f t="shared" si="0"/>
        <v>1</v>
      </c>
      <c r="R15" s="260">
        <f t="shared" si="1"/>
        <v>24.666666666666668</v>
      </c>
      <c r="S15" s="261">
        <f t="shared" si="2"/>
        <v>1</v>
      </c>
      <c r="T15" s="260">
        <f t="shared" si="9"/>
        <v>35.233333333333334</v>
      </c>
      <c r="U15" s="261">
        <f t="shared" si="10"/>
        <v>1</v>
      </c>
      <c r="V15" s="262">
        <f t="shared" si="11"/>
        <v>29.666666666666668</v>
      </c>
      <c r="W15" s="261">
        <f t="shared" si="12"/>
        <v>1</v>
      </c>
      <c r="X15" s="177">
        <f t="shared" si="6"/>
        <v>25.064102564102559</v>
      </c>
      <c r="Y15" s="177">
        <f t="shared" si="3"/>
        <v>35.905555555555551</v>
      </c>
      <c r="Z15" s="177">
        <f t="shared" si="4"/>
        <v>28.912500000000001</v>
      </c>
      <c r="AA15" s="10"/>
      <c r="AB15" s="357" t="str">
        <f>VLOOKUP($B15,'2007-2020 Metadata'!$A$4:$S$214,MATCH("Urban Area /Monitoring Zone",'2007-2020 Metadata'!$A$4:$S$4,0),FALSE)</f>
        <v>Auckland - Central</v>
      </c>
      <c r="AC15" s="259" t="str">
        <f>VLOOKUP(B15,'2007-2020 Metadata'!$A$6:$A$214,1,FALSE)</f>
        <v>AUC013</v>
      </c>
      <c r="AD15" s="256" t="str">
        <f>VLOOKUP($AC15,'2007-2020 Metadata'!$A$6:$S$214,9,FALSE)</f>
        <v>Auckland</v>
      </c>
      <c r="AE15" s="263">
        <f>IF(ISBLANK(VLOOKUP($AC15,'2007-2020 Metadata'!$A$6:$S$214,19,FALSE)),"",VLOOKUP($AC15,'2007-2020 Metadata'!$A$6:$S$214,19,FALSE))</f>
        <v>4</v>
      </c>
      <c r="AF15" s="257" t="str">
        <f>VLOOKUP($B15,'2007-2020 Metadata'!$A$4:$S$214,MATCH("Site type",'2007-2020 Metadata'!$A$4:$S$4,0),FALSE)</f>
        <v>SH</v>
      </c>
      <c r="AG15" s="258">
        <f>MIN(AVERAGE($C$16:$C$18),AVERAGE($D$16:$D$18),AVERAGE($E$16:$E$18),AVERAGE($F$16:$F$18),AVERAGE($G$16:$G$18),AVERAGE($H$16:$H$18),AVERAGE($I$16:$I$18),AVERAGE($J$16:$J$18),AVERAGE($K$16:$K$18),AVERAGE($L$16:$L$18),AVERAGE($M$16:$M$18),AVERAGE($N$16:$N$18))</f>
        <v>18.5</v>
      </c>
      <c r="AH15" s="258">
        <f>MAX(AVERAGE($C$16:$C$18),AVERAGE($D$16:$D$18),AVERAGE($E$16:$E$18),AVERAGE($F$16:$F$18),AVERAGE($G$16:$G$18),AVERAGE($H$16:$H$18),AVERAGE($I$16:$I$18),AVERAGE($J$16:$J$18),AVERAGE($K$16:$K$18),AVERAGE($L$16:$L$18),AVERAGE($M$16:$M$18),AVERAGE($N$16:$N$18))</f>
        <v>40.799999999999997</v>
      </c>
      <c r="AI15" s="177">
        <f t="shared" si="15"/>
        <v>28.912500000000001</v>
      </c>
    </row>
    <row r="16" spans="2:35" ht="12" customHeight="1" x14ac:dyDescent="0.15">
      <c r="B16" s="123" t="s">
        <v>11</v>
      </c>
      <c r="C16" s="119">
        <v>22.6</v>
      </c>
      <c r="D16" s="119">
        <v>24.8</v>
      </c>
      <c r="E16" s="119">
        <v>28.1</v>
      </c>
      <c r="F16" s="119">
        <v>34.9</v>
      </c>
      <c r="G16" s="119">
        <v>37.299999999999997</v>
      </c>
      <c r="H16" s="119">
        <v>39.200000000000003</v>
      </c>
      <c r="I16" s="119">
        <v>37.799999999999997</v>
      </c>
      <c r="J16" s="119">
        <v>34.799999999999997</v>
      </c>
      <c r="K16" s="119">
        <v>33.5</v>
      </c>
      <c r="L16" s="119">
        <v>27.4</v>
      </c>
      <c r="M16" s="119">
        <v>18.399999999999999</v>
      </c>
      <c r="N16" s="119">
        <v>18.7</v>
      </c>
      <c r="O16" s="121">
        <f t="shared" si="7"/>
        <v>29.791666666666661</v>
      </c>
      <c r="P16" s="121">
        <f t="shared" si="8"/>
        <v>25.036500679194369</v>
      </c>
      <c r="Q16" s="122">
        <f t="shared" si="0"/>
        <v>1</v>
      </c>
      <c r="R16" s="260">
        <f t="shared" si="1"/>
        <v>25.166666666666668</v>
      </c>
      <c r="S16" s="261">
        <f t="shared" si="2"/>
        <v>1</v>
      </c>
      <c r="T16" s="260">
        <f t="shared" si="9"/>
        <v>35.366666666666667</v>
      </c>
      <c r="U16" s="261">
        <f t="shared" si="10"/>
        <v>1</v>
      </c>
      <c r="V16" s="262">
        <f t="shared" si="11"/>
        <v>29.791666666666661</v>
      </c>
      <c r="W16" s="261">
        <f t="shared" si="12"/>
        <v>1</v>
      </c>
      <c r="X16" s="177">
        <f t="shared" si="6"/>
        <v>25.064102564102559</v>
      </c>
      <c r="Y16" s="177">
        <f t="shared" si="3"/>
        <v>35.905555555555551</v>
      </c>
      <c r="Z16" s="177">
        <f t="shared" si="4"/>
        <v>28.912500000000001</v>
      </c>
      <c r="AA16" s="10"/>
      <c r="AB16" s="357" t="str">
        <f>VLOOKUP($B16,'2007-2020 Metadata'!$A$4:$S$214,MATCH("Urban Area /Monitoring Zone",'2007-2020 Metadata'!$A$4:$S$4,0),FALSE)</f>
        <v>Auckland - Central</v>
      </c>
      <c r="AC16" s="259" t="str">
        <f>VLOOKUP(B16,'2007-2020 Metadata'!$A$6:$A$214,1,FALSE)</f>
        <v>AUC014</v>
      </c>
      <c r="AD16" s="256" t="str">
        <f>VLOOKUP($AC16,'2007-2020 Metadata'!$A$6:$S$214,9,FALSE)</f>
        <v>Auckland</v>
      </c>
      <c r="AE16" s="263">
        <f>IF(ISBLANK(VLOOKUP($AC16,'2007-2020 Metadata'!$A$6:$S$214,19,FALSE)),"",VLOOKUP($AC16,'2007-2020 Metadata'!$A$6:$S$214,19,FALSE))</f>
        <v>4</v>
      </c>
      <c r="AF16" s="257" t="str">
        <f>VLOOKUP($B16,'2007-2020 Metadata'!$A$4:$S$214,MATCH("Site type",'2007-2020 Metadata'!$A$4:$S$4,0),FALSE)</f>
        <v>SH</v>
      </c>
      <c r="AG16" s="258">
        <f t="shared" ref="AG16:AG17" si="23">MIN(AVERAGE($C$16:$C$18),AVERAGE($D$16:$D$18),AVERAGE($E$16:$E$18),AVERAGE($F$16:$F$18),AVERAGE($G$16:$G$18),AVERAGE($H$16:$H$18),AVERAGE($I$16:$I$18),AVERAGE($J$16:$J$18),AVERAGE($K$16:$K$18),AVERAGE($L$16:$L$18),AVERAGE($M$16:$M$18),AVERAGE($N$16:$N$18))</f>
        <v>18.5</v>
      </c>
      <c r="AH16" s="258">
        <f t="shared" ref="AH16:AH17" si="24">MAX(AVERAGE($C$16:$C$18),AVERAGE($D$16:$D$18),AVERAGE($E$16:$E$18),AVERAGE($F$16:$F$18),AVERAGE($G$16:$G$18),AVERAGE($H$16:$H$18),AVERAGE($I$16:$I$18),AVERAGE($J$16:$J$18),AVERAGE($K$16:$K$18),AVERAGE($L$16:$L$18),AVERAGE($M$16:$M$18),AVERAGE($N$16:$N$18))</f>
        <v>40.799999999999997</v>
      </c>
      <c r="AI16" s="177">
        <f t="shared" si="15"/>
        <v>28.912500000000001</v>
      </c>
    </row>
    <row r="17" spans="2:36" ht="12" customHeight="1" x14ac:dyDescent="0.15">
      <c r="B17" s="123" t="s">
        <v>12</v>
      </c>
      <c r="C17" s="119">
        <v>15.7</v>
      </c>
      <c r="D17" s="119">
        <v>25.5</v>
      </c>
      <c r="E17" s="119">
        <v>26.8</v>
      </c>
      <c r="F17" s="119">
        <v>30.5</v>
      </c>
      <c r="G17" s="119">
        <v>39.6</v>
      </c>
      <c r="H17" s="119">
        <v>40.5</v>
      </c>
      <c r="I17" s="119">
        <v>43.8</v>
      </c>
      <c r="J17" s="119">
        <v>34.700000000000003</v>
      </c>
      <c r="K17" s="119">
        <v>31.8</v>
      </c>
      <c r="L17" s="119">
        <v>20.399999999999999</v>
      </c>
      <c r="M17" s="119">
        <v>26.8</v>
      </c>
      <c r="N17" s="119">
        <v>18.3</v>
      </c>
      <c r="O17" s="121">
        <f t="shared" si="7"/>
        <v>29.533333333333331</v>
      </c>
      <c r="P17" s="121">
        <f t="shared" si="8"/>
        <v>30.458417684007316</v>
      </c>
      <c r="Q17" s="122">
        <f t="shared" si="0"/>
        <v>1</v>
      </c>
      <c r="R17" s="260">
        <f t="shared" si="1"/>
        <v>22.666666666666668</v>
      </c>
      <c r="S17" s="261">
        <f t="shared" si="2"/>
        <v>1</v>
      </c>
      <c r="T17" s="260">
        <f t="shared" si="9"/>
        <v>36.766666666666666</v>
      </c>
      <c r="U17" s="261">
        <f t="shared" si="10"/>
        <v>1</v>
      </c>
      <c r="V17" s="262">
        <f t="shared" si="11"/>
        <v>29.533333333333331</v>
      </c>
      <c r="W17" s="261">
        <f t="shared" si="12"/>
        <v>1</v>
      </c>
      <c r="X17" s="177">
        <f t="shared" si="6"/>
        <v>25.064102564102559</v>
      </c>
      <c r="Y17" s="177">
        <f t="shared" si="3"/>
        <v>35.905555555555551</v>
      </c>
      <c r="Z17" s="177">
        <f t="shared" si="4"/>
        <v>28.912500000000001</v>
      </c>
      <c r="AA17" s="10"/>
      <c r="AB17" s="357" t="str">
        <f>VLOOKUP($B17,'2007-2020 Metadata'!$A$4:$S$214,MATCH("Urban Area /Monitoring Zone",'2007-2020 Metadata'!$A$4:$S$4,0),FALSE)</f>
        <v>Auckland - Central</v>
      </c>
      <c r="AC17" s="259" t="str">
        <f>VLOOKUP(B17,'2007-2020 Metadata'!$A$6:$A$214,1,FALSE)</f>
        <v>AUC015</v>
      </c>
      <c r="AD17" s="256" t="str">
        <f>VLOOKUP($AC17,'2007-2020 Metadata'!$A$6:$S$214,9,FALSE)</f>
        <v>Auckland</v>
      </c>
      <c r="AE17" s="263">
        <f>IF(ISBLANK(VLOOKUP($AC17,'2007-2020 Metadata'!$A$6:$S$214,19,FALSE)),"",VLOOKUP($AC17,'2007-2020 Metadata'!$A$6:$S$214,19,FALSE))</f>
        <v>4</v>
      </c>
      <c r="AF17" s="257" t="str">
        <f>VLOOKUP($B17,'2007-2020 Metadata'!$A$4:$S$214,MATCH("Site type",'2007-2020 Metadata'!$A$4:$S$4,0),FALSE)</f>
        <v>SH</v>
      </c>
      <c r="AG17" s="258">
        <f t="shared" si="23"/>
        <v>18.5</v>
      </c>
      <c r="AH17" s="258">
        <f t="shared" si="24"/>
        <v>40.799999999999997</v>
      </c>
      <c r="AI17" s="177">
        <f t="shared" si="15"/>
        <v>28.912500000000001</v>
      </c>
    </row>
    <row r="18" spans="2:36" ht="12" customHeight="1" x14ac:dyDescent="0.15">
      <c r="B18" s="123" t="s">
        <v>13</v>
      </c>
      <c r="C18" s="119">
        <v>18</v>
      </c>
      <c r="D18" s="119"/>
      <c r="E18" s="119">
        <v>21.5</v>
      </c>
      <c r="F18" s="119">
        <v>31.3</v>
      </c>
      <c r="G18" s="119">
        <v>41.4</v>
      </c>
      <c r="H18" s="119"/>
      <c r="I18" s="119"/>
      <c r="J18" s="173"/>
      <c r="K18" s="173"/>
      <c r="L18" s="173"/>
      <c r="M18" s="173"/>
      <c r="N18" s="173"/>
      <c r="O18" s="121">
        <f t="shared" si="7"/>
        <v>28.049999999999997</v>
      </c>
      <c r="P18" s="121">
        <f t="shared" si="8"/>
        <v>37.542775857489389</v>
      </c>
      <c r="Q18" s="122">
        <f t="shared" si="0"/>
        <v>0.33333333333333331</v>
      </c>
      <c r="R18" s="140">
        <f t="shared" si="1"/>
        <v>19.75</v>
      </c>
      <c r="S18" s="150">
        <f t="shared" si="2"/>
        <v>0.66666666666666663</v>
      </c>
      <c r="T18" s="140" t="str">
        <f t="shared" si="9"/>
        <v/>
      </c>
      <c r="U18" s="150">
        <f t="shared" si="10"/>
        <v>0</v>
      </c>
      <c r="V18" s="141" t="str">
        <f t="shared" si="11"/>
        <v>-</v>
      </c>
      <c r="W18" s="142">
        <f t="shared" si="12"/>
        <v>0.33333333333333331</v>
      </c>
      <c r="X18" s="144">
        <f t="shared" si="6"/>
        <v>21.50185185185185</v>
      </c>
      <c r="Y18" s="144">
        <f t="shared" si="3"/>
        <v>27.413761569125089</v>
      </c>
      <c r="Z18" s="144">
        <f t="shared" si="4"/>
        <v>22.807661171502055</v>
      </c>
      <c r="AA18" s="10"/>
      <c r="AB18" s="357" t="str">
        <f>VLOOKUP($B18,'2007-2020 Metadata'!$A$4:$S$214,MATCH("Urban Area /Monitoring Zone",'2007-2020 Metadata'!$A$4:$S$4,0),FALSE)</f>
        <v xml:space="preserve">Auckland - Southern </v>
      </c>
      <c r="AC18" s="87" t="str">
        <f>VLOOKUP(B18,'2007-2020 Metadata'!$A$6:$A$214,1,FALSE)</f>
        <v>AUC018</v>
      </c>
      <c r="AD18" s="230" t="str">
        <f>VLOOKUP($AC18,'2007-2020 Metadata'!$A$6:$S$214,9,FALSE)</f>
        <v>Manukau</v>
      </c>
      <c r="AE18" s="248">
        <f>IF(ISBLANK(VLOOKUP($AC18,'2007-2020 Metadata'!$A$6:$S$214,19,FALSE)),"",VLOOKUP($AC18,'2007-2020 Metadata'!$A$6:$S$214,19,FALSE))</f>
        <v>3</v>
      </c>
      <c r="AF18" s="88" t="str">
        <f>VLOOKUP($B18,'2007-2020 Metadata'!$A$4:$S$214,MATCH("Site type",'2007-2020 Metadata'!$A$4:$S$4,0),FALSE)</f>
        <v>SH</v>
      </c>
      <c r="AG18" s="143">
        <f t="shared" si="13"/>
        <v>18</v>
      </c>
      <c r="AH18" s="143">
        <f t="shared" si="14"/>
        <v>41.4</v>
      </c>
      <c r="AI18" s="144" t="str">
        <f t="shared" si="15"/>
        <v xml:space="preserve"> </v>
      </c>
    </row>
    <row r="19" spans="2:36" ht="12" customHeight="1" x14ac:dyDescent="0.15">
      <c r="B19" s="123" t="s">
        <v>992</v>
      </c>
      <c r="C19" s="173"/>
      <c r="D19" s="173"/>
      <c r="E19" s="173"/>
      <c r="F19" s="173"/>
      <c r="G19" s="173"/>
      <c r="H19" s="173"/>
      <c r="I19" s="173"/>
      <c r="J19" s="119">
        <v>35.5</v>
      </c>
      <c r="K19" s="119">
        <v>35.700000000000003</v>
      </c>
      <c r="L19" s="119">
        <v>38.200000000000003</v>
      </c>
      <c r="M19" s="119">
        <v>30.9</v>
      </c>
      <c r="N19" s="119">
        <v>22.5</v>
      </c>
      <c r="O19" s="121">
        <f t="shared" si="7"/>
        <v>32.56</v>
      </c>
      <c r="P19" s="121">
        <f t="shared" si="8"/>
        <v>19.073445951238515</v>
      </c>
      <c r="Q19" s="122">
        <f t="shared" si="0"/>
        <v>0.41666666666666669</v>
      </c>
      <c r="R19" s="140" t="str">
        <f t="shared" si="1"/>
        <v/>
      </c>
      <c r="S19" s="150">
        <f t="shared" ref="S19" si="25">COUNT(C19:E19)/3</f>
        <v>0</v>
      </c>
      <c r="T19" s="140">
        <f t="shared" si="9"/>
        <v>35.6</v>
      </c>
      <c r="U19" s="150">
        <f t="shared" ref="U19" si="26">COUNT(I19:K19)/3</f>
        <v>0.66666666666666663</v>
      </c>
      <c r="V19" s="141" t="str">
        <f t="shared" si="11"/>
        <v>-</v>
      </c>
      <c r="W19" s="142">
        <f t="shared" ref="W19" si="27">Q19</f>
        <v>0.41666666666666669</v>
      </c>
      <c r="X19" s="144" t="str">
        <f t="shared" si="6"/>
        <v/>
      </c>
      <c r="Y19" s="144">
        <f t="shared" si="3"/>
        <v>35.6</v>
      </c>
      <c r="Z19" s="144" t="str">
        <f t="shared" si="4"/>
        <v>-</v>
      </c>
      <c r="AA19" s="10"/>
      <c r="AB19" s="357">
        <f>VLOOKUP($B19,'2007-2020 Metadata'!$A$4:$S$214,MATCH("Urban Area /Monitoring Zone",'2007-2020 Metadata'!$A$4:$S$4,0),FALSE)</f>
        <v>0</v>
      </c>
      <c r="AC19" s="87" t="str">
        <f>VLOOKUP(B19,'2007-2020 Metadata'!$A$6:$A$214,1,FALSE)</f>
        <v>AUC018a</v>
      </c>
      <c r="AD19" s="230">
        <f>VLOOKUP($AC19,'2007-2020 Metadata'!$A$6:$S$214,9,FALSE)</f>
        <v>0</v>
      </c>
      <c r="AE19" s="248" t="str">
        <f>IF(ISBLANK(VLOOKUP($AC19,'2007-2020 Metadata'!$A$6:$S$214,19,FALSE)),"",VLOOKUP($AC19,'2007-2020 Metadata'!$A$6:$S$214,19,FALSE))</f>
        <v/>
      </c>
      <c r="AF19" s="88" t="str">
        <f>VLOOKUP($B19,'2007-2020 Metadata'!$A$4:$S$214,MATCH("Site type",'2007-2020 Metadata'!$A$4:$S$4,0),FALSE)</f>
        <v>SH</v>
      </c>
      <c r="AG19" s="143">
        <f t="shared" ref="AG19" si="28">MIN(C19:N19)</f>
        <v>22.5</v>
      </c>
      <c r="AH19" s="143">
        <f t="shared" ref="AH19" si="29">MAX(C19:N19)</f>
        <v>38.200000000000003</v>
      </c>
      <c r="AI19" s="144" t="str">
        <f t="shared" ref="AI19" si="30">IF(W19&gt;=75%,Z19," ")</f>
        <v xml:space="preserve"> </v>
      </c>
    </row>
    <row r="20" spans="2:36" ht="12" customHeight="1" x14ac:dyDescent="0.15">
      <c r="B20" s="123" t="s">
        <v>14</v>
      </c>
      <c r="C20" s="119">
        <v>18.7</v>
      </c>
      <c r="D20" s="119">
        <v>19.7</v>
      </c>
      <c r="E20" s="119">
        <v>22.8</v>
      </c>
      <c r="F20" s="119">
        <v>21.4</v>
      </c>
      <c r="G20" s="119">
        <v>32.4</v>
      </c>
      <c r="H20" s="119">
        <v>30.1</v>
      </c>
      <c r="I20" s="119">
        <v>29.9</v>
      </c>
      <c r="J20" s="119">
        <v>35.9</v>
      </c>
      <c r="K20" s="119">
        <v>23.3</v>
      </c>
      <c r="L20" s="119">
        <v>16.600000000000001</v>
      </c>
      <c r="M20" s="119">
        <v>20.100000000000001</v>
      </c>
      <c r="N20" s="119">
        <v>12.1</v>
      </c>
      <c r="O20" s="121">
        <f t="shared" si="7"/>
        <v>23.583333333333339</v>
      </c>
      <c r="P20" s="121">
        <f t="shared" si="8"/>
        <v>29.954874180269286</v>
      </c>
      <c r="Q20" s="122">
        <f t="shared" si="0"/>
        <v>1</v>
      </c>
      <c r="R20" s="140">
        <f t="shared" si="1"/>
        <v>20.400000000000002</v>
      </c>
      <c r="S20" s="150">
        <f t="shared" si="2"/>
        <v>1</v>
      </c>
      <c r="T20" s="140">
        <f t="shared" si="9"/>
        <v>29.7</v>
      </c>
      <c r="U20" s="150">
        <f t="shared" si="10"/>
        <v>1</v>
      </c>
      <c r="V20" s="141">
        <f t="shared" si="11"/>
        <v>23.583333333333339</v>
      </c>
      <c r="W20" s="142">
        <f t="shared" si="12"/>
        <v>1</v>
      </c>
      <c r="X20" s="144">
        <f t="shared" si="6"/>
        <v>21.50185185185185</v>
      </c>
      <c r="Y20" s="144">
        <f t="shared" si="3"/>
        <v>27.413761569125089</v>
      </c>
      <c r="Z20" s="144">
        <f t="shared" si="4"/>
        <v>22.807661171502055</v>
      </c>
      <c r="AA20" s="10"/>
      <c r="AB20" s="357" t="str">
        <f>VLOOKUP($B20,'2007-2020 Metadata'!$A$4:$S$214,MATCH("Urban Area /Monitoring Zone",'2007-2020 Metadata'!$A$4:$S$4,0),FALSE)</f>
        <v xml:space="preserve">Auckland - Southern </v>
      </c>
      <c r="AC20" s="87" t="str">
        <f>VLOOKUP(B20,'2007-2020 Metadata'!$A$6:$A$214,1,FALSE)</f>
        <v>AUC019</v>
      </c>
      <c r="AD20" s="230" t="str">
        <f>VLOOKUP($AC20,'2007-2020 Metadata'!$A$6:$S$214,9,FALSE)</f>
        <v>Manukau</v>
      </c>
      <c r="AE20" s="248">
        <f>IF(ISBLANK(VLOOKUP($AC20,'2007-2020 Metadata'!$A$6:$S$214,19,FALSE)),"",VLOOKUP($AC20,'2007-2020 Metadata'!$A$6:$S$214,19,FALSE))</f>
        <v>2</v>
      </c>
      <c r="AF20" s="88" t="str">
        <f>VLOOKUP($B20,'2007-2020 Metadata'!$A$4:$S$214,MATCH("Site type",'2007-2020 Metadata'!$A$4:$S$4,0),FALSE)</f>
        <v>SH</v>
      </c>
      <c r="AG20" s="143">
        <f t="shared" si="13"/>
        <v>12.1</v>
      </c>
      <c r="AH20" s="143">
        <f t="shared" si="14"/>
        <v>35.9</v>
      </c>
      <c r="AI20" s="144">
        <f t="shared" si="15"/>
        <v>22.807661171502055</v>
      </c>
    </row>
    <row r="21" spans="2:36" ht="12" customHeight="1" x14ac:dyDescent="0.15">
      <c r="B21" s="123" t="s">
        <v>993</v>
      </c>
      <c r="C21" s="119">
        <v>10.7</v>
      </c>
      <c r="D21" s="119">
        <v>12.9</v>
      </c>
      <c r="E21" s="119">
        <v>15.5</v>
      </c>
      <c r="F21" s="119">
        <v>15.1</v>
      </c>
      <c r="G21" s="119">
        <v>20.100000000000001</v>
      </c>
      <c r="H21" s="119">
        <v>19.899999999999999</v>
      </c>
      <c r="I21" s="119">
        <v>22.7</v>
      </c>
      <c r="J21" s="119">
        <v>22.6</v>
      </c>
      <c r="K21" s="119">
        <v>18.399999999999999</v>
      </c>
      <c r="L21" s="119">
        <v>16</v>
      </c>
      <c r="M21" s="119">
        <v>13.8</v>
      </c>
      <c r="N21" s="119">
        <v>10.1</v>
      </c>
      <c r="O21" s="121">
        <f t="shared" si="7"/>
        <v>16.483333333333338</v>
      </c>
      <c r="P21" s="121">
        <f t="shared" si="8"/>
        <v>25.987149735995747</v>
      </c>
      <c r="Q21" s="122">
        <f t="shared" si="0"/>
        <v>1</v>
      </c>
      <c r="R21" s="140">
        <f t="shared" si="1"/>
        <v>13.033333333333333</v>
      </c>
      <c r="S21" s="150">
        <f t="shared" si="2"/>
        <v>1</v>
      </c>
      <c r="T21" s="140">
        <f t="shared" si="9"/>
        <v>21.233333333333331</v>
      </c>
      <c r="U21" s="150">
        <f t="shared" si="10"/>
        <v>1</v>
      </c>
      <c r="V21" s="141">
        <f t="shared" si="11"/>
        <v>16.483333333333338</v>
      </c>
      <c r="W21" s="142">
        <f t="shared" si="12"/>
        <v>1</v>
      </c>
      <c r="X21" s="144">
        <f t="shared" si="6"/>
        <v>13.033333333333333</v>
      </c>
      <c r="Y21" s="144">
        <f t="shared" si="3"/>
        <v>21.233333333333331</v>
      </c>
      <c r="Z21" s="144">
        <f t="shared" si="4"/>
        <v>16.483333333333338</v>
      </c>
      <c r="AA21" s="10"/>
      <c r="AB21" s="357">
        <f>VLOOKUP($B21,'2007-2020 Metadata'!$A$4:$S$214,MATCH("Urban Area /Monitoring Zone",'2007-2020 Metadata'!$A$4:$S$4,0),FALSE)</f>
        <v>0</v>
      </c>
      <c r="AC21" s="87" t="str">
        <f>VLOOKUP(B21,'2007-2020 Metadata'!$A$6:$A$214,1,FALSE)</f>
        <v>AUC020a</v>
      </c>
      <c r="AD21" s="230">
        <f>VLOOKUP($AC21,'2007-2020 Metadata'!$A$6:$S$214,9,FALSE)</f>
        <v>0</v>
      </c>
      <c r="AE21" s="248" t="str">
        <f>IF(ISBLANK(VLOOKUP($AC21,'2007-2020 Metadata'!$A$6:$S$214,19,FALSE)),"",VLOOKUP($AC21,'2007-2020 Metadata'!$A$6:$S$214,19,FALSE))</f>
        <v/>
      </c>
      <c r="AF21" s="88" t="str">
        <f>VLOOKUP($B21,'2007-2020 Metadata'!$A$4:$S$214,MATCH("Site type",'2007-2020 Metadata'!$A$4:$S$4,0),FALSE)</f>
        <v>SH</v>
      </c>
      <c r="AG21" s="143">
        <f t="shared" si="13"/>
        <v>10.1</v>
      </c>
      <c r="AH21" s="143">
        <f t="shared" si="14"/>
        <v>22.7</v>
      </c>
      <c r="AI21" s="144">
        <f t="shared" si="15"/>
        <v>16.483333333333338</v>
      </c>
    </row>
    <row r="22" spans="2:36" ht="12" customHeight="1" x14ac:dyDescent="0.15">
      <c r="B22" s="123" t="s">
        <v>994</v>
      </c>
      <c r="C22" s="119">
        <v>13.9</v>
      </c>
      <c r="D22" s="119">
        <v>13.5</v>
      </c>
      <c r="E22" s="119"/>
      <c r="F22" s="119">
        <v>21.3</v>
      </c>
      <c r="G22" s="119">
        <v>21.9</v>
      </c>
      <c r="H22" s="119">
        <v>18</v>
      </c>
      <c r="I22" s="119"/>
      <c r="J22" s="119">
        <v>28.7</v>
      </c>
      <c r="K22" s="119">
        <v>13.6</v>
      </c>
      <c r="L22" s="119">
        <v>8.1</v>
      </c>
      <c r="M22" s="119">
        <v>12.4</v>
      </c>
      <c r="N22" s="119">
        <v>7.8</v>
      </c>
      <c r="O22" s="121">
        <f t="shared" si="7"/>
        <v>15.920000000000002</v>
      </c>
      <c r="P22" s="121">
        <f>IFERROR((STDEV(C22:N22)/O22)*100,"")</f>
        <v>41.198241491300777</v>
      </c>
      <c r="Q22" s="122">
        <f t="shared" si="0"/>
        <v>0.83333333333333337</v>
      </c>
      <c r="R22" s="140">
        <f t="shared" si="1"/>
        <v>13.7</v>
      </c>
      <c r="S22" s="150">
        <f t="shared" si="2"/>
        <v>0.66666666666666663</v>
      </c>
      <c r="T22" s="140">
        <f t="shared" si="9"/>
        <v>21.15</v>
      </c>
      <c r="U22" s="150">
        <f t="shared" si="10"/>
        <v>0.66666666666666663</v>
      </c>
      <c r="V22" s="141">
        <f t="shared" si="11"/>
        <v>15.920000000000002</v>
      </c>
      <c r="W22" s="142">
        <f t="shared" si="12"/>
        <v>0.83333333333333337</v>
      </c>
      <c r="X22" s="144">
        <f t="shared" si="6"/>
        <v>13.7</v>
      </c>
      <c r="Y22" s="144">
        <f t="shared" si="3"/>
        <v>21.15</v>
      </c>
      <c r="Z22" s="144">
        <f t="shared" si="4"/>
        <v>15.920000000000002</v>
      </c>
      <c r="AA22" s="10"/>
      <c r="AB22" s="357">
        <f>VLOOKUP($B22,'2007-2020 Metadata'!$A$4:$S$214,MATCH("Urban Area /Monitoring Zone",'2007-2020 Metadata'!$A$4:$S$4,0),FALSE)</f>
        <v>0</v>
      </c>
      <c r="AC22" s="87" t="str">
        <f>VLOOKUP(B22,'2007-2020 Metadata'!$A$6:$A$214,1,FALSE)</f>
        <v>AUC021a</v>
      </c>
      <c r="AD22" s="230">
        <f>VLOOKUP($AC22,'2007-2020 Metadata'!$A$6:$S$214,9,FALSE)</f>
        <v>0</v>
      </c>
      <c r="AE22" s="248" t="str">
        <f>IF(ISBLANK(VLOOKUP($AC22,'2007-2020 Metadata'!$A$6:$S$214,19,FALSE)),"",VLOOKUP($AC22,'2007-2020 Metadata'!$A$6:$S$214,19,FALSE))</f>
        <v/>
      </c>
      <c r="AF22" s="88" t="str">
        <f>VLOOKUP($B22,'2007-2020 Metadata'!$A$4:$S$214,MATCH("Site type",'2007-2020 Metadata'!$A$4:$S$4,0),FALSE)</f>
        <v>Background</v>
      </c>
      <c r="AG22" s="143">
        <f t="shared" si="13"/>
        <v>7.8</v>
      </c>
      <c r="AH22" s="143">
        <f t="shared" si="14"/>
        <v>28.7</v>
      </c>
      <c r="AI22" s="144">
        <f t="shared" si="15"/>
        <v>15.920000000000002</v>
      </c>
    </row>
    <row r="23" spans="2:36" ht="12" customHeight="1" x14ac:dyDescent="0.15">
      <c r="B23" s="123" t="s">
        <v>17</v>
      </c>
      <c r="C23" s="119">
        <v>15.7</v>
      </c>
      <c r="D23" s="119">
        <v>24.7</v>
      </c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21">
        <f t="shared" si="7"/>
        <v>20.2</v>
      </c>
      <c r="P23" s="121">
        <f t="shared" si="8"/>
        <v>31.504757577618452</v>
      </c>
      <c r="Q23" s="122">
        <f t="shared" si="0"/>
        <v>0.16666666666666666</v>
      </c>
      <c r="R23" s="140">
        <f t="shared" si="1"/>
        <v>20.2</v>
      </c>
      <c r="S23" s="150">
        <f t="shared" si="2"/>
        <v>0.66666666666666663</v>
      </c>
      <c r="T23" s="140" t="str">
        <f t="shared" si="9"/>
        <v/>
      </c>
      <c r="U23" s="150">
        <f t="shared" si="10"/>
        <v>0</v>
      </c>
      <c r="V23" s="141" t="str">
        <f t="shared" si="11"/>
        <v>-</v>
      </c>
      <c r="W23" s="142">
        <f t="shared" si="12"/>
        <v>0.16666666666666666</v>
      </c>
      <c r="X23" s="144">
        <f t="shared" si="6"/>
        <v>25.064102564102559</v>
      </c>
      <c r="Y23" s="144">
        <f t="shared" si="3"/>
        <v>35.905555555555551</v>
      </c>
      <c r="Z23" s="144">
        <f t="shared" si="4"/>
        <v>28.912500000000001</v>
      </c>
      <c r="AA23" s="10"/>
      <c r="AB23" s="357" t="str">
        <f>VLOOKUP($B23,'2007-2020 Metadata'!$A$4:$S$214,MATCH("Urban Area /Monitoring Zone",'2007-2020 Metadata'!$A$4:$S$4,0),FALSE)</f>
        <v>Auckland - Central</v>
      </c>
      <c r="AC23" s="87" t="str">
        <f>VLOOKUP(B23,'2007-2020 Metadata'!$A$6:$A$214,1,FALSE)</f>
        <v>AUC022</v>
      </c>
      <c r="AD23" s="230" t="str">
        <f>VLOOKUP($AC23,'2007-2020 Metadata'!$A$6:$S$214,9,FALSE)</f>
        <v>Auckland</v>
      </c>
      <c r="AE23" s="248">
        <f>IF(ISBLANK(VLOOKUP($AC23,'2007-2020 Metadata'!$A$6:$S$214,19,FALSE)),"",VLOOKUP($AC23,'2007-2020 Metadata'!$A$6:$S$214,19,FALSE))</f>
        <v>3</v>
      </c>
      <c r="AF23" s="88" t="str">
        <f>VLOOKUP($B23,'2007-2020 Metadata'!$A$4:$S$214,MATCH("Site type",'2007-2020 Metadata'!$A$4:$S$4,0),FALSE)</f>
        <v>SH</v>
      </c>
      <c r="AG23" s="143">
        <f t="shared" si="13"/>
        <v>15.7</v>
      </c>
      <c r="AH23" s="143">
        <f t="shared" si="14"/>
        <v>24.7</v>
      </c>
      <c r="AI23" s="144" t="str">
        <f t="shared" si="15"/>
        <v xml:space="preserve"> </v>
      </c>
    </row>
    <row r="24" spans="2:36" ht="12" customHeight="1" x14ac:dyDescent="0.15">
      <c r="B24" s="123" t="s">
        <v>996</v>
      </c>
      <c r="C24" s="173"/>
      <c r="D24" s="173"/>
      <c r="E24" s="119">
        <v>27.7</v>
      </c>
      <c r="F24" s="119">
        <v>27.6</v>
      </c>
      <c r="G24" s="119">
        <v>31.1</v>
      </c>
      <c r="H24" s="119">
        <v>32.9</v>
      </c>
      <c r="I24" s="119">
        <v>32.200000000000003</v>
      </c>
      <c r="J24" s="119">
        <v>41.5</v>
      </c>
      <c r="K24" s="119">
        <v>27</v>
      </c>
      <c r="L24" s="119">
        <v>22.1</v>
      </c>
      <c r="M24" s="119">
        <v>24.5</v>
      </c>
      <c r="N24" s="119"/>
      <c r="O24" s="121">
        <f t="shared" ref="O24" si="31">(AVERAGE(C24:N24))</f>
        <v>29.622222222222224</v>
      </c>
      <c r="P24" s="121">
        <f t="shared" ref="P24" si="32">IFERROR((STDEV(C24:N24)/O24)*100,"")</f>
        <v>19.176144120531191</v>
      </c>
      <c r="Q24" s="122">
        <f t="shared" ref="Q24" si="33">COUNT(C24:N24)/COUNT($C$6:$N$6)</f>
        <v>0.75</v>
      </c>
      <c r="R24" s="140" t="str">
        <f t="shared" si="1"/>
        <v>-</v>
      </c>
      <c r="S24" s="150">
        <f t="shared" ref="S24" si="34">COUNT(C24:E24)/3</f>
        <v>0.33333333333333331</v>
      </c>
      <c r="T24" s="140">
        <f t="shared" si="9"/>
        <v>33.56666666666667</v>
      </c>
      <c r="U24" s="150">
        <f t="shared" ref="U24" si="35">COUNT(I24:K24)/3</f>
        <v>1</v>
      </c>
      <c r="V24" s="141">
        <f t="shared" si="11"/>
        <v>29.622222222222224</v>
      </c>
      <c r="W24" s="142">
        <f t="shared" ref="W24" si="36">Q24</f>
        <v>0.75</v>
      </c>
      <c r="X24" s="144" t="str">
        <f t="shared" si="6"/>
        <v>-</v>
      </c>
      <c r="Y24" s="144">
        <f t="shared" si="3"/>
        <v>33.56666666666667</v>
      </c>
      <c r="Z24" s="144">
        <f t="shared" si="4"/>
        <v>29.622222222222224</v>
      </c>
      <c r="AA24" s="10"/>
      <c r="AB24" s="357">
        <f>VLOOKUP($B24,'2007-2020 Metadata'!$A$4:$S$214,MATCH("Urban Area /Monitoring Zone",'2007-2020 Metadata'!$A$4:$S$4,0),FALSE)</f>
        <v>0</v>
      </c>
      <c r="AC24" s="87" t="str">
        <f>VLOOKUP(B24,'2007-2020 Metadata'!$A$6:$A$214,1,FALSE)</f>
        <v>AUC022a</v>
      </c>
      <c r="AD24" s="230">
        <f>VLOOKUP($AC24,'2007-2020 Metadata'!$A$6:$S$214,9,FALSE)</f>
        <v>0</v>
      </c>
      <c r="AE24" s="248" t="str">
        <f>IF(ISBLANK(VLOOKUP($AC24,'2007-2020 Metadata'!$A$6:$S$214,19,FALSE)),"",VLOOKUP($AC24,'2007-2020 Metadata'!$A$6:$S$214,19,FALSE))</f>
        <v/>
      </c>
      <c r="AF24" s="88" t="str">
        <f>VLOOKUP($B24,'2007-2020 Metadata'!$A$4:$S$214,MATCH("Site type",'2007-2020 Metadata'!$A$4:$S$4,0),FALSE)</f>
        <v>SH</v>
      </c>
      <c r="AG24" s="143">
        <f t="shared" ref="AG24" si="37">MIN(C24:N24)</f>
        <v>22.1</v>
      </c>
      <c r="AH24" s="143">
        <f t="shared" ref="AH24" si="38">MAX(C24:N24)</f>
        <v>41.5</v>
      </c>
      <c r="AI24" s="144">
        <f t="shared" ref="AI24" si="39">IF(W24&gt;=75%,Z24," ")</f>
        <v>29.622222222222224</v>
      </c>
    </row>
    <row r="25" spans="2:36" ht="12" customHeight="1" x14ac:dyDescent="0.15">
      <c r="B25" s="123" t="s">
        <v>18</v>
      </c>
      <c r="C25" s="119">
        <v>13.4</v>
      </c>
      <c r="D25" s="119">
        <v>16</v>
      </c>
      <c r="E25" s="119">
        <v>21.1</v>
      </c>
      <c r="F25" s="119">
        <v>22.7</v>
      </c>
      <c r="G25" s="119">
        <v>23.2</v>
      </c>
      <c r="H25" s="119">
        <v>21.8</v>
      </c>
      <c r="I25" s="119">
        <v>23.8</v>
      </c>
      <c r="J25" s="119">
        <v>26.2</v>
      </c>
      <c r="K25" s="119">
        <v>16.8</v>
      </c>
      <c r="L25" s="119">
        <v>9.6999999999999993</v>
      </c>
      <c r="M25" s="119">
        <v>14.1</v>
      </c>
      <c r="N25" s="119">
        <v>7.5</v>
      </c>
      <c r="O25" s="121">
        <f t="shared" si="7"/>
        <v>18.024999999999999</v>
      </c>
      <c r="P25" s="121">
        <f t="shared" si="8"/>
        <v>33.245150718576589</v>
      </c>
      <c r="Q25" s="122">
        <f t="shared" si="0"/>
        <v>1</v>
      </c>
      <c r="R25" s="140">
        <f t="shared" si="1"/>
        <v>16.833333333333332</v>
      </c>
      <c r="S25" s="150">
        <f t="shared" si="2"/>
        <v>1</v>
      </c>
      <c r="T25" s="140">
        <f t="shared" si="9"/>
        <v>22.266666666666666</v>
      </c>
      <c r="U25" s="150">
        <f t="shared" si="10"/>
        <v>1</v>
      </c>
      <c r="V25" s="141">
        <f t="shared" si="11"/>
        <v>18.024999999999999</v>
      </c>
      <c r="W25" s="142">
        <f t="shared" si="12"/>
        <v>1</v>
      </c>
      <c r="X25" s="144">
        <f t="shared" si="6"/>
        <v>25.064102564102559</v>
      </c>
      <c r="Y25" s="144">
        <f t="shared" si="3"/>
        <v>35.905555555555551</v>
      </c>
      <c r="Z25" s="144">
        <f t="shared" si="4"/>
        <v>28.912500000000001</v>
      </c>
      <c r="AA25" s="10"/>
      <c r="AB25" s="357" t="str">
        <f>VLOOKUP($B25,'2007-2020 Metadata'!$A$4:$S$214,MATCH("Urban Area /Monitoring Zone",'2007-2020 Metadata'!$A$4:$S$4,0),FALSE)</f>
        <v>Auckland - Central</v>
      </c>
      <c r="AC25" s="87" t="str">
        <f>VLOOKUP(B25,'2007-2020 Metadata'!$A$6:$A$214,1,FALSE)</f>
        <v>AUC025</v>
      </c>
      <c r="AD25" s="230" t="str">
        <f>VLOOKUP($AC25,'2007-2020 Metadata'!$A$6:$S$214,9,FALSE)</f>
        <v>Auckland</v>
      </c>
      <c r="AE25" s="248">
        <f>IF(ISBLANK(VLOOKUP($AC25,'2007-2020 Metadata'!$A$6:$S$214,19,FALSE)),"",VLOOKUP($AC25,'2007-2020 Metadata'!$A$6:$S$214,19,FALSE))</f>
        <v>3</v>
      </c>
      <c r="AF25" s="88" t="str">
        <f>VLOOKUP($B25,'2007-2020 Metadata'!$A$4:$S$214,MATCH("Site type",'2007-2020 Metadata'!$A$4:$S$4,0),FALSE)</f>
        <v>SH</v>
      </c>
      <c r="AG25" s="143">
        <f t="shared" si="13"/>
        <v>7.5</v>
      </c>
      <c r="AH25" s="143">
        <f t="shared" si="14"/>
        <v>26.2</v>
      </c>
      <c r="AI25" s="144">
        <f t="shared" si="15"/>
        <v>28.912500000000001</v>
      </c>
    </row>
    <row r="26" spans="2:36" ht="12" customHeight="1" x14ac:dyDescent="0.15">
      <c r="B26" s="123" t="s">
        <v>19</v>
      </c>
      <c r="C26" s="119">
        <v>20.5</v>
      </c>
      <c r="D26" s="119">
        <v>23.6</v>
      </c>
      <c r="E26" s="119">
        <v>23.5</v>
      </c>
      <c r="F26" s="119">
        <v>28.9</v>
      </c>
      <c r="G26" s="119">
        <v>26.9</v>
      </c>
      <c r="H26" s="119">
        <v>22.4</v>
      </c>
      <c r="I26" s="119">
        <v>32.1</v>
      </c>
      <c r="J26" s="119">
        <v>32.1</v>
      </c>
      <c r="K26" s="119">
        <v>18.8</v>
      </c>
      <c r="L26" s="119">
        <v>10.7</v>
      </c>
      <c r="M26" s="119">
        <v>18.8</v>
      </c>
      <c r="N26" s="119">
        <v>10.199999999999999</v>
      </c>
      <c r="O26" s="121">
        <f t="shared" si="7"/>
        <v>22.375</v>
      </c>
      <c r="P26" s="121">
        <f t="shared" si="8"/>
        <v>32.131970368336908</v>
      </c>
      <c r="Q26" s="122">
        <f t="shared" si="0"/>
        <v>1</v>
      </c>
      <c r="R26" s="140">
        <f t="shared" si="1"/>
        <v>22.533333333333331</v>
      </c>
      <c r="S26" s="150">
        <f t="shared" si="2"/>
        <v>1</v>
      </c>
      <c r="T26" s="140">
        <f t="shared" si="9"/>
        <v>27.666666666666668</v>
      </c>
      <c r="U26" s="150">
        <f t="shared" si="10"/>
        <v>1</v>
      </c>
      <c r="V26" s="141">
        <f t="shared" si="11"/>
        <v>22.375</v>
      </c>
      <c r="W26" s="142">
        <f t="shared" si="12"/>
        <v>1</v>
      </c>
      <c r="X26" s="144">
        <f t="shared" si="6"/>
        <v>21.50185185185185</v>
      </c>
      <c r="Y26" s="144">
        <f t="shared" si="3"/>
        <v>27.413761569125089</v>
      </c>
      <c r="Z26" s="144">
        <f t="shared" si="4"/>
        <v>22.807661171502055</v>
      </c>
      <c r="AA26" s="10"/>
      <c r="AB26" s="357" t="str">
        <f>VLOOKUP($B26,'2007-2020 Metadata'!$A$4:$S$214,MATCH("Urban Area /Monitoring Zone",'2007-2020 Metadata'!$A$4:$S$4,0),FALSE)</f>
        <v xml:space="preserve">Auckland - Southern </v>
      </c>
      <c r="AC26" s="87" t="str">
        <f>VLOOKUP(B26,'2007-2020 Metadata'!$A$6:$A$214,1,FALSE)</f>
        <v>AUC026</v>
      </c>
      <c r="AD26" s="230" t="str">
        <f>VLOOKUP($AC26,'2007-2020 Metadata'!$A$6:$S$214,9,FALSE)</f>
        <v>Manukau</v>
      </c>
      <c r="AE26" s="248">
        <f>IF(ISBLANK(VLOOKUP($AC26,'2007-2020 Metadata'!$A$6:$S$214,19,FALSE)),"",VLOOKUP($AC26,'2007-2020 Metadata'!$A$6:$S$214,19,FALSE))</f>
        <v>3</v>
      </c>
      <c r="AF26" s="88" t="str">
        <f>VLOOKUP($B26,'2007-2020 Metadata'!$A$4:$S$214,MATCH("Site type",'2007-2020 Metadata'!$A$4:$S$4,0),FALSE)</f>
        <v>SH</v>
      </c>
      <c r="AG26" s="143">
        <f t="shared" si="13"/>
        <v>10.199999999999999</v>
      </c>
      <c r="AH26" s="143">
        <f t="shared" si="14"/>
        <v>32.1</v>
      </c>
      <c r="AI26" s="144">
        <f t="shared" si="15"/>
        <v>22.807661171502055</v>
      </c>
    </row>
    <row r="27" spans="2:36" ht="12" customHeight="1" x14ac:dyDescent="0.15">
      <c r="B27" s="123" t="s">
        <v>998</v>
      </c>
      <c r="C27" s="119">
        <v>20.100000000000001</v>
      </c>
      <c r="D27" s="119">
        <v>19.5</v>
      </c>
      <c r="E27" s="119">
        <v>27.2</v>
      </c>
      <c r="F27" s="119"/>
      <c r="G27" s="119">
        <v>37.6</v>
      </c>
      <c r="H27" s="119">
        <v>34.200000000000003</v>
      </c>
      <c r="I27" s="119"/>
      <c r="J27" s="119"/>
      <c r="K27" s="119">
        <v>29.3</v>
      </c>
      <c r="L27" s="119">
        <v>21.2</v>
      </c>
      <c r="M27" s="119">
        <v>23.3</v>
      </c>
      <c r="N27" s="119">
        <v>17.2</v>
      </c>
      <c r="O27" s="121">
        <f t="shared" si="7"/>
        <v>25.511111111111113</v>
      </c>
      <c r="P27" s="121">
        <f t="shared" si="8"/>
        <v>27.606816485317605</v>
      </c>
      <c r="Q27" s="122">
        <f t="shared" si="0"/>
        <v>0.75</v>
      </c>
      <c r="R27" s="140">
        <f t="shared" si="1"/>
        <v>22.266666666666666</v>
      </c>
      <c r="S27" s="150">
        <f t="shared" si="2"/>
        <v>1</v>
      </c>
      <c r="T27" s="140" t="str">
        <f t="shared" si="9"/>
        <v>-</v>
      </c>
      <c r="U27" s="150">
        <f t="shared" si="10"/>
        <v>0.33333333333333331</v>
      </c>
      <c r="V27" s="141">
        <f t="shared" si="11"/>
        <v>25.511111111111113</v>
      </c>
      <c r="W27" s="142">
        <f t="shared" si="12"/>
        <v>0.75</v>
      </c>
      <c r="X27" s="144">
        <f t="shared" si="6"/>
        <v>22.266666666666666</v>
      </c>
      <c r="Y27" s="144" t="str">
        <f t="shared" si="3"/>
        <v>-</v>
      </c>
      <c r="Z27" s="144">
        <f t="shared" si="4"/>
        <v>25.511111111111113</v>
      </c>
      <c r="AA27" s="10"/>
      <c r="AB27" s="357">
        <f>VLOOKUP($B27,'2007-2020 Metadata'!$A$4:$S$214,MATCH("Urban Area /Monitoring Zone",'2007-2020 Metadata'!$A$4:$S$4,0),FALSE)</f>
        <v>0</v>
      </c>
      <c r="AC27" s="87" t="str">
        <f>VLOOKUP(B27,'2007-2020 Metadata'!$A$6:$A$214,1,FALSE)</f>
        <v>AUC027a</v>
      </c>
      <c r="AD27" s="230">
        <f>VLOOKUP($AC27,'2007-2020 Metadata'!$A$6:$S$214,9,FALSE)</f>
        <v>0</v>
      </c>
      <c r="AE27" s="248" t="str">
        <f>IF(ISBLANK(VLOOKUP($AC27,'2007-2020 Metadata'!$A$6:$S$214,19,FALSE)),"",VLOOKUP($AC27,'2007-2020 Metadata'!$A$6:$S$214,19,FALSE))</f>
        <v/>
      </c>
      <c r="AF27" s="88" t="str">
        <f>VLOOKUP($B27,'2007-2020 Metadata'!$A$4:$S$214,MATCH("Site type",'2007-2020 Metadata'!$A$4:$S$4,0),FALSE)</f>
        <v>SH</v>
      </c>
      <c r="AG27" s="143">
        <f t="shared" si="13"/>
        <v>17.2</v>
      </c>
      <c r="AH27" s="143">
        <f t="shared" si="14"/>
        <v>37.6</v>
      </c>
      <c r="AI27" s="144">
        <f t="shared" si="15"/>
        <v>25.511111111111113</v>
      </c>
    </row>
    <row r="28" spans="2:36" ht="12" customHeight="1" x14ac:dyDescent="0.15">
      <c r="B28" s="123" t="s">
        <v>1013</v>
      </c>
      <c r="C28" s="119">
        <v>11.8</v>
      </c>
      <c r="D28" s="119">
        <v>14.1</v>
      </c>
      <c r="E28" s="119">
        <v>18.2</v>
      </c>
      <c r="F28" s="119">
        <v>19.100000000000001</v>
      </c>
      <c r="G28" s="119">
        <v>24</v>
      </c>
      <c r="H28" s="119">
        <v>22.2</v>
      </c>
      <c r="I28" s="119">
        <v>22.2</v>
      </c>
      <c r="J28" s="119">
        <v>25.8</v>
      </c>
      <c r="K28" s="119">
        <v>19.600000000000001</v>
      </c>
      <c r="L28" s="119">
        <v>14.2</v>
      </c>
      <c r="M28" s="119">
        <v>15.2</v>
      </c>
      <c r="N28" s="119">
        <v>9.6999999999999993</v>
      </c>
      <c r="O28" s="121">
        <f t="shared" si="7"/>
        <v>18.008333333333329</v>
      </c>
      <c r="P28" s="121">
        <f t="shared" si="8"/>
        <v>28.053650007597771</v>
      </c>
      <c r="Q28" s="122">
        <f t="shared" si="0"/>
        <v>1</v>
      </c>
      <c r="R28" s="140">
        <f t="shared" si="1"/>
        <v>14.699999999999998</v>
      </c>
      <c r="S28" s="150">
        <f t="shared" si="2"/>
        <v>1</v>
      </c>
      <c r="T28" s="140">
        <f t="shared" si="9"/>
        <v>22.533333333333331</v>
      </c>
      <c r="U28" s="150">
        <f t="shared" si="10"/>
        <v>1</v>
      </c>
      <c r="V28" s="141">
        <f t="shared" si="11"/>
        <v>18.008333333333329</v>
      </c>
      <c r="W28" s="142">
        <f t="shared" si="12"/>
        <v>1</v>
      </c>
      <c r="X28" s="144">
        <f t="shared" si="6"/>
        <v>14.699999999999998</v>
      </c>
      <c r="Y28" s="144">
        <f t="shared" si="3"/>
        <v>22.533333333333331</v>
      </c>
      <c r="Z28" s="144">
        <f t="shared" si="4"/>
        <v>18.008333333333329</v>
      </c>
      <c r="AA28" s="10"/>
      <c r="AB28" s="357">
        <f>VLOOKUP($B28,'2007-2020 Metadata'!$A$4:$S$214,MATCH("Urban Area /Monitoring Zone",'2007-2020 Metadata'!$A$4:$S$4,0),FALSE)</f>
        <v>0</v>
      </c>
      <c r="AC28" s="87" t="str">
        <f>VLOOKUP(B28,'2007-2020 Metadata'!$A$6:$A$214,1,FALSE)</f>
        <v>AUC039a</v>
      </c>
      <c r="AD28" s="230">
        <f>VLOOKUP($AC28,'2007-2020 Metadata'!$A$6:$S$214,9,FALSE)</f>
        <v>0</v>
      </c>
      <c r="AE28" s="248" t="str">
        <f>IF(ISBLANK(VLOOKUP($AC28,'2007-2020 Metadata'!$A$6:$S$214,19,FALSE)),"",VLOOKUP($AC28,'2007-2020 Metadata'!$A$6:$S$214,19,FALSE))</f>
        <v/>
      </c>
      <c r="AF28" s="88" t="str">
        <f>VLOOKUP($B28,'2007-2020 Metadata'!$A$4:$S$214,MATCH("Site type",'2007-2020 Metadata'!$A$4:$S$4,0),FALSE)</f>
        <v>SH</v>
      </c>
      <c r="AG28" s="143">
        <f t="shared" si="13"/>
        <v>9.6999999999999993</v>
      </c>
      <c r="AH28" s="143">
        <f t="shared" si="14"/>
        <v>25.8</v>
      </c>
      <c r="AI28" s="144">
        <f t="shared" si="15"/>
        <v>18.008333333333329</v>
      </c>
    </row>
    <row r="29" spans="2:36" ht="12" customHeight="1" x14ac:dyDescent="0.15">
      <c r="B29" s="123" t="s">
        <v>61</v>
      </c>
      <c r="C29" s="119">
        <v>14.9</v>
      </c>
      <c r="D29" s="119">
        <v>15.8</v>
      </c>
      <c r="E29" s="119">
        <v>18.100000000000001</v>
      </c>
      <c r="F29" s="119">
        <v>23.5</v>
      </c>
      <c r="G29" s="119">
        <v>23.4</v>
      </c>
      <c r="H29" s="119">
        <v>26.2</v>
      </c>
      <c r="I29" s="119">
        <v>23.2</v>
      </c>
      <c r="J29" s="119">
        <v>27.9</v>
      </c>
      <c r="K29" s="119"/>
      <c r="L29" s="119">
        <v>15.1</v>
      </c>
      <c r="M29" s="119">
        <v>15</v>
      </c>
      <c r="N29" s="119">
        <v>9.6999999999999993</v>
      </c>
      <c r="O29" s="121">
        <f t="shared" si="7"/>
        <v>19.345454545454547</v>
      </c>
      <c r="P29" s="121">
        <f t="shared" si="8"/>
        <v>29.809024004829922</v>
      </c>
      <c r="Q29" s="122">
        <f t="shared" si="0"/>
        <v>0.91666666666666663</v>
      </c>
      <c r="R29" s="140">
        <f t="shared" si="1"/>
        <v>16.266666666666669</v>
      </c>
      <c r="S29" s="150">
        <f t="shared" si="2"/>
        <v>1</v>
      </c>
      <c r="T29" s="140">
        <f t="shared" si="9"/>
        <v>25.549999999999997</v>
      </c>
      <c r="U29" s="150">
        <f t="shared" si="10"/>
        <v>0.66666666666666663</v>
      </c>
      <c r="V29" s="141">
        <f t="shared" si="11"/>
        <v>19.345454545454547</v>
      </c>
      <c r="W29" s="142">
        <f t="shared" si="12"/>
        <v>0.91666666666666663</v>
      </c>
      <c r="X29" s="144">
        <f t="shared" si="6"/>
        <v>22.672727272727272</v>
      </c>
      <c r="Y29" s="144">
        <f t="shared" si="3"/>
        <v>31.904573466749103</v>
      </c>
      <c r="Z29" s="144">
        <f t="shared" si="4"/>
        <v>26.143692364855983</v>
      </c>
      <c r="AA29" s="10"/>
      <c r="AB29" s="357" t="str">
        <f>VLOOKUP($B29,'2007-2020 Metadata'!$A$4:$S$214,MATCH("Urban Area /Monitoring Zone",'2007-2020 Metadata'!$A$4:$S$4,0),FALSE)</f>
        <v>Auckland - Northern</v>
      </c>
      <c r="AC29" s="87" t="str">
        <f>VLOOKUP(B29,'2007-2020 Metadata'!$A$6:$A$214,1,FALSE)</f>
        <v>AUC040</v>
      </c>
      <c r="AD29" s="230" t="str">
        <f>VLOOKUP($AC29,'2007-2020 Metadata'!$A$6:$S$214,9,FALSE)</f>
        <v xml:space="preserve">North Shore </v>
      </c>
      <c r="AE29" s="248">
        <f>IF(ISBLANK(VLOOKUP($AC29,'2007-2020 Metadata'!$A$6:$S$214,19,FALSE)),"",VLOOKUP($AC29,'2007-2020 Metadata'!$A$6:$S$214,19,FALSE))</f>
        <v>2.5</v>
      </c>
      <c r="AF29" s="88" t="str">
        <f>VLOOKUP($B29,'2007-2020 Metadata'!$A$4:$S$214,MATCH("Site type",'2007-2020 Metadata'!$A$4:$S$4,0),FALSE)</f>
        <v>SH</v>
      </c>
      <c r="AG29" s="143">
        <f t="shared" si="13"/>
        <v>9.6999999999999993</v>
      </c>
      <c r="AH29" s="143">
        <f t="shared" si="14"/>
        <v>27.9</v>
      </c>
      <c r="AI29" s="144">
        <f t="shared" si="15"/>
        <v>26.143692364855983</v>
      </c>
    </row>
    <row r="30" spans="2:36" ht="12" customHeight="1" x14ac:dyDescent="0.15">
      <c r="B30" s="123" t="s">
        <v>62</v>
      </c>
      <c r="C30" s="119">
        <v>18.899999999999999</v>
      </c>
      <c r="D30" s="119">
        <v>21.8</v>
      </c>
      <c r="E30" s="119">
        <v>25.9</v>
      </c>
      <c r="F30" s="119">
        <v>25.1</v>
      </c>
      <c r="G30" s="119">
        <v>24</v>
      </c>
      <c r="H30" s="119">
        <v>18.100000000000001</v>
      </c>
      <c r="I30" s="119">
        <v>21.9</v>
      </c>
      <c r="J30" s="119">
        <v>37</v>
      </c>
      <c r="K30" s="119">
        <v>19.600000000000001</v>
      </c>
      <c r="L30" s="119">
        <v>8.4</v>
      </c>
      <c r="M30" s="119">
        <v>15.9</v>
      </c>
      <c r="N30" s="119">
        <v>6.4</v>
      </c>
      <c r="O30" s="121">
        <f t="shared" si="7"/>
        <v>20.25</v>
      </c>
      <c r="P30" s="121">
        <f t="shared" si="8"/>
        <v>39.764308180433858</v>
      </c>
      <c r="Q30" s="122">
        <f t="shared" si="0"/>
        <v>1</v>
      </c>
      <c r="R30" s="140">
        <f t="shared" si="1"/>
        <v>22.2</v>
      </c>
      <c r="S30" s="150">
        <f t="shared" si="2"/>
        <v>1</v>
      </c>
      <c r="T30" s="140">
        <f t="shared" si="9"/>
        <v>26.166666666666668</v>
      </c>
      <c r="U30" s="150">
        <f t="shared" si="10"/>
        <v>1</v>
      </c>
      <c r="V30" s="141">
        <f t="shared" si="11"/>
        <v>20.25</v>
      </c>
      <c r="W30" s="142">
        <f t="shared" si="12"/>
        <v>1</v>
      </c>
      <c r="X30" s="144">
        <f t="shared" si="6"/>
        <v>22.672727272727272</v>
      </c>
      <c r="Y30" s="144">
        <f t="shared" si="3"/>
        <v>31.904573466749103</v>
      </c>
      <c r="Z30" s="144">
        <f t="shared" si="4"/>
        <v>26.143692364855983</v>
      </c>
      <c r="AA30" s="10"/>
      <c r="AB30" s="357" t="str">
        <f>VLOOKUP($B30,'2007-2020 Metadata'!$A$4:$S$214,MATCH("Urban Area /Monitoring Zone",'2007-2020 Metadata'!$A$4:$S$4,0),FALSE)</f>
        <v>Auckland - Northern</v>
      </c>
      <c r="AC30" s="87" t="str">
        <f>VLOOKUP(B30,'2007-2020 Metadata'!$A$6:$A$214,1,FALSE)</f>
        <v>AUC041</v>
      </c>
      <c r="AD30" s="230" t="str">
        <f>VLOOKUP($AC30,'2007-2020 Metadata'!$A$6:$S$214,9,FALSE)</f>
        <v xml:space="preserve">North Shore </v>
      </c>
      <c r="AE30" s="248">
        <f>IF(ISBLANK(VLOOKUP($AC30,'2007-2020 Metadata'!$A$6:$S$214,19,FALSE)),"",VLOOKUP($AC30,'2007-2020 Metadata'!$A$6:$S$214,19,FALSE))</f>
        <v>3</v>
      </c>
      <c r="AF30" s="88" t="str">
        <f>VLOOKUP($B30,'2007-2020 Metadata'!$A$4:$S$214,MATCH("Site type",'2007-2020 Metadata'!$A$4:$S$4,0),FALSE)</f>
        <v>Local</v>
      </c>
      <c r="AG30" s="143">
        <f t="shared" si="13"/>
        <v>6.4</v>
      </c>
      <c r="AH30" s="143">
        <f t="shared" si="14"/>
        <v>37</v>
      </c>
      <c r="AI30" s="144">
        <f t="shared" si="15"/>
        <v>26.143692364855983</v>
      </c>
    </row>
    <row r="31" spans="2:36" ht="12" customHeight="1" x14ac:dyDescent="0.15">
      <c r="B31" s="123" t="s">
        <v>63</v>
      </c>
      <c r="C31" s="119">
        <v>21</v>
      </c>
      <c r="D31" s="119">
        <v>25.1</v>
      </c>
      <c r="E31" s="119">
        <v>28.2</v>
      </c>
      <c r="F31" s="119">
        <v>33.299999999999997</v>
      </c>
      <c r="G31" s="119">
        <v>32.5</v>
      </c>
      <c r="H31" s="119">
        <v>35.5</v>
      </c>
      <c r="I31" s="119">
        <v>38.6</v>
      </c>
      <c r="J31" s="119">
        <v>41.7</v>
      </c>
      <c r="K31" s="119">
        <v>21.123908558764274</v>
      </c>
      <c r="L31" s="119">
        <v>21.123908558764299</v>
      </c>
      <c r="M31" s="119">
        <v>26.3</v>
      </c>
      <c r="N31" s="119">
        <v>18.7</v>
      </c>
      <c r="O31" s="121">
        <f t="shared" si="7"/>
        <v>28.595651426460716</v>
      </c>
      <c r="P31" s="121">
        <f t="shared" si="8"/>
        <v>26.711274294670485</v>
      </c>
      <c r="Q31" s="122">
        <f t="shared" si="0"/>
        <v>1</v>
      </c>
      <c r="R31" s="140">
        <f t="shared" si="1"/>
        <v>24.766666666666666</v>
      </c>
      <c r="S31" s="150">
        <f t="shared" si="2"/>
        <v>1</v>
      </c>
      <c r="T31" s="140">
        <f t="shared" si="9"/>
        <v>33.807969519588092</v>
      </c>
      <c r="U31" s="150">
        <f t="shared" si="10"/>
        <v>1</v>
      </c>
      <c r="V31" s="141">
        <f t="shared" si="11"/>
        <v>28.595651426460716</v>
      </c>
      <c r="W31" s="142">
        <f t="shared" si="12"/>
        <v>1</v>
      </c>
      <c r="X31" s="144">
        <f t="shared" si="6"/>
        <v>22.672727272727272</v>
      </c>
      <c r="Y31" s="144">
        <f t="shared" si="3"/>
        <v>31.904573466749103</v>
      </c>
      <c r="Z31" s="144">
        <f t="shared" si="4"/>
        <v>26.143692364855983</v>
      </c>
      <c r="AA31" s="10"/>
      <c r="AB31" s="357" t="str">
        <f>VLOOKUP($B31,'2007-2020 Metadata'!$A$4:$S$214,MATCH("Urban Area /Monitoring Zone",'2007-2020 Metadata'!$A$4:$S$4,0),FALSE)</f>
        <v>Auckland - Northern</v>
      </c>
      <c r="AC31" s="87" t="str">
        <f>VLOOKUP(B31,'2007-2020 Metadata'!$A$6:$A$214,1,FALSE)</f>
        <v>AUC042</v>
      </c>
      <c r="AD31" s="230" t="str">
        <f>VLOOKUP($AC31,'2007-2020 Metadata'!$A$6:$S$214,9,FALSE)</f>
        <v xml:space="preserve">North Shore </v>
      </c>
      <c r="AE31" s="248">
        <f>IF(ISBLANK(VLOOKUP($AC31,'2007-2020 Metadata'!$A$6:$S$214,19,FALSE)),"",VLOOKUP($AC31,'2007-2020 Metadata'!$A$6:$S$214,19,FALSE))</f>
        <v>3</v>
      </c>
      <c r="AF31" s="88" t="str">
        <f>VLOOKUP($B31,'2007-2020 Metadata'!$A$4:$S$214,MATCH("Site type",'2007-2020 Metadata'!$A$4:$S$4,0),FALSE)</f>
        <v>Local</v>
      </c>
      <c r="AG31" s="143">
        <f t="shared" si="13"/>
        <v>18.7</v>
      </c>
      <c r="AH31" s="143">
        <f t="shared" si="14"/>
        <v>41.7</v>
      </c>
      <c r="AI31" s="144">
        <f t="shared" si="15"/>
        <v>26.143692364855983</v>
      </c>
    </row>
    <row r="32" spans="2:36" ht="12" customHeight="1" x14ac:dyDescent="0.15">
      <c r="B32" s="123" t="s">
        <v>64</v>
      </c>
      <c r="C32" s="119">
        <v>18.100000000000001</v>
      </c>
      <c r="D32" s="119">
        <v>22.7</v>
      </c>
      <c r="E32" s="119">
        <v>24.4</v>
      </c>
      <c r="F32" s="119">
        <v>30.9</v>
      </c>
      <c r="G32" s="119">
        <v>32.799999999999997</v>
      </c>
      <c r="H32" s="119">
        <v>32.1</v>
      </c>
      <c r="I32" s="119">
        <v>35.299999999999997</v>
      </c>
      <c r="J32" s="119">
        <v>40.4</v>
      </c>
      <c r="K32" s="119"/>
      <c r="L32" s="119">
        <v>24.4</v>
      </c>
      <c r="M32" s="119">
        <v>25.7</v>
      </c>
      <c r="N32" s="119">
        <v>17.399999999999999</v>
      </c>
      <c r="O32" s="121">
        <f t="shared" si="7"/>
        <v>27.654545454545449</v>
      </c>
      <c r="P32" s="121">
        <f t="shared" si="8"/>
        <v>26.167437281313589</v>
      </c>
      <c r="Q32" s="122">
        <f t="shared" si="0"/>
        <v>0.91666666666666663</v>
      </c>
      <c r="R32" s="260">
        <f t="shared" si="1"/>
        <v>21.733333333333331</v>
      </c>
      <c r="S32" s="261">
        <f t="shared" si="2"/>
        <v>1</v>
      </c>
      <c r="T32" s="260">
        <f t="shared" si="9"/>
        <v>37.849999999999994</v>
      </c>
      <c r="U32" s="261">
        <f t="shared" si="10"/>
        <v>0.66666666666666663</v>
      </c>
      <c r="V32" s="262">
        <f t="shared" si="11"/>
        <v>27.654545454545449</v>
      </c>
      <c r="W32" s="261">
        <f t="shared" si="12"/>
        <v>0.91666666666666663</v>
      </c>
      <c r="X32" s="177">
        <f t="shared" si="6"/>
        <v>22.672727272727272</v>
      </c>
      <c r="Y32" s="177">
        <f t="shared" si="3"/>
        <v>31.904573466749103</v>
      </c>
      <c r="Z32" s="177">
        <f t="shared" si="4"/>
        <v>26.143692364855983</v>
      </c>
      <c r="AA32" s="10"/>
      <c r="AB32" s="357" t="str">
        <f>VLOOKUP($B32,'2007-2020 Metadata'!$A$4:$S$214,MATCH("Urban Area /Monitoring Zone",'2007-2020 Metadata'!$A$4:$S$4,0),FALSE)</f>
        <v>Auckland - Northern</v>
      </c>
      <c r="AC32" s="259" t="str">
        <f>VLOOKUP(B32,'2007-2020 Metadata'!$A$6:$A$214,1,FALSE)</f>
        <v>AUC043</v>
      </c>
      <c r="AD32" s="256" t="str">
        <f>VLOOKUP($AC32,'2007-2020 Metadata'!$A$6:$S$214,9,FALSE)</f>
        <v xml:space="preserve">North Shore </v>
      </c>
      <c r="AE32" s="263">
        <f>IF(ISBLANK(VLOOKUP($AC32,'2007-2020 Metadata'!$A$6:$S$214,19,FALSE)),"",VLOOKUP($AC32,'2007-2020 Metadata'!$A$6:$S$214,19,FALSE))</f>
        <v>3</v>
      </c>
      <c r="AF32" s="257" t="str">
        <f>VLOOKUP($B32,'2007-2020 Metadata'!$A$4:$S$214,MATCH("Site type",'2007-2020 Metadata'!$A$4:$S$4,0),FALSE)</f>
        <v>SH</v>
      </c>
      <c r="AG32" s="258">
        <f>MIN(AVERAGE($C$32:$C$34),AVERAGE($D$32:$D$34),AVERAGE($E$32:$E$34),AVERAGE($F$32:$F$34),AVERAGE($G$32:$G$34),AVERAGE($H$32:$H$34),AVERAGE($I$32:$I$34),AVERAGE($J$32:$J$34),AVERAGE($L$32:$L$34),AVERAGE($M$32:$M$34),AVERAGE($N$32:$N$34))</f>
        <v>17.166666666666664</v>
      </c>
      <c r="AH32" s="258">
        <f>MAX(AVERAGE($C$32:$C$34),AVERAGE($D$32:$D$34),AVERAGE($E$32:$E$34),AVERAGE($F$32:$F$34),AVERAGE($G$32:$G$34),AVERAGE($H$32:$H$34),AVERAGE($I$32:$I$34),AVERAGE($J$32:$J$34),AVERAGE($L$32:$L$34),AVERAGE($M$32:$M$34),AVERAGE($N$32:$N$34))</f>
        <v>40.4</v>
      </c>
      <c r="AI32" s="177">
        <f t="shared" si="15"/>
        <v>26.143692364855983</v>
      </c>
      <c r="AJ32" s="110" t="s">
        <v>541</v>
      </c>
    </row>
    <row r="33" spans="2:36" ht="12" customHeight="1" x14ac:dyDescent="0.15">
      <c r="B33" s="123" t="s">
        <v>65</v>
      </c>
      <c r="C33" s="119">
        <v>18</v>
      </c>
      <c r="D33" s="119">
        <v>18.600000000000001</v>
      </c>
      <c r="E33" s="119">
        <v>19.8</v>
      </c>
      <c r="F33" s="119">
        <v>30.8</v>
      </c>
      <c r="G33" s="119">
        <v>34.799999999999997</v>
      </c>
      <c r="H33" s="119">
        <v>38.299999999999997</v>
      </c>
      <c r="I33" s="119">
        <v>37.9</v>
      </c>
      <c r="J33" s="119"/>
      <c r="K33" s="119"/>
      <c r="L33" s="119">
        <v>26.6</v>
      </c>
      <c r="M33" s="119">
        <v>24.6</v>
      </c>
      <c r="N33" s="119">
        <v>17.2</v>
      </c>
      <c r="O33" s="121">
        <f t="shared" si="7"/>
        <v>26.660000000000004</v>
      </c>
      <c r="P33" s="121">
        <f t="shared" si="8"/>
        <v>31.282410927786518</v>
      </c>
      <c r="Q33" s="122">
        <f t="shared" si="0"/>
        <v>0.83333333333333337</v>
      </c>
      <c r="R33" s="260">
        <f t="shared" si="1"/>
        <v>18.8</v>
      </c>
      <c r="S33" s="261">
        <f t="shared" si="2"/>
        <v>1</v>
      </c>
      <c r="T33" s="260" t="str">
        <f t="shared" si="9"/>
        <v>-</v>
      </c>
      <c r="U33" s="150">
        <f t="shared" si="10"/>
        <v>0.33333333333333331</v>
      </c>
      <c r="V33" s="262">
        <f t="shared" si="11"/>
        <v>26.660000000000004</v>
      </c>
      <c r="W33" s="261">
        <f t="shared" si="12"/>
        <v>0.83333333333333337</v>
      </c>
      <c r="X33" s="177">
        <f t="shared" si="6"/>
        <v>22.672727272727272</v>
      </c>
      <c r="Y33" s="177">
        <f t="shared" si="3"/>
        <v>31.904573466749103</v>
      </c>
      <c r="Z33" s="177">
        <f t="shared" si="4"/>
        <v>26.143692364855983</v>
      </c>
      <c r="AA33" s="10"/>
      <c r="AB33" s="357" t="str">
        <f>VLOOKUP($B33,'2007-2020 Metadata'!$A$4:$S$214,MATCH("Urban Area /Monitoring Zone",'2007-2020 Metadata'!$A$4:$S$4,0),FALSE)</f>
        <v>Auckland - Northern</v>
      </c>
      <c r="AC33" s="259" t="str">
        <f>VLOOKUP(B33,'2007-2020 Metadata'!$A$6:$A$214,1,FALSE)</f>
        <v>AUC044</v>
      </c>
      <c r="AD33" s="256" t="str">
        <f>VLOOKUP($AC33,'2007-2020 Metadata'!$A$6:$S$214,9,FALSE)</f>
        <v xml:space="preserve">North Shore </v>
      </c>
      <c r="AE33" s="263">
        <f>IF(ISBLANK(VLOOKUP($AC33,'2007-2020 Metadata'!$A$6:$S$214,19,FALSE)),"",VLOOKUP($AC33,'2007-2020 Metadata'!$A$6:$S$214,19,FALSE))</f>
        <v>3</v>
      </c>
      <c r="AF33" s="257" t="str">
        <f>VLOOKUP($B33,'2007-2020 Metadata'!$A$4:$S$214,MATCH("Site type",'2007-2020 Metadata'!$A$4:$S$4,0),FALSE)</f>
        <v>SH</v>
      </c>
      <c r="AG33" s="258">
        <f t="shared" ref="AG33:AG34" si="40">MIN(AVERAGE($C$32:$C$34),AVERAGE($D$32:$D$34),AVERAGE($E$32:$E$34),AVERAGE($F$32:$F$34),AVERAGE($G$32:$G$34),AVERAGE($H$32:$H$34),AVERAGE($I$32:$I$34),AVERAGE($J$32:$J$34),AVERAGE($L$32:$L$34),AVERAGE($M$32:$M$34),AVERAGE($N$32:$N$34))</f>
        <v>17.166666666666664</v>
      </c>
      <c r="AH33" s="258">
        <f t="shared" ref="AH33:AH34" si="41">MAX(AVERAGE($C$32:$C$34),AVERAGE($D$32:$D$34),AVERAGE($E$32:$E$34),AVERAGE($F$32:$F$34),AVERAGE($G$32:$G$34),AVERAGE($H$32:$H$34),AVERAGE($I$32:$I$34),AVERAGE($J$32:$J$34),AVERAGE($L$32:$L$34),AVERAGE($M$32:$M$34),AVERAGE($N$32:$N$34))</f>
        <v>40.4</v>
      </c>
      <c r="AI33" s="177">
        <f t="shared" si="15"/>
        <v>26.143692364855983</v>
      </c>
      <c r="AJ33" s="110" t="s">
        <v>541</v>
      </c>
    </row>
    <row r="34" spans="2:36" ht="12" customHeight="1" x14ac:dyDescent="0.15">
      <c r="B34" s="123" t="s">
        <v>66</v>
      </c>
      <c r="C34" s="119">
        <v>17.5</v>
      </c>
      <c r="D34" s="119">
        <v>22.8</v>
      </c>
      <c r="E34" s="119">
        <v>24.9</v>
      </c>
      <c r="F34" s="119">
        <v>25.3</v>
      </c>
      <c r="G34" s="119">
        <v>34.299999999999997</v>
      </c>
      <c r="H34" s="119">
        <v>36.700000000000003</v>
      </c>
      <c r="I34" s="119">
        <v>37.9</v>
      </c>
      <c r="J34" s="119"/>
      <c r="K34" s="119"/>
      <c r="L34" s="119">
        <v>21.7</v>
      </c>
      <c r="M34" s="119">
        <v>24.5</v>
      </c>
      <c r="N34" s="119">
        <v>16.899999999999999</v>
      </c>
      <c r="O34" s="121">
        <f t="shared" si="7"/>
        <v>26.25</v>
      </c>
      <c r="P34" s="121">
        <f t="shared" si="8"/>
        <v>28.736174061145665</v>
      </c>
      <c r="Q34" s="122">
        <f t="shared" si="0"/>
        <v>0.83333333333333337</v>
      </c>
      <c r="R34" s="260">
        <f t="shared" si="1"/>
        <v>21.733333333333331</v>
      </c>
      <c r="S34" s="261">
        <f t="shared" si="2"/>
        <v>1</v>
      </c>
      <c r="T34" s="260" t="str">
        <f t="shared" si="9"/>
        <v>-</v>
      </c>
      <c r="U34" s="150">
        <f t="shared" si="10"/>
        <v>0.33333333333333331</v>
      </c>
      <c r="V34" s="262">
        <f t="shared" si="11"/>
        <v>26.25</v>
      </c>
      <c r="W34" s="261">
        <f t="shared" si="12"/>
        <v>0.83333333333333337</v>
      </c>
      <c r="X34" s="177">
        <f t="shared" si="6"/>
        <v>22.672727272727272</v>
      </c>
      <c r="Y34" s="177">
        <f t="shared" si="3"/>
        <v>31.904573466749103</v>
      </c>
      <c r="Z34" s="177">
        <f t="shared" si="4"/>
        <v>26.143692364855983</v>
      </c>
      <c r="AA34" s="10"/>
      <c r="AB34" s="357" t="str">
        <f>VLOOKUP($B34,'2007-2020 Metadata'!$A$4:$S$214,MATCH("Urban Area /Monitoring Zone",'2007-2020 Metadata'!$A$4:$S$4,0),FALSE)</f>
        <v>Auckland - Northern</v>
      </c>
      <c r="AC34" s="259" t="str">
        <f>VLOOKUP(B34,'2007-2020 Metadata'!$A$6:$A$214,1,FALSE)</f>
        <v>AUC045</v>
      </c>
      <c r="AD34" s="256" t="str">
        <f>VLOOKUP($AC34,'2007-2020 Metadata'!$A$6:$S$214,9,FALSE)</f>
        <v xml:space="preserve">North Shore </v>
      </c>
      <c r="AE34" s="263">
        <f>IF(ISBLANK(VLOOKUP($AC34,'2007-2020 Metadata'!$A$6:$S$214,19,FALSE)),"",VLOOKUP($AC34,'2007-2020 Metadata'!$A$6:$S$214,19,FALSE))</f>
        <v>3</v>
      </c>
      <c r="AF34" s="257" t="str">
        <f>VLOOKUP($B34,'2007-2020 Metadata'!$A$4:$S$214,MATCH("Site type",'2007-2020 Metadata'!$A$4:$S$4,0),FALSE)</f>
        <v>SH</v>
      </c>
      <c r="AG34" s="258">
        <f t="shared" si="40"/>
        <v>17.166666666666664</v>
      </c>
      <c r="AH34" s="258">
        <f t="shared" si="41"/>
        <v>40.4</v>
      </c>
      <c r="AI34" s="177">
        <f t="shared" si="15"/>
        <v>26.143692364855983</v>
      </c>
      <c r="AJ34" s="110" t="s">
        <v>541</v>
      </c>
    </row>
    <row r="35" spans="2:36" ht="12" customHeight="1" x14ac:dyDescent="0.15">
      <c r="B35" s="123" t="s">
        <v>67</v>
      </c>
      <c r="C35" s="119">
        <v>21.1</v>
      </c>
      <c r="D35" s="119">
        <v>24.7</v>
      </c>
      <c r="E35" s="119">
        <v>24.1</v>
      </c>
      <c r="F35" s="119">
        <v>31</v>
      </c>
      <c r="G35" s="119">
        <v>39.299999999999997</v>
      </c>
      <c r="H35" s="119">
        <v>39.200000000000003</v>
      </c>
      <c r="I35" s="119">
        <v>44.5</v>
      </c>
      <c r="J35" s="119">
        <v>39</v>
      </c>
      <c r="K35" s="119">
        <v>32.700000000000003</v>
      </c>
      <c r="L35" s="119">
        <v>38.700000000000003</v>
      </c>
      <c r="M35" s="119">
        <v>26.4</v>
      </c>
      <c r="N35" s="119">
        <v>18.899999999999999</v>
      </c>
      <c r="O35" s="121">
        <f t="shared" si="7"/>
        <v>31.633333333333326</v>
      </c>
      <c r="P35" s="121">
        <f t="shared" si="8"/>
        <v>26.834471070730963</v>
      </c>
      <c r="Q35" s="122">
        <f t="shared" si="0"/>
        <v>1</v>
      </c>
      <c r="R35" s="140">
        <f t="shared" si="1"/>
        <v>23.3</v>
      </c>
      <c r="S35" s="150">
        <f t="shared" si="2"/>
        <v>1</v>
      </c>
      <c r="T35" s="140">
        <f t="shared" si="9"/>
        <v>38.733333333333334</v>
      </c>
      <c r="U35" s="150">
        <f t="shared" si="10"/>
        <v>1</v>
      </c>
      <c r="V35" s="141">
        <f t="shared" si="11"/>
        <v>31.633333333333326</v>
      </c>
      <c r="W35" s="142">
        <f t="shared" si="12"/>
        <v>1</v>
      </c>
      <c r="X35" s="144">
        <f t="shared" si="6"/>
        <v>22.672727272727272</v>
      </c>
      <c r="Y35" s="144">
        <f t="shared" si="3"/>
        <v>31.904573466749103</v>
      </c>
      <c r="Z35" s="144">
        <f t="shared" si="4"/>
        <v>26.143692364855983</v>
      </c>
      <c r="AA35" s="10"/>
      <c r="AB35" s="357" t="str">
        <f>VLOOKUP($B35,'2007-2020 Metadata'!$A$4:$S$214,MATCH("Urban Area /Monitoring Zone",'2007-2020 Metadata'!$A$4:$S$4,0),FALSE)</f>
        <v>Auckland - Northern</v>
      </c>
      <c r="AC35" s="87" t="str">
        <f>VLOOKUP(B35,'2007-2020 Metadata'!$A$6:$A$214,1,FALSE)</f>
        <v>AUC046</v>
      </c>
      <c r="AD35" s="230" t="str">
        <f>VLOOKUP($AC35,'2007-2020 Metadata'!$A$6:$S$214,9,FALSE)</f>
        <v xml:space="preserve">North Shore </v>
      </c>
      <c r="AE35" s="248">
        <f>IF(ISBLANK(VLOOKUP($AC35,'2007-2020 Metadata'!$A$6:$S$214,19,FALSE)),"",VLOOKUP($AC35,'2007-2020 Metadata'!$A$6:$S$214,19,FALSE))</f>
        <v>3</v>
      </c>
      <c r="AF35" s="88" t="str">
        <f>VLOOKUP($B35,'2007-2020 Metadata'!$A$4:$S$214,MATCH("Site type",'2007-2020 Metadata'!$A$4:$S$4,0),FALSE)</f>
        <v>Local</v>
      </c>
      <c r="AG35" s="143">
        <f t="shared" si="13"/>
        <v>18.899999999999999</v>
      </c>
      <c r="AH35" s="143">
        <f t="shared" si="14"/>
        <v>44.5</v>
      </c>
      <c r="AI35" s="144">
        <f t="shared" si="15"/>
        <v>26.143692364855983</v>
      </c>
    </row>
    <row r="36" spans="2:36" ht="12" customHeight="1" x14ac:dyDescent="0.15">
      <c r="B36" s="123" t="s">
        <v>68</v>
      </c>
      <c r="C36" s="119">
        <v>9</v>
      </c>
      <c r="D36" s="119">
        <v>10.5</v>
      </c>
      <c r="E36" s="119">
        <v>12.5</v>
      </c>
      <c r="F36" s="119">
        <v>15.7</v>
      </c>
      <c r="G36" s="119">
        <v>16.5</v>
      </c>
      <c r="H36" s="119">
        <v>15.5</v>
      </c>
      <c r="I36" s="119">
        <v>16.600000000000001</v>
      </c>
      <c r="J36" s="119">
        <v>16.899999999999999</v>
      </c>
      <c r="K36" s="119">
        <v>13.1</v>
      </c>
      <c r="L36" s="119">
        <v>9.8000000000000007</v>
      </c>
      <c r="M36" s="119">
        <v>10.199999999999999</v>
      </c>
      <c r="N36" s="119">
        <v>5.6</v>
      </c>
      <c r="O36" s="121">
        <f t="shared" si="7"/>
        <v>12.658333333333333</v>
      </c>
      <c r="P36" s="121">
        <f t="shared" si="8"/>
        <v>28.968411076714872</v>
      </c>
      <c r="Q36" s="122">
        <f t="shared" si="0"/>
        <v>1</v>
      </c>
      <c r="R36" s="140">
        <f t="shared" si="1"/>
        <v>10.666666666666666</v>
      </c>
      <c r="S36" s="150">
        <f t="shared" si="2"/>
        <v>1</v>
      </c>
      <c r="T36" s="140">
        <f t="shared" si="9"/>
        <v>15.533333333333333</v>
      </c>
      <c r="U36" s="150">
        <f t="shared" si="10"/>
        <v>1</v>
      </c>
      <c r="V36" s="141">
        <f t="shared" si="11"/>
        <v>12.658333333333333</v>
      </c>
      <c r="W36" s="142">
        <f t="shared" si="12"/>
        <v>1</v>
      </c>
      <c r="X36" s="144">
        <f t="shared" si="6"/>
        <v>22.672727272727272</v>
      </c>
      <c r="Y36" s="144">
        <f t="shared" si="3"/>
        <v>31.904573466749103</v>
      </c>
      <c r="Z36" s="144">
        <f t="shared" si="4"/>
        <v>26.143692364855983</v>
      </c>
      <c r="AA36" s="10"/>
      <c r="AB36" s="357" t="str">
        <f>VLOOKUP($B36,'2007-2020 Metadata'!$A$4:$S$214,MATCH("Urban Area /Monitoring Zone",'2007-2020 Metadata'!$A$4:$S$4,0),FALSE)</f>
        <v>Auckland - Northern</v>
      </c>
      <c r="AC36" s="87" t="str">
        <f>VLOOKUP(B36,'2007-2020 Metadata'!$A$6:$A$214,1,FALSE)</f>
        <v>AUC047</v>
      </c>
      <c r="AD36" s="230" t="str">
        <f>VLOOKUP($AC36,'2007-2020 Metadata'!$A$6:$S$214,9,FALSE)</f>
        <v xml:space="preserve">North Shore </v>
      </c>
      <c r="AE36" s="248">
        <f>IF(ISBLANK(VLOOKUP($AC36,'2007-2020 Metadata'!$A$6:$S$214,19,FALSE)),"",VLOOKUP($AC36,'2007-2020 Metadata'!$A$6:$S$214,19,FALSE))</f>
        <v>3</v>
      </c>
      <c r="AF36" s="88" t="str">
        <f>VLOOKUP($B36,'2007-2020 Metadata'!$A$4:$S$214,MATCH("Site type",'2007-2020 Metadata'!$A$4:$S$4,0),FALSE)</f>
        <v>Background</v>
      </c>
      <c r="AG36" s="143">
        <f t="shared" si="13"/>
        <v>5.6</v>
      </c>
      <c r="AH36" s="143">
        <f t="shared" si="14"/>
        <v>16.899999999999999</v>
      </c>
      <c r="AI36" s="144">
        <f t="shared" si="15"/>
        <v>26.143692364855983</v>
      </c>
    </row>
    <row r="37" spans="2:36" ht="12" customHeight="1" x14ac:dyDescent="0.15">
      <c r="B37" s="123" t="s">
        <v>1018</v>
      </c>
      <c r="C37" s="119">
        <v>9.6</v>
      </c>
      <c r="D37" s="119">
        <v>11.3</v>
      </c>
      <c r="E37" s="119">
        <v>14.5</v>
      </c>
      <c r="F37" s="119">
        <v>17</v>
      </c>
      <c r="G37" s="119">
        <v>18</v>
      </c>
      <c r="H37" s="119">
        <v>17.7</v>
      </c>
      <c r="I37" s="119">
        <v>17</v>
      </c>
      <c r="J37" s="119">
        <v>17.2</v>
      </c>
      <c r="K37" s="119">
        <v>13.4</v>
      </c>
      <c r="L37" s="119">
        <v>9.5</v>
      </c>
      <c r="M37" s="119">
        <v>10.3</v>
      </c>
      <c r="N37" s="119">
        <v>6.5</v>
      </c>
      <c r="O37" s="121">
        <f t="shared" si="7"/>
        <v>13.500000000000002</v>
      </c>
      <c r="P37" s="121">
        <f t="shared" si="8"/>
        <v>29.323332648858507</v>
      </c>
      <c r="Q37" s="122">
        <f t="shared" si="0"/>
        <v>1</v>
      </c>
      <c r="R37" s="140">
        <f t="shared" si="1"/>
        <v>11.799999999999999</v>
      </c>
      <c r="S37" s="150">
        <f t="shared" si="2"/>
        <v>1</v>
      </c>
      <c r="T37" s="140">
        <f t="shared" si="9"/>
        <v>15.866666666666667</v>
      </c>
      <c r="U37" s="150">
        <f t="shared" si="10"/>
        <v>1</v>
      </c>
      <c r="V37" s="141">
        <f t="shared" si="11"/>
        <v>13.500000000000002</v>
      </c>
      <c r="W37" s="142">
        <f t="shared" si="12"/>
        <v>1</v>
      </c>
      <c r="X37" s="144">
        <f t="shared" si="6"/>
        <v>11.799999999999999</v>
      </c>
      <c r="Y37" s="144">
        <f t="shared" si="3"/>
        <v>15.866666666666667</v>
      </c>
      <c r="Z37" s="144">
        <f t="shared" si="4"/>
        <v>13.500000000000002</v>
      </c>
      <c r="AA37" s="10"/>
      <c r="AB37" s="357" t="str">
        <f>VLOOKUP($B37,'2007-2020 Metadata'!$A$4:$S$214,MATCH("Urban Area /Monitoring Zone",'2007-2020 Metadata'!$A$4:$S$4,0),FALSE)</f>
        <v>Auckland - Western</v>
      </c>
      <c r="AC37" s="87" t="str">
        <f>VLOOKUP(B37,'2007-2020 Metadata'!$A$6:$A$214,1,FALSE)</f>
        <v>AUC049a</v>
      </c>
      <c r="AD37" s="230" t="str">
        <f>VLOOKUP($AC37,'2007-2020 Metadata'!$A$6:$S$214,9,FALSE)</f>
        <v>Waitakere</v>
      </c>
      <c r="AE37" s="248" t="str">
        <f>IF(ISBLANK(VLOOKUP($AC37,'2007-2020 Metadata'!$A$6:$S$214,19,FALSE)),"",VLOOKUP($AC37,'2007-2020 Metadata'!$A$6:$S$214,19,FALSE))</f>
        <v/>
      </c>
      <c r="AF37" s="88" t="str">
        <f>VLOOKUP($B37,'2007-2020 Metadata'!$A$4:$S$214,MATCH("Site type",'2007-2020 Metadata'!$A$4:$S$4,0),FALSE)</f>
        <v>Local (ex SH)</v>
      </c>
      <c r="AG37" s="143">
        <f t="shared" si="13"/>
        <v>6.5</v>
      </c>
      <c r="AH37" s="143">
        <f t="shared" si="14"/>
        <v>18</v>
      </c>
      <c r="AI37" s="144">
        <f t="shared" si="15"/>
        <v>13.500000000000002</v>
      </c>
    </row>
    <row r="38" spans="2:36" ht="12" customHeight="1" x14ac:dyDescent="0.15">
      <c r="B38" s="123" t="s">
        <v>71</v>
      </c>
      <c r="C38" s="119">
        <v>13.7</v>
      </c>
      <c r="D38" s="119">
        <v>14.6</v>
      </c>
      <c r="E38" s="119">
        <v>18.899999999999999</v>
      </c>
      <c r="F38" s="119">
        <v>21.2</v>
      </c>
      <c r="G38" s="119">
        <v>20.7</v>
      </c>
      <c r="H38" s="119">
        <v>15.4</v>
      </c>
      <c r="I38" s="119">
        <v>19.100000000000001</v>
      </c>
      <c r="J38" s="119">
        <v>27.3</v>
      </c>
      <c r="K38" s="119">
        <v>16.5</v>
      </c>
      <c r="L38" s="119">
        <v>8.3000000000000007</v>
      </c>
      <c r="M38" s="119">
        <v>14.3</v>
      </c>
      <c r="N38" s="119">
        <v>6.3</v>
      </c>
      <c r="O38" s="121">
        <f t="shared" si="7"/>
        <v>16.358333333333338</v>
      </c>
      <c r="P38" s="121">
        <f t="shared" si="8"/>
        <v>34.84653484650957</v>
      </c>
      <c r="Q38" s="122">
        <f t="shared" si="0"/>
        <v>1</v>
      </c>
      <c r="R38" s="140">
        <f t="shared" si="1"/>
        <v>15.733333333333333</v>
      </c>
      <c r="S38" s="150">
        <f t="shared" si="2"/>
        <v>1</v>
      </c>
      <c r="T38" s="140">
        <f t="shared" si="9"/>
        <v>20.966666666666669</v>
      </c>
      <c r="U38" s="150">
        <f t="shared" si="10"/>
        <v>1</v>
      </c>
      <c r="V38" s="141">
        <f t="shared" si="11"/>
        <v>16.358333333333338</v>
      </c>
      <c r="W38" s="142">
        <f t="shared" si="12"/>
        <v>1</v>
      </c>
      <c r="X38" s="144">
        <f t="shared" si="6"/>
        <v>15.87361111111111</v>
      </c>
      <c r="Y38" s="144">
        <f t="shared" si="3"/>
        <v>21.31851851851852</v>
      </c>
      <c r="Z38" s="144">
        <f t="shared" si="4"/>
        <v>17.835016835016834</v>
      </c>
      <c r="AA38" s="10"/>
      <c r="AB38" s="357" t="str">
        <f>VLOOKUP($B38,'2007-2020 Metadata'!$A$4:$S$214,MATCH("Urban Area /Monitoring Zone",'2007-2020 Metadata'!$A$4:$S$4,0),FALSE)</f>
        <v>Auckland - Western</v>
      </c>
      <c r="AC38" s="87" t="str">
        <f>VLOOKUP(B38,'2007-2020 Metadata'!$A$6:$A$214,1,FALSE)</f>
        <v>AUC050</v>
      </c>
      <c r="AD38" s="230" t="str">
        <f>VLOOKUP($AC38,'2007-2020 Metadata'!$A$6:$S$214,9,FALSE)</f>
        <v>Waitakere</v>
      </c>
      <c r="AE38" s="248">
        <f>IF(ISBLANK(VLOOKUP($AC38,'2007-2020 Metadata'!$A$6:$S$214,19,FALSE)),"",VLOOKUP($AC38,'2007-2020 Metadata'!$A$6:$S$214,19,FALSE))</f>
        <v>3</v>
      </c>
      <c r="AF38" s="88" t="str">
        <f>VLOOKUP($B38,'2007-2020 Metadata'!$A$4:$S$214,MATCH("Site type",'2007-2020 Metadata'!$A$4:$S$4,0),FALSE)</f>
        <v>SH</v>
      </c>
      <c r="AG38" s="143">
        <f t="shared" si="13"/>
        <v>6.3</v>
      </c>
      <c r="AH38" s="143">
        <f t="shared" si="14"/>
        <v>27.3</v>
      </c>
      <c r="AI38" s="144">
        <f t="shared" si="15"/>
        <v>17.835016835016834</v>
      </c>
    </row>
    <row r="39" spans="2:36" ht="12" customHeight="1" x14ac:dyDescent="0.15">
      <c r="B39" s="123" t="s">
        <v>1024</v>
      </c>
      <c r="C39" s="119">
        <v>13.3</v>
      </c>
      <c r="D39" s="119">
        <v>15.8</v>
      </c>
      <c r="E39" s="119">
        <v>17.899999999999999</v>
      </c>
      <c r="F39" s="119">
        <v>18.7</v>
      </c>
      <c r="G39" s="119">
        <v>22.9</v>
      </c>
      <c r="H39" s="119">
        <v>24.9</v>
      </c>
      <c r="I39" s="119">
        <v>26.4</v>
      </c>
      <c r="J39" s="119">
        <v>26.4</v>
      </c>
      <c r="K39" s="119">
        <v>14.4</v>
      </c>
      <c r="L39" s="119">
        <v>20.9</v>
      </c>
      <c r="M39" s="119">
        <v>17.600000000000001</v>
      </c>
      <c r="N39" s="119">
        <v>11.9</v>
      </c>
      <c r="O39" s="121">
        <f t="shared" si="7"/>
        <v>19.258333333333336</v>
      </c>
      <c r="P39" s="121">
        <f t="shared" si="8"/>
        <v>26.193499125156787</v>
      </c>
      <c r="Q39" s="122">
        <f t="shared" si="0"/>
        <v>1</v>
      </c>
      <c r="R39" s="140">
        <f t="shared" si="1"/>
        <v>15.666666666666666</v>
      </c>
      <c r="S39" s="150">
        <f t="shared" si="2"/>
        <v>1</v>
      </c>
      <c r="T39" s="140">
        <f t="shared" si="9"/>
        <v>22.400000000000002</v>
      </c>
      <c r="U39" s="150">
        <f t="shared" si="10"/>
        <v>1</v>
      </c>
      <c r="V39" s="141">
        <f t="shared" si="11"/>
        <v>19.258333333333336</v>
      </c>
      <c r="W39" s="142">
        <f t="shared" si="12"/>
        <v>1</v>
      </c>
      <c r="X39" s="144">
        <f t="shared" si="6"/>
        <v>15.666666666666666</v>
      </c>
      <c r="Y39" s="144">
        <f t="shared" si="3"/>
        <v>22.400000000000002</v>
      </c>
      <c r="Z39" s="144">
        <f t="shared" si="4"/>
        <v>19.258333333333336</v>
      </c>
      <c r="AA39" s="10"/>
      <c r="AB39" s="357">
        <f>VLOOKUP($B39,'2007-2020 Metadata'!$A$4:$S$214,MATCH("Urban Area /Monitoring Zone",'2007-2020 Metadata'!$A$4:$S$4,0),FALSE)</f>
        <v>0</v>
      </c>
      <c r="AC39" s="87" t="str">
        <f>VLOOKUP(B39,'2007-2020 Metadata'!$A$6:$A$214,1,FALSE)</f>
        <v>AUC051a</v>
      </c>
      <c r="AD39" s="230">
        <f>VLOOKUP($AC39,'2007-2020 Metadata'!$A$6:$S$214,9,FALSE)</f>
        <v>0</v>
      </c>
      <c r="AE39" s="248" t="str">
        <f>IF(ISBLANK(VLOOKUP($AC39,'2007-2020 Metadata'!$A$6:$S$214,19,FALSE)),"",VLOOKUP($AC39,'2007-2020 Metadata'!$A$6:$S$214,19,FALSE))</f>
        <v/>
      </c>
      <c r="AF39" s="88" t="str">
        <f>VLOOKUP($B39,'2007-2020 Metadata'!$A$4:$S$214,MATCH("Site type",'2007-2020 Metadata'!$A$4:$S$4,0),FALSE)</f>
        <v>SH</v>
      </c>
      <c r="AG39" s="143">
        <f t="shared" si="13"/>
        <v>11.9</v>
      </c>
      <c r="AH39" s="143">
        <f t="shared" si="14"/>
        <v>26.4</v>
      </c>
      <c r="AI39" s="144">
        <f t="shared" si="15"/>
        <v>19.258333333333336</v>
      </c>
    </row>
    <row r="40" spans="2:36" ht="12" customHeight="1" x14ac:dyDescent="0.15">
      <c r="B40" s="123" t="s">
        <v>73</v>
      </c>
      <c r="C40" s="119">
        <v>13.4</v>
      </c>
      <c r="D40" s="119">
        <v>17.100000000000001</v>
      </c>
      <c r="E40" s="119">
        <v>19.3</v>
      </c>
      <c r="F40" s="119">
        <v>21.6</v>
      </c>
      <c r="G40" s="119">
        <v>21.3</v>
      </c>
      <c r="H40" s="119">
        <v>19.600000000000001</v>
      </c>
      <c r="I40" s="119">
        <v>23.3</v>
      </c>
      <c r="J40" s="119">
        <v>25</v>
      </c>
      <c r="K40" s="119">
        <v>14.7</v>
      </c>
      <c r="L40" s="119">
        <v>11.8</v>
      </c>
      <c r="M40" s="119">
        <v>13</v>
      </c>
      <c r="N40" s="119">
        <v>9.5</v>
      </c>
      <c r="O40" s="121">
        <f t="shared" si="7"/>
        <v>17.466666666666669</v>
      </c>
      <c r="P40" s="121">
        <f t="shared" si="8"/>
        <v>28.381678082766999</v>
      </c>
      <c r="Q40" s="122">
        <f t="shared" si="0"/>
        <v>1</v>
      </c>
      <c r="R40" s="140">
        <f t="shared" si="1"/>
        <v>16.599999999999998</v>
      </c>
      <c r="S40" s="150">
        <f t="shared" si="2"/>
        <v>1</v>
      </c>
      <c r="T40" s="140">
        <f t="shared" si="9"/>
        <v>21</v>
      </c>
      <c r="U40" s="150">
        <f t="shared" si="10"/>
        <v>1</v>
      </c>
      <c r="V40" s="141">
        <f t="shared" si="11"/>
        <v>17.466666666666669</v>
      </c>
      <c r="W40" s="142">
        <f t="shared" si="12"/>
        <v>1</v>
      </c>
      <c r="X40" s="144">
        <f t="shared" si="6"/>
        <v>15.87361111111111</v>
      </c>
      <c r="Y40" s="144">
        <f t="shared" si="3"/>
        <v>21.31851851851852</v>
      </c>
      <c r="Z40" s="144">
        <f t="shared" si="4"/>
        <v>17.835016835016834</v>
      </c>
      <c r="AA40" s="10"/>
      <c r="AB40" s="357" t="str">
        <f>VLOOKUP($B40,'2007-2020 Metadata'!$A$4:$S$214,MATCH("Urban Area /Monitoring Zone",'2007-2020 Metadata'!$A$4:$S$4,0),FALSE)</f>
        <v>Auckland - Western</v>
      </c>
      <c r="AC40" s="87" t="str">
        <f>VLOOKUP(B40,'2007-2020 Metadata'!$A$6:$A$214,1,FALSE)</f>
        <v>AUC052</v>
      </c>
      <c r="AD40" s="230" t="str">
        <f>VLOOKUP($AC40,'2007-2020 Metadata'!$A$6:$S$214,9,FALSE)</f>
        <v>Waitakere</v>
      </c>
      <c r="AE40" s="248">
        <f>IF(ISBLANK(VLOOKUP($AC40,'2007-2020 Metadata'!$A$6:$S$214,19,FALSE)),"",VLOOKUP($AC40,'2007-2020 Metadata'!$A$6:$S$214,19,FALSE))</f>
        <v>3</v>
      </c>
      <c r="AF40" s="88" t="str">
        <f>VLOOKUP($B40,'2007-2020 Metadata'!$A$4:$S$214,MATCH("Site type",'2007-2020 Metadata'!$A$4:$S$4,0),FALSE)</f>
        <v>Local</v>
      </c>
      <c r="AG40" s="143">
        <f t="shared" si="13"/>
        <v>9.5</v>
      </c>
      <c r="AH40" s="143">
        <f t="shared" si="14"/>
        <v>25</v>
      </c>
      <c r="AI40" s="144">
        <f t="shared" si="15"/>
        <v>17.835016835016834</v>
      </c>
    </row>
    <row r="41" spans="2:36" ht="12" customHeight="1" x14ac:dyDescent="0.15">
      <c r="B41" s="123" t="s">
        <v>74</v>
      </c>
      <c r="C41" s="119">
        <v>23.8</v>
      </c>
      <c r="D41" s="119">
        <v>30.9</v>
      </c>
      <c r="E41" s="119">
        <v>32</v>
      </c>
      <c r="F41" s="119">
        <v>33.9</v>
      </c>
      <c r="G41" s="119">
        <v>44.7</v>
      </c>
      <c r="H41" s="119">
        <v>32</v>
      </c>
      <c r="I41" s="119">
        <v>39.6</v>
      </c>
      <c r="J41" s="119">
        <v>44.1</v>
      </c>
      <c r="K41" s="119">
        <v>34.9</v>
      </c>
      <c r="L41" s="119">
        <v>37.6</v>
      </c>
      <c r="M41" s="119">
        <v>23.1</v>
      </c>
      <c r="N41" s="119">
        <v>18.5</v>
      </c>
      <c r="O41" s="121">
        <f t="shared" si="7"/>
        <v>32.925000000000004</v>
      </c>
      <c r="P41" s="121">
        <f t="shared" si="8"/>
        <v>24.716526368730381</v>
      </c>
      <c r="Q41" s="122">
        <f t="shared" si="0"/>
        <v>1</v>
      </c>
      <c r="R41" s="140">
        <f t="shared" si="1"/>
        <v>28.900000000000002</v>
      </c>
      <c r="S41" s="150">
        <f t="shared" si="2"/>
        <v>1</v>
      </c>
      <c r="T41" s="140">
        <f t="shared" si="9"/>
        <v>39.533333333333331</v>
      </c>
      <c r="U41" s="150">
        <f t="shared" si="10"/>
        <v>1</v>
      </c>
      <c r="V41" s="141">
        <f t="shared" si="11"/>
        <v>32.925000000000004</v>
      </c>
      <c r="W41" s="142">
        <f t="shared" si="12"/>
        <v>1</v>
      </c>
      <c r="X41" s="144">
        <f t="shared" ref="X41:X76" si="42">IF(VLOOKUP($B41,$AC$6:$AI$166,3,FALSE)="",$R41,IF(ISERROR(AVERAGEIF($AD$6:$AD$166,VLOOKUP($B41,$AC$6:$AI$166,2,FALSE),$R$6:$R$166)),"",AVERAGEIF($AD$6:$AD$166,VLOOKUP($B41,$AC$6:$AI$166,2,FALSE),$R$6:$R$166)))</f>
        <v>15.87361111111111</v>
      </c>
      <c r="Y41" s="144">
        <f t="shared" ref="Y41:Y76" si="43">IF(VLOOKUP($B41,$AC$6:$AI$166,3,FALSE)="",$T41,IF(ISERROR(AVERAGEIF($AD$6:$AD$166,VLOOKUP($B41,$AC$6:$AI$166,2,FALSE),$T$6:$T$166)),"",AVERAGEIF($AD$6:$AD$166,VLOOKUP($B41,$AC$6:$AI$166,2,FALSE),$T$6:$T$166)))</f>
        <v>21.31851851851852</v>
      </c>
      <c r="Z41" s="144">
        <f t="shared" ref="Z41:Z76" si="44">IF(VLOOKUP($B41,$AC$6:$AI$166,3,FALSE)="",$V41,IF(ISERROR(AVERAGEIF($AD$6:$AD$166,VLOOKUP($B41,$AC$6:$AI$166,2,FALSE),$V$6:$V$166)),"",AVERAGEIF($AD$6:$AD$166,VLOOKUP($B41,$AC$6:$AI$166,2,FALSE),$V$6:$V$166)))</f>
        <v>17.835016835016834</v>
      </c>
      <c r="AA41" s="10"/>
      <c r="AB41" s="357" t="str">
        <f>VLOOKUP($B41,'2007-2020 Metadata'!$A$4:$S$214,MATCH("Urban Area /Monitoring Zone",'2007-2020 Metadata'!$A$4:$S$4,0),FALSE)</f>
        <v>Auckland - Western</v>
      </c>
      <c r="AC41" s="87" t="str">
        <f>VLOOKUP(B41,'2007-2020 Metadata'!$A$6:$A$214,1,FALSE)</f>
        <v>AUC053</v>
      </c>
      <c r="AD41" s="230" t="str">
        <f>VLOOKUP($AC41,'2007-2020 Metadata'!$A$6:$S$214,9,FALSE)</f>
        <v>Waitakere</v>
      </c>
      <c r="AE41" s="248">
        <f>IF(ISBLANK(VLOOKUP($AC41,'2007-2020 Metadata'!$A$6:$S$214,19,FALSE)),"",VLOOKUP($AC41,'2007-2020 Metadata'!$A$6:$S$214,19,FALSE))</f>
        <v>3</v>
      </c>
      <c r="AF41" s="88" t="str">
        <f>VLOOKUP($B41,'2007-2020 Metadata'!$A$4:$S$214,MATCH("Site type",'2007-2020 Metadata'!$A$4:$S$4,0),FALSE)</f>
        <v>Local</v>
      </c>
      <c r="AG41" s="143">
        <f t="shared" si="13"/>
        <v>18.5</v>
      </c>
      <c r="AH41" s="143">
        <f t="shared" si="14"/>
        <v>44.7</v>
      </c>
      <c r="AI41" s="144">
        <f t="shared" si="15"/>
        <v>17.835016835016834</v>
      </c>
    </row>
    <row r="42" spans="2:36" ht="12" customHeight="1" x14ac:dyDescent="0.15">
      <c r="B42" s="123" t="s">
        <v>75</v>
      </c>
      <c r="C42" s="119">
        <v>14</v>
      </c>
      <c r="D42" s="119">
        <v>16.100000000000001</v>
      </c>
      <c r="E42" s="119">
        <v>13.9</v>
      </c>
      <c r="F42" s="119">
        <v>19.2</v>
      </c>
      <c r="G42" s="173"/>
      <c r="H42" s="173"/>
      <c r="I42" s="173"/>
      <c r="J42" s="173"/>
      <c r="K42" s="173"/>
      <c r="L42" s="173"/>
      <c r="M42" s="173"/>
      <c r="N42" s="173"/>
      <c r="O42" s="121">
        <f t="shared" si="7"/>
        <v>15.8</v>
      </c>
      <c r="P42" s="121">
        <f t="shared" si="8"/>
        <v>15.716945596784113</v>
      </c>
      <c r="Q42" s="122">
        <f t="shared" si="0"/>
        <v>0.33333333333333331</v>
      </c>
      <c r="R42" s="260">
        <f t="shared" si="1"/>
        <v>14.666666666666666</v>
      </c>
      <c r="S42" s="261">
        <f t="shared" si="2"/>
        <v>1</v>
      </c>
      <c r="T42" s="260" t="str">
        <f t="shared" si="9"/>
        <v/>
      </c>
      <c r="U42" s="261">
        <f t="shared" si="10"/>
        <v>0</v>
      </c>
      <c r="V42" s="262" t="str">
        <f t="shared" si="11"/>
        <v>-</v>
      </c>
      <c r="W42" s="261">
        <f t="shared" si="12"/>
        <v>0.33333333333333331</v>
      </c>
      <c r="X42" s="177">
        <f t="shared" si="42"/>
        <v>15.87361111111111</v>
      </c>
      <c r="Y42" s="177">
        <f t="shared" si="43"/>
        <v>21.31851851851852</v>
      </c>
      <c r="Z42" s="177">
        <f t="shared" si="44"/>
        <v>17.835016835016834</v>
      </c>
      <c r="AA42" s="10"/>
      <c r="AB42" s="357" t="str">
        <f>VLOOKUP($B42,'2007-2020 Metadata'!$A$4:$S$214,MATCH("Urban Area /Monitoring Zone",'2007-2020 Metadata'!$A$4:$S$4,0),FALSE)</f>
        <v>Auckland - Western</v>
      </c>
      <c r="AC42" s="259" t="str">
        <f>VLOOKUP(B42,'2007-2020 Metadata'!$A$6:$A$214,1,FALSE)</f>
        <v>AUC054</v>
      </c>
      <c r="AD42" s="256" t="str">
        <f>VLOOKUP($AC42,'2007-2020 Metadata'!$A$6:$S$214,9,FALSE)</f>
        <v>Waitakere</v>
      </c>
      <c r="AE42" s="263">
        <f>IF(ISBLANK(VLOOKUP($AC42,'2007-2020 Metadata'!$A$6:$S$214,19,FALSE)),"",VLOOKUP($AC42,'2007-2020 Metadata'!$A$6:$S$214,19,FALSE))</f>
        <v>3</v>
      </c>
      <c r="AF42" s="257" t="str">
        <f>VLOOKUP($B42,'2007-2020 Metadata'!$A$4:$S$214,MATCH("Site type",'2007-2020 Metadata'!$A$4:$S$4,0),FALSE)</f>
        <v>Local</v>
      </c>
      <c r="AG42" s="258">
        <f t="shared" ref="AG42:AG47" si="45">MIN(AVERAGE($C$42:$C$46),AVERAGE($D$42:$D$46),AVERAGE($E$42:$E$46),AVERAGE($F$42:$F$46),AVERAGE($G$42:$G$46),AVERAGE($H$42:$H$46),AVERAGE($I$42:$I$46),AVERAGE($J$42:$J$46),AVERAGE($K$42:$K$46),AVERAGE($L$42:$L$46),AVERAGE($M$42:$M$46),AVERAGE($N$42:$N$46))</f>
        <v>6.8000000000000007</v>
      </c>
      <c r="AH42" s="258">
        <f t="shared" ref="AH42:AH47" si="46">MAX(AVERAGE($C$42:$C$46),AVERAGE($D$42:$D$46),AVERAGE($E$42:$E$46),AVERAGE($F$42:$F$46),AVERAGE($G$42:$G$46),AVERAGE($H$42:$H$46),AVERAGE($I$42:$I$46),AVERAGE($J$42:$J$46),AVERAGE($K$42:$K$46),AVERAGE($L$42:$L$46),AVERAGE($M$42:$M$46),AVERAGE($N$42:$N$46))</f>
        <v>20.5</v>
      </c>
      <c r="AI42" s="177" t="str">
        <f t="shared" si="15"/>
        <v xml:space="preserve"> </v>
      </c>
    </row>
    <row r="43" spans="2:36" ht="12" customHeight="1" x14ac:dyDescent="0.15">
      <c r="B43" s="123" t="s">
        <v>1030</v>
      </c>
      <c r="C43" s="173"/>
      <c r="D43" s="173"/>
      <c r="E43" s="173"/>
      <c r="F43" s="173"/>
      <c r="G43" s="119">
        <v>19.600000000000001</v>
      </c>
      <c r="H43" s="119">
        <v>15.9</v>
      </c>
      <c r="I43" s="119">
        <v>19.600000000000001</v>
      </c>
      <c r="J43" s="119">
        <v>19.7</v>
      </c>
      <c r="K43" s="119">
        <v>13.1</v>
      </c>
      <c r="L43" s="119">
        <v>7.6</v>
      </c>
      <c r="M43" s="119">
        <v>13</v>
      </c>
      <c r="N43" s="119">
        <v>6.9</v>
      </c>
      <c r="O43" s="121">
        <f t="shared" si="7"/>
        <v>14.424999999999999</v>
      </c>
      <c r="P43" s="121">
        <f t="shared" si="8"/>
        <v>36.169735471893063</v>
      </c>
      <c r="Q43" s="122">
        <f t="shared" ref="Q43" si="47">COUNT(C43:N43)/COUNT($C$6:$N$6)</f>
        <v>0.66666666666666663</v>
      </c>
      <c r="R43" s="260" t="str">
        <f t="shared" si="1"/>
        <v/>
      </c>
      <c r="S43" s="261">
        <f t="shared" ref="S43" si="48">COUNT(C43:E43)/3</f>
        <v>0</v>
      </c>
      <c r="T43" s="260">
        <f t="shared" si="9"/>
        <v>17.466666666666665</v>
      </c>
      <c r="U43" s="261">
        <f t="shared" ref="U43" si="49">COUNT(I43:K43)/3</f>
        <v>1</v>
      </c>
      <c r="V43" s="262" t="str">
        <f t="shared" si="11"/>
        <v>-</v>
      </c>
      <c r="W43" s="261">
        <f t="shared" ref="W43" si="50">Q43</f>
        <v>0.66666666666666663</v>
      </c>
      <c r="X43" s="177" t="str">
        <f t="shared" si="42"/>
        <v/>
      </c>
      <c r="Y43" s="177">
        <f t="shared" si="43"/>
        <v>17.466666666666665</v>
      </c>
      <c r="Z43" s="177" t="str">
        <f t="shared" si="44"/>
        <v>-</v>
      </c>
      <c r="AA43" s="10"/>
      <c r="AB43" s="357">
        <f>VLOOKUP($B43,'2007-2020 Metadata'!$A$4:$S$214,MATCH("Urban Area /Monitoring Zone",'2007-2020 Metadata'!$A$4:$S$4,0),FALSE)</f>
        <v>0</v>
      </c>
      <c r="AC43" s="259" t="str">
        <f>VLOOKUP(B43,'2007-2020 Metadata'!$A$6:$A$214,1,FALSE)</f>
        <v>AUC054a</v>
      </c>
      <c r="AD43" s="256">
        <f>VLOOKUP($AC43,'2007-2020 Metadata'!$A$6:$S$214,9,FALSE)</f>
        <v>0</v>
      </c>
      <c r="AE43" s="263" t="str">
        <f>IF(ISBLANK(VLOOKUP($AC43,'2007-2020 Metadata'!$A$6:$S$214,19,FALSE)),"",VLOOKUP($AC43,'2007-2020 Metadata'!$A$6:$S$214,19,FALSE))</f>
        <v/>
      </c>
      <c r="AF43" s="257" t="str">
        <f>VLOOKUP($B43,'2007-2020 Metadata'!$A$4:$S$214,MATCH("Site type",'2007-2020 Metadata'!$A$4:$S$4,0),FALSE)</f>
        <v>Local</v>
      </c>
      <c r="AG43" s="258">
        <f t="shared" si="45"/>
        <v>6.8000000000000007</v>
      </c>
      <c r="AH43" s="258">
        <f t="shared" si="46"/>
        <v>20.5</v>
      </c>
      <c r="AI43" s="177" t="str">
        <f t="shared" ref="AI43" si="51">IF(W43&gt;=75%,Z43," ")</f>
        <v xml:space="preserve"> </v>
      </c>
    </row>
    <row r="44" spans="2:36" ht="12" customHeight="1" x14ac:dyDescent="0.15">
      <c r="B44" s="123" t="s">
        <v>76</v>
      </c>
      <c r="C44" s="119">
        <v>12.2</v>
      </c>
      <c r="D44" s="119">
        <v>17.399999999999999</v>
      </c>
      <c r="E44" s="119">
        <v>17.2</v>
      </c>
      <c r="F44" s="119">
        <v>18.5</v>
      </c>
      <c r="G44" s="173"/>
      <c r="H44" s="173"/>
      <c r="I44" s="173"/>
      <c r="J44" s="173"/>
      <c r="K44" s="173"/>
      <c r="L44" s="173"/>
      <c r="M44" s="173"/>
      <c r="N44" s="173"/>
      <c r="O44" s="121">
        <f t="shared" si="7"/>
        <v>16.324999999999999</v>
      </c>
      <c r="P44" s="121">
        <f t="shared" si="8"/>
        <v>17.205304991480922</v>
      </c>
      <c r="Q44" s="122">
        <f t="shared" ref="Q44:Q78" si="52">COUNT(C44:N44)/COUNT($C$6:$N$6)</f>
        <v>0.33333333333333331</v>
      </c>
      <c r="R44" s="260">
        <f t="shared" ref="R44:R78" si="53">IF($S44=0%,"",IF($S44&gt;66%,AVERAGE($C44:$E44),"-"))</f>
        <v>15.6</v>
      </c>
      <c r="S44" s="261">
        <f t="shared" ref="S44:S78" si="54">COUNT(C44:E44)/3</f>
        <v>1</v>
      </c>
      <c r="T44" s="260" t="str">
        <f t="shared" si="9"/>
        <v/>
      </c>
      <c r="U44" s="261">
        <f t="shared" si="10"/>
        <v>0</v>
      </c>
      <c r="V44" s="262" t="str">
        <f t="shared" si="11"/>
        <v>-</v>
      </c>
      <c r="W44" s="261">
        <f t="shared" si="12"/>
        <v>0.33333333333333331</v>
      </c>
      <c r="X44" s="177">
        <f t="shared" si="42"/>
        <v>15.87361111111111</v>
      </c>
      <c r="Y44" s="177">
        <f t="shared" si="43"/>
        <v>21.31851851851852</v>
      </c>
      <c r="Z44" s="177">
        <f t="shared" si="44"/>
        <v>17.835016835016834</v>
      </c>
      <c r="AA44" s="10"/>
      <c r="AB44" s="357" t="str">
        <f>VLOOKUP($B44,'2007-2020 Metadata'!$A$4:$S$214,MATCH("Urban Area /Monitoring Zone",'2007-2020 Metadata'!$A$4:$S$4,0),FALSE)</f>
        <v>Auckland - Western</v>
      </c>
      <c r="AC44" s="259" t="str">
        <f>VLOOKUP(B44,'2007-2020 Metadata'!$A$6:$A$214,1,FALSE)</f>
        <v>AUC055</v>
      </c>
      <c r="AD44" s="256" t="str">
        <f>VLOOKUP($AC44,'2007-2020 Metadata'!$A$6:$S$214,9,FALSE)</f>
        <v>Waitakere</v>
      </c>
      <c r="AE44" s="263">
        <f>IF(ISBLANK(VLOOKUP($AC44,'2007-2020 Metadata'!$A$6:$S$214,19,FALSE)),"",VLOOKUP($AC44,'2007-2020 Metadata'!$A$6:$S$214,19,FALSE))</f>
        <v>3</v>
      </c>
      <c r="AF44" s="257" t="str">
        <f>VLOOKUP($B44,'2007-2020 Metadata'!$A$4:$S$214,MATCH("Site type",'2007-2020 Metadata'!$A$4:$S$4,0),FALSE)</f>
        <v>Local</v>
      </c>
      <c r="AG44" s="258">
        <f t="shared" si="45"/>
        <v>6.8000000000000007</v>
      </c>
      <c r="AH44" s="258">
        <f t="shared" si="46"/>
        <v>20.5</v>
      </c>
      <c r="AI44" s="177" t="str">
        <f t="shared" si="15"/>
        <v xml:space="preserve"> </v>
      </c>
    </row>
    <row r="45" spans="2:36" ht="12" customHeight="1" x14ac:dyDescent="0.15">
      <c r="B45" s="123" t="s">
        <v>1031</v>
      </c>
      <c r="C45" s="173"/>
      <c r="D45" s="173"/>
      <c r="E45" s="173"/>
      <c r="F45" s="173"/>
      <c r="G45" s="119">
        <v>19.3</v>
      </c>
      <c r="H45" s="119">
        <v>15.7</v>
      </c>
      <c r="I45" s="119">
        <v>17.8</v>
      </c>
      <c r="J45" s="119">
        <v>21.3</v>
      </c>
      <c r="K45" s="119">
        <v>10.5</v>
      </c>
      <c r="L45" s="119">
        <v>8.4</v>
      </c>
      <c r="M45" s="119">
        <v>12.3</v>
      </c>
      <c r="N45" s="119">
        <v>6.7</v>
      </c>
      <c r="O45" s="121">
        <f t="shared" si="7"/>
        <v>14</v>
      </c>
      <c r="P45" s="121">
        <f t="shared" si="8"/>
        <v>38.036732284930224</v>
      </c>
      <c r="Q45" s="122">
        <f t="shared" ref="Q45" si="55">COUNT(C45:N45)/COUNT($C$6:$N$6)</f>
        <v>0.66666666666666663</v>
      </c>
      <c r="R45" s="260" t="str">
        <f t="shared" si="53"/>
        <v/>
      </c>
      <c r="S45" s="261">
        <f t="shared" ref="S45" si="56">COUNT(C45:E45)/3</f>
        <v>0</v>
      </c>
      <c r="T45" s="260">
        <f t="shared" si="9"/>
        <v>16.533333333333335</v>
      </c>
      <c r="U45" s="261">
        <f t="shared" ref="U45" si="57">COUNT(I45:K45)/3</f>
        <v>1</v>
      </c>
      <c r="V45" s="262" t="str">
        <f t="shared" si="11"/>
        <v>-</v>
      </c>
      <c r="W45" s="261">
        <f t="shared" ref="W45" si="58">Q45</f>
        <v>0.66666666666666663</v>
      </c>
      <c r="X45" s="177" t="str">
        <f t="shared" si="42"/>
        <v/>
      </c>
      <c r="Y45" s="177">
        <f t="shared" si="43"/>
        <v>16.533333333333335</v>
      </c>
      <c r="Z45" s="177" t="str">
        <f t="shared" si="44"/>
        <v>-</v>
      </c>
      <c r="AA45" s="10"/>
      <c r="AB45" s="357">
        <f>VLOOKUP($B45,'2007-2020 Metadata'!$A$4:$S$214,MATCH("Urban Area /Monitoring Zone",'2007-2020 Metadata'!$A$4:$S$4,0),FALSE)</f>
        <v>0</v>
      </c>
      <c r="AC45" s="259" t="str">
        <f>VLOOKUP(B45,'2007-2020 Metadata'!$A$6:$A$214,1,FALSE)</f>
        <v>AUC055a</v>
      </c>
      <c r="AD45" s="256">
        <f>VLOOKUP($AC45,'2007-2020 Metadata'!$A$6:$S$214,9,FALSE)</f>
        <v>0</v>
      </c>
      <c r="AE45" s="263" t="str">
        <f>IF(ISBLANK(VLOOKUP($AC45,'2007-2020 Metadata'!$A$6:$S$214,19,FALSE)),"",VLOOKUP($AC45,'2007-2020 Metadata'!$A$6:$S$214,19,FALSE))</f>
        <v/>
      </c>
      <c r="AF45" s="257" t="str">
        <f>VLOOKUP($B45,'2007-2020 Metadata'!$A$4:$S$214,MATCH("Site type",'2007-2020 Metadata'!$A$4:$S$4,0),FALSE)</f>
        <v>Local</v>
      </c>
      <c r="AG45" s="258">
        <f t="shared" si="45"/>
        <v>6.8000000000000007</v>
      </c>
      <c r="AH45" s="258">
        <f t="shared" si="46"/>
        <v>20.5</v>
      </c>
      <c r="AI45" s="177" t="str">
        <f t="shared" ref="AI45" si="59">IF(W45&gt;=75%,Z45," ")</f>
        <v xml:space="preserve"> </v>
      </c>
    </row>
    <row r="46" spans="2:36" ht="12" customHeight="1" x14ac:dyDescent="0.15">
      <c r="B46" s="123" t="s">
        <v>77</v>
      </c>
      <c r="C46" s="119">
        <v>11.3</v>
      </c>
      <c r="D46" s="119">
        <v>16.2</v>
      </c>
      <c r="E46" s="119">
        <v>16.3</v>
      </c>
      <c r="F46" s="119">
        <v>19.7</v>
      </c>
      <c r="G46" s="173"/>
      <c r="H46" s="173"/>
      <c r="I46" s="173"/>
      <c r="J46" s="173"/>
      <c r="K46" s="173"/>
      <c r="L46" s="173"/>
      <c r="M46" s="173"/>
      <c r="N46" s="173"/>
      <c r="O46" s="121">
        <f t="shared" si="7"/>
        <v>15.875</v>
      </c>
      <c r="P46" s="121">
        <f t="shared" si="8"/>
        <v>21.774845157224306</v>
      </c>
      <c r="Q46" s="122">
        <f t="shared" si="52"/>
        <v>0.33333333333333331</v>
      </c>
      <c r="R46" s="260">
        <f t="shared" si="53"/>
        <v>14.6</v>
      </c>
      <c r="S46" s="261">
        <f t="shared" si="54"/>
        <v>1</v>
      </c>
      <c r="T46" s="260" t="str">
        <f t="shared" si="9"/>
        <v/>
      </c>
      <c r="U46" s="261">
        <f t="shared" si="10"/>
        <v>0</v>
      </c>
      <c r="V46" s="262" t="str">
        <f t="shared" si="11"/>
        <v>-</v>
      </c>
      <c r="W46" s="261">
        <f t="shared" si="12"/>
        <v>0.33333333333333331</v>
      </c>
      <c r="X46" s="177">
        <f t="shared" si="42"/>
        <v>15.87361111111111</v>
      </c>
      <c r="Y46" s="177">
        <f t="shared" si="43"/>
        <v>21.31851851851852</v>
      </c>
      <c r="Z46" s="177">
        <f t="shared" si="44"/>
        <v>17.835016835016834</v>
      </c>
      <c r="AA46" s="10"/>
      <c r="AB46" s="357" t="str">
        <f>VLOOKUP($B46,'2007-2020 Metadata'!$A$4:$S$214,MATCH("Urban Area /Monitoring Zone",'2007-2020 Metadata'!$A$4:$S$4,0),FALSE)</f>
        <v>Auckland - Western</v>
      </c>
      <c r="AC46" s="259" t="str">
        <f>VLOOKUP(B46,'2007-2020 Metadata'!$A$6:$A$214,1,FALSE)</f>
        <v>AUC056</v>
      </c>
      <c r="AD46" s="256" t="str">
        <f>VLOOKUP($AC46,'2007-2020 Metadata'!$A$6:$S$214,9,FALSE)</f>
        <v>Waitakere</v>
      </c>
      <c r="AE46" s="263">
        <f>IF(ISBLANK(VLOOKUP($AC46,'2007-2020 Metadata'!$A$6:$S$214,19,FALSE)),"",VLOOKUP($AC46,'2007-2020 Metadata'!$A$6:$S$214,19,FALSE))</f>
        <v>3</v>
      </c>
      <c r="AF46" s="257" t="str">
        <f>VLOOKUP($B46,'2007-2020 Metadata'!$A$4:$S$214,MATCH("Site type",'2007-2020 Metadata'!$A$4:$S$4,0),FALSE)</f>
        <v>Local</v>
      </c>
      <c r="AG46" s="258">
        <f t="shared" si="45"/>
        <v>6.8000000000000007</v>
      </c>
      <c r="AH46" s="258">
        <f t="shared" si="46"/>
        <v>20.5</v>
      </c>
      <c r="AI46" s="177" t="str">
        <f t="shared" si="15"/>
        <v xml:space="preserve"> </v>
      </c>
    </row>
    <row r="47" spans="2:36" ht="12" customHeight="1" x14ac:dyDescent="0.15">
      <c r="B47" s="123" t="s">
        <v>1032</v>
      </c>
      <c r="C47" s="173"/>
      <c r="D47" s="173"/>
      <c r="E47" s="173"/>
      <c r="F47" s="173"/>
      <c r="G47" s="119">
        <v>17.5</v>
      </c>
      <c r="H47" s="119">
        <v>15.6</v>
      </c>
      <c r="I47" s="119">
        <v>19.8</v>
      </c>
      <c r="J47" s="119">
        <v>20.100000000000001</v>
      </c>
      <c r="K47" s="119">
        <v>11.2</v>
      </c>
      <c r="L47" s="119">
        <v>8.5</v>
      </c>
      <c r="M47" s="119">
        <v>11.2</v>
      </c>
      <c r="N47" s="119">
        <v>6.4</v>
      </c>
      <c r="O47" s="121">
        <f t="shared" si="7"/>
        <v>13.787500000000001</v>
      </c>
      <c r="P47" s="121">
        <f t="shared" si="8"/>
        <v>37.686293911236476</v>
      </c>
      <c r="Q47" s="122">
        <f t="shared" ref="Q47" si="60">COUNT(C47:N47)/COUNT($C$6:$N$6)</f>
        <v>0.66666666666666663</v>
      </c>
      <c r="R47" s="260" t="str">
        <f t="shared" si="53"/>
        <v/>
      </c>
      <c r="S47" s="261">
        <f t="shared" ref="S47" si="61">COUNT(C47:E47)/3</f>
        <v>0</v>
      </c>
      <c r="T47" s="260">
        <f t="shared" si="9"/>
        <v>17.033333333333335</v>
      </c>
      <c r="U47" s="261">
        <f t="shared" ref="U47" si="62">COUNT(I47:K47)/3</f>
        <v>1</v>
      </c>
      <c r="V47" s="262" t="str">
        <f t="shared" si="11"/>
        <v>-</v>
      </c>
      <c r="W47" s="261">
        <f t="shared" ref="W47" si="63">Q47</f>
        <v>0.66666666666666663</v>
      </c>
      <c r="X47" s="177" t="str">
        <f t="shared" si="42"/>
        <v/>
      </c>
      <c r="Y47" s="177">
        <f t="shared" si="43"/>
        <v>17.033333333333335</v>
      </c>
      <c r="Z47" s="177" t="str">
        <f t="shared" si="44"/>
        <v>-</v>
      </c>
      <c r="AA47" s="10"/>
      <c r="AB47" s="357">
        <f>VLOOKUP($B47,'2007-2020 Metadata'!$A$4:$S$214,MATCH("Urban Area /Monitoring Zone",'2007-2020 Metadata'!$A$4:$S$4,0),FALSE)</f>
        <v>0</v>
      </c>
      <c r="AC47" s="259" t="str">
        <f>VLOOKUP(B47,'2007-2020 Metadata'!$A$6:$A$214,1,FALSE)</f>
        <v>AUC056a</v>
      </c>
      <c r="AD47" s="256">
        <f>VLOOKUP($AC47,'2007-2020 Metadata'!$A$6:$S$214,9,FALSE)</f>
        <v>0</v>
      </c>
      <c r="AE47" s="263" t="str">
        <f>IF(ISBLANK(VLOOKUP($AC47,'2007-2020 Metadata'!$A$6:$S$214,19,FALSE)),"",VLOOKUP($AC47,'2007-2020 Metadata'!$A$6:$S$214,19,FALSE))</f>
        <v/>
      </c>
      <c r="AF47" s="257" t="str">
        <f>VLOOKUP($B47,'2007-2020 Metadata'!$A$4:$S$214,MATCH("Site type",'2007-2020 Metadata'!$A$4:$S$4,0),FALSE)</f>
        <v>Local</v>
      </c>
      <c r="AG47" s="258">
        <f t="shared" si="45"/>
        <v>6.8000000000000007</v>
      </c>
      <c r="AH47" s="258">
        <f t="shared" si="46"/>
        <v>20.5</v>
      </c>
      <c r="AI47" s="177" t="str">
        <f t="shared" ref="AI47" si="64">IF(W47&gt;=75%,Z47," ")</f>
        <v xml:space="preserve"> </v>
      </c>
    </row>
    <row r="48" spans="2:36" ht="12" customHeight="1" x14ac:dyDescent="0.15">
      <c r="B48" s="123" t="s">
        <v>78</v>
      </c>
      <c r="C48" s="119"/>
      <c r="D48" s="119">
        <v>8.4</v>
      </c>
      <c r="E48" s="119">
        <v>10.7</v>
      </c>
      <c r="F48" s="119">
        <v>11</v>
      </c>
      <c r="G48" s="119">
        <v>12.1</v>
      </c>
      <c r="H48" s="119">
        <v>10</v>
      </c>
      <c r="I48" s="119">
        <v>11.6</v>
      </c>
      <c r="J48" s="119">
        <v>12.1</v>
      </c>
      <c r="K48" s="119">
        <v>7.5</v>
      </c>
      <c r="L48" s="119">
        <v>4.9000000000000004</v>
      </c>
      <c r="M48" s="119">
        <v>6.4</v>
      </c>
      <c r="N48" s="119">
        <v>4.0999999999999996</v>
      </c>
      <c r="O48" s="121">
        <f t="shared" si="7"/>
        <v>8.9818181818181824</v>
      </c>
      <c r="P48" s="121">
        <f t="shared" si="8"/>
        <v>32.279071927270337</v>
      </c>
      <c r="Q48" s="122">
        <f t="shared" si="52"/>
        <v>0.91666666666666663</v>
      </c>
      <c r="R48" s="260">
        <f t="shared" si="53"/>
        <v>9.5500000000000007</v>
      </c>
      <c r="S48" s="261">
        <f t="shared" si="54"/>
        <v>0.66666666666666663</v>
      </c>
      <c r="T48" s="260">
        <f t="shared" si="9"/>
        <v>10.4</v>
      </c>
      <c r="U48" s="261">
        <f t="shared" si="10"/>
        <v>1</v>
      </c>
      <c r="V48" s="262">
        <f t="shared" si="11"/>
        <v>8.9818181818181824</v>
      </c>
      <c r="W48" s="261">
        <f t="shared" si="12"/>
        <v>0.91666666666666663</v>
      </c>
      <c r="X48" s="177">
        <f t="shared" si="42"/>
        <v>15.87361111111111</v>
      </c>
      <c r="Y48" s="177">
        <f t="shared" si="43"/>
        <v>21.31851851851852</v>
      </c>
      <c r="Z48" s="177">
        <f t="shared" si="44"/>
        <v>17.835016835016834</v>
      </c>
      <c r="AA48" s="10"/>
      <c r="AB48" s="357" t="str">
        <f>VLOOKUP($B48,'2007-2020 Metadata'!$A$4:$S$214,MATCH("Urban Area /Monitoring Zone",'2007-2020 Metadata'!$A$4:$S$4,0),FALSE)</f>
        <v>Auckland - Western</v>
      </c>
      <c r="AC48" s="259" t="str">
        <f>VLOOKUP(B48,'2007-2020 Metadata'!$A$6:$A$214,1,FALSE)</f>
        <v>AUC057</v>
      </c>
      <c r="AD48" s="256" t="str">
        <f>VLOOKUP($AC48,'2007-2020 Metadata'!$A$6:$S$214,9,FALSE)</f>
        <v>Waitakere</v>
      </c>
      <c r="AE48" s="263">
        <f>IF(ISBLANK(VLOOKUP($AC48,'2007-2020 Metadata'!$A$6:$S$214,19,FALSE)),"",VLOOKUP($AC48,'2007-2020 Metadata'!$A$6:$S$214,19,FALSE))</f>
        <v>3</v>
      </c>
      <c r="AF48" s="257" t="str">
        <f>VLOOKUP($B48,'2007-2020 Metadata'!$A$4:$S$214,MATCH("Site type",'2007-2020 Metadata'!$A$4:$S$4,0),FALSE)</f>
        <v>Background</v>
      </c>
      <c r="AG48" s="258">
        <f>MIN(AVERAGE($C$48:$C$50),AVERAGE($D$48:$D$50),AVERAGE($E$48:$E$50),AVERAGE($F$48:$F$50),AVERAGE($G$48:$G$50),AVERAGE($H$48:$H$50),AVERAGE($I$48:$I$50),AVERAGE($J$48:$J$50),AVERAGE($K$48:$K$50),AVERAGE($L$48:$L$50),AVERAGE($M$48:$M$50),AVERAGE($N$48:$N$50))</f>
        <v>4.0333333333333341</v>
      </c>
      <c r="AH48" s="258">
        <f>MAX(AVERAGE($C$48:$C$50),AVERAGE($D$48:$D$50),AVERAGE($E$48:$E$50),AVERAGE($F$48:$F$50),AVERAGE($G$48:$G$50),AVERAGE($H$48:$H$50),AVERAGE($I$48:$I$50),AVERAGE($J$48:$J$50),AVERAGE($K$48:$K$50),AVERAGE($L$48:$L$50),AVERAGE($M$48:$M$50),AVERAGE($N$48:$N$50))</f>
        <v>12.866666666666667</v>
      </c>
      <c r="AI48" s="177">
        <f t="shared" si="15"/>
        <v>17.835016835016834</v>
      </c>
    </row>
    <row r="49" spans="2:35" ht="12" customHeight="1" x14ac:dyDescent="0.15">
      <c r="B49" s="123" t="s">
        <v>79</v>
      </c>
      <c r="C49" s="119">
        <v>5.4</v>
      </c>
      <c r="D49" s="119">
        <v>9.1</v>
      </c>
      <c r="E49" s="119">
        <v>10.5</v>
      </c>
      <c r="F49" s="119">
        <v>10.5</v>
      </c>
      <c r="G49" s="119">
        <v>13.6</v>
      </c>
      <c r="H49" s="119">
        <v>9.4</v>
      </c>
      <c r="I49" s="119">
        <v>11.6</v>
      </c>
      <c r="J49" s="119">
        <v>14</v>
      </c>
      <c r="K49" s="119">
        <v>7.9</v>
      </c>
      <c r="L49" s="119">
        <v>5.5</v>
      </c>
      <c r="M49" s="119">
        <v>7.1</v>
      </c>
      <c r="N49" s="119">
        <v>4.2</v>
      </c>
      <c r="O49" s="121">
        <f t="shared" si="7"/>
        <v>9.0666666666666664</v>
      </c>
      <c r="P49" s="121">
        <f t="shared" si="8"/>
        <v>34.974109081877941</v>
      </c>
      <c r="Q49" s="122">
        <f t="shared" si="52"/>
        <v>1</v>
      </c>
      <c r="R49" s="260">
        <f t="shared" si="53"/>
        <v>8.3333333333333339</v>
      </c>
      <c r="S49" s="261">
        <f t="shared" si="54"/>
        <v>1</v>
      </c>
      <c r="T49" s="260">
        <f t="shared" si="9"/>
        <v>11.166666666666666</v>
      </c>
      <c r="U49" s="261">
        <f t="shared" si="10"/>
        <v>1</v>
      </c>
      <c r="V49" s="262">
        <f t="shared" si="11"/>
        <v>9.0666666666666664</v>
      </c>
      <c r="W49" s="261">
        <f t="shared" si="12"/>
        <v>1</v>
      </c>
      <c r="X49" s="177">
        <f t="shared" si="42"/>
        <v>15.87361111111111</v>
      </c>
      <c r="Y49" s="177">
        <f t="shared" si="43"/>
        <v>21.31851851851852</v>
      </c>
      <c r="Z49" s="177">
        <f t="shared" si="44"/>
        <v>17.835016835016834</v>
      </c>
      <c r="AA49" s="10"/>
      <c r="AB49" s="357" t="str">
        <f>VLOOKUP($B49,'2007-2020 Metadata'!$A$4:$S$214,MATCH("Urban Area /Monitoring Zone",'2007-2020 Metadata'!$A$4:$S$4,0),FALSE)</f>
        <v>Auckland - Western</v>
      </c>
      <c r="AC49" s="259" t="str">
        <f>VLOOKUP(B49,'2007-2020 Metadata'!$A$6:$A$214,1,FALSE)</f>
        <v>AUC058</v>
      </c>
      <c r="AD49" s="256" t="str">
        <f>VLOOKUP($AC49,'2007-2020 Metadata'!$A$6:$S$214,9,FALSE)</f>
        <v>Waitakere</v>
      </c>
      <c r="AE49" s="263">
        <f>IF(ISBLANK(VLOOKUP($AC49,'2007-2020 Metadata'!$A$6:$S$214,19,FALSE)),"",VLOOKUP($AC49,'2007-2020 Metadata'!$A$6:$S$214,19,FALSE))</f>
        <v>3</v>
      </c>
      <c r="AF49" s="257" t="str">
        <f>VLOOKUP($B49,'2007-2020 Metadata'!$A$4:$S$214,MATCH("Site type",'2007-2020 Metadata'!$A$4:$S$4,0),FALSE)</f>
        <v>Background</v>
      </c>
      <c r="AG49" s="258">
        <f>MIN(AVERAGE($C$48:$C$50),AVERAGE($D$48:$D$50),AVERAGE($E$48:$E$50),AVERAGE($F$48:$F$50),AVERAGE($G$48:$G$50),AVERAGE($H$48:$H$50),AVERAGE($I$48:$I$50),AVERAGE($J$48:$J$50),AVERAGE($K$48:$K$50),AVERAGE($L$48:$L$50),AVERAGE($M$48:$M$50),AVERAGE($N$48:$N$50))</f>
        <v>4.0333333333333341</v>
      </c>
      <c r="AH49" s="258">
        <f>MAX(AVERAGE($C$48:$C$50),AVERAGE($D$48:$D$50),AVERAGE($E$48:$E$50),AVERAGE($F$48:$F$50),AVERAGE($G$48:$G$50),AVERAGE($H$48:$H$50),AVERAGE($I$48:$I$50),AVERAGE($J$48:$J$50),AVERAGE($K$48:$K$50),AVERAGE($L$48:$L$50),AVERAGE($M$48:$M$50),AVERAGE($N$48:$N$50))</f>
        <v>12.866666666666667</v>
      </c>
      <c r="AI49" s="177">
        <f t="shared" si="15"/>
        <v>17.835016835016834</v>
      </c>
    </row>
    <row r="50" spans="2:35" ht="12" customHeight="1" x14ac:dyDescent="0.15">
      <c r="B50" s="118" t="s">
        <v>80</v>
      </c>
      <c r="C50" s="119">
        <v>5.0999999999999996</v>
      </c>
      <c r="D50" s="119">
        <v>8.3000000000000007</v>
      </c>
      <c r="E50" s="119">
        <v>10.4</v>
      </c>
      <c r="F50" s="119">
        <v>9.4</v>
      </c>
      <c r="G50" s="119">
        <v>12.1</v>
      </c>
      <c r="H50" s="119">
        <v>9.6</v>
      </c>
      <c r="I50" s="119">
        <v>11</v>
      </c>
      <c r="J50" s="119">
        <v>12.5</v>
      </c>
      <c r="K50" s="119">
        <v>7.8</v>
      </c>
      <c r="L50" s="119">
        <v>4.5999999999999996</v>
      </c>
      <c r="M50" s="119">
        <v>6.7</v>
      </c>
      <c r="N50" s="119">
        <v>3.8</v>
      </c>
      <c r="O50" s="121">
        <f t="shared" si="7"/>
        <v>8.4416666666666664</v>
      </c>
      <c r="P50" s="121">
        <f t="shared" si="8"/>
        <v>34.523649254534902</v>
      </c>
      <c r="Q50" s="122">
        <f t="shared" si="52"/>
        <v>1</v>
      </c>
      <c r="R50" s="260">
        <f t="shared" si="53"/>
        <v>7.9333333333333336</v>
      </c>
      <c r="S50" s="261">
        <f t="shared" si="54"/>
        <v>1</v>
      </c>
      <c r="T50" s="260">
        <f t="shared" si="9"/>
        <v>10.433333333333334</v>
      </c>
      <c r="U50" s="261">
        <f t="shared" si="10"/>
        <v>1</v>
      </c>
      <c r="V50" s="262">
        <f t="shared" si="11"/>
        <v>8.4416666666666664</v>
      </c>
      <c r="W50" s="261">
        <f t="shared" si="12"/>
        <v>1</v>
      </c>
      <c r="X50" s="177">
        <f t="shared" si="42"/>
        <v>15.87361111111111</v>
      </c>
      <c r="Y50" s="177">
        <f t="shared" si="43"/>
        <v>21.31851851851852</v>
      </c>
      <c r="Z50" s="177">
        <f t="shared" si="44"/>
        <v>17.835016835016834</v>
      </c>
      <c r="AA50" s="10"/>
      <c r="AB50" s="357" t="str">
        <f>VLOOKUP($B50,'2007-2020 Metadata'!$A$4:$S$214,MATCH("Urban Area /Monitoring Zone",'2007-2020 Metadata'!$A$4:$S$4,0),FALSE)</f>
        <v>Auckland - Western</v>
      </c>
      <c r="AC50" s="259" t="str">
        <f>VLOOKUP(B50,'2007-2020 Metadata'!$A$6:$A$214,1,FALSE)</f>
        <v>AUC059</v>
      </c>
      <c r="AD50" s="256" t="str">
        <f>VLOOKUP($AC50,'2007-2020 Metadata'!$A$6:$S$214,9,FALSE)</f>
        <v>Waitakere</v>
      </c>
      <c r="AE50" s="263">
        <f>IF(ISBLANK(VLOOKUP($AC50,'2007-2020 Metadata'!$A$6:$S$214,19,FALSE)),"",VLOOKUP($AC50,'2007-2020 Metadata'!$A$6:$S$214,19,FALSE))</f>
        <v>3</v>
      </c>
      <c r="AF50" s="257" t="str">
        <f>VLOOKUP($B50,'2007-2020 Metadata'!$A$4:$S$214,MATCH("Site type",'2007-2020 Metadata'!$A$4:$S$4,0),FALSE)</f>
        <v>Background</v>
      </c>
      <c r="AG50" s="258">
        <f>MIN(AVERAGE($C$48:$C$50),AVERAGE($D$48:$D$50),AVERAGE($E$48:$E$50),AVERAGE($F$48:$F$50),AVERAGE($G$48:$G$50),AVERAGE($H$48:$H$50),AVERAGE($I$48:$I$50),AVERAGE($J$48:$J$50),AVERAGE($K$48:$K$50),AVERAGE($L$48:$L$50),AVERAGE($M$48:$M$50),AVERAGE($N$48:$N$50))</f>
        <v>4.0333333333333341</v>
      </c>
      <c r="AH50" s="258">
        <f>MAX(AVERAGE($C$48:$C$50),AVERAGE($D$48:$D$50),AVERAGE($E$48:$E$50),AVERAGE($F$48:$F$50),AVERAGE($G$48:$G$50),AVERAGE($H$48:$H$50),AVERAGE($I$48:$I$50),AVERAGE($J$48:$J$50),AVERAGE($K$48:$K$50),AVERAGE($L$48:$L$50),AVERAGE($M$48:$M$50),AVERAGE($N$48:$N$50))</f>
        <v>12.866666666666667</v>
      </c>
      <c r="AI50" s="177">
        <f t="shared" si="15"/>
        <v>17.835016835016834</v>
      </c>
    </row>
    <row r="51" spans="2:35" ht="12" customHeight="1" x14ac:dyDescent="0.15">
      <c r="B51" s="123" t="s">
        <v>81</v>
      </c>
      <c r="C51" s="119">
        <v>24.9</v>
      </c>
      <c r="D51" s="119">
        <v>34.700000000000003</v>
      </c>
      <c r="E51" s="119">
        <v>39.1</v>
      </c>
      <c r="F51" s="119">
        <v>42</v>
      </c>
      <c r="G51" s="119">
        <v>43.9</v>
      </c>
      <c r="H51" s="119">
        <v>40.6</v>
      </c>
      <c r="I51" s="119">
        <v>46.9</v>
      </c>
      <c r="J51" s="119">
        <v>49.3</v>
      </c>
      <c r="K51" s="119">
        <v>42.2</v>
      </c>
      <c r="L51" s="119">
        <v>36.9</v>
      </c>
      <c r="M51" s="119">
        <v>37.9</v>
      </c>
      <c r="N51" s="119">
        <v>28</v>
      </c>
      <c r="O51" s="121">
        <f t="shared" si="7"/>
        <v>38.86666666666666</v>
      </c>
      <c r="P51" s="121">
        <f t="shared" si="8"/>
        <v>18.325415836538493</v>
      </c>
      <c r="Q51" s="122">
        <f t="shared" si="52"/>
        <v>1</v>
      </c>
      <c r="R51" s="140">
        <f t="shared" si="53"/>
        <v>32.9</v>
      </c>
      <c r="S51" s="150">
        <f t="shared" si="54"/>
        <v>1</v>
      </c>
      <c r="T51" s="140">
        <f t="shared" si="9"/>
        <v>46.133333333333326</v>
      </c>
      <c r="U51" s="150">
        <f t="shared" si="10"/>
        <v>1</v>
      </c>
      <c r="V51" s="141">
        <f t="shared" si="11"/>
        <v>38.86666666666666</v>
      </c>
      <c r="W51" s="142">
        <f t="shared" si="12"/>
        <v>1</v>
      </c>
      <c r="X51" s="144">
        <f t="shared" si="42"/>
        <v>25.064102564102559</v>
      </c>
      <c r="Y51" s="144">
        <f t="shared" si="43"/>
        <v>35.905555555555551</v>
      </c>
      <c r="Z51" s="144">
        <f t="shared" si="44"/>
        <v>28.912500000000001</v>
      </c>
      <c r="AA51" s="10"/>
      <c r="AB51" s="357" t="str">
        <f>VLOOKUP($B51,'2007-2020 Metadata'!$A$4:$S$214,MATCH("Urban Area /Monitoring Zone",'2007-2020 Metadata'!$A$4:$S$4,0),FALSE)</f>
        <v>Auckland - Central</v>
      </c>
      <c r="AC51" s="87" t="str">
        <f>VLOOKUP(B51,'2007-2020 Metadata'!$A$6:$A$214,1,FALSE)</f>
        <v>AUC060</v>
      </c>
      <c r="AD51" s="230" t="str">
        <f>VLOOKUP($AC51,'2007-2020 Metadata'!$A$6:$S$214,9,FALSE)</f>
        <v>Auckland</v>
      </c>
      <c r="AE51" s="248">
        <f>IF(ISBLANK(VLOOKUP($AC51,'2007-2020 Metadata'!$A$6:$S$214,19,FALSE)),"",VLOOKUP($AC51,'2007-2020 Metadata'!$A$6:$S$214,19,FALSE))</f>
        <v>3</v>
      </c>
      <c r="AF51" s="88" t="str">
        <f>VLOOKUP($B51,'2007-2020 Metadata'!$A$4:$S$214,MATCH("Site type",'2007-2020 Metadata'!$A$4:$S$4,0),FALSE)</f>
        <v>Local</v>
      </c>
      <c r="AG51" s="143">
        <f t="shared" si="13"/>
        <v>24.9</v>
      </c>
      <c r="AH51" s="143">
        <f t="shared" si="14"/>
        <v>49.3</v>
      </c>
      <c r="AI51" s="144">
        <f t="shared" si="15"/>
        <v>28.912500000000001</v>
      </c>
    </row>
    <row r="52" spans="2:35" ht="12" customHeight="1" x14ac:dyDescent="0.15">
      <c r="B52" s="123" t="s">
        <v>82</v>
      </c>
      <c r="C52" s="119">
        <v>22.4</v>
      </c>
      <c r="D52" s="119">
        <v>22</v>
      </c>
      <c r="E52" s="119">
        <v>33.200000000000003</v>
      </c>
      <c r="F52" s="119">
        <v>38</v>
      </c>
      <c r="G52" s="119">
        <v>36</v>
      </c>
      <c r="H52" s="119">
        <v>38.200000000000003</v>
      </c>
      <c r="I52" s="119">
        <v>40.799999999999997</v>
      </c>
      <c r="J52" s="119">
        <v>45.4</v>
      </c>
      <c r="K52" s="119">
        <v>32.200000000000003</v>
      </c>
      <c r="L52" s="119">
        <v>23.1</v>
      </c>
      <c r="M52" s="119">
        <v>27.4</v>
      </c>
      <c r="N52" s="119">
        <v>11.8</v>
      </c>
      <c r="O52" s="121">
        <f t="shared" si="7"/>
        <v>30.875</v>
      </c>
      <c r="P52" s="121">
        <f t="shared" si="8"/>
        <v>31.406567822951871</v>
      </c>
      <c r="Q52" s="122">
        <f t="shared" si="52"/>
        <v>1</v>
      </c>
      <c r="R52" s="140">
        <f t="shared" si="53"/>
        <v>25.866666666666664</v>
      </c>
      <c r="S52" s="150">
        <f t="shared" si="54"/>
        <v>1</v>
      </c>
      <c r="T52" s="140">
        <f t="shared" si="9"/>
        <v>39.466666666666661</v>
      </c>
      <c r="U52" s="150">
        <f t="shared" si="10"/>
        <v>1</v>
      </c>
      <c r="V52" s="141">
        <f t="shared" si="11"/>
        <v>30.875</v>
      </c>
      <c r="W52" s="142">
        <f t="shared" si="12"/>
        <v>1</v>
      </c>
      <c r="X52" s="144">
        <f t="shared" si="42"/>
        <v>25.064102564102559</v>
      </c>
      <c r="Y52" s="144">
        <f t="shared" si="43"/>
        <v>35.905555555555551</v>
      </c>
      <c r="Z52" s="144">
        <f t="shared" si="44"/>
        <v>28.912500000000001</v>
      </c>
      <c r="AA52" s="10"/>
      <c r="AB52" s="357" t="str">
        <f>VLOOKUP($B52,'2007-2020 Metadata'!$A$4:$S$214,MATCH("Urban Area /Monitoring Zone",'2007-2020 Metadata'!$A$4:$S$4,0),FALSE)</f>
        <v>Auckland - Central</v>
      </c>
      <c r="AC52" s="87" t="str">
        <f>VLOOKUP(B52,'2007-2020 Metadata'!$A$6:$A$214,1,FALSE)</f>
        <v>AUC061</v>
      </c>
      <c r="AD52" s="230" t="str">
        <f>VLOOKUP($AC52,'2007-2020 Metadata'!$A$6:$S$214,9,FALSE)</f>
        <v>Auckland</v>
      </c>
      <c r="AE52" s="248">
        <f>IF(ISBLANK(VLOOKUP($AC52,'2007-2020 Metadata'!$A$6:$S$214,19,FALSE)),"",VLOOKUP($AC52,'2007-2020 Metadata'!$A$6:$S$214,19,FALSE))</f>
        <v>3</v>
      </c>
      <c r="AF52" s="88" t="str">
        <f>VLOOKUP($B52,'2007-2020 Metadata'!$A$4:$S$214,MATCH("Site type",'2007-2020 Metadata'!$A$4:$S$4,0),FALSE)</f>
        <v>Local</v>
      </c>
      <c r="AG52" s="143">
        <f t="shared" si="13"/>
        <v>11.8</v>
      </c>
      <c r="AH52" s="143">
        <f t="shared" si="14"/>
        <v>45.4</v>
      </c>
      <c r="AI52" s="144">
        <f t="shared" si="15"/>
        <v>28.912500000000001</v>
      </c>
    </row>
    <row r="53" spans="2:35" ht="12" customHeight="1" x14ac:dyDescent="0.15">
      <c r="B53" s="123" t="s">
        <v>83</v>
      </c>
      <c r="C53" s="119">
        <v>20</v>
      </c>
      <c r="D53" s="119">
        <v>18</v>
      </c>
      <c r="E53" s="119">
        <v>20.7</v>
      </c>
      <c r="F53" s="119">
        <v>25.7</v>
      </c>
      <c r="G53" s="119">
        <v>28.7</v>
      </c>
      <c r="H53" s="119">
        <v>32</v>
      </c>
      <c r="I53" s="119">
        <v>34.1</v>
      </c>
      <c r="J53" s="119">
        <v>27.5</v>
      </c>
      <c r="K53" s="119">
        <v>25.2</v>
      </c>
      <c r="L53" s="119">
        <v>23.8</v>
      </c>
      <c r="M53" s="119">
        <v>23.4</v>
      </c>
      <c r="N53" s="119">
        <v>16.5</v>
      </c>
      <c r="O53" s="121">
        <f t="shared" si="7"/>
        <v>24.633333333333336</v>
      </c>
      <c r="P53" s="121">
        <f t="shared" si="8"/>
        <v>21.875221640270663</v>
      </c>
      <c r="Q53" s="122">
        <f t="shared" si="52"/>
        <v>1</v>
      </c>
      <c r="R53" s="140">
        <f t="shared" si="53"/>
        <v>19.566666666666666</v>
      </c>
      <c r="S53" s="150">
        <f t="shared" si="54"/>
        <v>1</v>
      </c>
      <c r="T53" s="140">
        <f t="shared" si="9"/>
        <v>28.933333333333334</v>
      </c>
      <c r="U53" s="150">
        <f t="shared" si="10"/>
        <v>1</v>
      </c>
      <c r="V53" s="141">
        <f t="shared" si="11"/>
        <v>24.633333333333336</v>
      </c>
      <c r="W53" s="142">
        <f t="shared" si="12"/>
        <v>1</v>
      </c>
      <c r="X53" s="144">
        <f t="shared" si="42"/>
        <v>25.064102564102559</v>
      </c>
      <c r="Y53" s="144">
        <f t="shared" si="43"/>
        <v>35.905555555555551</v>
      </c>
      <c r="Z53" s="144">
        <f t="shared" si="44"/>
        <v>28.912500000000001</v>
      </c>
      <c r="AA53" s="10"/>
      <c r="AB53" s="357" t="str">
        <f>VLOOKUP($B53,'2007-2020 Metadata'!$A$4:$S$214,MATCH("Urban Area /Monitoring Zone",'2007-2020 Metadata'!$A$4:$S$4,0),FALSE)</f>
        <v>Auckland - Central</v>
      </c>
      <c r="AC53" s="87" t="str">
        <f>VLOOKUP(B53,'2007-2020 Metadata'!$A$6:$A$214,1,FALSE)</f>
        <v>AUC062</v>
      </c>
      <c r="AD53" s="230" t="str">
        <f>VLOOKUP($AC53,'2007-2020 Metadata'!$A$6:$S$214,9,FALSE)</f>
        <v>Auckland</v>
      </c>
      <c r="AE53" s="248">
        <f>IF(ISBLANK(VLOOKUP($AC53,'2007-2020 Metadata'!$A$6:$S$214,19,FALSE)),"",VLOOKUP($AC53,'2007-2020 Metadata'!$A$6:$S$214,19,FALSE))</f>
        <v>2.5</v>
      </c>
      <c r="AF53" s="88" t="str">
        <f>VLOOKUP($B53,'2007-2020 Metadata'!$A$4:$S$214,MATCH("Site type",'2007-2020 Metadata'!$A$4:$S$4,0),FALSE)</f>
        <v>Local</v>
      </c>
      <c r="AG53" s="143">
        <f t="shared" si="13"/>
        <v>16.5</v>
      </c>
      <c r="AH53" s="143">
        <f t="shared" si="14"/>
        <v>34.1</v>
      </c>
      <c r="AI53" s="144">
        <f t="shared" si="15"/>
        <v>28.912500000000001</v>
      </c>
    </row>
    <row r="54" spans="2:35" ht="12" customHeight="1" x14ac:dyDescent="0.15">
      <c r="B54" s="123" t="s">
        <v>84</v>
      </c>
      <c r="C54" s="119">
        <v>32.299999999999997</v>
      </c>
      <c r="D54" s="119">
        <v>33.4</v>
      </c>
      <c r="E54" s="119">
        <v>32.6</v>
      </c>
      <c r="F54" s="119">
        <v>39.1</v>
      </c>
      <c r="G54" s="119">
        <v>40.6</v>
      </c>
      <c r="H54" s="119">
        <v>39.700000000000003</v>
      </c>
      <c r="I54" s="119">
        <v>44</v>
      </c>
      <c r="J54" s="119">
        <v>41</v>
      </c>
      <c r="K54" s="119">
        <v>36.799999999999997</v>
      </c>
      <c r="L54" s="119">
        <v>34</v>
      </c>
      <c r="M54" s="119">
        <v>29.9</v>
      </c>
      <c r="N54" s="119">
        <v>25.7</v>
      </c>
      <c r="O54" s="121">
        <f t="shared" si="7"/>
        <v>35.758333333333333</v>
      </c>
      <c r="P54" s="121">
        <f t="shared" si="8"/>
        <v>14.910654084822845</v>
      </c>
      <c r="Q54" s="122">
        <f t="shared" si="52"/>
        <v>1</v>
      </c>
      <c r="R54" s="140">
        <f t="shared" si="53"/>
        <v>32.766666666666659</v>
      </c>
      <c r="S54" s="150">
        <f t="shared" si="54"/>
        <v>1</v>
      </c>
      <c r="T54" s="140">
        <f t="shared" si="9"/>
        <v>40.6</v>
      </c>
      <c r="U54" s="150">
        <f t="shared" si="10"/>
        <v>1</v>
      </c>
      <c r="V54" s="141">
        <f t="shared" si="11"/>
        <v>35.758333333333333</v>
      </c>
      <c r="W54" s="142">
        <f t="shared" si="12"/>
        <v>1</v>
      </c>
      <c r="X54" s="144">
        <f t="shared" si="42"/>
        <v>15.87361111111111</v>
      </c>
      <c r="Y54" s="144">
        <f t="shared" si="43"/>
        <v>21.31851851851852</v>
      </c>
      <c r="Z54" s="144">
        <f t="shared" si="44"/>
        <v>17.835016835016834</v>
      </c>
      <c r="AA54" s="10"/>
      <c r="AB54" s="357" t="str">
        <f>VLOOKUP($B54,'2007-2020 Metadata'!$A$4:$S$214,MATCH("Urban Area /Monitoring Zone",'2007-2020 Metadata'!$A$4:$S$4,0),FALSE)</f>
        <v>Auckland - Western</v>
      </c>
      <c r="AC54" s="87" t="str">
        <f>VLOOKUP(B54,'2007-2020 Metadata'!$A$6:$A$214,1,FALSE)</f>
        <v>AUC063</v>
      </c>
      <c r="AD54" s="230" t="str">
        <f>VLOOKUP($AC54,'2007-2020 Metadata'!$A$6:$S$214,9,FALSE)</f>
        <v>Waitakere</v>
      </c>
      <c r="AE54" s="248">
        <f>IF(ISBLANK(VLOOKUP($AC54,'2007-2020 Metadata'!$A$6:$S$214,19,FALSE)),"",VLOOKUP($AC54,'2007-2020 Metadata'!$A$6:$S$214,19,FALSE))</f>
        <v>3</v>
      </c>
      <c r="AF54" s="88" t="str">
        <f>VLOOKUP($B54,'2007-2020 Metadata'!$A$4:$S$214,MATCH("Site type",'2007-2020 Metadata'!$A$4:$S$4,0),FALSE)</f>
        <v>Local</v>
      </c>
      <c r="AG54" s="143">
        <f t="shared" si="13"/>
        <v>25.7</v>
      </c>
      <c r="AH54" s="143">
        <f t="shared" si="14"/>
        <v>44</v>
      </c>
      <c r="AI54" s="144">
        <f t="shared" si="15"/>
        <v>17.835016835016834</v>
      </c>
    </row>
    <row r="55" spans="2:35" ht="12" customHeight="1" x14ac:dyDescent="0.15">
      <c r="B55" s="123" t="s">
        <v>85</v>
      </c>
      <c r="C55" s="119">
        <v>17.2</v>
      </c>
      <c r="D55" s="119">
        <v>20.7</v>
      </c>
      <c r="E55" s="119">
        <v>26.5</v>
      </c>
      <c r="F55" s="119">
        <v>28.9</v>
      </c>
      <c r="G55" s="119">
        <v>30.8</v>
      </c>
      <c r="H55" s="119">
        <v>30.3</v>
      </c>
      <c r="I55" s="119">
        <v>29.6</v>
      </c>
      <c r="J55" s="119">
        <v>37.5</v>
      </c>
      <c r="K55" s="119">
        <v>24.6</v>
      </c>
      <c r="L55" s="119">
        <v>14.8</v>
      </c>
      <c r="M55" s="119">
        <v>18.899999999999999</v>
      </c>
      <c r="N55" s="119">
        <v>9.5</v>
      </c>
      <c r="O55" s="121">
        <f t="shared" si="7"/>
        <v>24.108333333333331</v>
      </c>
      <c r="P55" s="121">
        <f t="shared" si="8"/>
        <v>33.278839856302724</v>
      </c>
      <c r="Q55" s="122">
        <f t="shared" si="52"/>
        <v>1</v>
      </c>
      <c r="R55" s="140">
        <f t="shared" si="53"/>
        <v>21.466666666666669</v>
      </c>
      <c r="S55" s="150">
        <f t="shared" si="54"/>
        <v>1</v>
      </c>
      <c r="T55" s="140">
        <f t="shared" si="9"/>
        <v>30.566666666666663</v>
      </c>
      <c r="U55" s="150">
        <f t="shared" si="10"/>
        <v>1</v>
      </c>
      <c r="V55" s="141">
        <f t="shared" si="11"/>
        <v>24.108333333333331</v>
      </c>
      <c r="W55" s="142">
        <f t="shared" si="12"/>
        <v>1</v>
      </c>
      <c r="X55" s="144">
        <f t="shared" si="42"/>
        <v>25.064102564102559</v>
      </c>
      <c r="Y55" s="144">
        <f t="shared" si="43"/>
        <v>35.905555555555551</v>
      </c>
      <c r="Z55" s="144">
        <f t="shared" si="44"/>
        <v>28.912500000000001</v>
      </c>
      <c r="AA55" s="10"/>
      <c r="AB55" s="357" t="str">
        <f>VLOOKUP($B55,'2007-2020 Metadata'!$A$4:$S$214,MATCH("Urban Area /Monitoring Zone",'2007-2020 Metadata'!$A$4:$S$4,0),FALSE)</f>
        <v>Auckland - Central</v>
      </c>
      <c r="AC55" s="87" t="str">
        <f>VLOOKUP(B55,'2007-2020 Metadata'!$A$6:$A$214,1,FALSE)</f>
        <v>AUC064</v>
      </c>
      <c r="AD55" s="230" t="str">
        <f>VLOOKUP($AC55,'2007-2020 Metadata'!$A$6:$S$214,9,FALSE)</f>
        <v>Auckland</v>
      </c>
      <c r="AE55" s="248">
        <f>IF(ISBLANK(VLOOKUP($AC55,'2007-2020 Metadata'!$A$6:$S$214,19,FALSE)),"",VLOOKUP($AC55,'2007-2020 Metadata'!$A$6:$S$214,19,FALSE))</f>
        <v>3</v>
      </c>
      <c r="AF55" s="88" t="str">
        <f>VLOOKUP($B55,'2007-2020 Metadata'!$A$4:$S$214,MATCH("Site type",'2007-2020 Metadata'!$A$4:$S$4,0),FALSE)</f>
        <v>Local</v>
      </c>
      <c r="AG55" s="143">
        <f t="shared" si="13"/>
        <v>9.5</v>
      </c>
      <c r="AH55" s="143">
        <f t="shared" si="14"/>
        <v>37.5</v>
      </c>
      <c r="AI55" s="144">
        <f t="shared" si="15"/>
        <v>28.912500000000001</v>
      </c>
    </row>
    <row r="56" spans="2:35" ht="12" customHeight="1" x14ac:dyDescent="0.15">
      <c r="B56" s="123" t="s">
        <v>86</v>
      </c>
      <c r="C56" s="119">
        <v>21.3</v>
      </c>
      <c r="D56" s="119">
        <v>24.3</v>
      </c>
      <c r="E56" s="119">
        <v>28.7</v>
      </c>
      <c r="F56" s="119">
        <v>33.1</v>
      </c>
      <c r="G56" s="119">
        <v>37.799999999999997</v>
      </c>
      <c r="H56" s="119">
        <v>38</v>
      </c>
      <c r="I56" s="119">
        <v>37.799999999999997</v>
      </c>
      <c r="J56" s="119">
        <v>37</v>
      </c>
      <c r="K56" s="119">
        <v>35.4</v>
      </c>
      <c r="L56" s="119">
        <v>29.2</v>
      </c>
      <c r="M56" s="119">
        <v>27.9</v>
      </c>
      <c r="N56" s="119"/>
      <c r="O56" s="121">
        <f t="shared" si="7"/>
        <v>31.86363636363636</v>
      </c>
      <c r="P56" s="121">
        <f>IFERROR((STDEV(C56:N56)/O56)*100,"")</f>
        <v>18.571257519004742</v>
      </c>
      <c r="Q56" s="122">
        <f t="shared" si="52"/>
        <v>0.91666666666666663</v>
      </c>
      <c r="R56" s="140">
        <f t="shared" si="53"/>
        <v>24.766666666666666</v>
      </c>
      <c r="S56" s="150">
        <f t="shared" si="54"/>
        <v>1</v>
      </c>
      <c r="T56" s="140">
        <f t="shared" si="9"/>
        <v>36.733333333333327</v>
      </c>
      <c r="U56" s="150">
        <f t="shared" si="10"/>
        <v>1</v>
      </c>
      <c r="V56" s="141">
        <f t="shared" si="11"/>
        <v>31.86363636363636</v>
      </c>
      <c r="W56" s="142">
        <f t="shared" si="12"/>
        <v>0.91666666666666663</v>
      </c>
      <c r="X56" s="144">
        <f t="shared" si="42"/>
        <v>21.50185185185185</v>
      </c>
      <c r="Y56" s="144">
        <f t="shared" si="43"/>
        <v>27.413761569125089</v>
      </c>
      <c r="Z56" s="144">
        <f t="shared" si="44"/>
        <v>22.807661171502055</v>
      </c>
      <c r="AA56" s="10"/>
      <c r="AB56" s="357" t="str">
        <f>VLOOKUP($B56,'2007-2020 Metadata'!$A$4:$S$214,MATCH("Urban Area /Monitoring Zone",'2007-2020 Metadata'!$A$4:$S$4,0),FALSE)</f>
        <v xml:space="preserve">Auckland - Southern </v>
      </c>
      <c r="AC56" s="87" t="str">
        <f>VLOOKUP(B56,'2007-2020 Metadata'!$A$6:$A$214,1,FALSE)</f>
        <v>AUC067</v>
      </c>
      <c r="AD56" s="230" t="str">
        <f>VLOOKUP($AC56,'2007-2020 Metadata'!$A$6:$S$214,9,FALSE)</f>
        <v>Manukau</v>
      </c>
      <c r="AE56" s="248">
        <f>IF(ISBLANK(VLOOKUP($AC56,'2007-2020 Metadata'!$A$6:$S$214,19,FALSE)),"",VLOOKUP($AC56,'2007-2020 Metadata'!$A$6:$S$214,19,FALSE))</f>
        <v>3</v>
      </c>
      <c r="AF56" s="88" t="str">
        <f>VLOOKUP($B56,'2007-2020 Metadata'!$A$4:$S$214,MATCH("Site type",'2007-2020 Metadata'!$A$4:$S$4,0),FALSE)</f>
        <v>SH</v>
      </c>
      <c r="AG56" s="143">
        <f t="shared" si="13"/>
        <v>21.3</v>
      </c>
      <c r="AH56" s="143">
        <f t="shared" si="14"/>
        <v>38</v>
      </c>
      <c r="AI56" s="144">
        <f t="shared" si="15"/>
        <v>22.807661171502055</v>
      </c>
    </row>
    <row r="57" spans="2:35" ht="12" customHeight="1" x14ac:dyDescent="0.15">
      <c r="B57" s="123" t="s">
        <v>87</v>
      </c>
      <c r="C57" s="119">
        <v>34.4</v>
      </c>
      <c r="D57" s="119">
        <v>37.9</v>
      </c>
      <c r="E57" s="119">
        <v>42.6</v>
      </c>
      <c r="F57" s="119">
        <v>51.7</v>
      </c>
      <c r="G57" s="119">
        <v>59.1</v>
      </c>
      <c r="H57" s="119"/>
      <c r="I57" s="119"/>
      <c r="J57" s="119">
        <v>41.3</v>
      </c>
      <c r="K57" s="173"/>
      <c r="L57" s="173"/>
      <c r="M57" s="173"/>
      <c r="N57" s="173"/>
      <c r="O57" s="121">
        <f t="shared" si="7"/>
        <v>44.5</v>
      </c>
      <c r="P57" s="121">
        <f t="shared" si="8"/>
        <v>20.703935564527793</v>
      </c>
      <c r="Q57" s="122">
        <f t="shared" si="52"/>
        <v>0.5</v>
      </c>
      <c r="R57" s="140">
        <f t="shared" si="53"/>
        <v>38.300000000000004</v>
      </c>
      <c r="S57" s="150">
        <f t="shared" si="54"/>
        <v>1</v>
      </c>
      <c r="T57" s="140" t="str">
        <f t="shared" si="9"/>
        <v>-</v>
      </c>
      <c r="U57" s="150">
        <f t="shared" si="10"/>
        <v>0.33333333333333331</v>
      </c>
      <c r="V57" s="141" t="str">
        <f t="shared" si="11"/>
        <v>-</v>
      </c>
      <c r="W57" s="142">
        <f t="shared" si="12"/>
        <v>0.5</v>
      </c>
      <c r="X57" s="144">
        <f t="shared" si="42"/>
        <v>21.50185185185185</v>
      </c>
      <c r="Y57" s="144">
        <f t="shared" si="43"/>
        <v>27.413761569125089</v>
      </c>
      <c r="Z57" s="144">
        <f t="shared" si="44"/>
        <v>22.807661171502055</v>
      </c>
      <c r="AA57" s="10"/>
      <c r="AB57" s="357" t="str">
        <f>VLOOKUP($B57,'2007-2020 Metadata'!$A$4:$S$214,MATCH("Urban Area /Monitoring Zone",'2007-2020 Metadata'!$A$4:$S$4,0),FALSE)</f>
        <v xml:space="preserve">Auckland - Southern </v>
      </c>
      <c r="AC57" s="87" t="str">
        <f>VLOOKUP(B57,'2007-2020 Metadata'!$A$6:$A$214,1,FALSE)</f>
        <v>AUC068</v>
      </c>
      <c r="AD57" s="230" t="str">
        <f>VLOOKUP($AC57,'2007-2020 Metadata'!$A$6:$S$214,9,FALSE)</f>
        <v>Manukau</v>
      </c>
      <c r="AE57" s="248">
        <f>IF(ISBLANK(VLOOKUP($AC57,'2007-2020 Metadata'!$A$6:$S$214,19,FALSE)),"",VLOOKUP($AC57,'2007-2020 Metadata'!$A$6:$S$214,19,FALSE))</f>
        <v>3</v>
      </c>
      <c r="AF57" s="88" t="str">
        <f>VLOOKUP($B57,'2007-2020 Metadata'!$A$4:$S$214,MATCH("Site type",'2007-2020 Metadata'!$A$4:$S$4,0),FALSE)</f>
        <v>SH</v>
      </c>
      <c r="AG57" s="143">
        <f t="shared" si="13"/>
        <v>34.4</v>
      </c>
      <c r="AH57" s="143">
        <f t="shared" si="14"/>
        <v>59.1</v>
      </c>
      <c r="AI57" s="144" t="str">
        <f t="shared" si="15"/>
        <v xml:space="preserve"> </v>
      </c>
    </row>
    <row r="58" spans="2:35" ht="12" customHeight="1" x14ac:dyDescent="0.15">
      <c r="B58" s="123" t="s">
        <v>88</v>
      </c>
      <c r="C58" s="119">
        <v>21.4</v>
      </c>
      <c r="D58" s="119">
        <v>21.9</v>
      </c>
      <c r="E58" s="119">
        <v>30.1</v>
      </c>
      <c r="F58" s="119">
        <v>31.8</v>
      </c>
      <c r="G58" s="119">
        <v>34</v>
      </c>
      <c r="H58" s="119">
        <v>34.700000000000003</v>
      </c>
      <c r="I58" s="119">
        <v>36.6</v>
      </c>
      <c r="J58" s="119">
        <v>40.1</v>
      </c>
      <c r="K58" s="119">
        <v>28.488992951626919</v>
      </c>
      <c r="L58" s="119">
        <v>22.6</v>
      </c>
      <c r="M58" s="119">
        <v>23</v>
      </c>
      <c r="N58" s="119">
        <v>15.5</v>
      </c>
      <c r="O58" s="121">
        <f t="shared" si="7"/>
        <v>28.349082745968911</v>
      </c>
      <c r="P58" s="121">
        <f t="shared" si="8"/>
        <v>26.269593025568184</v>
      </c>
      <c r="Q58" s="122">
        <f t="shared" si="52"/>
        <v>1</v>
      </c>
      <c r="R58" s="140">
        <f t="shared" si="53"/>
        <v>24.466666666666669</v>
      </c>
      <c r="S58" s="150">
        <f t="shared" si="54"/>
        <v>1</v>
      </c>
      <c r="T58" s="140">
        <f t="shared" si="9"/>
        <v>35.062997650542307</v>
      </c>
      <c r="U58" s="150">
        <f t="shared" si="10"/>
        <v>1</v>
      </c>
      <c r="V58" s="141">
        <f t="shared" si="11"/>
        <v>28.349082745968911</v>
      </c>
      <c r="W58" s="142">
        <f t="shared" si="12"/>
        <v>1</v>
      </c>
      <c r="X58" s="144">
        <f t="shared" si="42"/>
        <v>21.50185185185185</v>
      </c>
      <c r="Y58" s="144">
        <f t="shared" si="43"/>
        <v>27.413761569125089</v>
      </c>
      <c r="Z58" s="144">
        <f t="shared" si="44"/>
        <v>22.807661171502055</v>
      </c>
      <c r="AA58" s="10"/>
      <c r="AB58" s="357" t="str">
        <f>VLOOKUP($B58,'2007-2020 Metadata'!$A$4:$S$214,MATCH("Urban Area /Monitoring Zone",'2007-2020 Metadata'!$A$4:$S$4,0),FALSE)</f>
        <v xml:space="preserve">Auckland - Southern </v>
      </c>
      <c r="AC58" s="87" t="str">
        <f>VLOOKUP(B58,'2007-2020 Metadata'!$A$6:$A$214,1,FALSE)</f>
        <v>AUC069</v>
      </c>
      <c r="AD58" s="230" t="str">
        <f>VLOOKUP($AC58,'2007-2020 Metadata'!$A$6:$S$214,9,FALSE)</f>
        <v>Manukau</v>
      </c>
      <c r="AE58" s="248">
        <f>IF(ISBLANK(VLOOKUP($AC58,'2007-2020 Metadata'!$A$6:$S$214,19,FALSE)),"",VLOOKUP($AC58,'2007-2020 Metadata'!$A$6:$S$214,19,FALSE))</f>
        <v>3</v>
      </c>
      <c r="AF58" s="88" t="str">
        <f>VLOOKUP($B58,'2007-2020 Metadata'!$A$4:$S$214,MATCH("Site type",'2007-2020 Metadata'!$A$4:$S$4,0),FALSE)</f>
        <v>Local</v>
      </c>
      <c r="AG58" s="143">
        <f t="shared" si="13"/>
        <v>15.5</v>
      </c>
      <c r="AH58" s="143">
        <f t="shared" si="14"/>
        <v>40.1</v>
      </c>
      <c r="AI58" s="144">
        <f t="shared" si="15"/>
        <v>22.807661171502055</v>
      </c>
    </row>
    <row r="59" spans="2:35" ht="12" customHeight="1" x14ac:dyDescent="0.15">
      <c r="B59" s="123" t="s">
        <v>89</v>
      </c>
      <c r="C59" s="119">
        <v>12.4</v>
      </c>
      <c r="D59" s="119">
        <v>17.2</v>
      </c>
      <c r="E59" s="119">
        <v>18.600000000000001</v>
      </c>
      <c r="F59" s="119">
        <v>21.6</v>
      </c>
      <c r="G59" s="119">
        <v>24.3</v>
      </c>
      <c r="H59" s="119"/>
      <c r="I59" s="119">
        <v>23.5</v>
      </c>
      <c r="J59" s="119">
        <v>20.9</v>
      </c>
      <c r="K59" s="119">
        <v>19.8</v>
      </c>
      <c r="L59" s="119">
        <v>17</v>
      </c>
      <c r="M59" s="119">
        <v>18.100000000000001</v>
      </c>
      <c r="N59" s="119">
        <v>11.1</v>
      </c>
      <c r="O59" s="121">
        <f t="shared" si="7"/>
        <v>18.59090909090909</v>
      </c>
      <c r="P59" s="121">
        <f t="shared" si="8"/>
        <v>22.287980717075683</v>
      </c>
      <c r="Q59" s="122">
        <f t="shared" si="52"/>
        <v>0.91666666666666663</v>
      </c>
      <c r="R59" s="140">
        <f t="shared" si="53"/>
        <v>16.066666666666666</v>
      </c>
      <c r="S59" s="150">
        <f t="shared" si="54"/>
        <v>1</v>
      </c>
      <c r="T59" s="140">
        <f t="shared" si="9"/>
        <v>21.400000000000002</v>
      </c>
      <c r="U59" s="150">
        <f t="shared" si="10"/>
        <v>1</v>
      </c>
      <c r="V59" s="141">
        <f t="shared" si="11"/>
        <v>18.59090909090909</v>
      </c>
      <c r="W59" s="142">
        <f t="shared" si="12"/>
        <v>0.91666666666666663</v>
      </c>
      <c r="X59" s="144">
        <f t="shared" si="42"/>
        <v>21.50185185185185</v>
      </c>
      <c r="Y59" s="144">
        <f t="shared" si="43"/>
        <v>27.413761569125089</v>
      </c>
      <c r="Z59" s="144">
        <f t="shared" si="44"/>
        <v>22.807661171502055</v>
      </c>
      <c r="AA59" s="10"/>
      <c r="AB59" s="357" t="str">
        <f>VLOOKUP($B59,'2007-2020 Metadata'!$A$4:$S$214,MATCH("Urban Area /Monitoring Zone",'2007-2020 Metadata'!$A$4:$S$4,0),FALSE)</f>
        <v xml:space="preserve">Auckland - Southern </v>
      </c>
      <c r="AC59" s="87" t="str">
        <f>VLOOKUP(B59,'2007-2020 Metadata'!$A$6:$A$214,1,FALSE)</f>
        <v>AUC070</v>
      </c>
      <c r="AD59" s="230" t="str">
        <f>VLOOKUP($AC59,'2007-2020 Metadata'!$A$6:$S$214,9,FALSE)</f>
        <v>Manukau</v>
      </c>
      <c r="AE59" s="248">
        <f>IF(ISBLANK(VLOOKUP($AC59,'2007-2020 Metadata'!$A$6:$S$214,19,FALSE)),"",VLOOKUP($AC59,'2007-2020 Metadata'!$A$6:$S$214,19,FALSE))</f>
        <v>2.5</v>
      </c>
      <c r="AF59" s="88" t="str">
        <f>VLOOKUP($B59,'2007-2020 Metadata'!$A$4:$S$214,MATCH("Site type",'2007-2020 Metadata'!$A$4:$S$4,0),FALSE)</f>
        <v>Local</v>
      </c>
      <c r="AG59" s="143">
        <f t="shared" si="13"/>
        <v>11.1</v>
      </c>
      <c r="AH59" s="143">
        <f t="shared" si="14"/>
        <v>24.3</v>
      </c>
      <c r="AI59" s="144">
        <f t="shared" si="15"/>
        <v>22.807661171502055</v>
      </c>
    </row>
    <row r="60" spans="2:35" ht="12" customHeight="1" x14ac:dyDescent="0.15">
      <c r="B60" s="123" t="s">
        <v>90</v>
      </c>
      <c r="C60" s="119">
        <v>20.2</v>
      </c>
      <c r="D60" s="119">
        <v>25.4</v>
      </c>
      <c r="E60" s="119">
        <v>24.6</v>
      </c>
      <c r="F60" s="119">
        <v>30.5</v>
      </c>
      <c r="G60" s="119">
        <v>36.799999999999997</v>
      </c>
      <c r="H60" s="119">
        <v>39.1</v>
      </c>
      <c r="I60" s="119">
        <v>40.799999999999997</v>
      </c>
      <c r="J60" s="119">
        <v>36.700000000000003</v>
      </c>
      <c r="K60" s="173"/>
      <c r="L60" s="173"/>
      <c r="M60" s="173"/>
      <c r="N60" s="173"/>
      <c r="O60" s="121">
        <f t="shared" si="7"/>
        <v>31.762499999999996</v>
      </c>
      <c r="P60" s="121">
        <f t="shared" si="8"/>
        <v>24.163696759823356</v>
      </c>
      <c r="Q60" s="122">
        <f t="shared" si="52"/>
        <v>0.66666666666666663</v>
      </c>
      <c r="R60" s="140">
        <f t="shared" si="53"/>
        <v>23.399999999999995</v>
      </c>
      <c r="S60" s="150">
        <f t="shared" si="54"/>
        <v>1</v>
      </c>
      <c r="T60" s="140">
        <f t="shared" si="9"/>
        <v>38.75</v>
      </c>
      <c r="U60" s="150">
        <f t="shared" si="10"/>
        <v>0.66666666666666663</v>
      </c>
      <c r="V60" s="141" t="str">
        <f t="shared" si="11"/>
        <v>-</v>
      </c>
      <c r="W60" s="142">
        <f t="shared" si="12"/>
        <v>0.66666666666666663</v>
      </c>
      <c r="X60" s="144">
        <f t="shared" si="42"/>
        <v>25.064102564102559</v>
      </c>
      <c r="Y60" s="144">
        <f t="shared" si="43"/>
        <v>35.905555555555551</v>
      </c>
      <c r="Z60" s="144">
        <f t="shared" si="44"/>
        <v>28.912500000000001</v>
      </c>
      <c r="AA60" s="10"/>
      <c r="AB60" s="357" t="str">
        <f>VLOOKUP($B60,'2007-2020 Metadata'!$A$4:$S$214,MATCH("Urban Area /Monitoring Zone",'2007-2020 Metadata'!$A$4:$S$4,0),FALSE)</f>
        <v>Auckland - Central</v>
      </c>
      <c r="AC60" s="87" t="str">
        <f>VLOOKUP(B60,'2007-2020 Metadata'!$A$6:$A$214,1,FALSE)</f>
        <v>AUC071</v>
      </c>
      <c r="AD60" s="230" t="str">
        <f>VLOOKUP($AC60,'2007-2020 Metadata'!$A$6:$S$214,9,FALSE)</f>
        <v>Auckland</v>
      </c>
      <c r="AE60" s="248">
        <f>IF(ISBLANK(VLOOKUP($AC60,'2007-2020 Metadata'!$A$6:$S$214,19,FALSE)),"",VLOOKUP($AC60,'2007-2020 Metadata'!$A$6:$S$214,19,FALSE))</f>
        <v>3</v>
      </c>
      <c r="AF60" s="88" t="str">
        <f>VLOOKUP($B60,'2007-2020 Metadata'!$A$4:$S$214,MATCH("Site type",'2007-2020 Metadata'!$A$4:$S$4,0),FALSE)</f>
        <v>Local</v>
      </c>
      <c r="AG60" s="143">
        <f t="shared" si="13"/>
        <v>20.2</v>
      </c>
      <c r="AH60" s="143">
        <f t="shared" si="14"/>
        <v>40.799999999999997</v>
      </c>
      <c r="AI60" s="144" t="str">
        <f t="shared" si="15"/>
        <v xml:space="preserve"> </v>
      </c>
    </row>
    <row r="61" spans="2:35" ht="12" customHeight="1" x14ac:dyDescent="0.15">
      <c r="B61" s="123" t="s">
        <v>1040</v>
      </c>
      <c r="C61" s="173"/>
      <c r="D61" s="173"/>
      <c r="E61" s="173"/>
      <c r="F61" s="173"/>
      <c r="G61" s="173"/>
      <c r="H61" s="173"/>
      <c r="I61" s="173"/>
      <c r="J61" s="173"/>
      <c r="K61" s="119"/>
      <c r="L61" s="119">
        <v>26.6</v>
      </c>
      <c r="M61" s="119">
        <v>24.7</v>
      </c>
      <c r="N61" s="119">
        <v>19.5</v>
      </c>
      <c r="O61" s="121">
        <f t="shared" ref="O61" si="65">(AVERAGE(C61:N61))</f>
        <v>23.599999999999998</v>
      </c>
      <c r="P61" s="121">
        <f t="shared" ref="P61" si="66">IFERROR((STDEV(C61:N61)/O61)*100,"")</f>
        <v>15.57455588939761</v>
      </c>
      <c r="Q61" s="122">
        <f t="shared" ref="Q61" si="67">COUNT(C61:N61)/COUNT($C$6:$N$6)</f>
        <v>0.25</v>
      </c>
      <c r="R61" s="140" t="str">
        <f t="shared" si="53"/>
        <v/>
      </c>
      <c r="S61" s="150">
        <f t="shared" ref="S61" si="68">COUNT(C61:E61)/3</f>
        <v>0</v>
      </c>
      <c r="T61" s="140" t="str">
        <f t="shared" si="9"/>
        <v/>
      </c>
      <c r="U61" s="150">
        <f t="shared" ref="U61" si="69">COUNT(I61:K61)/3</f>
        <v>0</v>
      </c>
      <c r="V61" s="141" t="str">
        <f t="shared" si="11"/>
        <v>-</v>
      </c>
      <c r="W61" s="142">
        <f t="shared" ref="W61" si="70">Q61</f>
        <v>0.25</v>
      </c>
      <c r="X61" s="144" t="str">
        <f t="shared" si="42"/>
        <v/>
      </c>
      <c r="Y61" s="144" t="str">
        <f t="shared" si="43"/>
        <v/>
      </c>
      <c r="Z61" s="144" t="str">
        <f t="shared" si="44"/>
        <v>-</v>
      </c>
      <c r="AA61" s="10"/>
      <c r="AB61" s="357">
        <f>VLOOKUP($B61,'2007-2020 Metadata'!$A$4:$S$214,MATCH("Urban Area /Monitoring Zone",'2007-2020 Metadata'!$A$4:$S$4,0),FALSE)</f>
        <v>0</v>
      </c>
      <c r="AC61" s="87" t="str">
        <f>VLOOKUP(B61,'2007-2020 Metadata'!$A$6:$A$214,1,FALSE)</f>
        <v>AUC071a</v>
      </c>
      <c r="AD61" s="230">
        <f>VLOOKUP($AC61,'2007-2020 Metadata'!$A$6:$S$214,9,FALSE)</f>
        <v>0</v>
      </c>
      <c r="AE61" s="248" t="str">
        <f>IF(ISBLANK(VLOOKUP($AC61,'2007-2020 Metadata'!$A$6:$S$214,19,FALSE)),"",VLOOKUP($AC61,'2007-2020 Metadata'!$A$6:$S$214,19,FALSE))</f>
        <v/>
      </c>
      <c r="AF61" s="88" t="str">
        <f>VLOOKUP($B61,'2007-2020 Metadata'!$A$4:$S$214,MATCH("Site type",'2007-2020 Metadata'!$A$4:$S$4,0),FALSE)</f>
        <v>Local</v>
      </c>
      <c r="AG61" s="143">
        <f t="shared" ref="AG61" si="71">MIN(C61:N61)</f>
        <v>19.5</v>
      </c>
      <c r="AH61" s="143">
        <f t="shared" ref="AH61" si="72">MAX(C61:N61)</f>
        <v>26.6</v>
      </c>
      <c r="AI61" s="144" t="str">
        <f t="shared" ref="AI61" si="73">IF(W61&gt;=75%,Z61," ")</f>
        <v xml:space="preserve"> </v>
      </c>
    </row>
    <row r="62" spans="2:35" ht="12" customHeight="1" x14ac:dyDescent="0.15">
      <c r="B62" s="123" t="s">
        <v>91</v>
      </c>
      <c r="C62" s="119">
        <v>16.600000000000001</v>
      </c>
      <c r="D62" s="119">
        <v>18.399999999999999</v>
      </c>
      <c r="E62" s="119">
        <v>19.100000000000001</v>
      </c>
      <c r="F62" s="119">
        <v>22.6</v>
      </c>
      <c r="G62" s="119">
        <v>25.3</v>
      </c>
      <c r="H62" s="119">
        <v>26.9</v>
      </c>
      <c r="I62" s="119">
        <v>28.9</v>
      </c>
      <c r="J62" s="119">
        <v>23</v>
      </c>
      <c r="K62" s="119">
        <v>23.8</v>
      </c>
      <c r="L62" s="119">
        <v>24.3</v>
      </c>
      <c r="M62" s="119">
        <v>19.7</v>
      </c>
      <c r="N62" s="119">
        <v>15.3</v>
      </c>
      <c r="O62" s="121">
        <f t="shared" si="7"/>
        <v>21.991666666666671</v>
      </c>
      <c r="P62" s="121">
        <f t="shared" si="8"/>
        <v>19.052280116485683</v>
      </c>
      <c r="Q62" s="122">
        <f t="shared" si="52"/>
        <v>1</v>
      </c>
      <c r="R62" s="140">
        <f t="shared" si="53"/>
        <v>18.033333333333335</v>
      </c>
      <c r="S62" s="150">
        <f t="shared" si="54"/>
        <v>1</v>
      </c>
      <c r="T62" s="140">
        <f t="shared" si="9"/>
        <v>25.233333333333334</v>
      </c>
      <c r="U62" s="150">
        <f t="shared" si="10"/>
        <v>1</v>
      </c>
      <c r="V62" s="141">
        <f t="shared" si="11"/>
        <v>21.991666666666671</v>
      </c>
      <c r="W62" s="142">
        <f t="shared" si="12"/>
        <v>1</v>
      </c>
      <c r="X62" s="144">
        <f t="shared" si="42"/>
        <v>21.50185185185185</v>
      </c>
      <c r="Y62" s="144">
        <f t="shared" si="43"/>
        <v>27.413761569125089</v>
      </c>
      <c r="Z62" s="144">
        <f t="shared" si="44"/>
        <v>22.807661171502055</v>
      </c>
      <c r="AA62" s="10"/>
      <c r="AB62" s="357" t="str">
        <f>VLOOKUP($B62,'2007-2020 Metadata'!$A$4:$S$214,MATCH("Urban Area /Monitoring Zone",'2007-2020 Metadata'!$A$4:$S$4,0),FALSE)</f>
        <v xml:space="preserve">Auckland - Southern </v>
      </c>
      <c r="AC62" s="87" t="str">
        <f>VLOOKUP(B62,'2007-2020 Metadata'!$A$6:$A$214,1,FALSE)</f>
        <v>AUC072</v>
      </c>
      <c r="AD62" s="230" t="str">
        <f>VLOOKUP($AC62,'2007-2020 Metadata'!$A$6:$S$214,9,FALSE)</f>
        <v>Manukau</v>
      </c>
      <c r="AE62" s="248">
        <f>IF(ISBLANK(VLOOKUP($AC62,'2007-2020 Metadata'!$A$6:$S$214,19,FALSE)),"",VLOOKUP($AC62,'2007-2020 Metadata'!$A$6:$S$214,19,FALSE))</f>
        <v>3</v>
      </c>
      <c r="AF62" s="88" t="str">
        <f>VLOOKUP($B62,'2007-2020 Metadata'!$A$4:$S$214,MATCH("Site type",'2007-2020 Metadata'!$A$4:$S$4,0),FALSE)</f>
        <v>Local</v>
      </c>
      <c r="AG62" s="143">
        <f t="shared" si="13"/>
        <v>15.3</v>
      </c>
      <c r="AH62" s="143">
        <f t="shared" si="14"/>
        <v>28.9</v>
      </c>
      <c r="AI62" s="144">
        <f t="shared" si="15"/>
        <v>22.807661171502055</v>
      </c>
    </row>
    <row r="63" spans="2:35" ht="12" customHeight="1" x14ac:dyDescent="0.15">
      <c r="B63" s="123" t="s">
        <v>92</v>
      </c>
      <c r="C63" s="119">
        <v>8.8000000000000007</v>
      </c>
      <c r="D63" s="119">
        <v>10.1</v>
      </c>
      <c r="E63" s="119">
        <v>8.6999999999999993</v>
      </c>
      <c r="F63" s="119">
        <v>14.2</v>
      </c>
      <c r="G63" s="119">
        <v>19.8</v>
      </c>
      <c r="H63" s="119">
        <v>17.7</v>
      </c>
      <c r="I63" s="119">
        <v>20</v>
      </c>
      <c r="J63" s="119">
        <v>15.6</v>
      </c>
      <c r="K63" s="119">
        <v>12.7</v>
      </c>
      <c r="L63" s="119">
        <v>11.5</v>
      </c>
      <c r="M63" s="119">
        <v>7.2</v>
      </c>
      <c r="N63" s="119">
        <v>8.5</v>
      </c>
      <c r="O63" s="121">
        <f t="shared" si="7"/>
        <v>12.899999999999999</v>
      </c>
      <c r="P63" s="121">
        <f t="shared" si="8"/>
        <v>35.151272143214889</v>
      </c>
      <c r="Q63" s="122">
        <f t="shared" si="52"/>
        <v>1</v>
      </c>
      <c r="R63" s="140">
        <f t="shared" si="53"/>
        <v>9.1999999999999993</v>
      </c>
      <c r="S63" s="150">
        <f t="shared" si="54"/>
        <v>1</v>
      </c>
      <c r="T63" s="140">
        <f t="shared" si="9"/>
        <v>16.099999999999998</v>
      </c>
      <c r="U63" s="150">
        <f t="shared" si="10"/>
        <v>1</v>
      </c>
      <c r="V63" s="141">
        <f t="shared" si="11"/>
        <v>12.899999999999999</v>
      </c>
      <c r="W63" s="142">
        <f t="shared" si="12"/>
        <v>1</v>
      </c>
      <c r="X63" s="144">
        <f t="shared" si="42"/>
        <v>21.50185185185185</v>
      </c>
      <c r="Y63" s="144">
        <f t="shared" si="43"/>
        <v>27.413761569125089</v>
      </c>
      <c r="Z63" s="144">
        <f t="shared" si="44"/>
        <v>22.807661171502055</v>
      </c>
      <c r="AA63" s="10"/>
      <c r="AB63" s="357" t="str">
        <f>VLOOKUP($B63,'2007-2020 Metadata'!$A$4:$S$214,MATCH("Urban Area /Monitoring Zone",'2007-2020 Metadata'!$A$4:$S$4,0),FALSE)</f>
        <v xml:space="preserve">Auckland - Southern </v>
      </c>
      <c r="AC63" s="87" t="str">
        <f>VLOOKUP(B63,'2007-2020 Metadata'!$A$6:$A$214,1,FALSE)</f>
        <v>AUC073</v>
      </c>
      <c r="AD63" s="230" t="str">
        <f>VLOOKUP($AC63,'2007-2020 Metadata'!$A$6:$S$214,9,FALSE)</f>
        <v>Manukau</v>
      </c>
      <c r="AE63" s="248">
        <f>IF(ISBLANK(VLOOKUP($AC63,'2007-2020 Metadata'!$A$6:$S$214,19,FALSE)),"",VLOOKUP($AC63,'2007-2020 Metadata'!$A$6:$S$214,19,FALSE))</f>
        <v>3</v>
      </c>
      <c r="AF63" s="88" t="str">
        <f>VLOOKUP($B63,'2007-2020 Metadata'!$A$4:$S$214,MATCH("Site type",'2007-2020 Metadata'!$A$4:$S$4,0),FALSE)</f>
        <v>Background</v>
      </c>
      <c r="AG63" s="143">
        <f t="shared" si="13"/>
        <v>7.2</v>
      </c>
      <c r="AH63" s="143">
        <f t="shared" si="14"/>
        <v>20</v>
      </c>
      <c r="AI63" s="144">
        <f t="shared" si="15"/>
        <v>22.807661171502055</v>
      </c>
    </row>
    <row r="64" spans="2:35" ht="12" customHeight="1" x14ac:dyDescent="0.15">
      <c r="B64" s="123" t="s">
        <v>499</v>
      </c>
      <c r="C64" s="119">
        <v>10.3</v>
      </c>
      <c r="D64" s="119">
        <v>17.100000000000001</v>
      </c>
      <c r="E64" s="119">
        <v>14.6</v>
      </c>
      <c r="F64" s="119">
        <v>21.8</v>
      </c>
      <c r="G64" s="119">
        <v>19.399999999999999</v>
      </c>
      <c r="H64" s="119">
        <v>22.3</v>
      </c>
      <c r="I64" s="119">
        <v>23.1</v>
      </c>
      <c r="J64" s="119">
        <v>22.2</v>
      </c>
      <c r="K64" s="119">
        <v>20.399999999999999</v>
      </c>
      <c r="L64" s="119">
        <v>18.7</v>
      </c>
      <c r="M64" s="119">
        <v>14.9</v>
      </c>
      <c r="N64" s="119">
        <v>11.4</v>
      </c>
      <c r="O64" s="121">
        <f t="shared" si="7"/>
        <v>18.016666666666666</v>
      </c>
      <c r="P64" s="121">
        <f t="shared" si="8"/>
        <v>24.22936984055481</v>
      </c>
      <c r="Q64" s="122">
        <f t="shared" si="52"/>
        <v>1</v>
      </c>
      <c r="R64" s="140">
        <f t="shared" si="53"/>
        <v>14</v>
      </c>
      <c r="S64" s="150">
        <f t="shared" si="54"/>
        <v>1</v>
      </c>
      <c r="T64" s="140">
        <f t="shared" si="9"/>
        <v>21.899999999999995</v>
      </c>
      <c r="U64" s="150">
        <f t="shared" si="10"/>
        <v>1</v>
      </c>
      <c r="V64" s="141">
        <f t="shared" si="11"/>
        <v>18.016666666666666</v>
      </c>
      <c r="W64" s="142">
        <f t="shared" si="12"/>
        <v>1</v>
      </c>
      <c r="X64" s="144">
        <f t="shared" si="42"/>
        <v>15.87361111111111</v>
      </c>
      <c r="Y64" s="144">
        <f t="shared" si="43"/>
        <v>21.31851851851852</v>
      </c>
      <c r="Z64" s="144">
        <f t="shared" si="44"/>
        <v>17.835016835016834</v>
      </c>
      <c r="AA64" s="10"/>
      <c r="AB64" s="357" t="str">
        <f>VLOOKUP($B64,'2007-2020 Metadata'!$A$4:$S$214,MATCH("Urban Area /Monitoring Zone",'2007-2020 Metadata'!$A$4:$S$4,0),FALSE)</f>
        <v>Auckland - Western</v>
      </c>
      <c r="AC64" s="87" t="str">
        <f>VLOOKUP(B64,'2007-2020 Metadata'!$A$6:$A$214,1,FALSE)</f>
        <v>AUC115</v>
      </c>
      <c r="AD64" s="230" t="str">
        <f>VLOOKUP($AC64,'2007-2020 Metadata'!$A$6:$S$214,9,FALSE)</f>
        <v>Waitakere</v>
      </c>
      <c r="AE64" s="248">
        <f>IF(ISBLANK(VLOOKUP($AC64,'2007-2020 Metadata'!$A$6:$S$214,19,FALSE)),"",VLOOKUP($AC64,'2007-2020 Metadata'!$A$6:$S$214,19,FALSE))</f>
        <v>3</v>
      </c>
      <c r="AF64" s="88" t="str">
        <f>VLOOKUP($B64,'2007-2020 Metadata'!$A$4:$S$214,MATCH("Site type",'2007-2020 Metadata'!$A$4:$S$4,0),FALSE)</f>
        <v>SH</v>
      </c>
      <c r="AG64" s="143">
        <f t="shared" si="13"/>
        <v>10.3</v>
      </c>
      <c r="AH64" s="143">
        <f t="shared" si="14"/>
        <v>23.1</v>
      </c>
      <c r="AI64" s="144">
        <f t="shared" si="15"/>
        <v>17.835016835016834</v>
      </c>
    </row>
    <row r="65" spans="2:35" ht="12" customHeight="1" x14ac:dyDescent="0.15">
      <c r="B65" s="123" t="s">
        <v>93</v>
      </c>
      <c r="C65" s="119">
        <v>28.3</v>
      </c>
      <c r="D65" s="119">
        <v>29.5</v>
      </c>
      <c r="E65" s="119">
        <v>40.4</v>
      </c>
      <c r="F65" s="119">
        <v>45.2</v>
      </c>
      <c r="G65" s="119">
        <v>43.6</v>
      </c>
      <c r="H65" s="119">
        <v>47.8</v>
      </c>
      <c r="I65" s="119">
        <v>40.6</v>
      </c>
      <c r="J65" s="119">
        <v>52.6</v>
      </c>
      <c r="K65" s="119">
        <v>32.999575043461462</v>
      </c>
      <c r="L65" s="119">
        <v>26.5</v>
      </c>
      <c r="M65" s="119">
        <v>35.9</v>
      </c>
      <c r="N65" s="119">
        <v>22.8</v>
      </c>
      <c r="O65" s="121">
        <f t="shared" si="7"/>
        <v>37.183297920288453</v>
      </c>
      <c r="P65" s="121">
        <f t="shared" si="8"/>
        <v>25.071231204305285</v>
      </c>
      <c r="Q65" s="122">
        <f t="shared" si="52"/>
        <v>1</v>
      </c>
      <c r="R65" s="140">
        <f t="shared" si="53"/>
        <v>32.733333333333327</v>
      </c>
      <c r="S65" s="150">
        <f t="shared" si="54"/>
        <v>1</v>
      </c>
      <c r="T65" s="140">
        <f t="shared" si="9"/>
        <v>42.066525014487155</v>
      </c>
      <c r="U65" s="150">
        <f t="shared" si="10"/>
        <v>1</v>
      </c>
      <c r="V65" s="141">
        <f t="shared" si="11"/>
        <v>37.183297920288453</v>
      </c>
      <c r="W65" s="142">
        <f t="shared" si="12"/>
        <v>1</v>
      </c>
      <c r="X65" s="144">
        <f t="shared" si="42"/>
        <v>22.672727272727272</v>
      </c>
      <c r="Y65" s="144">
        <f t="shared" si="43"/>
        <v>31.904573466749103</v>
      </c>
      <c r="Z65" s="144">
        <f t="shared" si="44"/>
        <v>26.143692364855983</v>
      </c>
      <c r="AA65" s="10"/>
      <c r="AB65" s="357" t="str">
        <f>VLOOKUP($B65,'2007-2020 Metadata'!$A$4:$S$214,MATCH("Urban Area /Monitoring Zone",'2007-2020 Metadata'!$A$4:$S$4,0),FALSE)</f>
        <v>Auckland - Northern</v>
      </c>
      <c r="AC65" s="87" t="str">
        <f>VLOOKUP(B65,'2007-2020 Metadata'!$A$6:$A$214,1,FALSE)</f>
        <v>AUC170</v>
      </c>
      <c r="AD65" s="230" t="str">
        <f>VLOOKUP($AC65,'2007-2020 Metadata'!$A$6:$S$214,9,FALSE)</f>
        <v xml:space="preserve">North Shore </v>
      </c>
      <c r="AE65" s="248">
        <f>IF(ISBLANK(VLOOKUP($AC65,'2007-2020 Metadata'!$A$6:$S$214,19,FALSE)),"",VLOOKUP($AC65,'2007-2020 Metadata'!$A$6:$S$214,19,FALSE))</f>
        <v>3</v>
      </c>
      <c r="AF65" s="88" t="str">
        <f>VLOOKUP($B65,'2007-2020 Metadata'!$A$4:$S$214,MATCH("Site type",'2007-2020 Metadata'!$A$4:$S$4,0),FALSE)</f>
        <v>SH</v>
      </c>
      <c r="AG65" s="143">
        <f t="shared" si="13"/>
        <v>22.8</v>
      </c>
      <c r="AH65" s="143">
        <f t="shared" si="14"/>
        <v>52.6</v>
      </c>
      <c r="AI65" s="144">
        <f t="shared" si="15"/>
        <v>26.143692364855983</v>
      </c>
    </row>
    <row r="66" spans="2:35" ht="12" customHeight="1" x14ac:dyDescent="0.15">
      <c r="B66" s="123" t="s">
        <v>94</v>
      </c>
      <c r="C66" s="119">
        <v>8.8000000000000007</v>
      </c>
      <c r="D66" s="119">
        <v>6.3</v>
      </c>
      <c r="E66" s="119">
        <v>9.5</v>
      </c>
      <c r="F66" s="119"/>
      <c r="G66" s="119">
        <v>12.5</v>
      </c>
      <c r="H66" s="119">
        <v>13.6</v>
      </c>
      <c r="I66" s="119">
        <v>12.7</v>
      </c>
      <c r="J66" s="119">
        <v>12.1</v>
      </c>
      <c r="K66" s="119">
        <v>7.9</v>
      </c>
      <c r="L66" s="119">
        <v>9.9</v>
      </c>
      <c r="M66" s="119">
        <v>8.8000000000000007</v>
      </c>
      <c r="N66" s="119">
        <v>4.3</v>
      </c>
      <c r="O66" s="121">
        <f t="shared" si="7"/>
        <v>9.6727272727272737</v>
      </c>
      <c r="P66" s="121">
        <f t="shared" si="8"/>
        <v>29.867232169471098</v>
      </c>
      <c r="Q66" s="122">
        <f t="shared" si="52"/>
        <v>0.91666666666666663</v>
      </c>
      <c r="R66" s="140">
        <f t="shared" si="53"/>
        <v>8.2000000000000011</v>
      </c>
      <c r="S66" s="150">
        <f t="shared" si="54"/>
        <v>1</v>
      </c>
      <c r="T66" s="140">
        <f t="shared" si="9"/>
        <v>10.899999999999999</v>
      </c>
      <c r="U66" s="150">
        <f t="shared" si="10"/>
        <v>1</v>
      </c>
      <c r="V66" s="141">
        <f t="shared" si="11"/>
        <v>9.6727272727272737</v>
      </c>
      <c r="W66" s="142">
        <f t="shared" si="12"/>
        <v>0.91666666666666663</v>
      </c>
      <c r="X66" s="144">
        <f t="shared" si="42"/>
        <v>16.316666666666666</v>
      </c>
      <c r="Y66" s="144">
        <f t="shared" si="43"/>
        <v>22.766666666666666</v>
      </c>
      <c r="Z66" s="144">
        <f t="shared" si="44"/>
        <v>19.468181818181819</v>
      </c>
      <c r="AA66" s="10"/>
      <c r="AB66" s="357" t="str">
        <f>VLOOKUP($B66,'2007-2020 Metadata'!$A$4:$S$214,MATCH("Urban Area /Monitoring Zone",'2007-2020 Metadata'!$A$4:$S$4,0),FALSE)</f>
        <v>Whangarei</v>
      </c>
      <c r="AC66" s="87" t="str">
        <f>VLOOKUP(B66,'2007-2020 Metadata'!$A$6:$A$214,1,FALSE)</f>
        <v>AUC171</v>
      </c>
      <c r="AD66" s="230" t="str">
        <f>VLOOKUP($AC66,'2007-2020 Metadata'!$A$6:$S$214,9,FALSE)</f>
        <v>Whangarei</v>
      </c>
      <c r="AE66" s="248">
        <f>IF(ISBLANK(VLOOKUP($AC66,'2007-2020 Metadata'!$A$6:$S$214,19,FALSE)),"",VLOOKUP($AC66,'2007-2020 Metadata'!$A$6:$S$214,19,FALSE))</f>
        <v>3</v>
      </c>
      <c r="AF66" s="88" t="str">
        <f>VLOOKUP($B66,'2007-2020 Metadata'!$A$4:$S$214,MATCH("Site type",'2007-2020 Metadata'!$A$4:$S$4,0),FALSE)</f>
        <v>Background</v>
      </c>
      <c r="AG66" s="143">
        <f t="shared" si="13"/>
        <v>4.3</v>
      </c>
      <c r="AH66" s="143">
        <f t="shared" si="14"/>
        <v>13.6</v>
      </c>
      <c r="AI66" s="144">
        <f t="shared" si="15"/>
        <v>19.468181818181819</v>
      </c>
    </row>
    <row r="67" spans="2:35" ht="12" customHeight="1" x14ac:dyDescent="0.15">
      <c r="B67" s="123" t="s">
        <v>485</v>
      </c>
      <c r="C67" s="119">
        <v>24.6</v>
      </c>
      <c r="D67" s="119">
        <v>20.9</v>
      </c>
      <c r="E67" s="119">
        <v>27.8</v>
      </c>
      <c r="F67" s="119"/>
      <c r="G67" s="119">
        <v>36</v>
      </c>
      <c r="H67" s="119">
        <v>33.700000000000003</v>
      </c>
      <c r="I67" s="119">
        <v>34.4</v>
      </c>
      <c r="J67" s="119">
        <v>38.200000000000003</v>
      </c>
      <c r="K67" s="119">
        <v>31.3</v>
      </c>
      <c r="L67" s="119">
        <v>31</v>
      </c>
      <c r="M67" s="119">
        <v>29.1</v>
      </c>
      <c r="N67" s="119">
        <v>14.9</v>
      </c>
      <c r="O67" s="121">
        <f t="shared" si="7"/>
        <v>29.263636363636365</v>
      </c>
      <c r="P67" s="121">
        <f t="shared" si="8"/>
        <v>23.641698687640229</v>
      </c>
      <c r="Q67" s="122">
        <f t="shared" si="52"/>
        <v>0.91666666666666663</v>
      </c>
      <c r="R67" s="140">
        <f t="shared" si="53"/>
        <v>24.433333333333334</v>
      </c>
      <c r="S67" s="150">
        <f t="shared" si="54"/>
        <v>1</v>
      </c>
      <c r="T67" s="140">
        <f t="shared" si="9"/>
        <v>34.633333333333333</v>
      </c>
      <c r="U67" s="150">
        <f t="shared" si="10"/>
        <v>1</v>
      </c>
      <c r="V67" s="141">
        <f t="shared" si="11"/>
        <v>29.263636363636365</v>
      </c>
      <c r="W67" s="142">
        <f t="shared" si="12"/>
        <v>0.91666666666666663</v>
      </c>
      <c r="X67" s="144">
        <f t="shared" si="42"/>
        <v>16.316666666666666</v>
      </c>
      <c r="Y67" s="144">
        <f t="shared" si="43"/>
        <v>22.766666666666666</v>
      </c>
      <c r="Z67" s="144">
        <f t="shared" si="44"/>
        <v>19.468181818181819</v>
      </c>
      <c r="AA67" s="10"/>
      <c r="AB67" s="357" t="str">
        <f>VLOOKUP($B67,'2007-2020 Metadata'!$A$4:$S$214,MATCH("Urban Area /Monitoring Zone",'2007-2020 Metadata'!$A$4:$S$4,0),FALSE)</f>
        <v>Whangarei</v>
      </c>
      <c r="AC67" s="87" t="str">
        <f>VLOOKUP(B67,'2007-2020 Metadata'!$A$6:$A$214,1,FALSE)</f>
        <v>AUC187</v>
      </c>
      <c r="AD67" s="230" t="str">
        <f>VLOOKUP($AC67,'2007-2020 Metadata'!$A$6:$S$214,9,FALSE)</f>
        <v>Whangarei</v>
      </c>
      <c r="AE67" s="248">
        <f>IF(ISBLANK(VLOOKUP($AC67,'2007-2020 Metadata'!$A$6:$S$214,19,FALSE)),"",VLOOKUP($AC67,'2007-2020 Metadata'!$A$6:$S$214,19,FALSE))</f>
        <v>3</v>
      </c>
      <c r="AF67" s="88" t="str">
        <f>VLOOKUP($B67,'2007-2020 Metadata'!$A$4:$S$214,MATCH("Site type",'2007-2020 Metadata'!$A$4:$S$4,0),FALSE)</f>
        <v>SH</v>
      </c>
      <c r="AG67" s="143">
        <f t="shared" si="13"/>
        <v>14.9</v>
      </c>
      <c r="AH67" s="143">
        <f t="shared" si="14"/>
        <v>38.200000000000003</v>
      </c>
      <c r="AI67" s="144">
        <f t="shared" si="15"/>
        <v>19.468181818181819</v>
      </c>
    </row>
    <row r="68" spans="2:35" ht="12" customHeight="1" x14ac:dyDescent="0.15">
      <c r="B68" s="123" t="s">
        <v>501</v>
      </c>
      <c r="C68" s="173"/>
      <c r="D68" s="173"/>
      <c r="E68" s="173"/>
      <c r="F68" s="173"/>
      <c r="G68" s="173"/>
      <c r="H68" s="173"/>
      <c r="I68" s="173"/>
      <c r="J68" s="173"/>
      <c r="K68" s="119">
        <v>37</v>
      </c>
      <c r="L68" s="119">
        <v>31.2</v>
      </c>
      <c r="M68" s="119">
        <v>27.7</v>
      </c>
      <c r="N68" s="119">
        <v>21.1</v>
      </c>
      <c r="O68" s="121">
        <f t="shared" si="7"/>
        <v>29.25</v>
      </c>
      <c r="P68" s="121">
        <f>IFERROR((STDEV(C68:N68)/O68)*100,"")</f>
        <v>22.736970549973073</v>
      </c>
      <c r="Q68" s="122">
        <f t="shared" si="52"/>
        <v>0.33333333333333331</v>
      </c>
      <c r="R68" s="140" t="str">
        <f t="shared" si="53"/>
        <v/>
      </c>
      <c r="S68" s="150">
        <f t="shared" si="54"/>
        <v>0</v>
      </c>
      <c r="T68" s="140" t="str">
        <f t="shared" si="9"/>
        <v>-</v>
      </c>
      <c r="U68" s="150">
        <f t="shared" si="10"/>
        <v>0.33333333333333331</v>
      </c>
      <c r="V68" s="141" t="str">
        <f t="shared" si="11"/>
        <v>-</v>
      </c>
      <c r="W68" s="142">
        <f t="shared" si="12"/>
        <v>0.33333333333333331</v>
      </c>
      <c r="X68" s="144">
        <f t="shared" si="42"/>
        <v>21.50185185185185</v>
      </c>
      <c r="Y68" s="144">
        <f t="shared" si="43"/>
        <v>27.413761569125089</v>
      </c>
      <c r="Z68" s="144">
        <f t="shared" si="44"/>
        <v>22.807661171502055</v>
      </c>
      <c r="AA68" s="10"/>
      <c r="AB68" s="357" t="str">
        <f>VLOOKUP($B68,'2007-2020 Metadata'!$A$4:$S$214,MATCH("Urban Area /Monitoring Zone",'2007-2020 Metadata'!$A$4:$S$4,0),FALSE)</f>
        <v xml:space="preserve">Auckland - Southern </v>
      </c>
      <c r="AC68" s="87" t="str">
        <f>VLOOKUP(B68,'2007-2020 Metadata'!$A$6:$A$214,1,FALSE)</f>
        <v>AUC190</v>
      </c>
      <c r="AD68" s="230" t="str">
        <f>VLOOKUP($AC68,'2007-2020 Metadata'!$A$6:$S$214,9,FALSE)</f>
        <v>Manukau</v>
      </c>
      <c r="AE68" s="248">
        <f>IF(ISBLANK(VLOOKUP($AC68,'2007-2020 Metadata'!$A$6:$S$214,19,FALSE)),"",VLOOKUP($AC68,'2007-2020 Metadata'!$A$6:$S$214,19,FALSE))</f>
        <v>3</v>
      </c>
      <c r="AF68" s="88" t="str">
        <f>VLOOKUP($B68,'2007-2020 Metadata'!$A$4:$S$214,MATCH("Site type",'2007-2020 Metadata'!$A$4:$S$4,0),FALSE)</f>
        <v>SH</v>
      </c>
      <c r="AG68" s="143">
        <f t="shared" si="13"/>
        <v>21.1</v>
      </c>
      <c r="AH68" s="143">
        <f t="shared" si="14"/>
        <v>37</v>
      </c>
      <c r="AI68" s="144" t="str">
        <f t="shared" si="15"/>
        <v xml:space="preserve"> </v>
      </c>
    </row>
    <row r="69" spans="2:35" ht="12" customHeight="1" x14ac:dyDescent="0.15">
      <c r="B69" s="123" t="s">
        <v>32</v>
      </c>
      <c r="C69" s="119">
        <v>27</v>
      </c>
      <c r="D69" s="119">
        <v>29.6</v>
      </c>
      <c r="E69" s="119">
        <v>26.3</v>
      </c>
      <c r="F69" s="119">
        <v>33</v>
      </c>
      <c r="G69" s="119">
        <v>35.5</v>
      </c>
      <c r="H69" s="119">
        <v>37.299999999999997</v>
      </c>
      <c r="I69" s="119">
        <v>34.4</v>
      </c>
      <c r="J69" s="119">
        <v>36.9</v>
      </c>
      <c r="K69" s="119">
        <v>31.8</v>
      </c>
      <c r="L69" s="119">
        <v>31.2</v>
      </c>
      <c r="M69" s="119">
        <v>23.4</v>
      </c>
      <c r="N69" s="119">
        <v>19</v>
      </c>
      <c r="O69" s="121">
        <f t="shared" si="7"/>
        <v>30.45</v>
      </c>
      <c r="P69" s="121">
        <f>IFERROR((STDEV(C69:N69)/O69)*100,"")</f>
        <v>18.502687841192422</v>
      </c>
      <c r="Q69" s="122">
        <f t="shared" si="52"/>
        <v>1</v>
      </c>
      <c r="R69" s="140">
        <f t="shared" si="53"/>
        <v>27.633333333333336</v>
      </c>
      <c r="S69" s="150">
        <f t="shared" si="54"/>
        <v>1</v>
      </c>
      <c r="T69" s="140">
        <f t="shared" si="9"/>
        <v>34.366666666666667</v>
      </c>
      <c r="U69" s="150">
        <f t="shared" si="10"/>
        <v>1</v>
      </c>
      <c r="V69" s="141">
        <f t="shared" si="11"/>
        <v>30.45</v>
      </c>
      <c r="W69" s="142">
        <f t="shared" si="12"/>
        <v>1</v>
      </c>
      <c r="X69" s="144">
        <f t="shared" si="42"/>
        <v>26.716666666666669</v>
      </c>
      <c r="Y69" s="144">
        <f t="shared" si="43"/>
        <v>32.518333333333338</v>
      </c>
      <c r="Z69" s="144">
        <f t="shared" si="44"/>
        <v>29.157045454545454</v>
      </c>
      <c r="AA69" s="10"/>
      <c r="AB69" s="357" t="str">
        <f>VLOOKUP($B69,'2007-2020 Metadata'!$A$4:$S$214,MATCH("Urban Area /Monitoring Zone",'2007-2020 Metadata'!$A$4:$S$4,0),FALSE)</f>
        <v>Hamilton</v>
      </c>
      <c r="AC69" s="87" t="str">
        <f>VLOOKUP(B69,'2007-2020 Metadata'!$A$6:$A$214,1,FALSE)</f>
        <v>HAM001</v>
      </c>
      <c r="AD69" s="230" t="str">
        <f>VLOOKUP($AC69,'2007-2020 Metadata'!$A$6:$S$214,9,FALSE)</f>
        <v>Hamilton</v>
      </c>
      <c r="AE69" s="248">
        <f>IF(ISBLANK(VLOOKUP($AC69,'2007-2020 Metadata'!$A$6:$S$214,19,FALSE)),"",VLOOKUP($AC69,'2007-2020 Metadata'!$A$6:$S$214,19,FALSE))</f>
        <v>3.8</v>
      </c>
      <c r="AF69" s="88" t="str">
        <f>VLOOKUP($B69,'2007-2020 Metadata'!$A$4:$S$214,MATCH("Site type",'2007-2020 Metadata'!$A$4:$S$4,0),FALSE)</f>
        <v>SH</v>
      </c>
      <c r="AG69" s="143">
        <f t="shared" si="13"/>
        <v>19</v>
      </c>
      <c r="AH69" s="143">
        <f t="shared" si="14"/>
        <v>37.299999999999997</v>
      </c>
      <c r="AI69" s="144">
        <f t="shared" si="15"/>
        <v>29.157045454545454</v>
      </c>
    </row>
    <row r="70" spans="2:35" ht="12" customHeight="1" x14ac:dyDescent="0.15">
      <c r="B70" s="123" t="s">
        <v>33</v>
      </c>
      <c r="C70" s="119">
        <v>21.3</v>
      </c>
      <c r="D70" s="119">
        <v>25.2</v>
      </c>
      <c r="E70" s="119">
        <v>28</v>
      </c>
      <c r="F70" s="119">
        <v>30.4</v>
      </c>
      <c r="G70" s="119">
        <v>32.9</v>
      </c>
      <c r="H70" s="119">
        <v>32.9</v>
      </c>
      <c r="I70" s="119">
        <v>33.200000000000003</v>
      </c>
      <c r="J70" s="119">
        <v>29.9</v>
      </c>
      <c r="K70" s="119">
        <v>30</v>
      </c>
      <c r="L70" s="119">
        <v>24.1</v>
      </c>
      <c r="M70" s="119">
        <v>26.3</v>
      </c>
      <c r="N70" s="119">
        <v>17.7</v>
      </c>
      <c r="O70" s="121">
        <f t="shared" si="7"/>
        <v>27.658333333333342</v>
      </c>
      <c r="P70" s="121">
        <f>IFERROR((STDEV(C70:N70)/O70)*100,"")</f>
        <v>17.710784497883335</v>
      </c>
      <c r="Q70" s="122">
        <f t="shared" si="52"/>
        <v>1</v>
      </c>
      <c r="R70" s="140">
        <f t="shared" si="53"/>
        <v>24.833333333333332</v>
      </c>
      <c r="S70" s="150">
        <f t="shared" si="54"/>
        <v>1</v>
      </c>
      <c r="T70" s="140">
        <f t="shared" si="9"/>
        <v>31.033333333333331</v>
      </c>
      <c r="U70" s="150">
        <f t="shared" si="10"/>
        <v>1</v>
      </c>
      <c r="V70" s="141">
        <f t="shared" si="11"/>
        <v>27.658333333333342</v>
      </c>
      <c r="W70" s="142">
        <f t="shared" si="12"/>
        <v>1</v>
      </c>
      <c r="X70" s="144">
        <f t="shared" si="42"/>
        <v>26.716666666666669</v>
      </c>
      <c r="Y70" s="144">
        <f t="shared" si="43"/>
        <v>32.518333333333338</v>
      </c>
      <c r="Z70" s="144">
        <f t="shared" si="44"/>
        <v>29.157045454545454</v>
      </c>
      <c r="AA70" s="10"/>
      <c r="AB70" s="357" t="str">
        <f>VLOOKUP($B70,'2007-2020 Metadata'!$A$4:$S$214,MATCH("Urban Area /Monitoring Zone",'2007-2020 Metadata'!$A$4:$S$4,0),FALSE)</f>
        <v>Hamilton</v>
      </c>
      <c r="AC70" s="87" t="str">
        <f>VLOOKUP(B70,'2007-2020 Metadata'!$A$6:$A$214,1,FALSE)</f>
        <v>HAM002</v>
      </c>
      <c r="AD70" s="230" t="str">
        <f>VLOOKUP($AC70,'2007-2020 Metadata'!$A$6:$S$214,9,FALSE)</f>
        <v>Hamilton</v>
      </c>
      <c r="AE70" s="248">
        <f>IF(ISBLANK(VLOOKUP($AC70,'2007-2020 Metadata'!$A$6:$S$214,19,FALSE)),"",VLOOKUP($AC70,'2007-2020 Metadata'!$A$6:$S$214,19,FALSE))</f>
        <v>2.6</v>
      </c>
      <c r="AF70" s="88" t="str">
        <f>VLOOKUP($B70,'2007-2020 Metadata'!$A$4:$S$214,MATCH("Site type",'2007-2020 Metadata'!$A$4:$S$4,0),FALSE)</f>
        <v>Local (ex SH)</v>
      </c>
      <c r="AG70" s="143">
        <f t="shared" si="13"/>
        <v>17.7</v>
      </c>
      <c r="AH70" s="143">
        <f t="shared" si="14"/>
        <v>33.200000000000003</v>
      </c>
      <c r="AI70" s="144">
        <f t="shared" si="15"/>
        <v>29.157045454545454</v>
      </c>
    </row>
    <row r="71" spans="2:35" ht="12" customHeight="1" x14ac:dyDescent="0.15">
      <c r="B71" s="123" t="s">
        <v>34</v>
      </c>
      <c r="C71" s="119">
        <v>34.4</v>
      </c>
      <c r="D71" s="119">
        <v>38.299999999999997</v>
      </c>
      <c r="E71" s="119">
        <v>40.4</v>
      </c>
      <c r="F71" s="119">
        <v>44.8</v>
      </c>
      <c r="G71" s="119">
        <v>41.1</v>
      </c>
      <c r="H71" s="119">
        <v>49.5</v>
      </c>
      <c r="I71" s="119">
        <v>47.4</v>
      </c>
      <c r="J71" s="119">
        <v>45.5</v>
      </c>
      <c r="K71" s="119">
        <v>44.4</v>
      </c>
      <c r="L71" s="119">
        <v>42.2</v>
      </c>
      <c r="M71" s="119">
        <v>36.4</v>
      </c>
      <c r="N71" s="119">
        <v>32.299999999999997</v>
      </c>
      <c r="O71" s="121">
        <f t="shared" si="7"/>
        <v>41.391666666666659</v>
      </c>
      <c r="P71" s="121">
        <f t="shared" si="8"/>
        <v>12.76589518064929</v>
      </c>
      <c r="Q71" s="122">
        <f t="shared" si="52"/>
        <v>1</v>
      </c>
      <c r="R71" s="140">
        <f t="shared" si="53"/>
        <v>37.699999999999996</v>
      </c>
      <c r="S71" s="150">
        <f t="shared" si="54"/>
        <v>1</v>
      </c>
      <c r="T71" s="140">
        <f t="shared" si="9"/>
        <v>45.766666666666673</v>
      </c>
      <c r="U71" s="150">
        <f t="shared" si="10"/>
        <v>1</v>
      </c>
      <c r="V71" s="141">
        <f t="shared" si="11"/>
        <v>41.391666666666659</v>
      </c>
      <c r="W71" s="142">
        <f t="shared" si="12"/>
        <v>1</v>
      </c>
      <c r="X71" s="144">
        <f t="shared" si="42"/>
        <v>26.716666666666669</v>
      </c>
      <c r="Y71" s="144">
        <f t="shared" si="43"/>
        <v>32.518333333333338</v>
      </c>
      <c r="Z71" s="144">
        <f t="shared" si="44"/>
        <v>29.157045454545454</v>
      </c>
      <c r="AA71" s="10"/>
      <c r="AB71" s="357" t="str">
        <f>VLOOKUP($B71,'2007-2020 Metadata'!$A$4:$S$214,MATCH("Urban Area /Monitoring Zone",'2007-2020 Metadata'!$A$4:$S$4,0),FALSE)</f>
        <v>Hamilton</v>
      </c>
      <c r="AC71" s="87" t="str">
        <f>VLOOKUP(B71,'2007-2020 Metadata'!$A$6:$A$214,1,FALSE)</f>
        <v>HAM003</v>
      </c>
      <c r="AD71" s="230" t="str">
        <f>VLOOKUP($AC71,'2007-2020 Metadata'!$A$6:$S$214,9,FALSE)</f>
        <v>Hamilton</v>
      </c>
      <c r="AE71" s="248">
        <f>IF(ISBLANK(VLOOKUP($AC71,'2007-2020 Metadata'!$A$6:$S$214,19,FALSE)),"",VLOOKUP($AC71,'2007-2020 Metadata'!$A$6:$S$214,19,FALSE))</f>
        <v>2.9</v>
      </c>
      <c r="AF71" s="88" t="str">
        <f>VLOOKUP($B71,'2007-2020 Metadata'!$A$4:$S$214,MATCH("Site type",'2007-2020 Metadata'!$A$4:$S$4,0),FALSE)</f>
        <v>SH</v>
      </c>
      <c r="AG71" s="143">
        <f t="shared" si="13"/>
        <v>32.299999999999997</v>
      </c>
      <c r="AH71" s="143">
        <f t="shared" si="14"/>
        <v>49.5</v>
      </c>
      <c r="AI71" s="144">
        <f t="shared" si="15"/>
        <v>29.157045454545454</v>
      </c>
    </row>
    <row r="72" spans="2:35" ht="12" customHeight="1" x14ac:dyDescent="0.15">
      <c r="B72" s="123" t="s">
        <v>35</v>
      </c>
      <c r="C72" s="119">
        <v>27</v>
      </c>
      <c r="D72" s="119">
        <v>30.3</v>
      </c>
      <c r="E72" s="119">
        <v>30</v>
      </c>
      <c r="F72" s="119">
        <v>35.1</v>
      </c>
      <c r="G72" s="119">
        <v>31.6</v>
      </c>
      <c r="H72" s="119">
        <v>35.9</v>
      </c>
      <c r="I72" s="119">
        <v>39</v>
      </c>
      <c r="J72" s="119">
        <v>35.4</v>
      </c>
      <c r="K72" s="119">
        <v>33.5</v>
      </c>
      <c r="L72" s="119">
        <v>30.6</v>
      </c>
      <c r="M72" s="119">
        <v>30.5</v>
      </c>
      <c r="N72" s="119">
        <v>18.7</v>
      </c>
      <c r="O72" s="121">
        <f t="shared" si="7"/>
        <v>31.466666666666669</v>
      </c>
      <c r="P72" s="121">
        <f t="shared" si="8"/>
        <v>16.523386445476177</v>
      </c>
      <c r="Q72" s="122">
        <f t="shared" si="52"/>
        <v>1</v>
      </c>
      <c r="R72" s="140">
        <f t="shared" si="53"/>
        <v>29.099999999999998</v>
      </c>
      <c r="S72" s="150">
        <f t="shared" si="54"/>
        <v>1</v>
      </c>
      <c r="T72" s="140">
        <f t="shared" si="9"/>
        <v>35.966666666666669</v>
      </c>
      <c r="U72" s="150">
        <f t="shared" si="10"/>
        <v>1</v>
      </c>
      <c r="V72" s="141">
        <f t="shared" si="11"/>
        <v>31.466666666666669</v>
      </c>
      <c r="W72" s="142">
        <f t="shared" si="12"/>
        <v>1</v>
      </c>
      <c r="X72" s="144">
        <f t="shared" si="42"/>
        <v>26.716666666666669</v>
      </c>
      <c r="Y72" s="144">
        <f t="shared" si="43"/>
        <v>32.518333333333338</v>
      </c>
      <c r="Z72" s="144">
        <f t="shared" si="44"/>
        <v>29.157045454545454</v>
      </c>
      <c r="AA72" s="10"/>
      <c r="AB72" s="357" t="str">
        <f>VLOOKUP($B72,'2007-2020 Metadata'!$A$4:$S$214,MATCH("Urban Area /Monitoring Zone",'2007-2020 Metadata'!$A$4:$S$4,0),FALSE)</f>
        <v>Cambridge</v>
      </c>
      <c r="AC72" s="87" t="str">
        <f>VLOOKUP(B72,'2007-2020 Metadata'!$A$6:$A$214,1,FALSE)</f>
        <v>HAM004</v>
      </c>
      <c r="AD72" s="230" t="str">
        <f>VLOOKUP($AC72,'2007-2020 Metadata'!$A$6:$S$214,9,FALSE)</f>
        <v>Hamilton</v>
      </c>
      <c r="AE72" s="248">
        <f>IF(ISBLANK(VLOOKUP($AC72,'2007-2020 Metadata'!$A$6:$S$214,19,FALSE)),"",VLOOKUP($AC72,'2007-2020 Metadata'!$A$6:$S$214,19,FALSE))</f>
        <v>3</v>
      </c>
      <c r="AF72" s="88" t="str">
        <f>VLOOKUP($B72,'2007-2020 Metadata'!$A$4:$S$214,MATCH("Site type",'2007-2020 Metadata'!$A$4:$S$4,0),FALSE)</f>
        <v>Local (ex SH)</v>
      </c>
      <c r="AG72" s="143">
        <f t="shared" si="13"/>
        <v>18.7</v>
      </c>
      <c r="AH72" s="143">
        <f t="shared" si="14"/>
        <v>39</v>
      </c>
      <c r="AI72" s="144">
        <f t="shared" si="15"/>
        <v>29.157045454545454</v>
      </c>
    </row>
    <row r="73" spans="2:35" ht="12" customHeight="1" x14ac:dyDescent="0.15">
      <c r="B73" s="123" t="s">
        <v>36</v>
      </c>
      <c r="C73" s="119">
        <v>14.6</v>
      </c>
      <c r="D73" s="119">
        <v>16.7</v>
      </c>
      <c r="E73" s="119">
        <v>18.899999999999999</v>
      </c>
      <c r="F73" s="119">
        <v>18.899999999999999</v>
      </c>
      <c r="G73" s="119">
        <v>19.7</v>
      </c>
      <c r="H73" s="119">
        <v>17</v>
      </c>
      <c r="I73" s="119">
        <v>21.6</v>
      </c>
      <c r="J73" s="119">
        <v>18</v>
      </c>
      <c r="K73" s="119">
        <v>13</v>
      </c>
      <c r="L73" s="119">
        <v>11.8</v>
      </c>
      <c r="M73" s="119">
        <v>14.6</v>
      </c>
      <c r="N73" s="119">
        <v>7.3</v>
      </c>
      <c r="O73" s="121">
        <f t="shared" si="7"/>
        <v>16.008333333333336</v>
      </c>
      <c r="P73" s="121">
        <f t="shared" si="8"/>
        <v>24.816690521606926</v>
      </c>
      <c r="Q73" s="122">
        <f t="shared" si="52"/>
        <v>1</v>
      </c>
      <c r="R73" s="140">
        <f t="shared" si="53"/>
        <v>16.733333333333331</v>
      </c>
      <c r="S73" s="150">
        <f t="shared" si="54"/>
        <v>1</v>
      </c>
      <c r="T73" s="140">
        <f t="shared" si="9"/>
        <v>17.533333333333335</v>
      </c>
      <c r="U73" s="150">
        <f t="shared" si="10"/>
        <v>1</v>
      </c>
      <c r="V73" s="141">
        <f t="shared" si="11"/>
        <v>16.008333333333336</v>
      </c>
      <c r="W73" s="142">
        <f t="shared" si="12"/>
        <v>1</v>
      </c>
      <c r="X73" s="144">
        <f t="shared" si="42"/>
        <v>16.733333333333331</v>
      </c>
      <c r="Y73" s="144">
        <f t="shared" si="43"/>
        <v>17.533333333333335</v>
      </c>
      <c r="Z73" s="144">
        <f t="shared" si="44"/>
        <v>16.008333333333336</v>
      </c>
      <c r="AA73" s="10"/>
      <c r="AB73" s="357" t="str">
        <f>VLOOKUP($B73,'2007-2020 Metadata'!$A$4:$S$214,MATCH("Urban Area /Monitoring Zone",'2007-2020 Metadata'!$A$4:$S$4,0),FALSE)</f>
        <v>Taupo</v>
      </c>
      <c r="AC73" s="87" t="str">
        <f>VLOOKUP(B73,'2007-2020 Metadata'!$A$6:$A$214,1,FALSE)</f>
        <v>HAM005</v>
      </c>
      <c r="AD73" s="230" t="str">
        <f>VLOOKUP($AC73,'2007-2020 Metadata'!$A$6:$S$214,9,FALSE)</f>
        <v>Taupo</v>
      </c>
      <c r="AE73" s="248">
        <f>IF(ISBLANK(VLOOKUP($AC73,'2007-2020 Metadata'!$A$6:$S$214,19,FALSE)),"",VLOOKUP($AC73,'2007-2020 Metadata'!$A$6:$S$214,19,FALSE))</f>
        <v>3.5</v>
      </c>
      <c r="AF73" s="88" t="str">
        <f>VLOOKUP($B73,'2007-2020 Metadata'!$A$4:$S$214,MATCH("Site type",'2007-2020 Metadata'!$A$4:$S$4,0),FALSE)</f>
        <v>Local (ex SH)</v>
      </c>
      <c r="AG73" s="143">
        <f t="shared" si="13"/>
        <v>7.3</v>
      </c>
      <c r="AH73" s="143">
        <f t="shared" si="14"/>
        <v>21.6</v>
      </c>
      <c r="AI73" s="144">
        <f t="shared" si="15"/>
        <v>16.008333333333336</v>
      </c>
    </row>
    <row r="74" spans="2:35" ht="12" customHeight="1" x14ac:dyDescent="0.15">
      <c r="B74" s="123" t="s">
        <v>37</v>
      </c>
      <c r="C74" s="119">
        <v>14.6</v>
      </c>
      <c r="D74" s="119">
        <v>17.899999999999999</v>
      </c>
      <c r="E74" s="119">
        <v>18.600000000000001</v>
      </c>
      <c r="F74" s="119">
        <v>23.6</v>
      </c>
      <c r="G74" s="119">
        <v>26.6</v>
      </c>
      <c r="H74" s="119">
        <v>26.4</v>
      </c>
      <c r="I74" s="119">
        <v>29.5</v>
      </c>
      <c r="J74" s="119">
        <v>26</v>
      </c>
      <c r="K74" s="119">
        <v>21</v>
      </c>
      <c r="L74" s="119">
        <v>17.2</v>
      </c>
      <c r="M74" s="119">
        <v>20.9</v>
      </c>
      <c r="N74" s="119">
        <v>12.6</v>
      </c>
      <c r="O74" s="121">
        <f t="shared" si="7"/>
        <v>21.241666666666667</v>
      </c>
      <c r="P74" s="121">
        <f t="shared" si="8"/>
        <v>24.796215031446415</v>
      </c>
      <c r="Q74" s="122">
        <f t="shared" si="52"/>
        <v>1</v>
      </c>
      <c r="R74" s="140">
        <f t="shared" si="53"/>
        <v>17.033333333333335</v>
      </c>
      <c r="S74" s="150">
        <f t="shared" si="54"/>
        <v>1</v>
      </c>
      <c r="T74" s="140">
        <f t="shared" si="9"/>
        <v>25.5</v>
      </c>
      <c r="U74" s="150">
        <f t="shared" si="10"/>
        <v>1</v>
      </c>
      <c r="V74" s="141">
        <f t="shared" si="11"/>
        <v>21.241666666666667</v>
      </c>
      <c r="W74" s="142">
        <f t="shared" si="12"/>
        <v>1</v>
      </c>
      <c r="X74" s="144">
        <f t="shared" si="42"/>
        <v>12.65</v>
      </c>
      <c r="Y74" s="144">
        <f t="shared" si="43"/>
        <v>17.95</v>
      </c>
      <c r="Z74" s="144">
        <f t="shared" si="44"/>
        <v>15.004166666666666</v>
      </c>
      <c r="AA74" s="10"/>
      <c r="AB74" s="357" t="str">
        <f>VLOOKUP($B74,'2007-2020 Metadata'!$A$4:$S$214,MATCH("Urban Area /Monitoring Zone",'2007-2020 Metadata'!$A$4:$S$4,0),FALSE)</f>
        <v>Rotorua</v>
      </c>
      <c r="AC74" s="87" t="str">
        <f>VLOOKUP(B74,'2007-2020 Metadata'!$A$6:$A$214,1,FALSE)</f>
        <v>HAM006</v>
      </c>
      <c r="AD74" s="230" t="str">
        <f>VLOOKUP($AC74,'2007-2020 Metadata'!$A$6:$S$214,9,FALSE)</f>
        <v>Rotorua</v>
      </c>
      <c r="AE74" s="248">
        <f>IF(ISBLANK(VLOOKUP($AC74,'2007-2020 Metadata'!$A$6:$S$214,19,FALSE)),"",VLOOKUP($AC74,'2007-2020 Metadata'!$A$6:$S$214,19,FALSE))</f>
        <v>3</v>
      </c>
      <c r="AF74" s="88" t="str">
        <f>VLOOKUP($B74,'2007-2020 Metadata'!$A$4:$S$214,MATCH("Site type",'2007-2020 Metadata'!$A$4:$S$4,0),FALSE)</f>
        <v>SH</v>
      </c>
      <c r="AG74" s="143">
        <f t="shared" si="13"/>
        <v>12.6</v>
      </c>
      <c r="AH74" s="143">
        <f t="shared" si="14"/>
        <v>29.5</v>
      </c>
      <c r="AI74" s="144">
        <f t="shared" si="15"/>
        <v>15.004166666666666</v>
      </c>
    </row>
    <row r="75" spans="2:35" ht="12" customHeight="1" x14ac:dyDescent="0.15">
      <c r="B75" s="123" t="s">
        <v>39</v>
      </c>
      <c r="C75" s="119">
        <v>22</v>
      </c>
      <c r="D75" s="119">
        <v>27.4</v>
      </c>
      <c r="E75" s="119">
        <v>32.5</v>
      </c>
      <c r="F75" s="119">
        <v>36</v>
      </c>
      <c r="G75" s="119">
        <v>37.200000000000003</v>
      </c>
      <c r="H75" s="119">
        <v>33.799999999999997</v>
      </c>
      <c r="I75" s="119">
        <v>40.1</v>
      </c>
      <c r="J75" s="119">
        <v>37.4</v>
      </c>
      <c r="K75" s="119">
        <v>31.8</v>
      </c>
      <c r="L75" s="119">
        <v>28.5</v>
      </c>
      <c r="M75" s="119">
        <v>25.8</v>
      </c>
      <c r="N75" s="119">
        <v>19</v>
      </c>
      <c r="O75" s="121">
        <f t="shared" si="7"/>
        <v>30.958333333333339</v>
      </c>
      <c r="P75" s="121">
        <f t="shared" si="8"/>
        <v>21.095548257883234</v>
      </c>
      <c r="Q75" s="122">
        <f t="shared" si="52"/>
        <v>1</v>
      </c>
      <c r="R75" s="140">
        <f t="shared" si="53"/>
        <v>27.3</v>
      </c>
      <c r="S75" s="150">
        <f t="shared" si="54"/>
        <v>1</v>
      </c>
      <c r="T75" s="140">
        <f t="shared" si="9"/>
        <v>36.43333333333333</v>
      </c>
      <c r="U75" s="150">
        <f t="shared" si="10"/>
        <v>1</v>
      </c>
      <c r="V75" s="141">
        <f t="shared" si="11"/>
        <v>30.958333333333339</v>
      </c>
      <c r="W75" s="142">
        <f t="shared" si="12"/>
        <v>1</v>
      </c>
      <c r="X75" s="144">
        <f t="shared" si="42"/>
        <v>20.576190476190479</v>
      </c>
      <c r="Y75" s="144">
        <f t="shared" si="43"/>
        <v>27.211111111111112</v>
      </c>
      <c r="Z75" s="144">
        <f t="shared" si="44"/>
        <v>23.717380952380953</v>
      </c>
      <c r="AA75" s="10"/>
      <c r="AB75" s="357" t="str">
        <f>VLOOKUP($B75,'2007-2020 Metadata'!$A$4:$S$214,MATCH("Urban Area /Monitoring Zone",'2007-2020 Metadata'!$A$4:$S$4,0),FALSE)</f>
        <v>Tauranga</v>
      </c>
      <c r="AC75" s="87" t="str">
        <f>VLOOKUP(B75,'2007-2020 Metadata'!$A$6:$A$214,1,FALSE)</f>
        <v>HAM007</v>
      </c>
      <c r="AD75" s="230" t="str">
        <f>VLOOKUP($AC75,'2007-2020 Metadata'!$A$6:$S$214,9,FALSE)</f>
        <v>Tauranga</v>
      </c>
      <c r="AE75" s="248">
        <f>IF(ISBLANK(VLOOKUP($AC75,'2007-2020 Metadata'!$A$6:$S$214,19,FALSE)),"",VLOOKUP($AC75,'2007-2020 Metadata'!$A$6:$S$214,19,FALSE))</f>
        <v>2.9</v>
      </c>
      <c r="AF75" s="88" t="str">
        <f>VLOOKUP($B75,'2007-2020 Metadata'!$A$4:$S$214,MATCH("Site type",'2007-2020 Metadata'!$A$4:$S$4,0),FALSE)</f>
        <v>SH</v>
      </c>
      <c r="AG75" s="143">
        <f t="shared" si="13"/>
        <v>19</v>
      </c>
      <c r="AH75" s="143">
        <f t="shared" si="14"/>
        <v>40.1</v>
      </c>
      <c r="AI75" s="144">
        <f t="shared" si="15"/>
        <v>23.717380952380953</v>
      </c>
    </row>
    <row r="76" spans="2:35" ht="12" customHeight="1" x14ac:dyDescent="0.15">
      <c r="B76" s="123" t="s">
        <v>40</v>
      </c>
      <c r="C76" s="119">
        <v>22.1</v>
      </c>
      <c r="D76" s="119">
        <v>27</v>
      </c>
      <c r="E76" s="119">
        <v>25.8</v>
      </c>
      <c r="F76" s="119">
        <v>38.9</v>
      </c>
      <c r="G76" s="119">
        <v>41.1</v>
      </c>
      <c r="H76" s="119">
        <v>40.799999999999997</v>
      </c>
      <c r="I76" s="119"/>
      <c r="J76" s="119"/>
      <c r="K76" s="119">
        <v>30.8</v>
      </c>
      <c r="L76" s="119">
        <v>23.5</v>
      </c>
      <c r="M76" s="119">
        <v>18.2</v>
      </c>
      <c r="N76" s="119">
        <v>21.6</v>
      </c>
      <c r="O76" s="121">
        <f t="shared" si="7"/>
        <v>28.98</v>
      </c>
      <c r="P76" s="121">
        <f t="shared" si="8"/>
        <v>29.333865406514505</v>
      </c>
      <c r="Q76" s="122">
        <f t="shared" si="52"/>
        <v>0.83333333333333337</v>
      </c>
      <c r="R76" s="140">
        <f t="shared" si="53"/>
        <v>24.966666666666669</v>
      </c>
      <c r="S76" s="150">
        <f t="shared" si="54"/>
        <v>1</v>
      </c>
      <c r="T76" s="140" t="str">
        <f t="shared" si="9"/>
        <v>-</v>
      </c>
      <c r="U76" s="150">
        <f t="shared" si="10"/>
        <v>0.33333333333333331</v>
      </c>
      <c r="V76" s="141">
        <f t="shared" si="11"/>
        <v>28.98</v>
      </c>
      <c r="W76" s="142">
        <f t="shared" si="12"/>
        <v>0.83333333333333337</v>
      </c>
      <c r="X76" s="144">
        <f t="shared" si="42"/>
        <v>20.576190476190479</v>
      </c>
      <c r="Y76" s="144">
        <f t="shared" si="43"/>
        <v>27.211111111111112</v>
      </c>
      <c r="Z76" s="144">
        <f t="shared" si="44"/>
        <v>23.717380952380953</v>
      </c>
      <c r="AA76" s="10"/>
      <c r="AB76" s="357" t="str">
        <f>VLOOKUP($B76,'2007-2020 Metadata'!$A$4:$S$214,MATCH("Urban Area /Monitoring Zone",'2007-2020 Metadata'!$A$4:$S$4,0),FALSE)</f>
        <v>Tauranga</v>
      </c>
      <c r="AC76" s="87" t="str">
        <f>VLOOKUP(B76,'2007-2020 Metadata'!$A$6:$A$214,1,FALSE)</f>
        <v>HAM008</v>
      </c>
      <c r="AD76" s="230" t="str">
        <f>VLOOKUP($AC76,'2007-2020 Metadata'!$A$6:$S$214,9,FALSE)</f>
        <v>Tauranga</v>
      </c>
      <c r="AE76" s="248">
        <f>IF(ISBLANK(VLOOKUP($AC76,'2007-2020 Metadata'!$A$6:$S$214,19,FALSE)),"",VLOOKUP($AC76,'2007-2020 Metadata'!$A$6:$S$214,19,FALSE))</f>
        <v>2.9</v>
      </c>
      <c r="AF76" s="88" t="str">
        <f>VLOOKUP($B76,'2007-2020 Metadata'!$A$4:$S$214,MATCH("Site type",'2007-2020 Metadata'!$A$4:$S$4,0),FALSE)</f>
        <v>SH</v>
      </c>
      <c r="AG76" s="143">
        <f t="shared" si="13"/>
        <v>18.2</v>
      </c>
      <c r="AH76" s="143">
        <f t="shared" si="14"/>
        <v>41.1</v>
      </c>
      <c r="AI76" s="144">
        <f t="shared" si="15"/>
        <v>23.717380952380953</v>
      </c>
    </row>
    <row r="77" spans="2:35" ht="12" customHeight="1" x14ac:dyDescent="0.15">
      <c r="B77" s="123" t="s">
        <v>41</v>
      </c>
      <c r="C77" s="119">
        <v>24.5</v>
      </c>
      <c r="D77" s="119">
        <v>26.5</v>
      </c>
      <c r="E77" s="119">
        <v>27.5</v>
      </c>
      <c r="F77" s="119">
        <v>32.799999999999997</v>
      </c>
      <c r="G77" s="119">
        <v>35</v>
      </c>
      <c r="H77" s="119">
        <v>30.4</v>
      </c>
      <c r="I77" s="119">
        <v>38</v>
      </c>
      <c r="J77" s="119">
        <v>35.6</v>
      </c>
      <c r="K77" s="119">
        <v>29.7</v>
      </c>
      <c r="L77" s="119">
        <v>28.7</v>
      </c>
      <c r="M77" s="119">
        <v>28.7</v>
      </c>
      <c r="N77" s="119">
        <v>21.2</v>
      </c>
      <c r="O77" s="121">
        <f t="shared" si="7"/>
        <v>29.883333333333329</v>
      </c>
      <c r="P77" s="121">
        <f t="shared" si="8"/>
        <v>16.201819904292293</v>
      </c>
      <c r="Q77" s="122">
        <f t="shared" si="52"/>
        <v>1</v>
      </c>
      <c r="R77" s="140">
        <f t="shared" si="53"/>
        <v>26.166666666666668</v>
      </c>
      <c r="S77" s="150">
        <f t="shared" si="54"/>
        <v>1</v>
      </c>
      <c r="T77" s="140">
        <f t="shared" si="9"/>
        <v>34.43333333333333</v>
      </c>
      <c r="U77" s="150">
        <f t="shared" si="10"/>
        <v>1</v>
      </c>
      <c r="V77" s="141">
        <f t="shared" si="11"/>
        <v>29.883333333333329</v>
      </c>
      <c r="W77" s="142">
        <f t="shared" si="12"/>
        <v>1</v>
      </c>
      <c r="X77" s="144">
        <f t="shared" ref="X77:X108" si="74">IF(VLOOKUP($B77,$AC$6:$AI$166,3,FALSE)="",$R77,IF(ISERROR(AVERAGEIF($AD$6:$AD$166,VLOOKUP($B77,$AC$6:$AI$166,2,FALSE),$R$6:$R$166)),"",AVERAGEIF($AD$6:$AD$166,VLOOKUP($B77,$AC$6:$AI$166,2,FALSE),$R$6:$R$166)))</f>
        <v>20.576190476190479</v>
      </c>
      <c r="Y77" s="144">
        <f t="shared" ref="Y77:Y108" si="75">IF(VLOOKUP($B77,$AC$6:$AI$166,3,FALSE)="",$T77,IF(ISERROR(AVERAGEIF($AD$6:$AD$166,VLOOKUP($B77,$AC$6:$AI$166,2,FALSE),$T$6:$T$166)),"",AVERAGEIF($AD$6:$AD$166,VLOOKUP($B77,$AC$6:$AI$166,2,FALSE),$T$6:$T$166)))</f>
        <v>27.211111111111112</v>
      </c>
      <c r="Z77" s="144">
        <f t="shared" ref="Z77:Z108" si="76">IF(VLOOKUP($B77,$AC$6:$AI$166,3,FALSE)="",$V77,IF(ISERROR(AVERAGEIF($AD$6:$AD$166,VLOOKUP($B77,$AC$6:$AI$166,2,FALSE),$V$6:$V$166)),"",AVERAGEIF($AD$6:$AD$166,VLOOKUP($B77,$AC$6:$AI$166,2,FALSE),$V$6:$V$166)))</f>
        <v>23.717380952380953</v>
      </c>
      <c r="AA77" s="10"/>
      <c r="AB77" s="357" t="str">
        <f>VLOOKUP($B77,'2007-2020 Metadata'!$A$4:$S$214,MATCH("Urban Area /Monitoring Zone",'2007-2020 Metadata'!$A$4:$S$4,0),FALSE)</f>
        <v>Tauranga</v>
      </c>
      <c r="AC77" s="87" t="str">
        <f>VLOOKUP(B77,'2007-2020 Metadata'!$A$6:$A$214,1,FALSE)</f>
        <v>HAM010</v>
      </c>
      <c r="AD77" s="230" t="str">
        <f>VLOOKUP($AC77,'2007-2020 Metadata'!$A$6:$S$214,9,FALSE)</f>
        <v>Tauranga</v>
      </c>
      <c r="AE77" s="248">
        <f>IF(ISBLANK(VLOOKUP($AC77,'2007-2020 Metadata'!$A$6:$S$214,19,FALSE)),"",VLOOKUP($AC77,'2007-2020 Metadata'!$A$6:$S$214,19,FALSE))</f>
        <v>2.7</v>
      </c>
      <c r="AF77" s="88" t="str">
        <f>VLOOKUP($B77,'2007-2020 Metadata'!$A$4:$S$214,MATCH("Site type",'2007-2020 Metadata'!$A$4:$S$4,0),FALSE)</f>
        <v>SH</v>
      </c>
      <c r="AG77" s="143">
        <f t="shared" si="13"/>
        <v>21.2</v>
      </c>
      <c r="AH77" s="143">
        <f t="shared" si="14"/>
        <v>38</v>
      </c>
      <c r="AI77" s="144">
        <f t="shared" si="15"/>
        <v>23.717380952380953</v>
      </c>
    </row>
    <row r="78" spans="2:35" ht="12" customHeight="1" x14ac:dyDescent="0.15">
      <c r="B78" s="123" t="s">
        <v>95</v>
      </c>
      <c r="C78" s="119">
        <v>13.6</v>
      </c>
      <c r="D78" s="119">
        <v>20.6</v>
      </c>
      <c r="E78" s="119">
        <v>25</v>
      </c>
      <c r="F78" s="119">
        <v>24</v>
      </c>
      <c r="G78" s="119">
        <v>22.9</v>
      </c>
      <c r="H78" s="119">
        <v>24.1</v>
      </c>
      <c r="I78" s="119">
        <v>24.7</v>
      </c>
      <c r="J78" s="119">
        <v>22.8</v>
      </c>
      <c r="K78" s="119">
        <v>21.1</v>
      </c>
      <c r="L78" s="119">
        <v>14.4</v>
      </c>
      <c r="M78" s="119">
        <v>15.9</v>
      </c>
      <c r="N78" s="119">
        <v>10.9</v>
      </c>
      <c r="O78" s="121">
        <f t="shared" si="7"/>
        <v>20</v>
      </c>
      <c r="P78" s="121">
        <f t="shared" si="8"/>
        <v>24.756082815414032</v>
      </c>
      <c r="Q78" s="122">
        <f t="shared" si="52"/>
        <v>1</v>
      </c>
      <c r="R78" s="140">
        <f t="shared" si="53"/>
        <v>19.733333333333334</v>
      </c>
      <c r="S78" s="150">
        <f t="shared" si="54"/>
        <v>1</v>
      </c>
      <c r="T78" s="140">
        <f t="shared" si="9"/>
        <v>22.866666666666664</v>
      </c>
      <c r="U78" s="150">
        <f t="shared" si="10"/>
        <v>1</v>
      </c>
      <c r="V78" s="141">
        <f t="shared" si="11"/>
        <v>20</v>
      </c>
      <c r="W78" s="142">
        <f t="shared" si="12"/>
        <v>1</v>
      </c>
      <c r="X78" s="144">
        <f t="shared" si="74"/>
        <v>26.716666666666669</v>
      </c>
      <c r="Y78" s="144">
        <f t="shared" si="75"/>
        <v>32.518333333333338</v>
      </c>
      <c r="Z78" s="144">
        <f t="shared" si="76"/>
        <v>29.157045454545454</v>
      </c>
      <c r="AA78" s="10"/>
      <c r="AB78" s="357" t="str">
        <f>VLOOKUP($B78,'2007-2020 Metadata'!$A$4:$S$214,MATCH("Urban Area /Monitoring Zone",'2007-2020 Metadata'!$A$4:$S$4,0),FALSE)</f>
        <v>Hamilton</v>
      </c>
      <c r="AC78" s="87" t="str">
        <f>VLOOKUP(B78,'2007-2020 Metadata'!$A$6:$A$214,1,FALSE)</f>
        <v>HAM012</v>
      </c>
      <c r="AD78" s="230" t="str">
        <f>VLOOKUP($AC78,'2007-2020 Metadata'!$A$6:$S$214,9,FALSE)</f>
        <v>Hamilton</v>
      </c>
      <c r="AE78" s="248">
        <f>IF(ISBLANK(VLOOKUP($AC78,'2007-2020 Metadata'!$A$6:$S$214,19,FALSE)),"",VLOOKUP($AC78,'2007-2020 Metadata'!$A$6:$S$214,19,FALSE))</f>
        <v>2.8</v>
      </c>
      <c r="AF78" s="88" t="str">
        <f>VLOOKUP($B78,'2007-2020 Metadata'!$A$4:$S$214,MATCH("Site type",'2007-2020 Metadata'!$A$4:$S$4,0),FALSE)</f>
        <v>Local (ex SH)</v>
      </c>
      <c r="AG78" s="143">
        <f t="shared" si="13"/>
        <v>10.9</v>
      </c>
      <c r="AH78" s="143">
        <f t="shared" si="14"/>
        <v>25</v>
      </c>
      <c r="AI78" s="144">
        <f t="shared" si="15"/>
        <v>29.157045454545454</v>
      </c>
    </row>
    <row r="79" spans="2:35" ht="12" customHeight="1" x14ac:dyDescent="0.15">
      <c r="B79" s="123" t="s">
        <v>96</v>
      </c>
      <c r="C79" s="119">
        <v>25</v>
      </c>
      <c r="D79" s="119">
        <v>41.8</v>
      </c>
      <c r="E79" s="119">
        <v>38.6</v>
      </c>
      <c r="F79" s="119">
        <v>49.2</v>
      </c>
      <c r="G79" s="119">
        <v>40</v>
      </c>
      <c r="H79" s="119">
        <v>57.4</v>
      </c>
      <c r="I79" s="119">
        <v>43.7</v>
      </c>
      <c r="J79" s="119">
        <v>43.8</v>
      </c>
      <c r="K79" s="119">
        <v>49.5</v>
      </c>
      <c r="L79" s="119">
        <v>47.5</v>
      </c>
      <c r="M79" s="119">
        <v>38.9</v>
      </c>
      <c r="N79" s="119">
        <v>30.7</v>
      </c>
      <c r="O79" s="121">
        <f t="shared" ref="O79:O142" si="77">(AVERAGE(C79:N79))</f>
        <v>42.175000000000004</v>
      </c>
      <c r="P79" s="121">
        <f t="shared" ref="P79:P142" si="78">IFERROR((STDEV(C79:N79)/O79)*100,"")</f>
        <v>20.511213486373649</v>
      </c>
      <c r="Q79" s="122">
        <f t="shared" ref="Q79:Q142" si="79">COUNT(C79:N79)/COUNT($C$6:$N$6)</f>
        <v>1</v>
      </c>
      <c r="R79" s="140">
        <f t="shared" ref="R79:R110" si="80">IF($S79=0%,"",IF($S79&gt;66%,AVERAGE($C79:$E79),"-"))</f>
        <v>35.133333333333333</v>
      </c>
      <c r="S79" s="150">
        <f t="shared" ref="S79:S110" si="81">COUNT(C79:E79)/3</f>
        <v>1</v>
      </c>
      <c r="T79" s="140">
        <f t="shared" si="9"/>
        <v>45.666666666666664</v>
      </c>
      <c r="U79" s="150">
        <f t="shared" si="10"/>
        <v>1</v>
      </c>
      <c r="V79" s="141">
        <f t="shared" si="11"/>
        <v>42.175000000000004</v>
      </c>
      <c r="W79" s="142">
        <f t="shared" si="12"/>
        <v>1</v>
      </c>
      <c r="X79" s="144">
        <f t="shared" si="74"/>
        <v>26.716666666666669</v>
      </c>
      <c r="Y79" s="144">
        <f t="shared" si="75"/>
        <v>32.518333333333338</v>
      </c>
      <c r="Z79" s="144">
        <f t="shared" si="76"/>
        <v>29.157045454545454</v>
      </c>
      <c r="AA79" s="10"/>
      <c r="AB79" s="357" t="str">
        <f>VLOOKUP($B79,'2007-2020 Metadata'!$A$4:$S$214,MATCH("Urban Area /Monitoring Zone",'2007-2020 Metadata'!$A$4:$S$4,0),FALSE)</f>
        <v>Hamilton</v>
      </c>
      <c r="AC79" s="87" t="str">
        <f>VLOOKUP(B79,'2007-2020 Metadata'!$A$6:$A$214,1,FALSE)</f>
        <v>HAM013</v>
      </c>
      <c r="AD79" s="230" t="str">
        <f>VLOOKUP($AC79,'2007-2020 Metadata'!$A$6:$S$214,9,FALSE)</f>
        <v>Hamilton</v>
      </c>
      <c r="AE79" s="248">
        <f>IF(ISBLANK(VLOOKUP($AC79,'2007-2020 Metadata'!$A$6:$S$214,19,FALSE)),"",VLOOKUP($AC79,'2007-2020 Metadata'!$A$6:$S$214,19,FALSE))</f>
        <v>2.8</v>
      </c>
      <c r="AF79" s="88" t="str">
        <f>VLOOKUP($B79,'2007-2020 Metadata'!$A$4:$S$214,MATCH("Site type",'2007-2020 Metadata'!$A$4:$S$4,0),FALSE)</f>
        <v>SH</v>
      </c>
      <c r="AG79" s="143">
        <f t="shared" si="13"/>
        <v>25</v>
      </c>
      <c r="AH79" s="143">
        <f t="shared" si="14"/>
        <v>57.4</v>
      </c>
      <c r="AI79" s="144">
        <f t="shared" si="15"/>
        <v>29.157045454545454</v>
      </c>
    </row>
    <row r="80" spans="2:35" ht="12" customHeight="1" x14ac:dyDescent="0.15">
      <c r="B80" s="123" t="s">
        <v>97</v>
      </c>
      <c r="C80" s="119">
        <v>31.5</v>
      </c>
      <c r="D80" s="119">
        <v>36.700000000000003</v>
      </c>
      <c r="E80" s="119">
        <v>37.9</v>
      </c>
      <c r="F80" s="119">
        <v>40.5</v>
      </c>
      <c r="G80" s="119">
        <v>40.1</v>
      </c>
      <c r="H80" s="119">
        <v>47.6</v>
      </c>
      <c r="I80" s="119">
        <v>40</v>
      </c>
      <c r="J80" s="119">
        <v>44.1</v>
      </c>
      <c r="K80" s="119">
        <v>32.1</v>
      </c>
      <c r="L80" s="119">
        <v>32.6</v>
      </c>
      <c r="M80" s="119">
        <v>34.799999999999997</v>
      </c>
      <c r="N80" s="119">
        <v>24.5</v>
      </c>
      <c r="O80" s="121">
        <f t="shared" si="77"/>
        <v>36.866666666666667</v>
      </c>
      <c r="P80" s="121">
        <f t="shared" si="78"/>
        <v>16.939942378247981</v>
      </c>
      <c r="Q80" s="122">
        <f t="shared" si="79"/>
        <v>1</v>
      </c>
      <c r="R80" s="140">
        <f t="shared" si="80"/>
        <v>35.366666666666667</v>
      </c>
      <c r="S80" s="150">
        <f t="shared" si="81"/>
        <v>1</v>
      </c>
      <c r="T80" s="140">
        <f t="shared" ref="T80:T143" si="82">IF($U80=0%,"",IF($U80&gt;66%,AVERAGE($I80:$K80),"-"))</f>
        <v>38.733333333333327</v>
      </c>
      <c r="U80" s="150">
        <f t="shared" ref="U80:U143" si="83">COUNT(I80:K80)/3</f>
        <v>1</v>
      </c>
      <c r="V80" s="141">
        <f t="shared" ref="V80:V143" si="84">IF(AND(($S80&gt;33%),($U80&gt;33%),($W80&gt;=75%)),AVERAGE($C80:$N80),"-")</f>
        <v>36.866666666666667</v>
      </c>
      <c r="W80" s="142">
        <f t="shared" ref="W80:W143" si="85">Q80</f>
        <v>1</v>
      </c>
      <c r="X80" s="144">
        <f t="shared" si="74"/>
        <v>26.716666666666669</v>
      </c>
      <c r="Y80" s="144">
        <f t="shared" si="75"/>
        <v>32.518333333333338</v>
      </c>
      <c r="Z80" s="144">
        <f t="shared" si="76"/>
        <v>29.157045454545454</v>
      </c>
      <c r="AA80" s="10"/>
      <c r="AB80" s="357" t="str">
        <f>VLOOKUP($B80,'2007-2020 Metadata'!$A$4:$S$214,MATCH("Urban Area /Monitoring Zone",'2007-2020 Metadata'!$A$4:$S$4,0),FALSE)</f>
        <v>Hamilton</v>
      </c>
      <c r="AC80" s="87" t="str">
        <f>VLOOKUP(B80,'2007-2020 Metadata'!$A$6:$A$214,1,FALSE)</f>
        <v>HAM014</v>
      </c>
      <c r="AD80" s="230" t="str">
        <f>VLOOKUP($AC80,'2007-2020 Metadata'!$A$6:$S$214,9,FALSE)</f>
        <v>Hamilton</v>
      </c>
      <c r="AE80" s="248">
        <f>IF(ISBLANK(VLOOKUP($AC80,'2007-2020 Metadata'!$A$6:$S$214,19,FALSE)),"",VLOOKUP($AC80,'2007-2020 Metadata'!$A$6:$S$214,19,FALSE))</f>
        <v>2.2000000000000002</v>
      </c>
      <c r="AF80" s="88" t="str">
        <f>VLOOKUP($B80,'2007-2020 Metadata'!$A$4:$S$214,MATCH("Site type",'2007-2020 Metadata'!$A$4:$S$4,0),FALSE)</f>
        <v>Local</v>
      </c>
      <c r="AG80" s="143">
        <f t="shared" ref="AG80:AG140" si="86">MIN(C80:N80)</f>
        <v>24.5</v>
      </c>
      <c r="AH80" s="143">
        <f t="shared" ref="AH80:AH140" si="87">MAX(C80:N80)</f>
        <v>47.6</v>
      </c>
      <c r="AI80" s="144">
        <f t="shared" ref="AI80:AI143" si="88">IF(W80&gt;=75%,Z80," ")</f>
        <v>29.157045454545454</v>
      </c>
    </row>
    <row r="81" spans="2:35" ht="12" customHeight="1" x14ac:dyDescent="0.15">
      <c r="B81" s="123" t="s">
        <v>98</v>
      </c>
      <c r="C81" s="119">
        <v>21.6</v>
      </c>
      <c r="D81" s="119">
        <v>27.3</v>
      </c>
      <c r="E81" s="119">
        <v>31.1</v>
      </c>
      <c r="F81" s="119">
        <v>31.7</v>
      </c>
      <c r="G81" s="119">
        <v>29</v>
      </c>
      <c r="H81" s="119">
        <v>30.9</v>
      </c>
      <c r="I81" s="119">
        <v>32.6</v>
      </c>
      <c r="J81" s="119">
        <v>31.1</v>
      </c>
      <c r="K81" s="119">
        <v>28.2</v>
      </c>
      <c r="L81" s="119">
        <v>23.2</v>
      </c>
      <c r="M81" s="119">
        <v>24.6</v>
      </c>
      <c r="N81" s="119">
        <v>16.899999999999999</v>
      </c>
      <c r="O81" s="121">
        <f t="shared" si="77"/>
        <v>27.349999999999998</v>
      </c>
      <c r="P81" s="121">
        <f t="shared" si="78"/>
        <v>17.69750167972871</v>
      </c>
      <c r="Q81" s="122">
        <f t="shared" si="79"/>
        <v>1</v>
      </c>
      <c r="R81" s="140">
        <f t="shared" si="80"/>
        <v>26.666666666666668</v>
      </c>
      <c r="S81" s="150">
        <f t="shared" si="81"/>
        <v>1</v>
      </c>
      <c r="T81" s="140">
        <f t="shared" si="82"/>
        <v>30.633333333333336</v>
      </c>
      <c r="U81" s="150">
        <f t="shared" si="83"/>
        <v>1</v>
      </c>
      <c r="V81" s="141">
        <f t="shared" si="84"/>
        <v>27.349999999999998</v>
      </c>
      <c r="W81" s="142">
        <f t="shared" si="85"/>
        <v>1</v>
      </c>
      <c r="X81" s="144">
        <f t="shared" si="74"/>
        <v>26.716666666666669</v>
      </c>
      <c r="Y81" s="144">
        <f t="shared" si="75"/>
        <v>32.518333333333338</v>
      </c>
      <c r="Z81" s="144">
        <f t="shared" si="76"/>
        <v>29.157045454545454</v>
      </c>
      <c r="AA81" s="10"/>
      <c r="AB81" s="357" t="str">
        <f>VLOOKUP($B81,'2007-2020 Metadata'!$A$4:$S$214,MATCH("Urban Area /Monitoring Zone",'2007-2020 Metadata'!$A$4:$S$4,0),FALSE)</f>
        <v>Hamilton</v>
      </c>
      <c r="AC81" s="87" t="str">
        <f>VLOOKUP(B81,'2007-2020 Metadata'!$A$6:$A$214,1,FALSE)</f>
        <v>HAM015</v>
      </c>
      <c r="AD81" s="230" t="str">
        <f>VLOOKUP($AC81,'2007-2020 Metadata'!$A$6:$S$214,9,FALSE)</f>
        <v>Hamilton</v>
      </c>
      <c r="AE81" s="248">
        <f>IF(ISBLANK(VLOOKUP($AC81,'2007-2020 Metadata'!$A$6:$S$214,19,FALSE)),"",VLOOKUP($AC81,'2007-2020 Metadata'!$A$6:$S$214,19,FALSE))</f>
        <v>2.7</v>
      </c>
      <c r="AF81" s="88" t="str">
        <f>VLOOKUP($B81,'2007-2020 Metadata'!$A$4:$S$214,MATCH("Site type",'2007-2020 Metadata'!$A$4:$S$4,0),FALSE)</f>
        <v>Local</v>
      </c>
      <c r="AG81" s="143">
        <f t="shared" si="86"/>
        <v>16.899999999999999</v>
      </c>
      <c r="AH81" s="143">
        <f t="shared" si="87"/>
        <v>32.6</v>
      </c>
      <c r="AI81" s="144">
        <f t="shared" si="88"/>
        <v>29.157045454545454</v>
      </c>
    </row>
    <row r="82" spans="2:35" ht="12" customHeight="1" x14ac:dyDescent="0.15">
      <c r="B82" s="123" t="s">
        <v>99</v>
      </c>
      <c r="C82" s="119">
        <v>17.7</v>
      </c>
      <c r="D82" s="119">
        <v>18.8</v>
      </c>
      <c r="E82" s="119">
        <v>26.7</v>
      </c>
      <c r="F82" s="119">
        <v>24.9</v>
      </c>
      <c r="G82" s="119">
        <v>27.7</v>
      </c>
      <c r="H82" s="119">
        <v>29.5</v>
      </c>
      <c r="I82" s="119">
        <v>31.6</v>
      </c>
      <c r="J82" s="119">
        <v>26.8</v>
      </c>
      <c r="K82" s="119">
        <v>22.9</v>
      </c>
      <c r="L82" s="119">
        <v>15.4</v>
      </c>
      <c r="M82" s="119">
        <v>18.899999999999999</v>
      </c>
      <c r="N82" s="119">
        <v>12.3</v>
      </c>
      <c r="O82" s="121">
        <f t="shared" si="77"/>
        <v>22.766666666666669</v>
      </c>
      <c r="P82" s="121">
        <f t="shared" si="78"/>
        <v>26.625342303273271</v>
      </c>
      <c r="Q82" s="122">
        <f t="shared" si="79"/>
        <v>1</v>
      </c>
      <c r="R82" s="140">
        <f t="shared" si="80"/>
        <v>21.066666666666666</v>
      </c>
      <c r="S82" s="150">
        <f t="shared" si="81"/>
        <v>1</v>
      </c>
      <c r="T82" s="140">
        <f t="shared" si="82"/>
        <v>27.100000000000005</v>
      </c>
      <c r="U82" s="150">
        <f t="shared" si="83"/>
        <v>1</v>
      </c>
      <c r="V82" s="141">
        <f t="shared" si="84"/>
        <v>22.766666666666669</v>
      </c>
      <c r="W82" s="142">
        <f t="shared" si="85"/>
        <v>1</v>
      </c>
      <c r="X82" s="144">
        <f t="shared" si="74"/>
        <v>26.716666666666669</v>
      </c>
      <c r="Y82" s="144">
        <f t="shared" si="75"/>
        <v>32.518333333333338</v>
      </c>
      <c r="Z82" s="144">
        <f t="shared" si="76"/>
        <v>29.157045454545454</v>
      </c>
      <c r="AA82" s="10"/>
      <c r="AB82" s="357" t="str">
        <f>VLOOKUP($B82,'2007-2020 Metadata'!$A$4:$S$214,MATCH("Urban Area /Monitoring Zone",'2007-2020 Metadata'!$A$4:$S$4,0),FALSE)</f>
        <v>Hamilton</v>
      </c>
      <c r="AC82" s="87" t="str">
        <f>VLOOKUP(B82,'2007-2020 Metadata'!$A$6:$A$214,1,FALSE)</f>
        <v>HAM016</v>
      </c>
      <c r="AD82" s="230" t="str">
        <f>VLOOKUP($AC82,'2007-2020 Metadata'!$A$6:$S$214,9,FALSE)</f>
        <v>Hamilton</v>
      </c>
      <c r="AE82" s="248">
        <f>IF(ISBLANK(VLOOKUP($AC82,'2007-2020 Metadata'!$A$6:$S$214,19,FALSE)),"",VLOOKUP($AC82,'2007-2020 Metadata'!$A$6:$S$214,19,FALSE))</f>
        <v>2.6</v>
      </c>
      <c r="AF82" s="88" t="str">
        <f>VLOOKUP($B82,'2007-2020 Metadata'!$A$4:$S$214,MATCH("Site type",'2007-2020 Metadata'!$A$4:$S$4,0),FALSE)</f>
        <v>Local</v>
      </c>
      <c r="AG82" s="143">
        <f t="shared" si="86"/>
        <v>12.3</v>
      </c>
      <c r="AH82" s="143">
        <f t="shared" si="87"/>
        <v>31.6</v>
      </c>
      <c r="AI82" s="144">
        <f t="shared" si="88"/>
        <v>29.157045454545454</v>
      </c>
    </row>
    <row r="83" spans="2:35" ht="12" customHeight="1" x14ac:dyDescent="0.15">
      <c r="B83" s="123" t="s">
        <v>100</v>
      </c>
      <c r="C83" s="119">
        <v>8.1999999999999993</v>
      </c>
      <c r="D83" s="119">
        <v>10.5</v>
      </c>
      <c r="E83" s="119">
        <v>11.1</v>
      </c>
      <c r="F83" s="119">
        <v>12.8</v>
      </c>
      <c r="G83" s="119">
        <v>14.1</v>
      </c>
      <c r="H83" s="119">
        <v>17.2</v>
      </c>
      <c r="I83" s="119">
        <v>15.9</v>
      </c>
      <c r="J83" s="119"/>
      <c r="K83" s="119">
        <v>10.199999999999999</v>
      </c>
      <c r="L83" s="119">
        <v>9.4</v>
      </c>
      <c r="M83" s="119">
        <v>10.1</v>
      </c>
      <c r="N83" s="119">
        <v>6.4</v>
      </c>
      <c r="O83" s="121">
        <f t="shared" si="77"/>
        <v>11.445454545454545</v>
      </c>
      <c r="P83" s="121">
        <f t="shared" si="78"/>
        <v>28.497830099121451</v>
      </c>
      <c r="Q83" s="122">
        <f t="shared" si="79"/>
        <v>0.91666666666666663</v>
      </c>
      <c r="R83" s="140">
        <f t="shared" si="80"/>
        <v>9.9333333333333318</v>
      </c>
      <c r="S83" s="150">
        <f t="shared" si="81"/>
        <v>1</v>
      </c>
      <c r="T83" s="140">
        <f t="shared" si="82"/>
        <v>13.05</v>
      </c>
      <c r="U83" s="150">
        <f t="shared" si="83"/>
        <v>0.66666666666666663</v>
      </c>
      <c r="V83" s="141">
        <f t="shared" si="84"/>
        <v>11.445454545454545</v>
      </c>
      <c r="W83" s="142">
        <f t="shared" si="85"/>
        <v>0.91666666666666663</v>
      </c>
      <c r="X83" s="144">
        <f t="shared" si="74"/>
        <v>26.716666666666669</v>
      </c>
      <c r="Y83" s="144">
        <f t="shared" si="75"/>
        <v>32.518333333333338</v>
      </c>
      <c r="Z83" s="144">
        <f t="shared" si="76"/>
        <v>29.157045454545454</v>
      </c>
      <c r="AA83" s="10"/>
      <c r="AB83" s="357" t="str">
        <f>VLOOKUP($B83,'2007-2020 Metadata'!$A$4:$S$214,MATCH("Urban Area /Monitoring Zone",'2007-2020 Metadata'!$A$4:$S$4,0),FALSE)</f>
        <v>Hamilton</v>
      </c>
      <c r="AC83" s="87" t="str">
        <f>VLOOKUP(B83,'2007-2020 Metadata'!$A$6:$A$214,1,FALSE)</f>
        <v>HAM017</v>
      </c>
      <c r="AD83" s="230" t="str">
        <f>VLOOKUP($AC83,'2007-2020 Metadata'!$A$6:$S$214,9,FALSE)</f>
        <v>Hamilton</v>
      </c>
      <c r="AE83" s="248">
        <f>IF(ISBLANK(VLOOKUP($AC83,'2007-2020 Metadata'!$A$6:$S$214,19,FALSE)),"",VLOOKUP($AC83,'2007-2020 Metadata'!$A$6:$S$214,19,FALSE))</f>
        <v>5</v>
      </c>
      <c r="AF83" s="88" t="str">
        <f>VLOOKUP($B83,'2007-2020 Metadata'!$A$4:$S$214,MATCH("Site type",'2007-2020 Metadata'!$A$4:$S$4,0),FALSE)</f>
        <v>Background</v>
      </c>
      <c r="AG83" s="143">
        <f t="shared" si="86"/>
        <v>6.4</v>
      </c>
      <c r="AH83" s="143">
        <f t="shared" si="87"/>
        <v>17.2</v>
      </c>
      <c r="AI83" s="144">
        <f t="shared" si="88"/>
        <v>29.157045454545454</v>
      </c>
    </row>
    <row r="84" spans="2:35" ht="12" customHeight="1" x14ac:dyDescent="0.15">
      <c r="B84" s="123" t="s">
        <v>101</v>
      </c>
      <c r="C84" s="119">
        <v>22.8</v>
      </c>
      <c r="D84" s="119">
        <v>25.7</v>
      </c>
      <c r="E84" s="119">
        <v>26.3</v>
      </c>
      <c r="F84" s="119">
        <v>31.4</v>
      </c>
      <c r="G84" s="119">
        <v>34.4</v>
      </c>
      <c r="H84" s="119">
        <v>30.1</v>
      </c>
      <c r="I84" s="119">
        <v>35.4</v>
      </c>
      <c r="J84" s="119">
        <v>33.5</v>
      </c>
      <c r="K84" s="119">
        <v>32.200000000000003</v>
      </c>
      <c r="L84" s="119">
        <v>23.7</v>
      </c>
      <c r="M84" s="119">
        <v>26.1</v>
      </c>
      <c r="N84" s="119">
        <v>20.399999999999999</v>
      </c>
      <c r="O84" s="121">
        <f t="shared" si="77"/>
        <v>28.5</v>
      </c>
      <c r="P84" s="121">
        <f t="shared" si="78"/>
        <v>17.436995103274633</v>
      </c>
      <c r="Q84" s="122">
        <f t="shared" si="79"/>
        <v>1</v>
      </c>
      <c r="R84" s="140">
        <f t="shared" si="80"/>
        <v>24.933333333333334</v>
      </c>
      <c r="S84" s="150">
        <f t="shared" si="81"/>
        <v>1</v>
      </c>
      <c r="T84" s="140">
        <f t="shared" si="82"/>
        <v>33.700000000000003</v>
      </c>
      <c r="U84" s="150">
        <f t="shared" si="83"/>
        <v>1</v>
      </c>
      <c r="V84" s="141">
        <f t="shared" si="84"/>
        <v>28.5</v>
      </c>
      <c r="W84" s="142">
        <f t="shared" si="85"/>
        <v>1</v>
      </c>
      <c r="X84" s="144">
        <f t="shared" si="74"/>
        <v>20.576190476190479</v>
      </c>
      <c r="Y84" s="144">
        <f t="shared" si="75"/>
        <v>27.211111111111112</v>
      </c>
      <c r="Z84" s="144">
        <f t="shared" si="76"/>
        <v>23.717380952380953</v>
      </c>
      <c r="AA84" s="10"/>
      <c r="AB84" s="357" t="str">
        <f>VLOOKUP($B84,'2007-2020 Metadata'!$A$4:$S$214,MATCH("Urban Area /Monitoring Zone",'2007-2020 Metadata'!$A$4:$S$4,0),FALSE)</f>
        <v>Tauranga</v>
      </c>
      <c r="AC84" s="87" t="str">
        <f>VLOOKUP(B84,'2007-2020 Metadata'!$A$6:$A$214,1,FALSE)</f>
        <v>HAM018</v>
      </c>
      <c r="AD84" s="230" t="str">
        <f>VLOOKUP($AC84,'2007-2020 Metadata'!$A$6:$S$214,9,FALSE)</f>
        <v>Tauranga</v>
      </c>
      <c r="AE84" s="248">
        <f>IF(ISBLANK(VLOOKUP($AC84,'2007-2020 Metadata'!$A$6:$S$214,19,FALSE)),"",VLOOKUP($AC84,'2007-2020 Metadata'!$A$6:$S$214,19,FALSE))</f>
        <v>2.5</v>
      </c>
      <c r="AF84" s="88" t="str">
        <f>VLOOKUP($B84,'2007-2020 Metadata'!$A$4:$S$214,MATCH("Site type",'2007-2020 Metadata'!$A$4:$S$4,0),FALSE)</f>
        <v>SH</v>
      </c>
      <c r="AG84" s="143">
        <f t="shared" si="86"/>
        <v>20.399999999999999</v>
      </c>
      <c r="AH84" s="143">
        <f t="shared" si="87"/>
        <v>35.4</v>
      </c>
      <c r="AI84" s="144">
        <f t="shared" si="88"/>
        <v>23.717380952380953</v>
      </c>
    </row>
    <row r="85" spans="2:35" ht="12" customHeight="1" x14ac:dyDescent="0.15">
      <c r="B85" s="123" t="s">
        <v>102</v>
      </c>
      <c r="C85" s="119">
        <v>12.6</v>
      </c>
      <c r="D85" s="119">
        <v>15.6</v>
      </c>
      <c r="E85" s="119">
        <v>18.100000000000001</v>
      </c>
      <c r="F85" s="119">
        <v>19.8</v>
      </c>
      <c r="G85" s="119">
        <v>23.6</v>
      </c>
      <c r="H85" s="119">
        <v>21.2</v>
      </c>
      <c r="I85" s="119">
        <v>25.1</v>
      </c>
      <c r="J85" s="119">
        <v>25.1</v>
      </c>
      <c r="K85" s="119">
        <v>21.2</v>
      </c>
      <c r="L85" s="119">
        <v>14.8</v>
      </c>
      <c r="M85" s="119">
        <v>15.3</v>
      </c>
      <c r="N85" s="119">
        <v>11.6</v>
      </c>
      <c r="O85" s="121">
        <f t="shared" si="77"/>
        <v>18.666666666666668</v>
      </c>
      <c r="P85" s="121">
        <f t="shared" si="78"/>
        <v>25.23015577969953</v>
      </c>
      <c r="Q85" s="122">
        <f t="shared" si="79"/>
        <v>1</v>
      </c>
      <c r="R85" s="140">
        <f t="shared" si="80"/>
        <v>15.433333333333332</v>
      </c>
      <c r="S85" s="150">
        <f t="shared" si="81"/>
        <v>1</v>
      </c>
      <c r="T85" s="140">
        <f t="shared" si="82"/>
        <v>23.8</v>
      </c>
      <c r="U85" s="150">
        <f t="shared" si="83"/>
        <v>1</v>
      </c>
      <c r="V85" s="141">
        <f t="shared" si="84"/>
        <v>18.666666666666668</v>
      </c>
      <c r="W85" s="142">
        <f t="shared" si="85"/>
        <v>1</v>
      </c>
      <c r="X85" s="144">
        <f t="shared" si="74"/>
        <v>20.576190476190479</v>
      </c>
      <c r="Y85" s="144">
        <f t="shared" si="75"/>
        <v>27.211111111111112</v>
      </c>
      <c r="Z85" s="144">
        <f t="shared" si="76"/>
        <v>23.717380952380953</v>
      </c>
      <c r="AA85" s="10"/>
      <c r="AB85" s="357" t="str">
        <f>VLOOKUP($B85,'2007-2020 Metadata'!$A$4:$S$214,MATCH("Urban Area /Monitoring Zone",'2007-2020 Metadata'!$A$4:$S$4,0),FALSE)</f>
        <v>Tauranga</v>
      </c>
      <c r="AC85" s="87" t="str">
        <f>VLOOKUP(B85,'2007-2020 Metadata'!$A$6:$A$214,1,FALSE)</f>
        <v>HAM019</v>
      </c>
      <c r="AD85" s="230" t="str">
        <f>VLOOKUP($AC85,'2007-2020 Metadata'!$A$6:$S$214,9,FALSE)</f>
        <v>Tauranga</v>
      </c>
      <c r="AE85" s="248">
        <f>IF(ISBLANK(VLOOKUP($AC85,'2007-2020 Metadata'!$A$6:$S$214,19,FALSE)),"",VLOOKUP($AC85,'2007-2020 Metadata'!$A$6:$S$214,19,FALSE))</f>
        <v>2.7</v>
      </c>
      <c r="AF85" s="88" t="str">
        <f>VLOOKUP($B85,'2007-2020 Metadata'!$A$4:$S$214,MATCH("Site type",'2007-2020 Metadata'!$A$4:$S$4,0),FALSE)</f>
        <v>Local</v>
      </c>
      <c r="AG85" s="143">
        <f t="shared" si="86"/>
        <v>11.6</v>
      </c>
      <c r="AH85" s="143">
        <f t="shared" si="87"/>
        <v>25.1</v>
      </c>
      <c r="AI85" s="144">
        <f t="shared" si="88"/>
        <v>23.717380952380953</v>
      </c>
    </row>
    <row r="86" spans="2:35" ht="12" customHeight="1" x14ac:dyDescent="0.15">
      <c r="B86" s="123" t="s">
        <v>103</v>
      </c>
      <c r="C86" s="119">
        <v>13.4</v>
      </c>
      <c r="D86" s="119">
        <v>14.6</v>
      </c>
      <c r="E86" s="119">
        <v>20.7</v>
      </c>
      <c r="F86" s="119">
        <v>21.8</v>
      </c>
      <c r="G86" s="119">
        <v>23.3</v>
      </c>
      <c r="H86" s="119">
        <v>19.399999999999999</v>
      </c>
      <c r="I86" s="119">
        <v>28.5</v>
      </c>
      <c r="J86" s="119">
        <v>23.1</v>
      </c>
      <c r="K86" s="119">
        <v>18.899999999999999</v>
      </c>
      <c r="L86" s="119">
        <v>16</v>
      </c>
      <c r="M86" s="119">
        <v>15.8</v>
      </c>
      <c r="N86" s="119">
        <v>12.1</v>
      </c>
      <c r="O86" s="121">
        <f t="shared" si="77"/>
        <v>18.966666666666665</v>
      </c>
      <c r="P86" s="121">
        <f t="shared" si="78"/>
        <v>25.335833912550537</v>
      </c>
      <c r="Q86" s="122">
        <f t="shared" si="79"/>
        <v>1</v>
      </c>
      <c r="R86" s="140">
        <f t="shared" si="80"/>
        <v>16.233333333333334</v>
      </c>
      <c r="S86" s="150">
        <f t="shared" si="81"/>
        <v>1</v>
      </c>
      <c r="T86" s="140">
        <f t="shared" si="82"/>
        <v>23.5</v>
      </c>
      <c r="U86" s="150">
        <f t="shared" si="83"/>
        <v>1</v>
      </c>
      <c r="V86" s="141">
        <f t="shared" si="84"/>
        <v>18.966666666666665</v>
      </c>
      <c r="W86" s="142">
        <f t="shared" si="85"/>
        <v>1</v>
      </c>
      <c r="X86" s="144">
        <f t="shared" si="74"/>
        <v>20.576190476190479</v>
      </c>
      <c r="Y86" s="144">
        <f t="shared" si="75"/>
        <v>27.211111111111112</v>
      </c>
      <c r="Z86" s="144">
        <f t="shared" si="76"/>
        <v>23.717380952380953</v>
      </c>
      <c r="AA86" s="10"/>
      <c r="AB86" s="357" t="str">
        <f>VLOOKUP($B86,'2007-2020 Metadata'!$A$4:$S$214,MATCH("Urban Area /Monitoring Zone",'2007-2020 Metadata'!$A$4:$S$4,0),FALSE)</f>
        <v>Tauranga</v>
      </c>
      <c r="AC86" s="87" t="str">
        <f>VLOOKUP(B86,'2007-2020 Metadata'!$A$6:$A$214,1,FALSE)</f>
        <v>HAM020</v>
      </c>
      <c r="AD86" s="230" t="str">
        <f>VLOOKUP($AC86,'2007-2020 Metadata'!$A$6:$S$214,9,FALSE)</f>
        <v>Tauranga</v>
      </c>
      <c r="AE86" s="248">
        <f>IF(ISBLANK(VLOOKUP($AC86,'2007-2020 Metadata'!$A$6:$S$214,19,FALSE)),"",VLOOKUP($AC86,'2007-2020 Metadata'!$A$6:$S$214,19,FALSE))</f>
        <v>2.8</v>
      </c>
      <c r="AF86" s="88" t="str">
        <f>VLOOKUP($B86,'2007-2020 Metadata'!$A$4:$S$214,MATCH("Site type",'2007-2020 Metadata'!$A$4:$S$4,0),FALSE)</f>
        <v>Local</v>
      </c>
      <c r="AG86" s="143">
        <f t="shared" si="86"/>
        <v>12.1</v>
      </c>
      <c r="AH86" s="143">
        <f t="shared" si="87"/>
        <v>28.5</v>
      </c>
      <c r="AI86" s="144">
        <f t="shared" si="88"/>
        <v>23.717380952380953</v>
      </c>
    </row>
    <row r="87" spans="2:35" ht="12" customHeight="1" x14ac:dyDescent="0.15">
      <c r="B87" s="123" t="s">
        <v>104</v>
      </c>
      <c r="C87" s="119">
        <v>7.7</v>
      </c>
      <c r="D87" s="119">
        <v>9.4</v>
      </c>
      <c r="E87" s="119">
        <v>9.9</v>
      </c>
      <c r="F87" s="119">
        <v>11.6</v>
      </c>
      <c r="G87" s="119">
        <v>12.1</v>
      </c>
      <c r="H87" s="119">
        <v>10.9</v>
      </c>
      <c r="I87" s="119">
        <v>12</v>
      </c>
      <c r="J87" s="119">
        <v>14</v>
      </c>
      <c r="K87" s="119">
        <v>8.1999999999999993</v>
      </c>
      <c r="L87" s="119">
        <v>9.3000000000000007</v>
      </c>
      <c r="M87" s="119">
        <v>9</v>
      </c>
      <c r="N87" s="119">
        <v>6.7</v>
      </c>
      <c r="O87" s="121">
        <f t="shared" si="77"/>
        <v>10.066666666666666</v>
      </c>
      <c r="P87" s="121">
        <f t="shared" si="78"/>
        <v>20.967446860846369</v>
      </c>
      <c r="Q87" s="122">
        <f t="shared" si="79"/>
        <v>1</v>
      </c>
      <c r="R87" s="140">
        <f t="shared" si="80"/>
        <v>9</v>
      </c>
      <c r="S87" s="150">
        <f t="shared" si="81"/>
        <v>1</v>
      </c>
      <c r="T87" s="140">
        <f t="shared" si="82"/>
        <v>11.4</v>
      </c>
      <c r="U87" s="150">
        <f t="shared" si="83"/>
        <v>1</v>
      </c>
      <c r="V87" s="141">
        <f t="shared" si="84"/>
        <v>10.066666666666666</v>
      </c>
      <c r="W87" s="142">
        <f t="shared" si="85"/>
        <v>1</v>
      </c>
      <c r="X87" s="144">
        <f t="shared" si="74"/>
        <v>20.576190476190479</v>
      </c>
      <c r="Y87" s="144">
        <f t="shared" si="75"/>
        <v>27.211111111111112</v>
      </c>
      <c r="Z87" s="144">
        <f t="shared" si="76"/>
        <v>23.717380952380953</v>
      </c>
      <c r="AA87" s="10"/>
      <c r="AB87" s="357" t="str">
        <f>VLOOKUP($B87,'2007-2020 Metadata'!$A$4:$S$214,MATCH("Urban Area /Monitoring Zone",'2007-2020 Metadata'!$A$4:$S$4,0),FALSE)</f>
        <v>Tauranga</v>
      </c>
      <c r="AC87" s="87" t="str">
        <f>VLOOKUP(B87,'2007-2020 Metadata'!$A$6:$A$214,1,FALSE)</f>
        <v>HAM021</v>
      </c>
      <c r="AD87" s="230" t="str">
        <f>VLOOKUP($AC87,'2007-2020 Metadata'!$A$6:$S$214,9,FALSE)</f>
        <v>Tauranga</v>
      </c>
      <c r="AE87" s="248">
        <f>IF(ISBLANK(VLOOKUP($AC87,'2007-2020 Metadata'!$A$6:$S$214,19,FALSE)),"",VLOOKUP($AC87,'2007-2020 Metadata'!$A$6:$S$214,19,FALSE))</f>
        <v>3</v>
      </c>
      <c r="AF87" s="88" t="str">
        <f>VLOOKUP($B87,'2007-2020 Metadata'!$A$4:$S$214,MATCH("Site type",'2007-2020 Metadata'!$A$4:$S$4,0),FALSE)</f>
        <v>Background</v>
      </c>
      <c r="AG87" s="143">
        <f t="shared" si="86"/>
        <v>6.7</v>
      </c>
      <c r="AH87" s="143">
        <f t="shared" si="87"/>
        <v>14</v>
      </c>
      <c r="AI87" s="144">
        <f t="shared" si="88"/>
        <v>23.717380952380953</v>
      </c>
    </row>
    <row r="88" spans="2:35" ht="12" customHeight="1" x14ac:dyDescent="0.15">
      <c r="B88" s="123" t="s">
        <v>105</v>
      </c>
      <c r="C88" s="119">
        <v>15.7</v>
      </c>
      <c r="D88" s="119">
        <v>16.5</v>
      </c>
      <c r="E88" s="119">
        <v>21.6</v>
      </c>
      <c r="F88" s="119">
        <v>23</v>
      </c>
      <c r="G88" s="119">
        <v>24.7</v>
      </c>
      <c r="H88" s="119">
        <v>24.4</v>
      </c>
      <c r="I88" s="119">
        <v>21.9</v>
      </c>
      <c r="J88" s="119">
        <v>22.8</v>
      </c>
      <c r="K88" s="119">
        <v>18.5</v>
      </c>
      <c r="L88" s="119">
        <v>18.7</v>
      </c>
      <c r="M88" s="119">
        <v>18.3</v>
      </c>
      <c r="N88" s="119">
        <v>12.7</v>
      </c>
      <c r="O88" s="121">
        <f t="shared" si="77"/>
        <v>19.900000000000002</v>
      </c>
      <c r="P88" s="121">
        <f t="shared" si="78"/>
        <v>18.875411981532036</v>
      </c>
      <c r="Q88" s="122">
        <f t="shared" si="79"/>
        <v>1</v>
      </c>
      <c r="R88" s="140">
        <f t="shared" si="80"/>
        <v>17.933333333333334</v>
      </c>
      <c r="S88" s="150">
        <f t="shared" si="81"/>
        <v>1</v>
      </c>
      <c r="T88" s="140">
        <f t="shared" si="82"/>
        <v>21.066666666666666</v>
      </c>
      <c r="U88" s="150">
        <f t="shared" si="83"/>
        <v>1</v>
      </c>
      <c r="V88" s="141">
        <f t="shared" si="84"/>
        <v>19.900000000000002</v>
      </c>
      <c r="W88" s="142">
        <f t="shared" si="85"/>
        <v>1</v>
      </c>
      <c r="X88" s="144">
        <f t="shared" si="74"/>
        <v>17.933333333333334</v>
      </c>
      <c r="Y88" s="144">
        <f t="shared" si="75"/>
        <v>21.066666666666666</v>
      </c>
      <c r="Z88" s="144">
        <f t="shared" si="76"/>
        <v>19.900000000000002</v>
      </c>
      <c r="AA88" s="10"/>
      <c r="AB88" s="357" t="str">
        <f>VLOOKUP($B88,'2007-2020 Metadata'!$A$4:$S$214,MATCH("Urban Area /Monitoring Zone",'2007-2020 Metadata'!$A$4:$S$4,0),FALSE)</f>
        <v>Te Awamutu</v>
      </c>
      <c r="AC88" s="87" t="str">
        <f>VLOOKUP(B88,'2007-2020 Metadata'!$A$6:$A$214,1,FALSE)</f>
        <v>HAM022</v>
      </c>
      <c r="AD88" s="230" t="str">
        <f>VLOOKUP($AC88,'2007-2020 Metadata'!$A$6:$S$214,9,FALSE)</f>
        <v>Te Awamutu</v>
      </c>
      <c r="AE88" s="248">
        <f>IF(ISBLANK(VLOOKUP($AC88,'2007-2020 Metadata'!$A$6:$S$214,19,FALSE)),"",VLOOKUP($AC88,'2007-2020 Metadata'!$A$6:$S$214,19,FALSE))</f>
        <v>3</v>
      </c>
      <c r="AF88" s="88" t="str">
        <f>VLOOKUP($B88,'2007-2020 Metadata'!$A$4:$S$214,MATCH("Site type",'2007-2020 Metadata'!$A$4:$S$4,0),FALSE)</f>
        <v>SH</v>
      </c>
      <c r="AG88" s="143">
        <f t="shared" si="86"/>
        <v>12.7</v>
      </c>
      <c r="AH88" s="143">
        <f t="shared" si="87"/>
        <v>24.7</v>
      </c>
      <c r="AI88" s="144">
        <f t="shared" si="88"/>
        <v>19.900000000000002</v>
      </c>
    </row>
    <row r="89" spans="2:35" ht="12" customHeight="1" x14ac:dyDescent="0.15">
      <c r="B89" s="123" t="s">
        <v>106</v>
      </c>
      <c r="C89" s="119">
        <v>7.2</v>
      </c>
      <c r="D89" s="119">
        <v>8.1999999999999993</v>
      </c>
      <c r="E89" s="119">
        <v>9.4</v>
      </c>
      <c r="F89" s="119">
        <v>10.8</v>
      </c>
      <c r="G89" s="119">
        <v>11.5</v>
      </c>
      <c r="H89" s="119">
        <v>10.9</v>
      </c>
      <c r="I89" s="119">
        <v>12.1</v>
      </c>
      <c r="J89" s="119">
        <v>11.7</v>
      </c>
      <c r="K89" s="119">
        <v>7.4</v>
      </c>
      <c r="L89" s="119">
        <v>4.7</v>
      </c>
      <c r="M89" s="119">
        <v>6.2</v>
      </c>
      <c r="N89" s="119">
        <v>5.0999999999999996</v>
      </c>
      <c r="O89" s="121">
        <f t="shared" si="77"/>
        <v>8.7666666666666675</v>
      </c>
      <c r="P89" s="121">
        <f t="shared" si="78"/>
        <v>30.274895518365962</v>
      </c>
      <c r="Q89" s="122">
        <f t="shared" si="79"/>
        <v>1</v>
      </c>
      <c r="R89" s="140">
        <f t="shared" si="80"/>
        <v>8.2666666666666657</v>
      </c>
      <c r="S89" s="150">
        <f t="shared" si="81"/>
        <v>1</v>
      </c>
      <c r="T89" s="140">
        <f t="shared" si="82"/>
        <v>10.399999999999999</v>
      </c>
      <c r="U89" s="150">
        <f t="shared" si="83"/>
        <v>1</v>
      </c>
      <c r="V89" s="141">
        <f t="shared" si="84"/>
        <v>8.7666666666666675</v>
      </c>
      <c r="W89" s="142">
        <f t="shared" si="85"/>
        <v>1</v>
      </c>
      <c r="X89" s="144">
        <f t="shared" si="74"/>
        <v>12.65</v>
      </c>
      <c r="Y89" s="144">
        <f t="shared" si="75"/>
        <v>17.95</v>
      </c>
      <c r="Z89" s="144">
        <f t="shared" si="76"/>
        <v>15.004166666666666</v>
      </c>
      <c r="AA89" s="10"/>
      <c r="AB89" s="357" t="str">
        <f>VLOOKUP($B89,'2007-2020 Metadata'!$A$4:$S$214,MATCH("Urban Area /Monitoring Zone",'2007-2020 Metadata'!$A$4:$S$4,0),FALSE)</f>
        <v>Rotorua</v>
      </c>
      <c r="AC89" s="87" t="str">
        <f>VLOOKUP(B89,'2007-2020 Metadata'!$A$6:$A$214,1,FALSE)</f>
        <v>HAM023</v>
      </c>
      <c r="AD89" s="230" t="str">
        <f>VLOOKUP($AC89,'2007-2020 Metadata'!$A$6:$S$214,9,FALSE)</f>
        <v>Rotorua</v>
      </c>
      <c r="AE89" s="248">
        <f>IF(ISBLANK(VLOOKUP($AC89,'2007-2020 Metadata'!$A$6:$S$214,19,FALSE)),"",VLOOKUP($AC89,'2007-2020 Metadata'!$A$6:$S$214,19,FALSE))</f>
        <v>2.5</v>
      </c>
      <c r="AF89" s="88" t="str">
        <f>VLOOKUP($B89,'2007-2020 Metadata'!$A$4:$S$214,MATCH("Site type",'2007-2020 Metadata'!$A$4:$S$4,0),FALSE)</f>
        <v>Background</v>
      </c>
      <c r="AG89" s="143">
        <f t="shared" si="86"/>
        <v>4.7</v>
      </c>
      <c r="AH89" s="143">
        <f t="shared" si="87"/>
        <v>12.1</v>
      </c>
      <c r="AI89" s="144">
        <f t="shared" si="88"/>
        <v>15.004166666666666</v>
      </c>
    </row>
    <row r="90" spans="2:35" ht="12" customHeight="1" x14ac:dyDescent="0.15">
      <c r="B90" s="123" t="s">
        <v>42</v>
      </c>
      <c r="C90" s="119">
        <v>12.2</v>
      </c>
      <c r="D90" s="119">
        <v>12.9</v>
      </c>
      <c r="E90" s="119">
        <v>16.2</v>
      </c>
      <c r="F90" s="119">
        <v>18.600000000000001</v>
      </c>
      <c r="G90" s="119">
        <v>19.899999999999999</v>
      </c>
      <c r="H90" s="119">
        <v>17.100000000000001</v>
      </c>
      <c r="I90" s="119">
        <v>20.6</v>
      </c>
      <c r="J90" s="119">
        <v>17.899999999999999</v>
      </c>
      <c r="K90" s="119">
        <v>12.2</v>
      </c>
      <c r="L90" s="119">
        <v>15.4</v>
      </c>
      <c r="M90" s="119">
        <v>13.3</v>
      </c>
      <c r="N90" s="119">
        <v>9.9</v>
      </c>
      <c r="O90" s="121">
        <f t="shared" si="77"/>
        <v>15.516666666666667</v>
      </c>
      <c r="P90" s="121">
        <f t="shared" si="78"/>
        <v>22.03021539696946</v>
      </c>
      <c r="Q90" s="122">
        <f t="shared" si="79"/>
        <v>1</v>
      </c>
      <c r="R90" s="140">
        <f t="shared" si="80"/>
        <v>13.766666666666666</v>
      </c>
      <c r="S90" s="150">
        <f t="shared" si="81"/>
        <v>1</v>
      </c>
      <c r="T90" s="140">
        <f t="shared" si="82"/>
        <v>16.900000000000002</v>
      </c>
      <c r="U90" s="150">
        <f t="shared" si="83"/>
        <v>1</v>
      </c>
      <c r="V90" s="141">
        <f t="shared" si="84"/>
        <v>15.516666666666667</v>
      </c>
      <c r="W90" s="142">
        <f t="shared" si="85"/>
        <v>1</v>
      </c>
      <c r="X90" s="144">
        <f t="shared" si="74"/>
        <v>13.766666666666666</v>
      </c>
      <c r="Y90" s="144">
        <f t="shared" si="75"/>
        <v>16.900000000000002</v>
      </c>
      <c r="Z90" s="144">
        <f t="shared" si="76"/>
        <v>15.516666666666667</v>
      </c>
      <c r="AA90" s="10"/>
      <c r="AB90" s="357" t="str">
        <f>VLOOKUP($B90,'2007-2020 Metadata'!$A$4:$S$214,MATCH("Urban Area /Monitoring Zone",'2007-2020 Metadata'!$A$4:$S$4,0),FALSE)</f>
        <v>Gisborne</v>
      </c>
      <c r="AC90" s="87" t="str">
        <f>VLOOKUP(B90,'2007-2020 Metadata'!$A$6:$A$214,1,FALSE)</f>
        <v>NAP001</v>
      </c>
      <c r="AD90" s="230" t="str">
        <f>VLOOKUP($AC90,'2007-2020 Metadata'!$A$6:$S$214,9,FALSE)</f>
        <v>Gisborne</v>
      </c>
      <c r="AE90" s="248">
        <f>IF(ISBLANK(VLOOKUP($AC90,'2007-2020 Metadata'!$A$6:$S$214,19,FALSE)),"",VLOOKUP($AC90,'2007-2020 Metadata'!$A$6:$S$214,19,FALSE))</f>
        <v>3</v>
      </c>
      <c r="AF90" s="88" t="str">
        <f>VLOOKUP($B90,'2007-2020 Metadata'!$A$4:$S$214,MATCH("Site type",'2007-2020 Metadata'!$A$4:$S$4,0),FALSE)</f>
        <v>SH</v>
      </c>
      <c r="AG90" s="143">
        <f t="shared" si="86"/>
        <v>9.9</v>
      </c>
      <c r="AH90" s="143">
        <f t="shared" si="87"/>
        <v>20.6</v>
      </c>
      <c r="AI90" s="144">
        <f t="shared" si="88"/>
        <v>15.516666666666667</v>
      </c>
    </row>
    <row r="91" spans="2:35" ht="12" customHeight="1" x14ac:dyDescent="0.15">
      <c r="B91" s="123" t="s">
        <v>43</v>
      </c>
      <c r="C91" s="119">
        <v>13.1</v>
      </c>
      <c r="D91" s="119">
        <v>13.1</v>
      </c>
      <c r="E91" s="119">
        <v>17</v>
      </c>
      <c r="F91" s="119">
        <v>27.3</v>
      </c>
      <c r="G91" s="119">
        <v>25.8</v>
      </c>
      <c r="H91" s="119">
        <v>22.2</v>
      </c>
      <c r="I91" s="119">
        <v>27</v>
      </c>
      <c r="J91" s="119">
        <v>22.1</v>
      </c>
      <c r="K91" s="119">
        <v>22.5</v>
      </c>
      <c r="L91" s="119">
        <v>16.899999999999999</v>
      </c>
      <c r="M91" s="119">
        <v>12.5</v>
      </c>
      <c r="N91" s="119">
        <v>13.2</v>
      </c>
      <c r="O91" s="121">
        <f t="shared" si="77"/>
        <v>19.391666666666666</v>
      </c>
      <c r="P91" s="121">
        <f t="shared" si="78"/>
        <v>29.636485317330319</v>
      </c>
      <c r="Q91" s="122">
        <f t="shared" si="79"/>
        <v>1</v>
      </c>
      <c r="R91" s="140">
        <f t="shared" si="80"/>
        <v>14.4</v>
      </c>
      <c r="S91" s="150">
        <f t="shared" si="81"/>
        <v>1</v>
      </c>
      <c r="T91" s="140">
        <f t="shared" si="82"/>
        <v>23.866666666666664</v>
      </c>
      <c r="U91" s="150">
        <f t="shared" si="83"/>
        <v>1</v>
      </c>
      <c r="V91" s="141">
        <f t="shared" si="84"/>
        <v>19.391666666666666</v>
      </c>
      <c r="W91" s="142">
        <f t="shared" si="85"/>
        <v>1</v>
      </c>
      <c r="X91" s="144">
        <f t="shared" si="74"/>
        <v>14.822222222222223</v>
      </c>
      <c r="Y91" s="144">
        <f t="shared" si="75"/>
        <v>19.366666666666664</v>
      </c>
      <c r="Z91" s="144">
        <f t="shared" si="76"/>
        <v>17.274999999999999</v>
      </c>
      <c r="AA91" s="10"/>
      <c r="AB91" s="357" t="str">
        <f>VLOOKUP($B91,'2007-2020 Metadata'!$A$4:$S$214,MATCH("Urban Area /Monitoring Zone",'2007-2020 Metadata'!$A$4:$S$4,0),FALSE)</f>
        <v>Napier</v>
      </c>
      <c r="AC91" s="87" t="str">
        <f>VLOOKUP(B91,'2007-2020 Metadata'!$A$6:$A$214,1,FALSE)</f>
        <v>NAP002</v>
      </c>
      <c r="AD91" s="230" t="str">
        <f>VLOOKUP($AC91,'2007-2020 Metadata'!$A$6:$S$214,9,FALSE)</f>
        <v>Napier</v>
      </c>
      <c r="AE91" s="248">
        <f>IF(ISBLANK(VLOOKUP($AC91,'2007-2020 Metadata'!$A$6:$S$214,19,FALSE)),"",VLOOKUP($AC91,'2007-2020 Metadata'!$A$6:$S$214,19,FALSE))</f>
        <v>3</v>
      </c>
      <c r="AF91" s="88" t="str">
        <f>VLOOKUP($B91,'2007-2020 Metadata'!$A$4:$S$214,MATCH("Site type",'2007-2020 Metadata'!$A$4:$S$4,0),FALSE)</f>
        <v>SH</v>
      </c>
      <c r="AG91" s="143">
        <f t="shared" si="86"/>
        <v>12.5</v>
      </c>
      <c r="AH91" s="143">
        <f t="shared" si="87"/>
        <v>27.3</v>
      </c>
      <c r="AI91" s="144">
        <f t="shared" si="88"/>
        <v>17.274999999999999</v>
      </c>
    </row>
    <row r="92" spans="2:35" ht="12" customHeight="1" x14ac:dyDescent="0.15">
      <c r="B92" s="123" t="s">
        <v>44</v>
      </c>
      <c r="C92" s="119">
        <v>20.7</v>
      </c>
      <c r="D92" s="119">
        <v>20.7</v>
      </c>
      <c r="E92" s="119">
        <v>26.4</v>
      </c>
      <c r="F92" s="119">
        <v>28.5</v>
      </c>
      <c r="G92" s="119">
        <v>25.1</v>
      </c>
      <c r="H92" s="119">
        <v>22.4</v>
      </c>
      <c r="I92" s="119">
        <v>25.6</v>
      </c>
      <c r="J92" s="119">
        <v>28.4</v>
      </c>
      <c r="K92" s="119">
        <v>16.600000000000001</v>
      </c>
      <c r="L92" s="119">
        <v>23.1</v>
      </c>
      <c r="M92" s="119">
        <v>25.2</v>
      </c>
      <c r="N92" s="119">
        <v>19.7</v>
      </c>
      <c r="O92" s="121">
        <f t="shared" si="77"/>
        <v>23.533333333333331</v>
      </c>
      <c r="P92" s="121">
        <f t="shared" si="78"/>
        <v>15.500342775167347</v>
      </c>
      <c r="Q92" s="122">
        <f t="shared" si="79"/>
        <v>1</v>
      </c>
      <c r="R92" s="140">
        <f t="shared" si="80"/>
        <v>22.599999999999998</v>
      </c>
      <c r="S92" s="150">
        <f t="shared" si="81"/>
        <v>1</v>
      </c>
      <c r="T92" s="140">
        <f t="shared" si="82"/>
        <v>23.533333333333331</v>
      </c>
      <c r="U92" s="150">
        <f t="shared" si="83"/>
        <v>1</v>
      </c>
      <c r="V92" s="141">
        <f t="shared" si="84"/>
        <v>23.533333333333331</v>
      </c>
      <c r="W92" s="142">
        <f t="shared" si="85"/>
        <v>1</v>
      </c>
      <c r="X92" s="144">
        <f t="shared" si="74"/>
        <v>14.822222222222223</v>
      </c>
      <c r="Y92" s="144">
        <f t="shared" si="75"/>
        <v>19.366666666666664</v>
      </c>
      <c r="Z92" s="144">
        <f t="shared" si="76"/>
        <v>17.274999999999999</v>
      </c>
      <c r="AA92" s="10"/>
      <c r="AB92" s="357" t="str">
        <f>VLOOKUP($B92,'2007-2020 Metadata'!$A$4:$S$214,MATCH("Urban Area /Monitoring Zone",'2007-2020 Metadata'!$A$4:$S$4,0),FALSE)</f>
        <v>Napier</v>
      </c>
      <c r="AC92" s="87" t="str">
        <f>VLOOKUP(B92,'2007-2020 Metadata'!$A$6:$A$214,1,FALSE)</f>
        <v>NAP003</v>
      </c>
      <c r="AD92" s="230" t="str">
        <f>VLOOKUP($AC92,'2007-2020 Metadata'!$A$6:$S$214,9,FALSE)</f>
        <v>Napier</v>
      </c>
      <c r="AE92" s="248">
        <f>IF(ISBLANK(VLOOKUP($AC92,'2007-2020 Metadata'!$A$6:$S$214,19,FALSE)),"",VLOOKUP($AC92,'2007-2020 Metadata'!$A$6:$S$214,19,FALSE))</f>
        <v>3</v>
      </c>
      <c r="AF92" s="88" t="str">
        <f>VLOOKUP($B92,'2007-2020 Metadata'!$A$4:$S$214,MATCH("Site type",'2007-2020 Metadata'!$A$4:$S$4,0),FALSE)</f>
        <v>SH</v>
      </c>
      <c r="AG92" s="143">
        <f t="shared" si="86"/>
        <v>16.600000000000001</v>
      </c>
      <c r="AH92" s="143">
        <f t="shared" si="87"/>
        <v>28.5</v>
      </c>
      <c r="AI92" s="144">
        <f t="shared" si="88"/>
        <v>17.274999999999999</v>
      </c>
    </row>
    <row r="93" spans="2:35" ht="12" customHeight="1" x14ac:dyDescent="0.15">
      <c r="B93" s="123" t="s">
        <v>45</v>
      </c>
      <c r="C93" s="119">
        <v>21.9</v>
      </c>
      <c r="D93" s="119">
        <v>21.9</v>
      </c>
      <c r="E93" s="119">
        <v>28.8</v>
      </c>
      <c r="F93" s="119">
        <v>25.7</v>
      </c>
      <c r="G93" s="119">
        <v>28.3</v>
      </c>
      <c r="H93" s="119">
        <v>21.4</v>
      </c>
      <c r="I93" s="119">
        <v>23.4</v>
      </c>
      <c r="J93" s="119">
        <v>21.5</v>
      </c>
      <c r="K93" s="119">
        <v>17.7</v>
      </c>
      <c r="L93" s="119">
        <v>21.1</v>
      </c>
      <c r="M93" s="119">
        <v>21.4</v>
      </c>
      <c r="N93" s="119">
        <v>17.899999999999999</v>
      </c>
      <c r="O93" s="121">
        <f t="shared" si="77"/>
        <v>22.583333333333332</v>
      </c>
      <c r="P93" s="121">
        <f t="shared" si="78"/>
        <v>15.489334721155437</v>
      </c>
      <c r="Q93" s="122">
        <f t="shared" si="79"/>
        <v>1</v>
      </c>
      <c r="R93" s="140">
        <f t="shared" si="80"/>
        <v>24.2</v>
      </c>
      <c r="S93" s="150">
        <f t="shared" si="81"/>
        <v>1</v>
      </c>
      <c r="T93" s="140">
        <f t="shared" si="82"/>
        <v>20.866666666666664</v>
      </c>
      <c r="U93" s="150">
        <f t="shared" si="83"/>
        <v>1</v>
      </c>
      <c r="V93" s="141">
        <f t="shared" si="84"/>
        <v>22.583333333333332</v>
      </c>
      <c r="W93" s="142">
        <f t="shared" si="85"/>
        <v>1</v>
      </c>
      <c r="X93" s="144">
        <f t="shared" si="74"/>
        <v>15.8</v>
      </c>
      <c r="Y93" s="144">
        <f t="shared" si="75"/>
        <v>16.733333333333331</v>
      </c>
      <c r="Z93" s="144">
        <f t="shared" si="76"/>
        <v>16.55</v>
      </c>
      <c r="AA93" s="10"/>
      <c r="AB93" s="357" t="str">
        <f>VLOOKUP($B93,'2007-2020 Metadata'!$A$4:$S$214,MATCH("Urban Area /Monitoring Zone",'2007-2020 Metadata'!$A$4:$S$4,0),FALSE)</f>
        <v>Hastings</v>
      </c>
      <c r="AC93" s="87" t="str">
        <f>VLOOKUP(B93,'2007-2020 Metadata'!$A$6:$A$214,1,FALSE)</f>
        <v>NAP004</v>
      </c>
      <c r="AD93" s="230" t="str">
        <f>VLOOKUP($AC93,'2007-2020 Metadata'!$A$6:$S$214,9,FALSE)</f>
        <v>Hastings</v>
      </c>
      <c r="AE93" s="248">
        <f>IF(ISBLANK(VLOOKUP($AC93,'2007-2020 Metadata'!$A$6:$S$214,19,FALSE)),"",VLOOKUP($AC93,'2007-2020 Metadata'!$A$6:$S$214,19,FALSE))</f>
        <v>3</v>
      </c>
      <c r="AF93" s="88" t="str">
        <f>VLOOKUP($B93,'2007-2020 Metadata'!$A$4:$S$214,MATCH("Site type",'2007-2020 Metadata'!$A$4:$S$4,0),FALSE)</f>
        <v>SH</v>
      </c>
      <c r="AG93" s="143">
        <f t="shared" si="86"/>
        <v>17.7</v>
      </c>
      <c r="AH93" s="143">
        <f t="shared" si="87"/>
        <v>28.8</v>
      </c>
      <c r="AI93" s="144">
        <f t="shared" si="88"/>
        <v>16.55</v>
      </c>
    </row>
    <row r="94" spans="2:35" ht="12" customHeight="1" x14ac:dyDescent="0.15">
      <c r="B94" s="123" t="s">
        <v>107</v>
      </c>
      <c r="C94" s="119">
        <v>4.4000000000000004</v>
      </c>
      <c r="D94" s="119">
        <v>4.4000000000000004</v>
      </c>
      <c r="E94" s="119">
        <v>13.4</v>
      </c>
      <c r="F94" s="119">
        <v>13.2</v>
      </c>
      <c r="G94" s="119">
        <v>17</v>
      </c>
      <c r="H94" s="119">
        <v>14</v>
      </c>
      <c r="I94" s="119">
        <v>14.5</v>
      </c>
      <c r="J94" s="119">
        <v>12.1</v>
      </c>
      <c r="K94" s="119">
        <v>11.2</v>
      </c>
      <c r="L94" s="119">
        <v>7.4</v>
      </c>
      <c r="M94" s="119">
        <v>8</v>
      </c>
      <c r="N94" s="119">
        <v>6.6</v>
      </c>
      <c r="O94" s="121">
        <f t="shared" si="77"/>
        <v>10.516666666666667</v>
      </c>
      <c r="P94" s="121">
        <f>IFERROR((STDEV(C94:N94)/O94)*100,"")</f>
        <v>40.008237025516614</v>
      </c>
      <c r="Q94" s="122">
        <f t="shared" si="79"/>
        <v>1</v>
      </c>
      <c r="R94" s="140">
        <f t="shared" si="80"/>
        <v>7.4000000000000012</v>
      </c>
      <c r="S94" s="150">
        <f t="shared" si="81"/>
        <v>1</v>
      </c>
      <c r="T94" s="140">
        <f t="shared" si="82"/>
        <v>12.6</v>
      </c>
      <c r="U94" s="150">
        <f t="shared" si="83"/>
        <v>1</v>
      </c>
      <c r="V94" s="141">
        <f t="shared" si="84"/>
        <v>10.516666666666667</v>
      </c>
      <c r="W94" s="142">
        <f t="shared" si="85"/>
        <v>1</v>
      </c>
      <c r="X94" s="144">
        <f t="shared" si="74"/>
        <v>15.8</v>
      </c>
      <c r="Y94" s="144">
        <f t="shared" si="75"/>
        <v>16.733333333333331</v>
      </c>
      <c r="Z94" s="144">
        <f t="shared" si="76"/>
        <v>16.55</v>
      </c>
      <c r="AA94" s="10"/>
      <c r="AB94" s="357" t="str">
        <f>VLOOKUP($B94,'2007-2020 Metadata'!$A$4:$S$214,MATCH("Urban Area /Monitoring Zone",'2007-2020 Metadata'!$A$4:$S$4,0),FALSE)</f>
        <v>Hastings</v>
      </c>
      <c r="AC94" s="87" t="str">
        <f>VLOOKUP(B94,'2007-2020 Metadata'!$A$6:$A$214,1,FALSE)</f>
        <v>NAP005</v>
      </c>
      <c r="AD94" s="230" t="str">
        <f>VLOOKUP($AC94,'2007-2020 Metadata'!$A$6:$S$214,9,FALSE)</f>
        <v>Hastings</v>
      </c>
      <c r="AE94" s="248">
        <f>IF(ISBLANK(VLOOKUP($AC94,'2007-2020 Metadata'!$A$6:$S$214,19,FALSE)),"",VLOOKUP($AC94,'2007-2020 Metadata'!$A$6:$S$214,19,FALSE))</f>
        <v>2.7</v>
      </c>
      <c r="AF94" s="88" t="str">
        <f>VLOOKUP($B94,'2007-2020 Metadata'!$A$4:$S$214,MATCH("Site type",'2007-2020 Metadata'!$A$4:$S$4,0),FALSE)</f>
        <v>Background</v>
      </c>
      <c r="AG94" s="143">
        <f t="shared" si="86"/>
        <v>4.4000000000000004</v>
      </c>
      <c r="AH94" s="143">
        <f t="shared" si="87"/>
        <v>17</v>
      </c>
      <c r="AI94" s="144">
        <f t="shared" si="88"/>
        <v>16.55</v>
      </c>
    </row>
    <row r="95" spans="2:35" ht="12" customHeight="1" x14ac:dyDescent="0.15">
      <c r="B95" s="123" t="s">
        <v>108</v>
      </c>
      <c r="C95" s="119">
        <v>6</v>
      </c>
      <c r="D95" s="119">
        <v>6</v>
      </c>
      <c r="E95" s="119">
        <v>10.4</v>
      </c>
      <c r="F95" s="119">
        <v>11.9</v>
      </c>
      <c r="G95" s="119">
        <v>11.8</v>
      </c>
      <c r="H95" s="119">
        <v>9.9</v>
      </c>
      <c r="I95" s="119">
        <v>10.9</v>
      </c>
      <c r="J95" s="119">
        <v>11.7</v>
      </c>
      <c r="K95" s="119">
        <v>9.5</v>
      </c>
      <c r="L95" s="119">
        <v>7.9</v>
      </c>
      <c r="M95" s="119">
        <v>6</v>
      </c>
      <c r="N95" s="119">
        <v>4.8</v>
      </c>
      <c r="O95" s="121">
        <f t="shared" si="77"/>
        <v>8.9</v>
      </c>
      <c r="P95" s="121">
        <f t="shared" si="78"/>
        <v>29.514439408008325</v>
      </c>
      <c r="Q95" s="122">
        <f t="shared" si="79"/>
        <v>1</v>
      </c>
      <c r="R95" s="140">
        <f t="shared" si="80"/>
        <v>7.4666666666666659</v>
      </c>
      <c r="S95" s="150">
        <f t="shared" si="81"/>
        <v>1</v>
      </c>
      <c r="T95" s="140">
        <f t="shared" si="82"/>
        <v>10.700000000000001</v>
      </c>
      <c r="U95" s="150">
        <f t="shared" si="83"/>
        <v>1</v>
      </c>
      <c r="V95" s="141">
        <f t="shared" si="84"/>
        <v>8.9</v>
      </c>
      <c r="W95" s="142">
        <f t="shared" si="85"/>
        <v>1</v>
      </c>
      <c r="X95" s="144">
        <f t="shared" si="74"/>
        <v>14.822222222222223</v>
      </c>
      <c r="Y95" s="144">
        <f t="shared" si="75"/>
        <v>19.366666666666664</v>
      </c>
      <c r="Z95" s="144">
        <f t="shared" si="76"/>
        <v>17.274999999999999</v>
      </c>
      <c r="AA95" s="10"/>
      <c r="AB95" s="357" t="str">
        <f>VLOOKUP($B95,'2007-2020 Metadata'!$A$4:$S$214,MATCH("Urban Area /Monitoring Zone",'2007-2020 Metadata'!$A$4:$S$4,0),FALSE)</f>
        <v>Napier</v>
      </c>
      <c r="AC95" s="87" t="str">
        <f>VLOOKUP(B95,'2007-2020 Metadata'!$A$6:$A$214,1,FALSE)</f>
        <v>NAP006</v>
      </c>
      <c r="AD95" s="230" t="str">
        <f>VLOOKUP($AC95,'2007-2020 Metadata'!$A$6:$S$214,9,FALSE)</f>
        <v>Napier</v>
      </c>
      <c r="AE95" s="248">
        <f>IF(ISBLANK(VLOOKUP($AC95,'2007-2020 Metadata'!$A$6:$S$214,19,FALSE)),"",VLOOKUP($AC95,'2007-2020 Metadata'!$A$6:$S$214,19,FALSE))</f>
        <v>3</v>
      </c>
      <c r="AF95" s="88" t="str">
        <f>VLOOKUP($B95,'2007-2020 Metadata'!$A$4:$S$214,MATCH("Site type",'2007-2020 Metadata'!$A$4:$S$4,0),FALSE)</f>
        <v>Background</v>
      </c>
      <c r="AG95" s="143">
        <f t="shared" si="86"/>
        <v>4.8</v>
      </c>
      <c r="AH95" s="143">
        <f t="shared" si="87"/>
        <v>11.9</v>
      </c>
      <c r="AI95" s="144">
        <f t="shared" si="88"/>
        <v>17.274999999999999</v>
      </c>
    </row>
    <row r="96" spans="2:35" ht="12" customHeight="1" x14ac:dyDescent="0.15">
      <c r="B96" s="123" t="s">
        <v>48</v>
      </c>
      <c r="C96" s="119">
        <v>17.8</v>
      </c>
      <c r="D96" s="119">
        <v>20.6</v>
      </c>
      <c r="E96" s="119">
        <v>22.6</v>
      </c>
      <c r="F96" s="119">
        <v>27.7</v>
      </c>
      <c r="G96" s="119">
        <v>30.8</v>
      </c>
      <c r="H96" s="119">
        <v>23.7</v>
      </c>
      <c r="I96" s="119">
        <v>27.5</v>
      </c>
      <c r="J96" s="119">
        <v>29.7</v>
      </c>
      <c r="K96" s="119">
        <v>23.7</v>
      </c>
      <c r="L96" s="119">
        <v>18.3</v>
      </c>
      <c r="M96" s="119">
        <v>19.7</v>
      </c>
      <c r="N96" s="119">
        <v>15</v>
      </c>
      <c r="O96" s="121">
        <f t="shared" si="77"/>
        <v>23.091666666666665</v>
      </c>
      <c r="P96" s="121">
        <f t="shared" si="78"/>
        <v>21.805407138382879</v>
      </c>
      <c r="Q96" s="122">
        <f t="shared" si="79"/>
        <v>1</v>
      </c>
      <c r="R96" s="140">
        <f t="shared" si="80"/>
        <v>20.333333333333336</v>
      </c>
      <c r="S96" s="150">
        <f t="shared" si="81"/>
        <v>1</v>
      </c>
      <c r="T96" s="140">
        <f t="shared" si="82"/>
        <v>26.966666666666669</v>
      </c>
      <c r="U96" s="150">
        <f t="shared" si="83"/>
        <v>1</v>
      </c>
      <c r="V96" s="141">
        <f t="shared" si="84"/>
        <v>23.091666666666665</v>
      </c>
      <c r="W96" s="142">
        <f t="shared" si="85"/>
        <v>1</v>
      </c>
      <c r="X96" s="144">
        <f t="shared" si="74"/>
        <v>16.520000000000003</v>
      </c>
      <c r="Y96" s="144">
        <f t="shared" si="75"/>
        <v>21.9</v>
      </c>
      <c r="Z96" s="144">
        <f t="shared" si="76"/>
        <v>18.416060606060604</v>
      </c>
      <c r="AA96" s="10"/>
      <c r="AB96" s="357" t="str">
        <f>VLOOKUP($B96,'2007-2020 Metadata'!$A$4:$S$214,MATCH("Urban Area /Monitoring Zone",'2007-2020 Metadata'!$A$4:$S$4,0),FALSE)</f>
        <v>Palmerston North</v>
      </c>
      <c r="AC96" s="87" t="str">
        <f>VLOOKUP(B96,'2007-2020 Metadata'!$A$6:$A$214,1,FALSE)</f>
        <v>WAN004</v>
      </c>
      <c r="AD96" s="230" t="str">
        <f>VLOOKUP($AC96,'2007-2020 Metadata'!$A$6:$S$214,9,FALSE)</f>
        <v>Palmerston North</v>
      </c>
      <c r="AE96" s="248">
        <f>IF(ISBLANK(VLOOKUP($AC96,'2007-2020 Metadata'!$A$6:$S$214,19,FALSE)),"",VLOOKUP($AC96,'2007-2020 Metadata'!$A$6:$S$214,19,FALSE))</f>
        <v>3</v>
      </c>
      <c r="AF96" s="88" t="str">
        <f>VLOOKUP($B96,'2007-2020 Metadata'!$A$4:$S$214,MATCH("Site type",'2007-2020 Metadata'!$A$4:$S$4,0),FALSE)</f>
        <v>SH</v>
      </c>
      <c r="AG96" s="143">
        <f t="shared" si="86"/>
        <v>15</v>
      </c>
      <c r="AH96" s="143">
        <f t="shared" si="87"/>
        <v>30.8</v>
      </c>
      <c r="AI96" s="144">
        <f t="shared" si="88"/>
        <v>18.416060606060604</v>
      </c>
    </row>
    <row r="97" spans="2:35" ht="12" customHeight="1" x14ac:dyDescent="0.15">
      <c r="B97" s="123" t="s">
        <v>109</v>
      </c>
      <c r="C97" s="119">
        <v>8.3000000000000007</v>
      </c>
      <c r="D97" s="119">
        <v>11.2</v>
      </c>
      <c r="E97" s="119">
        <v>15.4</v>
      </c>
      <c r="F97" s="119">
        <v>15.5</v>
      </c>
      <c r="G97" s="119">
        <v>18</v>
      </c>
      <c r="H97" s="119">
        <v>12.4</v>
      </c>
      <c r="I97" s="119">
        <v>17.100000000000001</v>
      </c>
      <c r="J97" s="119">
        <v>15.6</v>
      </c>
      <c r="K97" s="119">
        <v>12.1</v>
      </c>
      <c r="L97" s="119">
        <v>7.9</v>
      </c>
      <c r="M97" s="119">
        <v>8.8000000000000007</v>
      </c>
      <c r="N97" s="119">
        <v>6.7</v>
      </c>
      <c r="O97" s="121">
        <f t="shared" si="77"/>
        <v>12.416666666666666</v>
      </c>
      <c r="P97" s="121">
        <f t="shared" si="78"/>
        <v>31.317899932559996</v>
      </c>
      <c r="Q97" s="122">
        <f t="shared" si="79"/>
        <v>1</v>
      </c>
      <c r="R97" s="140">
        <f t="shared" si="80"/>
        <v>11.633333333333333</v>
      </c>
      <c r="S97" s="150">
        <f t="shared" si="81"/>
        <v>1</v>
      </c>
      <c r="T97" s="140">
        <f t="shared" si="82"/>
        <v>14.933333333333335</v>
      </c>
      <c r="U97" s="150">
        <f t="shared" si="83"/>
        <v>1</v>
      </c>
      <c r="V97" s="141">
        <f t="shared" si="84"/>
        <v>12.416666666666666</v>
      </c>
      <c r="W97" s="142">
        <f t="shared" si="85"/>
        <v>1</v>
      </c>
      <c r="X97" s="144">
        <f t="shared" si="74"/>
        <v>16.520000000000003</v>
      </c>
      <c r="Y97" s="144">
        <f t="shared" si="75"/>
        <v>21.9</v>
      </c>
      <c r="Z97" s="144">
        <f t="shared" si="76"/>
        <v>18.416060606060604</v>
      </c>
      <c r="AA97" s="10"/>
      <c r="AB97" s="357" t="str">
        <f>VLOOKUP($B97,'2007-2020 Metadata'!$A$4:$S$214,MATCH("Urban Area /Monitoring Zone",'2007-2020 Metadata'!$A$4:$S$4,0),FALSE)</f>
        <v>Palmerston North</v>
      </c>
      <c r="AC97" s="87" t="str">
        <f>VLOOKUP(B97,'2007-2020 Metadata'!$A$6:$A$214,1,FALSE)</f>
        <v>WAN005</v>
      </c>
      <c r="AD97" s="230" t="str">
        <f>VLOOKUP($AC97,'2007-2020 Metadata'!$A$6:$S$214,9,FALSE)</f>
        <v>Palmerston North</v>
      </c>
      <c r="AE97" s="248">
        <f>IF(ISBLANK(VLOOKUP($AC97,'2007-2020 Metadata'!$A$6:$S$214,19,FALSE)),"",VLOOKUP($AC97,'2007-2020 Metadata'!$A$6:$S$214,19,FALSE))</f>
        <v>2.5</v>
      </c>
      <c r="AF97" s="88" t="str">
        <f>VLOOKUP($B97,'2007-2020 Metadata'!$A$4:$S$214,MATCH("Site type",'2007-2020 Metadata'!$A$4:$S$4,0),FALSE)</f>
        <v>SH</v>
      </c>
      <c r="AG97" s="143">
        <f t="shared" si="86"/>
        <v>6.7</v>
      </c>
      <c r="AH97" s="143">
        <f t="shared" si="87"/>
        <v>18</v>
      </c>
      <c r="AI97" s="144">
        <f t="shared" si="88"/>
        <v>18.416060606060604</v>
      </c>
    </row>
    <row r="98" spans="2:35" ht="12" customHeight="1" x14ac:dyDescent="0.15">
      <c r="B98" s="123" t="s">
        <v>110</v>
      </c>
      <c r="C98" s="119">
        <v>15.8</v>
      </c>
      <c r="D98" s="119">
        <v>22.8</v>
      </c>
      <c r="E98" s="119">
        <v>28.8</v>
      </c>
      <c r="F98" s="119">
        <v>26.1</v>
      </c>
      <c r="G98" s="119">
        <v>30.8</v>
      </c>
      <c r="H98" s="119">
        <v>29.5</v>
      </c>
      <c r="I98" s="119">
        <v>33.6</v>
      </c>
      <c r="J98" s="119">
        <v>32.9</v>
      </c>
      <c r="K98" s="119">
        <v>23</v>
      </c>
      <c r="L98" s="119">
        <v>18.100000000000001</v>
      </c>
      <c r="M98" s="119">
        <v>21.2</v>
      </c>
      <c r="N98" s="119">
        <v>15.8</v>
      </c>
      <c r="O98" s="121">
        <f t="shared" si="77"/>
        <v>24.866666666666671</v>
      </c>
      <c r="P98" s="121">
        <f t="shared" si="78"/>
        <v>25.602866244103563</v>
      </c>
      <c r="Q98" s="122">
        <f t="shared" si="79"/>
        <v>1</v>
      </c>
      <c r="R98" s="140">
        <f t="shared" si="80"/>
        <v>22.466666666666669</v>
      </c>
      <c r="S98" s="150">
        <f t="shared" si="81"/>
        <v>1</v>
      </c>
      <c r="T98" s="140">
        <f t="shared" si="82"/>
        <v>29.833333333333332</v>
      </c>
      <c r="U98" s="150">
        <f t="shared" si="83"/>
        <v>1</v>
      </c>
      <c r="V98" s="141">
        <f t="shared" si="84"/>
        <v>24.866666666666671</v>
      </c>
      <c r="W98" s="142">
        <f t="shared" si="85"/>
        <v>1</v>
      </c>
      <c r="X98" s="144">
        <f t="shared" si="74"/>
        <v>16.520000000000003</v>
      </c>
      <c r="Y98" s="144">
        <f t="shared" si="75"/>
        <v>21.9</v>
      </c>
      <c r="Z98" s="144">
        <f t="shared" si="76"/>
        <v>18.416060606060604</v>
      </c>
      <c r="AA98" s="10"/>
      <c r="AB98" s="357" t="str">
        <f>VLOOKUP($B98,'2007-2020 Metadata'!$A$4:$S$214,MATCH("Urban Area /Monitoring Zone",'2007-2020 Metadata'!$A$4:$S$4,0),FALSE)</f>
        <v>Palmerston North</v>
      </c>
      <c r="AC98" s="87" t="str">
        <f>VLOOKUP(B98,'2007-2020 Metadata'!$A$6:$A$214,1,FALSE)</f>
        <v>WAN006</v>
      </c>
      <c r="AD98" s="230" t="str">
        <f>VLOOKUP($AC98,'2007-2020 Metadata'!$A$6:$S$214,9,FALSE)</f>
        <v>Palmerston North</v>
      </c>
      <c r="AE98" s="248">
        <f>IF(ISBLANK(VLOOKUP($AC98,'2007-2020 Metadata'!$A$6:$S$214,19,FALSE)),"",VLOOKUP($AC98,'2007-2020 Metadata'!$A$6:$S$214,19,FALSE))</f>
        <v>2.5</v>
      </c>
      <c r="AF98" s="88" t="str">
        <f>VLOOKUP($B98,'2007-2020 Metadata'!$A$4:$S$214,MATCH("Site type",'2007-2020 Metadata'!$A$4:$S$4,0),FALSE)</f>
        <v>SH</v>
      </c>
      <c r="AG98" s="143">
        <f t="shared" si="86"/>
        <v>15.8</v>
      </c>
      <c r="AH98" s="143">
        <f t="shared" si="87"/>
        <v>33.6</v>
      </c>
      <c r="AI98" s="144">
        <f t="shared" si="88"/>
        <v>18.416060606060604</v>
      </c>
    </row>
    <row r="99" spans="2:35" ht="12" customHeight="1" x14ac:dyDescent="0.15">
      <c r="B99" s="123" t="s">
        <v>111</v>
      </c>
      <c r="C99" s="119">
        <v>11.3</v>
      </c>
      <c r="D99" s="119">
        <v>13.6</v>
      </c>
      <c r="E99" s="119">
        <v>17.899999999999999</v>
      </c>
      <c r="F99" s="119">
        <v>19.5</v>
      </c>
      <c r="G99" s="119">
        <v>23.6</v>
      </c>
      <c r="H99" s="119">
        <v>19.7</v>
      </c>
      <c r="I99" s="119">
        <v>23</v>
      </c>
      <c r="J99" s="119">
        <v>22.6</v>
      </c>
      <c r="K99" s="119">
        <v>16.600000000000001</v>
      </c>
      <c r="L99" s="119">
        <v>12.2</v>
      </c>
      <c r="M99" s="119">
        <v>13.1</v>
      </c>
      <c r="N99" s="119">
        <v>6.6</v>
      </c>
      <c r="O99" s="121">
        <f t="shared" si="77"/>
        <v>16.641666666666666</v>
      </c>
      <c r="P99" s="121">
        <f t="shared" si="78"/>
        <v>32.122770527388951</v>
      </c>
      <c r="Q99" s="122">
        <f t="shared" si="79"/>
        <v>1</v>
      </c>
      <c r="R99" s="140">
        <f t="shared" si="80"/>
        <v>14.266666666666666</v>
      </c>
      <c r="S99" s="150">
        <f t="shared" si="81"/>
        <v>1</v>
      </c>
      <c r="T99" s="140">
        <f t="shared" si="82"/>
        <v>20.733333333333334</v>
      </c>
      <c r="U99" s="150">
        <f t="shared" si="83"/>
        <v>1</v>
      </c>
      <c r="V99" s="141">
        <f t="shared" si="84"/>
        <v>16.641666666666666</v>
      </c>
      <c r="W99" s="142">
        <f t="shared" si="85"/>
        <v>1</v>
      </c>
      <c r="X99" s="144">
        <f t="shared" si="74"/>
        <v>16.520000000000003</v>
      </c>
      <c r="Y99" s="144">
        <f t="shared" si="75"/>
        <v>21.9</v>
      </c>
      <c r="Z99" s="144">
        <f t="shared" si="76"/>
        <v>18.416060606060604</v>
      </c>
      <c r="AA99" s="10"/>
      <c r="AB99" s="357" t="str">
        <f>VLOOKUP($B99,'2007-2020 Metadata'!$A$4:$S$214,MATCH("Urban Area /Monitoring Zone",'2007-2020 Metadata'!$A$4:$S$4,0),FALSE)</f>
        <v>Palmerston North</v>
      </c>
      <c r="AC99" s="87" t="str">
        <f>VLOOKUP(B99,'2007-2020 Metadata'!$A$6:$A$214,1,FALSE)</f>
        <v>WAN007</v>
      </c>
      <c r="AD99" s="230" t="str">
        <f>VLOOKUP($AC99,'2007-2020 Metadata'!$A$6:$S$214,9,FALSE)</f>
        <v>Palmerston North</v>
      </c>
      <c r="AE99" s="248">
        <f>IF(ISBLANK(VLOOKUP($AC99,'2007-2020 Metadata'!$A$6:$S$214,19,FALSE)),"",VLOOKUP($AC99,'2007-2020 Metadata'!$A$6:$S$214,19,FALSE))</f>
        <v>2.5</v>
      </c>
      <c r="AF99" s="88" t="str">
        <f>VLOOKUP($B99,'2007-2020 Metadata'!$A$4:$S$214,MATCH("Site type",'2007-2020 Metadata'!$A$4:$S$4,0),FALSE)</f>
        <v>Local</v>
      </c>
      <c r="AG99" s="143">
        <f t="shared" si="86"/>
        <v>6.6</v>
      </c>
      <c r="AH99" s="143">
        <f t="shared" si="87"/>
        <v>23.6</v>
      </c>
      <c r="AI99" s="144">
        <f t="shared" si="88"/>
        <v>18.416060606060604</v>
      </c>
    </row>
    <row r="100" spans="2:35" ht="12" customHeight="1" x14ac:dyDescent="0.15">
      <c r="B100" s="123" t="s">
        <v>112</v>
      </c>
      <c r="C100" s="119"/>
      <c r="D100" s="119">
        <v>12.4</v>
      </c>
      <c r="E100" s="119">
        <v>15.4</v>
      </c>
      <c r="F100" s="119">
        <v>15.1</v>
      </c>
      <c r="G100" s="119">
        <v>20.100000000000001</v>
      </c>
      <c r="H100" s="119">
        <v>18.3</v>
      </c>
      <c r="I100" s="119">
        <v>20.8</v>
      </c>
      <c r="J100" s="119">
        <v>16.600000000000001</v>
      </c>
      <c r="K100" s="119">
        <v>13.7</v>
      </c>
      <c r="L100" s="119">
        <v>11.4</v>
      </c>
      <c r="M100" s="119">
        <v>12</v>
      </c>
      <c r="N100" s="119">
        <v>9.9</v>
      </c>
      <c r="O100" s="121">
        <f t="shared" si="77"/>
        <v>15.063636363636363</v>
      </c>
      <c r="P100" s="121">
        <f t="shared" si="78"/>
        <v>23.902802556213583</v>
      </c>
      <c r="Q100" s="122">
        <f t="shared" si="79"/>
        <v>0.91666666666666663</v>
      </c>
      <c r="R100" s="140">
        <f t="shared" si="80"/>
        <v>13.9</v>
      </c>
      <c r="S100" s="150">
        <f t="shared" si="81"/>
        <v>0.66666666666666663</v>
      </c>
      <c r="T100" s="140">
        <f t="shared" si="82"/>
        <v>17.033333333333335</v>
      </c>
      <c r="U100" s="150">
        <f t="shared" si="83"/>
        <v>1</v>
      </c>
      <c r="V100" s="141">
        <f t="shared" si="84"/>
        <v>15.063636363636363</v>
      </c>
      <c r="W100" s="142">
        <f t="shared" si="85"/>
        <v>0.91666666666666663</v>
      </c>
      <c r="X100" s="144">
        <f t="shared" si="74"/>
        <v>16.520000000000003</v>
      </c>
      <c r="Y100" s="144">
        <f t="shared" si="75"/>
        <v>21.9</v>
      </c>
      <c r="Z100" s="144">
        <f t="shared" si="76"/>
        <v>18.416060606060604</v>
      </c>
      <c r="AA100" s="10"/>
      <c r="AB100" s="357" t="str">
        <f>VLOOKUP($B100,'2007-2020 Metadata'!$A$4:$S$214,MATCH("Urban Area /Monitoring Zone",'2007-2020 Metadata'!$A$4:$S$4,0),FALSE)</f>
        <v>Palmerston North</v>
      </c>
      <c r="AC100" s="87" t="str">
        <f>VLOOKUP(B100,'2007-2020 Metadata'!$A$6:$A$214,1,FALSE)</f>
        <v>WAN008</v>
      </c>
      <c r="AD100" s="230" t="str">
        <f>VLOOKUP($AC100,'2007-2020 Metadata'!$A$6:$S$214,9,FALSE)</f>
        <v>Palmerston North</v>
      </c>
      <c r="AE100" s="248">
        <f>IF(ISBLANK(VLOOKUP($AC100,'2007-2020 Metadata'!$A$6:$S$214,19,FALSE)),"",VLOOKUP($AC100,'2007-2020 Metadata'!$A$6:$S$214,19,FALSE))</f>
        <v>2.5</v>
      </c>
      <c r="AF100" s="88" t="str">
        <f>VLOOKUP($B100,'2007-2020 Metadata'!$A$4:$S$214,MATCH("Site type",'2007-2020 Metadata'!$A$4:$S$4,0),FALSE)</f>
        <v>Background</v>
      </c>
      <c r="AG100" s="143">
        <f t="shared" si="86"/>
        <v>9.9</v>
      </c>
      <c r="AH100" s="143">
        <f t="shared" si="87"/>
        <v>20.8</v>
      </c>
      <c r="AI100" s="144">
        <f t="shared" si="88"/>
        <v>18.416060606060604</v>
      </c>
    </row>
    <row r="101" spans="2:35" ht="12" customHeight="1" x14ac:dyDescent="0.15">
      <c r="B101" s="123" t="s">
        <v>113</v>
      </c>
      <c r="C101" s="119">
        <v>8.1</v>
      </c>
      <c r="D101" s="119">
        <v>8.1</v>
      </c>
      <c r="E101" s="119">
        <v>8.1</v>
      </c>
      <c r="F101" s="119">
        <v>9</v>
      </c>
      <c r="G101" s="119">
        <v>8.3000000000000007</v>
      </c>
      <c r="H101" s="119">
        <v>8.3000000000000007</v>
      </c>
      <c r="I101" s="119">
        <v>11.5</v>
      </c>
      <c r="J101" s="119">
        <v>9.6</v>
      </c>
      <c r="K101" s="119">
        <v>5.4</v>
      </c>
      <c r="L101" s="119">
        <v>5.9</v>
      </c>
      <c r="M101" s="119">
        <v>3</v>
      </c>
      <c r="N101" s="119">
        <v>6.5</v>
      </c>
      <c r="O101" s="121">
        <f t="shared" si="77"/>
        <v>7.6499999999999995</v>
      </c>
      <c r="P101" s="121">
        <f t="shared" si="78"/>
        <v>28.685155515427496</v>
      </c>
      <c r="Q101" s="122">
        <f t="shared" si="79"/>
        <v>1</v>
      </c>
      <c r="R101" s="140">
        <f t="shared" si="80"/>
        <v>8.1</v>
      </c>
      <c r="S101" s="150">
        <f t="shared" si="81"/>
        <v>1</v>
      </c>
      <c r="T101" s="140">
        <f t="shared" si="82"/>
        <v>8.8333333333333339</v>
      </c>
      <c r="U101" s="150">
        <f t="shared" si="83"/>
        <v>1</v>
      </c>
      <c r="V101" s="141">
        <f t="shared" si="84"/>
        <v>7.6499999999999995</v>
      </c>
      <c r="W101" s="142">
        <f t="shared" si="85"/>
        <v>1</v>
      </c>
      <c r="X101" s="144">
        <f t="shared" si="74"/>
        <v>9.4166666666666679</v>
      </c>
      <c r="Y101" s="144">
        <f t="shared" si="75"/>
        <v>10.316666666666666</v>
      </c>
      <c r="Z101" s="144">
        <f t="shared" si="76"/>
        <v>9.1999999999999993</v>
      </c>
      <c r="AA101" s="10"/>
      <c r="AB101" s="357" t="str">
        <f>VLOOKUP($B101,'2007-2020 Metadata'!$A$4:$S$214,MATCH("Urban Area /Monitoring Zone",'2007-2020 Metadata'!$A$4:$S$4,0),FALSE)</f>
        <v>New Plymouth</v>
      </c>
      <c r="AC101" s="87" t="str">
        <f>VLOOKUP(B101,'2007-2020 Metadata'!$A$6:$A$214,1,FALSE)</f>
        <v>WAN009</v>
      </c>
      <c r="AD101" s="230" t="str">
        <f>VLOOKUP($AC101,'2007-2020 Metadata'!$A$6:$S$214,9,FALSE)</f>
        <v>New Plymouth</v>
      </c>
      <c r="AE101" s="248">
        <f>IF(ISBLANK(VLOOKUP($AC101,'2007-2020 Metadata'!$A$6:$S$214,19,FALSE)),"",VLOOKUP($AC101,'2007-2020 Metadata'!$A$6:$S$214,19,FALSE))</f>
        <v>2.5</v>
      </c>
      <c r="AF101" s="88" t="str">
        <f>VLOOKUP($B101,'2007-2020 Metadata'!$A$4:$S$214,MATCH("Site type",'2007-2020 Metadata'!$A$4:$S$4,0),FALSE)</f>
        <v>Background</v>
      </c>
      <c r="AG101" s="143">
        <f t="shared" si="86"/>
        <v>3</v>
      </c>
      <c r="AH101" s="143">
        <f t="shared" si="87"/>
        <v>11.5</v>
      </c>
      <c r="AI101" s="144">
        <f t="shared" si="88"/>
        <v>9.1999999999999993</v>
      </c>
    </row>
    <row r="102" spans="2:35" ht="12" customHeight="1" x14ac:dyDescent="0.15">
      <c r="B102" s="123" t="s">
        <v>114</v>
      </c>
      <c r="C102" s="119"/>
      <c r="D102" s="119">
        <v>22.5</v>
      </c>
      <c r="E102" s="119">
        <v>25.8</v>
      </c>
      <c r="F102" s="119">
        <v>28.2</v>
      </c>
      <c r="G102" s="119">
        <v>30.3</v>
      </c>
      <c r="H102" s="119">
        <v>24.9</v>
      </c>
      <c r="I102" s="119">
        <v>28</v>
      </c>
      <c r="J102" s="119">
        <v>29.2</v>
      </c>
      <c r="K102" s="119">
        <v>22.8</v>
      </c>
      <c r="L102" s="119">
        <v>22.5</v>
      </c>
      <c r="M102" s="119">
        <v>23.4</v>
      </c>
      <c r="N102" s="119">
        <v>18</v>
      </c>
      <c r="O102" s="121">
        <f t="shared" si="77"/>
        <v>25.054545454545451</v>
      </c>
      <c r="P102" s="121">
        <f t="shared" si="78"/>
        <v>14.637067149570626</v>
      </c>
      <c r="Q102" s="122">
        <f t="shared" si="79"/>
        <v>0.91666666666666663</v>
      </c>
      <c r="R102" s="140">
        <f t="shared" si="80"/>
        <v>24.15</v>
      </c>
      <c r="S102" s="150">
        <f t="shared" si="81"/>
        <v>0.66666666666666663</v>
      </c>
      <c r="T102" s="140">
        <f t="shared" si="82"/>
        <v>26.666666666666668</v>
      </c>
      <c r="U102" s="150">
        <f t="shared" si="83"/>
        <v>1</v>
      </c>
      <c r="V102" s="141">
        <f t="shared" si="84"/>
        <v>25.054545454545451</v>
      </c>
      <c r="W102" s="142">
        <f t="shared" si="85"/>
        <v>0.91666666666666663</v>
      </c>
      <c r="X102" s="144">
        <f t="shared" si="74"/>
        <v>24.15</v>
      </c>
      <c r="Y102" s="144">
        <f t="shared" si="75"/>
        <v>26.666666666666668</v>
      </c>
      <c r="Z102" s="144">
        <f t="shared" si="76"/>
        <v>25.054545454545451</v>
      </c>
      <c r="AA102" s="10"/>
      <c r="AB102" s="357" t="str">
        <f>VLOOKUP($B102,'2007-2020 Metadata'!$A$4:$S$214,MATCH("Urban Area /Monitoring Zone",'2007-2020 Metadata'!$A$4:$S$4,0),FALSE)</f>
        <v>Whanganui</v>
      </c>
      <c r="AC102" s="87" t="str">
        <f>VLOOKUP(B102,'2007-2020 Metadata'!$A$6:$A$214,1,FALSE)</f>
        <v>WAN010</v>
      </c>
      <c r="AD102" s="230" t="str">
        <f>VLOOKUP($AC102,'2007-2020 Metadata'!$A$6:$S$214,9,FALSE)</f>
        <v>Whanganui</v>
      </c>
      <c r="AE102" s="248">
        <f>IF(ISBLANK(VLOOKUP($AC102,'2007-2020 Metadata'!$A$6:$S$214,19,FALSE)),"",VLOOKUP($AC102,'2007-2020 Metadata'!$A$6:$S$214,19,FALSE))</f>
        <v>3</v>
      </c>
      <c r="AF102" s="88" t="str">
        <f>VLOOKUP($B102,'2007-2020 Metadata'!$A$4:$S$214,MATCH("Site type",'2007-2020 Metadata'!$A$4:$S$4,0),FALSE)</f>
        <v>SH</v>
      </c>
      <c r="AG102" s="143">
        <f t="shared" si="86"/>
        <v>18</v>
      </c>
      <c r="AH102" s="143">
        <f t="shared" si="87"/>
        <v>30.3</v>
      </c>
      <c r="AI102" s="144">
        <f t="shared" si="88"/>
        <v>25.054545454545451</v>
      </c>
    </row>
    <row r="103" spans="2:35" ht="12" customHeight="1" x14ac:dyDescent="0.15">
      <c r="B103" s="123" t="s">
        <v>486</v>
      </c>
      <c r="C103" s="119">
        <v>10.199999999999999</v>
      </c>
      <c r="D103" s="119">
        <v>11</v>
      </c>
      <c r="E103" s="119">
        <v>11</v>
      </c>
      <c r="F103" s="119">
        <v>10.1</v>
      </c>
      <c r="G103" s="119">
        <v>10.9</v>
      </c>
      <c r="H103" s="119">
        <v>10.9</v>
      </c>
      <c r="I103" s="119">
        <v>13.3</v>
      </c>
      <c r="J103" s="119">
        <v>12.5</v>
      </c>
      <c r="K103" s="119">
        <v>9.6</v>
      </c>
      <c r="L103" s="119">
        <v>10.9</v>
      </c>
      <c r="M103" s="119">
        <v>9.9</v>
      </c>
      <c r="N103" s="119">
        <v>8.6999999999999993</v>
      </c>
      <c r="O103" s="121">
        <f t="shared" si="77"/>
        <v>10.75</v>
      </c>
      <c r="P103" s="121">
        <f t="shared" si="78"/>
        <v>11.472106330529657</v>
      </c>
      <c r="Q103" s="122">
        <f t="shared" si="79"/>
        <v>1</v>
      </c>
      <c r="R103" s="140">
        <f t="shared" si="80"/>
        <v>10.733333333333334</v>
      </c>
      <c r="S103" s="150">
        <f t="shared" si="81"/>
        <v>1</v>
      </c>
      <c r="T103" s="140">
        <f t="shared" si="82"/>
        <v>11.799999999999999</v>
      </c>
      <c r="U103" s="150">
        <f t="shared" si="83"/>
        <v>1</v>
      </c>
      <c r="V103" s="141">
        <f t="shared" si="84"/>
        <v>10.75</v>
      </c>
      <c r="W103" s="142">
        <f t="shared" si="85"/>
        <v>1</v>
      </c>
      <c r="X103" s="144">
        <f t="shared" si="74"/>
        <v>9.4166666666666679</v>
      </c>
      <c r="Y103" s="144">
        <f t="shared" si="75"/>
        <v>10.316666666666666</v>
      </c>
      <c r="Z103" s="144">
        <f t="shared" si="76"/>
        <v>9.1999999999999993</v>
      </c>
      <c r="AA103" s="10"/>
      <c r="AB103" s="357" t="str">
        <f>VLOOKUP($B103,'2007-2020 Metadata'!$A$4:$S$214,MATCH("Urban Area /Monitoring Zone",'2007-2020 Metadata'!$A$4:$S$4,0),FALSE)</f>
        <v>New Plymouth</v>
      </c>
      <c r="AC103" s="87" t="str">
        <f>VLOOKUP(B103,'2007-2020 Metadata'!$A$6:$A$214,1,FALSE)</f>
        <v>WAN011</v>
      </c>
      <c r="AD103" s="230" t="str">
        <f>VLOOKUP($AC103,'2007-2020 Metadata'!$A$6:$S$214,9,FALSE)</f>
        <v>New Plymouth</v>
      </c>
      <c r="AE103" s="248">
        <f>IF(ISBLANK(VLOOKUP($AC103,'2007-2020 Metadata'!$A$6:$S$214,19,FALSE)),"",VLOOKUP($AC103,'2007-2020 Metadata'!$A$6:$S$214,19,FALSE))</f>
        <v>2</v>
      </c>
      <c r="AF103" s="88" t="str">
        <f>VLOOKUP($B103,'2007-2020 Metadata'!$A$4:$S$214,MATCH("Site type",'2007-2020 Metadata'!$A$4:$S$4,0),FALSE)</f>
        <v>SH</v>
      </c>
      <c r="AG103" s="143">
        <f t="shared" si="86"/>
        <v>8.6999999999999993</v>
      </c>
      <c r="AH103" s="143">
        <f t="shared" si="87"/>
        <v>13.3</v>
      </c>
      <c r="AI103" s="144">
        <f t="shared" si="88"/>
        <v>9.1999999999999993</v>
      </c>
    </row>
    <row r="104" spans="2:35" ht="12" customHeight="1" x14ac:dyDescent="0.15">
      <c r="B104" s="123" t="s">
        <v>49</v>
      </c>
      <c r="C104" s="119">
        <v>19.3</v>
      </c>
      <c r="D104" s="119">
        <v>16.5</v>
      </c>
      <c r="E104" s="119">
        <v>24.7</v>
      </c>
      <c r="F104" s="119">
        <v>27.8</v>
      </c>
      <c r="G104" s="119">
        <v>28.9</v>
      </c>
      <c r="H104" s="119">
        <v>33</v>
      </c>
      <c r="I104" s="119">
        <v>30.6</v>
      </c>
      <c r="J104" s="119">
        <v>29.2</v>
      </c>
      <c r="K104" s="119">
        <v>17.100000000000001</v>
      </c>
      <c r="L104" s="119">
        <v>23.5</v>
      </c>
      <c r="M104" s="119">
        <v>18</v>
      </c>
      <c r="N104" s="119"/>
      <c r="O104" s="121">
        <f t="shared" si="77"/>
        <v>24.418181818181814</v>
      </c>
      <c r="P104" s="121">
        <f t="shared" si="78"/>
        <v>24.25641409610509</v>
      </c>
      <c r="Q104" s="122">
        <f t="shared" si="79"/>
        <v>0.91666666666666663</v>
      </c>
      <c r="R104" s="140">
        <f t="shared" si="80"/>
        <v>20.166666666666668</v>
      </c>
      <c r="S104" s="150">
        <f t="shared" si="81"/>
        <v>1</v>
      </c>
      <c r="T104" s="140">
        <f t="shared" si="82"/>
        <v>25.633333333333336</v>
      </c>
      <c r="U104" s="150">
        <f t="shared" si="83"/>
        <v>1</v>
      </c>
      <c r="V104" s="141">
        <f t="shared" si="84"/>
        <v>24.418181818181814</v>
      </c>
      <c r="W104" s="142">
        <f t="shared" si="85"/>
        <v>0.91666666666666663</v>
      </c>
      <c r="X104" s="144">
        <f t="shared" si="74"/>
        <v>16.18</v>
      </c>
      <c r="Y104" s="144">
        <f t="shared" si="75"/>
        <v>20.953333333333333</v>
      </c>
      <c r="Z104" s="144">
        <f t="shared" si="76"/>
        <v>18.800303030303031</v>
      </c>
      <c r="AA104" s="10"/>
      <c r="AB104" s="357" t="str">
        <f>VLOOKUP($B104,'2007-2020 Metadata'!$A$4:$S$214,MATCH("Urban Area /Monitoring Zone",'2007-2020 Metadata'!$A$4:$S$4,0),FALSE)</f>
        <v>Lower Hutt</v>
      </c>
      <c r="AC104" s="87" t="str">
        <f>VLOOKUP(B104,'2007-2020 Metadata'!$A$6:$A$214,1,FALSE)</f>
        <v>WEL002</v>
      </c>
      <c r="AD104" s="230" t="str">
        <f>VLOOKUP($AC104,'2007-2020 Metadata'!$A$6:$S$214,9,FALSE)</f>
        <v>Lower Hutt</v>
      </c>
      <c r="AE104" s="248">
        <f>IF(ISBLANK(VLOOKUP($AC104,'2007-2020 Metadata'!$A$6:$S$214,19,FALSE)),"",VLOOKUP($AC104,'2007-2020 Metadata'!$A$6:$S$214,19,FALSE))</f>
        <v>3.2</v>
      </c>
      <c r="AF104" s="88" t="str">
        <f>VLOOKUP($B104,'2007-2020 Metadata'!$A$4:$S$214,MATCH("Site type",'2007-2020 Metadata'!$A$4:$S$4,0),FALSE)</f>
        <v>SH</v>
      </c>
      <c r="AG104" s="143">
        <f t="shared" si="86"/>
        <v>16.5</v>
      </c>
      <c r="AH104" s="143">
        <f t="shared" si="87"/>
        <v>33</v>
      </c>
      <c r="AI104" s="144">
        <f t="shared" si="88"/>
        <v>18.800303030303031</v>
      </c>
    </row>
    <row r="105" spans="2:35" ht="12" customHeight="1" x14ac:dyDescent="0.15">
      <c r="B105" s="123" t="s">
        <v>50</v>
      </c>
      <c r="C105" s="119">
        <v>11.4</v>
      </c>
      <c r="D105" s="119">
        <v>10.3</v>
      </c>
      <c r="E105" s="119">
        <v>14.1</v>
      </c>
      <c r="F105" s="119">
        <v>15.2</v>
      </c>
      <c r="G105" s="119">
        <v>16.100000000000001</v>
      </c>
      <c r="H105" s="119">
        <v>16.399999999999999</v>
      </c>
      <c r="I105" s="119">
        <v>16.899999999999999</v>
      </c>
      <c r="J105" s="119">
        <v>18.3</v>
      </c>
      <c r="K105" s="119">
        <v>12.4</v>
      </c>
      <c r="L105" s="119">
        <v>12.2</v>
      </c>
      <c r="M105" s="119">
        <v>9.4</v>
      </c>
      <c r="N105" s="119">
        <v>6.5</v>
      </c>
      <c r="O105" s="121">
        <f t="shared" si="77"/>
        <v>13.266666666666666</v>
      </c>
      <c r="P105" s="121">
        <f t="shared" si="78"/>
        <v>26.477344841117102</v>
      </c>
      <c r="Q105" s="122">
        <f t="shared" si="79"/>
        <v>1</v>
      </c>
      <c r="R105" s="140">
        <f t="shared" si="80"/>
        <v>11.933333333333335</v>
      </c>
      <c r="S105" s="150">
        <f t="shared" si="81"/>
        <v>1</v>
      </c>
      <c r="T105" s="140">
        <f t="shared" si="82"/>
        <v>15.866666666666667</v>
      </c>
      <c r="U105" s="150">
        <f t="shared" si="83"/>
        <v>1</v>
      </c>
      <c r="V105" s="141">
        <f t="shared" si="84"/>
        <v>13.266666666666666</v>
      </c>
      <c r="W105" s="142">
        <f t="shared" si="85"/>
        <v>1</v>
      </c>
      <c r="X105" s="144">
        <f t="shared" si="74"/>
        <v>16.18</v>
      </c>
      <c r="Y105" s="144">
        <f t="shared" si="75"/>
        <v>20.953333333333333</v>
      </c>
      <c r="Z105" s="144">
        <f t="shared" si="76"/>
        <v>18.800303030303031</v>
      </c>
      <c r="AA105" s="10"/>
      <c r="AB105" s="357" t="str">
        <f>VLOOKUP($B105,'2007-2020 Metadata'!$A$4:$S$214,MATCH("Urban Area /Monitoring Zone",'2007-2020 Metadata'!$A$4:$S$4,0),FALSE)</f>
        <v>Lower Hutt</v>
      </c>
      <c r="AC105" s="87" t="str">
        <f>VLOOKUP(B105,'2007-2020 Metadata'!$A$6:$A$214,1,FALSE)</f>
        <v>WEL003</v>
      </c>
      <c r="AD105" s="230" t="str">
        <f>VLOOKUP($AC105,'2007-2020 Metadata'!$A$6:$S$214,9,FALSE)</f>
        <v>Lower Hutt</v>
      </c>
      <c r="AE105" s="248">
        <f>IF(ISBLANK(VLOOKUP($AC105,'2007-2020 Metadata'!$A$6:$S$214,19,FALSE)),"",VLOOKUP($AC105,'2007-2020 Metadata'!$A$6:$S$214,19,FALSE))</f>
        <v>3.3</v>
      </c>
      <c r="AF105" s="88" t="str">
        <f>VLOOKUP($B105,'2007-2020 Metadata'!$A$4:$S$214,MATCH("Site type",'2007-2020 Metadata'!$A$4:$S$4,0),FALSE)</f>
        <v>SH</v>
      </c>
      <c r="AG105" s="143">
        <f t="shared" si="86"/>
        <v>6.5</v>
      </c>
      <c r="AH105" s="143">
        <f t="shared" si="87"/>
        <v>18.3</v>
      </c>
      <c r="AI105" s="144">
        <f t="shared" si="88"/>
        <v>18.800303030303031</v>
      </c>
    </row>
    <row r="106" spans="2:35" ht="12" customHeight="1" x14ac:dyDescent="0.15">
      <c r="B106" s="123" t="s">
        <v>52</v>
      </c>
      <c r="C106" s="119">
        <v>16.899999999999999</v>
      </c>
      <c r="D106" s="119">
        <v>17.100000000000001</v>
      </c>
      <c r="E106" s="119">
        <v>20.8</v>
      </c>
      <c r="F106" s="119">
        <v>20.9</v>
      </c>
      <c r="G106" s="119">
        <v>21.4</v>
      </c>
      <c r="H106" s="119">
        <v>22.3</v>
      </c>
      <c r="I106" s="119">
        <v>20.8</v>
      </c>
      <c r="J106" s="119">
        <v>22.2</v>
      </c>
      <c r="K106" s="119">
        <v>14.7</v>
      </c>
      <c r="L106" s="119">
        <v>17</v>
      </c>
      <c r="M106" s="119">
        <v>16</v>
      </c>
      <c r="N106" s="119">
        <v>11.9</v>
      </c>
      <c r="O106" s="121">
        <f t="shared" si="77"/>
        <v>18.499999999999996</v>
      </c>
      <c r="P106" s="121">
        <f t="shared" si="78"/>
        <v>18.141265619981123</v>
      </c>
      <c r="Q106" s="122">
        <f t="shared" si="79"/>
        <v>1</v>
      </c>
      <c r="R106" s="140">
        <f t="shared" si="80"/>
        <v>18.266666666666666</v>
      </c>
      <c r="S106" s="150">
        <f t="shared" si="81"/>
        <v>1</v>
      </c>
      <c r="T106" s="140">
        <f t="shared" si="82"/>
        <v>19.233333333333334</v>
      </c>
      <c r="U106" s="150">
        <f t="shared" si="83"/>
        <v>1</v>
      </c>
      <c r="V106" s="141">
        <f t="shared" si="84"/>
        <v>18.499999999999996</v>
      </c>
      <c r="W106" s="142">
        <f t="shared" si="85"/>
        <v>1</v>
      </c>
      <c r="X106" s="144">
        <f t="shared" si="74"/>
        <v>12.616666666666665</v>
      </c>
      <c r="Y106" s="144">
        <f t="shared" si="75"/>
        <v>13.433333333333334</v>
      </c>
      <c r="Z106" s="144">
        <f t="shared" si="76"/>
        <v>12.804166666666664</v>
      </c>
      <c r="AA106" s="10"/>
      <c r="AB106" s="357" t="str">
        <f>VLOOKUP($B106,'2007-2020 Metadata'!$A$4:$S$214,MATCH("Urban Area /Monitoring Zone",'2007-2020 Metadata'!$A$4:$S$4,0),FALSE)</f>
        <v>Porirua</v>
      </c>
      <c r="AC106" s="87" t="str">
        <f>VLOOKUP(B106,'2007-2020 Metadata'!$A$6:$A$214,1,FALSE)</f>
        <v>WEL005</v>
      </c>
      <c r="AD106" s="230" t="str">
        <f>VLOOKUP($AC106,'2007-2020 Metadata'!$A$6:$S$214,9,FALSE)</f>
        <v>Porirua</v>
      </c>
      <c r="AE106" s="248">
        <f>IF(ISBLANK(VLOOKUP($AC106,'2007-2020 Metadata'!$A$6:$S$214,19,FALSE)),"",VLOOKUP($AC106,'2007-2020 Metadata'!$A$6:$S$214,19,FALSE))</f>
        <v>3.2</v>
      </c>
      <c r="AF106" s="88" t="str">
        <f>VLOOKUP($B106,'2007-2020 Metadata'!$A$4:$S$214,MATCH("Site type",'2007-2020 Metadata'!$A$4:$S$4,0),FALSE)</f>
        <v>SH</v>
      </c>
      <c r="AG106" s="143">
        <f t="shared" si="86"/>
        <v>11.9</v>
      </c>
      <c r="AH106" s="143">
        <f t="shared" si="87"/>
        <v>22.3</v>
      </c>
      <c r="AI106" s="144">
        <f t="shared" si="88"/>
        <v>12.804166666666664</v>
      </c>
    </row>
    <row r="107" spans="2:35" ht="12" customHeight="1" x14ac:dyDescent="0.15">
      <c r="B107" s="123" t="s">
        <v>53</v>
      </c>
      <c r="C107" s="119">
        <v>15</v>
      </c>
      <c r="D107" s="119">
        <v>14.8</v>
      </c>
      <c r="E107" s="119">
        <v>19.5</v>
      </c>
      <c r="F107" s="119">
        <v>19.5</v>
      </c>
      <c r="G107" s="119">
        <v>17.899999999999999</v>
      </c>
      <c r="H107" s="119">
        <v>19.3</v>
      </c>
      <c r="I107" s="119">
        <v>19.8</v>
      </c>
      <c r="J107" s="119">
        <v>21.2</v>
      </c>
      <c r="K107" s="119">
        <v>15.1</v>
      </c>
      <c r="L107" s="119">
        <v>16.8</v>
      </c>
      <c r="M107" s="119">
        <v>16.399999999999999</v>
      </c>
      <c r="N107" s="119">
        <v>13.4</v>
      </c>
      <c r="O107" s="121">
        <f t="shared" si="77"/>
        <v>17.391666666666666</v>
      </c>
      <c r="P107" s="121">
        <f t="shared" si="78"/>
        <v>14.301245435373131</v>
      </c>
      <c r="Q107" s="122">
        <f t="shared" si="79"/>
        <v>1</v>
      </c>
      <c r="R107" s="140">
        <f t="shared" si="80"/>
        <v>16.433333333333334</v>
      </c>
      <c r="S107" s="150">
        <f t="shared" si="81"/>
        <v>1</v>
      </c>
      <c r="T107" s="140">
        <f t="shared" si="82"/>
        <v>18.7</v>
      </c>
      <c r="U107" s="150">
        <f t="shared" si="83"/>
        <v>1</v>
      </c>
      <c r="V107" s="141">
        <f t="shared" si="84"/>
        <v>17.391666666666666</v>
      </c>
      <c r="W107" s="142">
        <f t="shared" si="85"/>
        <v>1</v>
      </c>
      <c r="X107" s="144">
        <f t="shared" si="74"/>
        <v>19.212121212121215</v>
      </c>
      <c r="Y107" s="144">
        <f t="shared" si="75"/>
        <v>22.559090909090916</v>
      </c>
      <c r="Z107" s="144">
        <f t="shared" si="76"/>
        <v>20.716799242424244</v>
      </c>
      <c r="AA107" s="10"/>
      <c r="AB107" s="357" t="str">
        <f>VLOOKUP($B107,'2007-2020 Metadata'!$A$4:$S$214,MATCH("Urban Area /Monitoring Zone",'2007-2020 Metadata'!$A$4:$S$4,0),FALSE)</f>
        <v>Wellington</v>
      </c>
      <c r="AC107" s="87" t="str">
        <f>VLOOKUP(B107,'2007-2020 Metadata'!$A$6:$A$214,1,FALSE)</f>
        <v>WEL007</v>
      </c>
      <c r="AD107" s="230" t="str">
        <f>VLOOKUP($AC107,'2007-2020 Metadata'!$A$6:$S$214,9,FALSE)</f>
        <v>Wellington</v>
      </c>
      <c r="AE107" s="248">
        <f>IF(ISBLANK(VLOOKUP($AC107,'2007-2020 Metadata'!$A$6:$S$214,19,FALSE)),"",VLOOKUP($AC107,'2007-2020 Metadata'!$A$6:$S$214,19,FALSE))</f>
        <v>1</v>
      </c>
      <c r="AF107" s="88" t="str">
        <f>VLOOKUP($B107,'2007-2020 Metadata'!$A$4:$S$214,MATCH("Site type",'2007-2020 Metadata'!$A$4:$S$4,0),FALSE)</f>
        <v>SH</v>
      </c>
      <c r="AG107" s="143">
        <f t="shared" si="86"/>
        <v>13.4</v>
      </c>
      <c r="AH107" s="143">
        <f t="shared" si="87"/>
        <v>21.2</v>
      </c>
      <c r="AI107" s="144">
        <f t="shared" si="88"/>
        <v>20.716799242424244</v>
      </c>
    </row>
    <row r="108" spans="2:35" ht="12" customHeight="1" x14ac:dyDescent="0.15">
      <c r="B108" s="123" t="s">
        <v>54</v>
      </c>
      <c r="C108" s="119">
        <v>32.4</v>
      </c>
      <c r="D108" s="119">
        <v>35.5</v>
      </c>
      <c r="E108" s="119">
        <v>35.4</v>
      </c>
      <c r="F108" s="119">
        <v>42.1</v>
      </c>
      <c r="G108" s="119">
        <v>44.8</v>
      </c>
      <c r="H108" s="119">
        <v>41.8</v>
      </c>
      <c r="I108" s="119">
        <v>39.1</v>
      </c>
      <c r="J108" s="119">
        <v>39.799999999999997</v>
      </c>
      <c r="K108" s="119"/>
      <c r="L108" s="119">
        <v>42.4</v>
      </c>
      <c r="M108" s="119">
        <v>39.6</v>
      </c>
      <c r="N108" s="119">
        <v>28.8</v>
      </c>
      <c r="O108" s="121">
        <f t="shared" si="77"/>
        <v>38.336363636363643</v>
      </c>
      <c r="P108" s="121">
        <f t="shared" si="78"/>
        <v>12.554002952113702</v>
      </c>
      <c r="Q108" s="122">
        <f t="shared" si="79"/>
        <v>0.91666666666666663</v>
      </c>
      <c r="R108" s="140">
        <f t="shared" si="80"/>
        <v>34.433333333333337</v>
      </c>
      <c r="S108" s="150">
        <f t="shared" si="81"/>
        <v>1</v>
      </c>
      <c r="T108" s="140">
        <f t="shared" si="82"/>
        <v>39.450000000000003</v>
      </c>
      <c r="U108" s="150">
        <f t="shared" si="83"/>
        <v>0.66666666666666663</v>
      </c>
      <c r="V108" s="141">
        <f t="shared" si="84"/>
        <v>38.336363636363643</v>
      </c>
      <c r="W108" s="142">
        <f t="shared" si="85"/>
        <v>0.91666666666666663</v>
      </c>
      <c r="X108" s="144">
        <f t="shared" si="74"/>
        <v>19.212121212121215</v>
      </c>
      <c r="Y108" s="144">
        <f t="shared" si="75"/>
        <v>22.559090909090916</v>
      </c>
      <c r="Z108" s="144">
        <f t="shared" si="76"/>
        <v>20.716799242424244</v>
      </c>
      <c r="AA108" s="10"/>
      <c r="AB108" s="357" t="str">
        <f>VLOOKUP($B108,'2007-2020 Metadata'!$A$4:$S$214,MATCH("Urban Area /Monitoring Zone",'2007-2020 Metadata'!$A$4:$S$4,0),FALSE)</f>
        <v>Wellington</v>
      </c>
      <c r="AC108" s="87" t="str">
        <f>VLOOKUP(B108,'2007-2020 Metadata'!$A$6:$A$214,1,FALSE)</f>
        <v>WEL008</v>
      </c>
      <c r="AD108" s="230" t="str">
        <f>VLOOKUP($AC108,'2007-2020 Metadata'!$A$6:$S$214,9,FALSE)</f>
        <v>Wellington</v>
      </c>
      <c r="AE108" s="248">
        <f>IF(ISBLANK(VLOOKUP($AC108,'2007-2020 Metadata'!$A$6:$S$214,19,FALSE)),"",VLOOKUP($AC108,'2007-2020 Metadata'!$A$6:$S$214,19,FALSE))</f>
        <v>3.1</v>
      </c>
      <c r="AF108" s="88" t="str">
        <f>VLOOKUP($B108,'2007-2020 Metadata'!$A$4:$S$214,MATCH("Site type",'2007-2020 Metadata'!$A$4:$S$4,0),FALSE)</f>
        <v>SH</v>
      </c>
      <c r="AG108" s="143">
        <f t="shared" si="86"/>
        <v>28.8</v>
      </c>
      <c r="AH108" s="143">
        <f t="shared" si="87"/>
        <v>44.8</v>
      </c>
      <c r="AI108" s="144">
        <f t="shared" si="88"/>
        <v>20.716799242424244</v>
      </c>
    </row>
    <row r="109" spans="2:35" ht="12" customHeight="1" x14ac:dyDescent="0.15">
      <c r="B109" s="123" t="s">
        <v>55</v>
      </c>
      <c r="C109" s="119">
        <v>20.100000000000001</v>
      </c>
      <c r="D109" s="119">
        <v>21.1</v>
      </c>
      <c r="E109" s="119">
        <v>17.7</v>
      </c>
      <c r="F109" s="119">
        <v>23.3</v>
      </c>
      <c r="G109" s="119">
        <v>27.8</v>
      </c>
      <c r="H109" s="119">
        <v>24.6</v>
      </c>
      <c r="I109" s="119">
        <v>27.5</v>
      </c>
      <c r="J109" s="119">
        <v>28.3</v>
      </c>
      <c r="K109" s="119">
        <v>24.8</v>
      </c>
      <c r="L109" s="119">
        <v>21.5</v>
      </c>
      <c r="M109" s="119">
        <v>20.3</v>
      </c>
      <c r="N109" s="119"/>
      <c r="O109" s="121">
        <f t="shared" si="77"/>
        <v>23.363636363636363</v>
      </c>
      <c r="P109" s="121">
        <f t="shared" si="78"/>
        <v>15.160783431844443</v>
      </c>
      <c r="Q109" s="122">
        <f t="shared" si="79"/>
        <v>0.91666666666666663</v>
      </c>
      <c r="R109" s="140">
        <f t="shared" si="80"/>
        <v>19.633333333333336</v>
      </c>
      <c r="S109" s="150">
        <f t="shared" si="81"/>
        <v>1</v>
      </c>
      <c r="T109" s="140">
        <f t="shared" si="82"/>
        <v>26.866666666666664</v>
      </c>
      <c r="U109" s="150">
        <f t="shared" si="83"/>
        <v>1</v>
      </c>
      <c r="V109" s="141">
        <f t="shared" si="84"/>
        <v>23.363636363636363</v>
      </c>
      <c r="W109" s="142">
        <f t="shared" si="85"/>
        <v>0.91666666666666663</v>
      </c>
      <c r="X109" s="144">
        <f t="shared" ref="X109:X140" si="89">IF(VLOOKUP($B109,$AC$6:$AI$166,3,FALSE)="",$R109,IF(ISERROR(AVERAGEIF($AD$6:$AD$166,VLOOKUP($B109,$AC$6:$AI$166,2,FALSE),$R$6:$R$166)),"",AVERAGEIF($AD$6:$AD$166,VLOOKUP($B109,$AC$6:$AI$166,2,FALSE),$R$6:$R$166)))</f>
        <v>15.711111111111114</v>
      </c>
      <c r="Y109" s="144">
        <f t="shared" ref="Y109:Y140" si="90">IF(VLOOKUP($B109,$AC$6:$AI$166,3,FALSE)="",$T109,IF(ISERROR(AVERAGEIF($AD$6:$AD$166,VLOOKUP($B109,$AC$6:$AI$166,2,FALSE),$T$6:$T$166)),"",AVERAGEIF($AD$6:$AD$166,VLOOKUP($B109,$AC$6:$AI$166,2,FALSE),$T$6:$T$166)))</f>
        <v>21.533333333333331</v>
      </c>
      <c r="Z109" s="144">
        <f t="shared" ref="Z109:Z140" si="91">IF(VLOOKUP($B109,$AC$6:$AI$166,3,FALSE)="",$V109,IF(ISERROR(AVERAGEIF($AD$6:$AD$166,VLOOKUP($B109,$AC$6:$AI$166,2,FALSE),$V$6:$V$166)),"",AVERAGEIF($AD$6:$AD$166,VLOOKUP($B109,$AC$6:$AI$166,2,FALSE),$V$6:$V$166)))</f>
        <v>18.406818181818181</v>
      </c>
      <c r="AA109" s="10"/>
      <c r="AB109" s="357" t="str">
        <f>VLOOKUP($B109,'2007-2020 Metadata'!$A$4:$S$214,MATCH("Urban Area /Monitoring Zone",'2007-2020 Metadata'!$A$4:$S$4,0),FALSE)</f>
        <v>Nelson</v>
      </c>
      <c r="AC109" s="87" t="str">
        <f>VLOOKUP(B109,'2007-2020 Metadata'!$A$6:$A$214,1,FALSE)</f>
        <v>WEL009</v>
      </c>
      <c r="AD109" s="230" t="str">
        <f>VLOOKUP($AC109,'2007-2020 Metadata'!$A$6:$S$214,9,FALSE)</f>
        <v>Nelson</v>
      </c>
      <c r="AE109" s="248">
        <f>IF(ISBLANK(VLOOKUP($AC109,'2007-2020 Metadata'!$A$6:$S$214,19,FALSE)),"",VLOOKUP($AC109,'2007-2020 Metadata'!$A$6:$S$214,19,FALSE))</f>
        <v>3</v>
      </c>
      <c r="AF109" s="88" t="str">
        <f>VLOOKUP($B109,'2007-2020 Metadata'!$A$4:$S$214,MATCH("Site type",'2007-2020 Metadata'!$A$4:$S$4,0),FALSE)</f>
        <v>SH</v>
      </c>
      <c r="AG109" s="143">
        <f t="shared" si="86"/>
        <v>17.7</v>
      </c>
      <c r="AH109" s="143">
        <f t="shared" si="87"/>
        <v>28.3</v>
      </c>
      <c r="AI109" s="144">
        <f t="shared" si="88"/>
        <v>18.406818181818181</v>
      </c>
    </row>
    <row r="110" spans="2:35" ht="12" customHeight="1" x14ac:dyDescent="0.15">
      <c r="B110" s="123" t="s">
        <v>56</v>
      </c>
      <c r="C110" s="119">
        <v>14.6</v>
      </c>
      <c r="D110" s="119">
        <v>18</v>
      </c>
      <c r="E110" s="119">
        <v>21.8</v>
      </c>
      <c r="F110" s="119">
        <v>23.7</v>
      </c>
      <c r="G110" s="119">
        <v>26.7</v>
      </c>
      <c r="H110" s="119">
        <v>23.9</v>
      </c>
      <c r="I110" s="119">
        <v>26.6</v>
      </c>
      <c r="J110" s="119">
        <v>23</v>
      </c>
      <c r="K110" s="119">
        <v>20.5</v>
      </c>
      <c r="L110" s="119">
        <v>21</v>
      </c>
      <c r="M110" s="119">
        <v>18.2</v>
      </c>
      <c r="N110" s="119">
        <v>12.5</v>
      </c>
      <c r="O110" s="121">
        <f t="shared" si="77"/>
        <v>20.875</v>
      </c>
      <c r="P110" s="121">
        <f t="shared" si="78"/>
        <v>21.144177307988695</v>
      </c>
      <c r="Q110" s="122">
        <f t="shared" si="79"/>
        <v>1</v>
      </c>
      <c r="R110" s="140">
        <f t="shared" si="80"/>
        <v>18.133333333333336</v>
      </c>
      <c r="S110" s="150">
        <f t="shared" si="81"/>
        <v>1</v>
      </c>
      <c r="T110" s="140">
        <f t="shared" si="82"/>
        <v>23.366666666666664</v>
      </c>
      <c r="U110" s="150">
        <f t="shared" si="83"/>
        <v>1</v>
      </c>
      <c r="V110" s="141">
        <f t="shared" si="84"/>
        <v>20.875</v>
      </c>
      <c r="W110" s="142">
        <f t="shared" si="85"/>
        <v>1</v>
      </c>
      <c r="X110" s="144">
        <f t="shared" si="89"/>
        <v>15.711111111111114</v>
      </c>
      <c r="Y110" s="144">
        <f t="shared" si="90"/>
        <v>21.533333333333331</v>
      </c>
      <c r="Z110" s="144">
        <f t="shared" si="91"/>
        <v>18.406818181818181</v>
      </c>
      <c r="AA110" s="10"/>
      <c r="AB110" s="357" t="str">
        <f>VLOOKUP($B110,'2007-2020 Metadata'!$A$4:$S$214,MATCH("Urban Area /Monitoring Zone",'2007-2020 Metadata'!$A$4:$S$4,0),FALSE)</f>
        <v>Nelson</v>
      </c>
      <c r="AC110" s="87" t="str">
        <f>VLOOKUP(B110,'2007-2020 Metadata'!$A$6:$A$214,1,FALSE)</f>
        <v>WEL010</v>
      </c>
      <c r="AD110" s="230" t="str">
        <f>VLOOKUP($AC110,'2007-2020 Metadata'!$A$6:$S$214,9,FALSE)</f>
        <v>Nelson</v>
      </c>
      <c r="AE110" s="248">
        <f>IF(ISBLANK(VLOOKUP($AC110,'2007-2020 Metadata'!$A$6:$S$214,19,FALSE)),"",VLOOKUP($AC110,'2007-2020 Metadata'!$A$6:$S$214,19,FALSE))</f>
        <v>2.4</v>
      </c>
      <c r="AF110" s="88" t="str">
        <f>VLOOKUP($B110,'2007-2020 Metadata'!$A$4:$S$214,MATCH("Site type",'2007-2020 Metadata'!$A$4:$S$4,0),FALSE)</f>
        <v>SH</v>
      </c>
      <c r="AG110" s="143">
        <f t="shared" si="86"/>
        <v>12.5</v>
      </c>
      <c r="AH110" s="143">
        <f t="shared" si="87"/>
        <v>26.7</v>
      </c>
      <c r="AI110" s="144">
        <f t="shared" si="88"/>
        <v>18.406818181818181</v>
      </c>
    </row>
    <row r="111" spans="2:35" ht="12" customHeight="1" x14ac:dyDescent="0.15">
      <c r="B111" s="123" t="s">
        <v>57</v>
      </c>
      <c r="C111" s="119">
        <v>9.6999999999999993</v>
      </c>
      <c r="D111" s="119">
        <v>14.1</v>
      </c>
      <c r="E111" s="119">
        <v>17.3</v>
      </c>
      <c r="F111" s="119">
        <v>18.100000000000001</v>
      </c>
      <c r="G111" s="119">
        <v>21.8</v>
      </c>
      <c r="H111" s="119">
        <v>21</v>
      </c>
      <c r="I111" s="119">
        <v>23.2</v>
      </c>
      <c r="J111" s="119">
        <v>19.7</v>
      </c>
      <c r="K111" s="119">
        <v>14.6</v>
      </c>
      <c r="L111" s="119">
        <v>14.4</v>
      </c>
      <c r="M111" s="119">
        <v>11.7</v>
      </c>
      <c r="N111" s="119">
        <v>9.1</v>
      </c>
      <c r="O111" s="121">
        <f t="shared" si="77"/>
        <v>16.224999999999998</v>
      </c>
      <c r="P111" s="121">
        <f t="shared" si="78"/>
        <v>29.002937967701293</v>
      </c>
      <c r="Q111" s="122">
        <f t="shared" si="79"/>
        <v>1</v>
      </c>
      <c r="R111" s="140">
        <f t="shared" ref="R111:R142" si="92">IF($S111=0%,"",IF($S111&gt;66%,AVERAGE($C111:$E111),"-"))</f>
        <v>13.699999999999998</v>
      </c>
      <c r="S111" s="150">
        <f t="shared" ref="S111:S142" si="93">COUNT(C111:E111)/3</f>
        <v>1</v>
      </c>
      <c r="T111" s="140">
        <f t="shared" si="82"/>
        <v>19.166666666666668</v>
      </c>
      <c r="U111" s="150">
        <f t="shared" si="83"/>
        <v>1</v>
      </c>
      <c r="V111" s="141">
        <f t="shared" si="84"/>
        <v>16.224999999999998</v>
      </c>
      <c r="W111" s="142">
        <f t="shared" si="85"/>
        <v>1</v>
      </c>
      <c r="X111" s="144">
        <f t="shared" si="89"/>
        <v>13.699999999999998</v>
      </c>
      <c r="Y111" s="144">
        <f t="shared" si="90"/>
        <v>19.166666666666668</v>
      </c>
      <c r="Z111" s="144">
        <f t="shared" si="91"/>
        <v>16.224999999999998</v>
      </c>
      <c r="AA111" s="10"/>
      <c r="AB111" s="357" t="str">
        <f>VLOOKUP($B111,'2007-2020 Metadata'!$A$4:$S$214,MATCH("Urban Area /Monitoring Zone",'2007-2020 Metadata'!$A$4:$S$4,0),FALSE)</f>
        <v>Nelson</v>
      </c>
      <c r="AC111" s="87" t="str">
        <f>VLOOKUP(B111,'2007-2020 Metadata'!$A$6:$A$214,1,FALSE)</f>
        <v>WEL011</v>
      </c>
      <c r="AD111" s="230" t="str">
        <f>VLOOKUP($AC111,'2007-2020 Metadata'!$A$6:$S$214,9,FALSE)</f>
        <v>Tasman</v>
      </c>
      <c r="AE111" s="248">
        <f>IF(ISBLANK(VLOOKUP($AC111,'2007-2020 Metadata'!$A$6:$S$214,19,FALSE)),"",VLOOKUP($AC111,'2007-2020 Metadata'!$A$6:$S$214,19,FALSE))</f>
        <v>2.4</v>
      </c>
      <c r="AF111" s="88" t="str">
        <f>VLOOKUP($B111,'2007-2020 Metadata'!$A$4:$S$214,MATCH("Site type",'2007-2020 Metadata'!$A$4:$S$4,0),FALSE)</f>
        <v>SH</v>
      </c>
      <c r="AG111" s="143">
        <f t="shared" si="86"/>
        <v>9.1</v>
      </c>
      <c r="AH111" s="143">
        <f t="shared" si="87"/>
        <v>23.2</v>
      </c>
      <c r="AI111" s="144">
        <f t="shared" si="88"/>
        <v>16.224999999999998</v>
      </c>
    </row>
    <row r="112" spans="2:35" ht="12" customHeight="1" x14ac:dyDescent="0.15">
      <c r="B112" s="123" t="s">
        <v>58</v>
      </c>
      <c r="C112" s="119">
        <v>11.5</v>
      </c>
      <c r="D112" s="119">
        <v>11.5</v>
      </c>
      <c r="E112" s="119">
        <v>13</v>
      </c>
      <c r="F112" s="119">
        <v>16.899999999999999</v>
      </c>
      <c r="G112" s="119"/>
      <c r="H112" s="119">
        <v>15.2</v>
      </c>
      <c r="I112" s="119">
        <v>18.5</v>
      </c>
      <c r="J112" s="119">
        <v>18.100000000000001</v>
      </c>
      <c r="K112" s="119">
        <v>10.9</v>
      </c>
      <c r="L112" s="119">
        <v>12.7</v>
      </c>
      <c r="M112" s="119">
        <v>11.9</v>
      </c>
      <c r="N112" s="119">
        <v>10.9</v>
      </c>
      <c r="O112" s="121">
        <f t="shared" si="77"/>
        <v>13.736363636363636</v>
      </c>
      <c r="P112" s="121">
        <f t="shared" si="78"/>
        <v>21.220197096710478</v>
      </c>
      <c r="Q112" s="122">
        <f t="shared" si="79"/>
        <v>0.91666666666666663</v>
      </c>
      <c r="R112" s="140">
        <f t="shared" si="92"/>
        <v>12</v>
      </c>
      <c r="S112" s="150">
        <f t="shared" si="93"/>
        <v>1</v>
      </c>
      <c r="T112" s="140">
        <f t="shared" si="82"/>
        <v>15.833333333333334</v>
      </c>
      <c r="U112" s="150">
        <f t="shared" si="83"/>
        <v>1</v>
      </c>
      <c r="V112" s="141">
        <f t="shared" si="84"/>
        <v>13.736363636363636</v>
      </c>
      <c r="W112" s="142">
        <f t="shared" si="85"/>
        <v>0.91666666666666663</v>
      </c>
      <c r="X112" s="144">
        <f t="shared" si="89"/>
        <v>12</v>
      </c>
      <c r="Y112" s="144">
        <f t="shared" si="90"/>
        <v>15.833333333333334</v>
      </c>
      <c r="Z112" s="144">
        <f t="shared" si="91"/>
        <v>13.736363636363636</v>
      </c>
      <c r="AA112" s="10"/>
      <c r="AB112" s="357" t="str">
        <f>VLOOKUP($B112,'2007-2020 Metadata'!$A$4:$S$214,MATCH("Urban Area /Monitoring Zone",'2007-2020 Metadata'!$A$4:$S$4,0),FALSE)</f>
        <v>Blenheim</v>
      </c>
      <c r="AC112" s="87" t="str">
        <f>VLOOKUP(B112,'2007-2020 Metadata'!$A$6:$A$214,1,FALSE)</f>
        <v>WEL012</v>
      </c>
      <c r="AD112" s="230" t="str">
        <f>VLOOKUP($AC112,'2007-2020 Metadata'!$A$6:$S$214,9,FALSE)</f>
        <v>Blenheim</v>
      </c>
      <c r="AE112" s="248">
        <f>IF(ISBLANK(VLOOKUP($AC112,'2007-2020 Metadata'!$A$6:$S$214,19,FALSE)),"",VLOOKUP($AC112,'2007-2020 Metadata'!$A$6:$S$214,19,FALSE))</f>
        <v>4.2</v>
      </c>
      <c r="AF112" s="88" t="str">
        <f>VLOOKUP($B112,'2007-2020 Metadata'!$A$4:$S$214,MATCH("Site type",'2007-2020 Metadata'!$A$4:$S$4,0),FALSE)</f>
        <v>SH</v>
      </c>
      <c r="AG112" s="143">
        <f t="shared" si="86"/>
        <v>10.9</v>
      </c>
      <c r="AH112" s="143">
        <f t="shared" si="87"/>
        <v>18.5</v>
      </c>
      <c r="AI112" s="144">
        <f t="shared" si="88"/>
        <v>13.736363636363636</v>
      </c>
    </row>
    <row r="113" spans="1:36" ht="12" customHeight="1" x14ac:dyDescent="0.15">
      <c r="B113" s="123" t="s">
        <v>125</v>
      </c>
      <c r="C113" s="119">
        <v>9.5</v>
      </c>
      <c r="D113" s="119">
        <v>9.3000000000000007</v>
      </c>
      <c r="E113" s="119">
        <v>11.8</v>
      </c>
      <c r="F113" s="119">
        <v>12.2</v>
      </c>
      <c r="G113" s="119">
        <v>17.899999999999999</v>
      </c>
      <c r="H113" s="119">
        <v>12.9</v>
      </c>
      <c r="I113" s="119">
        <v>12.4</v>
      </c>
      <c r="J113" s="119">
        <v>13.3</v>
      </c>
      <c r="K113" s="119">
        <v>6.3</v>
      </c>
      <c r="L113" s="119">
        <v>10.7</v>
      </c>
      <c r="M113" s="119">
        <v>8.4</v>
      </c>
      <c r="N113" s="119">
        <v>6.7</v>
      </c>
      <c r="O113" s="121">
        <f t="shared" si="77"/>
        <v>10.950000000000001</v>
      </c>
      <c r="P113" s="121">
        <f t="shared" si="78"/>
        <v>29.282060950450511</v>
      </c>
      <c r="Q113" s="122">
        <f t="shared" si="79"/>
        <v>1</v>
      </c>
      <c r="R113" s="140">
        <f t="shared" si="92"/>
        <v>10.200000000000001</v>
      </c>
      <c r="S113" s="150">
        <f t="shared" si="93"/>
        <v>1</v>
      </c>
      <c r="T113" s="140">
        <f t="shared" si="82"/>
        <v>10.666666666666666</v>
      </c>
      <c r="U113" s="150">
        <f t="shared" si="83"/>
        <v>1</v>
      </c>
      <c r="V113" s="141">
        <f t="shared" si="84"/>
        <v>10.950000000000001</v>
      </c>
      <c r="W113" s="142">
        <f t="shared" si="85"/>
        <v>1</v>
      </c>
      <c r="X113" s="144">
        <f t="shared" si="89"/>
        <v>19.212121212121215</v>
      </c>
      <c r="Y113" s="144">
        <f t="shared" si="90"/>
        <v>22.559090909090916</v>
      </c>
      <c r="Z113" s="144">
        <f t="shared" si="91"/>
        <v>20.716799242424244</v>
      </c>
      <c r="AA113" s="10"/>
      <c r="AB113" s="357" t="str">
        <f>VLOOKUP($B113,'2007-2020 Metadata'!$A$4:$S$214,MATCH("Urban Area /Monitoring Zone",'2007-2020 Metadata'!$A$4:$S$4,0),FALSE)</f>
        <v>Wellington</v>
      </c>
      <c r="AC113" s="87" t="str">
        <f>VLOOKUP(B113,'2007-2020 Metadata'!$A$6:$A$214,1,FALSE)</f>
        <v>WEL047</v>
      </c>
      <c r="AD113" s="230" t="str">
        <f>VLOOKUP($AC113,'2007-2020 Metadata'!$A$6:$S$214,9,FALSE)</f>
        <v>Wellington</v>
      </c>
      <c r="AE113" s="248">
        <f>IF(ISBLANK(VLOOKUP($AC113,'2007-2020 Metadata'!$A$6:$S$214,19,FALSE)),"",VLOOKUP($AC113,'2007-2020 Metadata'!$A$6:$S$214,19,FALSE))</f>
        <v>3.5</v>
      </c>
      <c r="AF113" s="88" t="str">
        <f>VLOOKUP($B113,'2007-2020 Metadata'!$A$4:$S$214,MATCH("Site type",'2007-2020 Metadata'!$A$4:$S$4,0),FALSE)</f>
        <v>Local</v>
      </c>
      <c r="AG113" s="143">
        <f t="shared" si="86"/>
        <v>6.3</v>
      </c>
      <c r="AH113" s="143">
        <f t="shared" si="87"/>
        <v>17.899999999999999</v>
      </c>
      <c r="AI113" s="144">
        <f t="shared" si="88"/>
        <v>20.716799242424244</v>
      </c>
    </row>
    <row r="114" spans="1:36" ht="12" customHeight="1" x14ac:dyDescent="0.15">
      <c r="B114" s="123" t="s">
        <v>126</v>
      </c>
      <c r="C114" s="119">
        <v>7</v>
      </c>
      <c r="D114" s="119">
        <v>6.3</v>
      </c>
      <c r="E114" s="119">
        <v>9.4</v>
      </c>
      <c r="F114" s="119">
        <v>8.1999999999999993</v>
      </c>
      <c r="G114" s="119">
        <v>9.6999999999999993</v>
      </c>
      <c r="H114" s="119">
        <v>9.8000000000000007</v>
      </c>
      <c r="I114" s="119">
        <v>9.3000000000000007</v>
      </c>
      <c r="J114" s="119">
        <v>10.3</v>
      </c>
      <c r="K114" s="119">
        <v>5.6</v>
      </c>
      <c r="L114" s="119">
        <v>6.9</v>
      </c>
      <c r="M114" s="119"/>
      <c r="N114" s="119">
        <v>5.9</v>
      </c>
      <c r="O114" s="121">
        <f t="shared" si="77"/>
        <v>8.036363636363637</v>
      </c>
      <c r="P114" s="121">
        <f t="shared" si="78"/>
        <v>21.68354638761426</v>
      </c>
      <c r="Q114" s="122">
        <f t="shared" si="79"/>
        <v>0.91666666666666663</v>
      </c>
      <c r="R114" s="140">
        <f t="shared" si="92"/>
        <v>7.5666666666666673</v>
      </c>
      <c r="S114" s="150">
        <f t="shared" si="93"/>
        <v>1</v>
      </c>
      <c r="T114" s="140">
        <f t="shared" si="82"/>
        <v>8.4</v>
      </c>
      <c r="U114" s="150">
        <f t="shared" si="83"/>
        <v>1</v>
      </c>
      <c r="V114" s="141">
        <f t="shared" si="84"/>
        <v>8.036363636363637</v>
      </c>
      <c r="W114" s="142">
        <f t="shared" si="85"/>
        <v>0.91666666666666663</v>
      </c>
      <c r="X114" s="144">
        <f t="shared" si="89"/>
        <v>19.212121212121215</v>
      </c>
      <c r="Y114" s="144">
        <f t="shared" si="90"/>
        <v>22.559090909090916</v>
      </c>
      <c r="Z114" s="144">
        <f t="shared" si="91"/>
        <v>20.716799242424244</v>
      </c>
      <c r="AA114" s="10"/>
      <c r="AB114" s="357" t="str">
        <f>VLOOKUP($B114,'2007-2020 Metadata'!$A$4:$S$214,MATCH("Urban Area /Monitoring Zone",'2007-2020 Metadata'!$A$4:$S$4,0),FALSE)</f>
        <v>Wellington</v>
      </c>
      <c r="AC114" s="87" t="str">
        <f>VLOOKUP(B114,'2007-2020 Metadata'!$A$6:$A$214,1,FALSE)</f>
        <v>WEL048</v>
      </c>
      <c r="AD114" s="230" t="str">
        <f>VLOOKUP($AC114,'2007-2020 Metadata'!$A$6:$S$214,9,FALSE)</f>
        <v>Wellington</v>
      </c>
      <c r="AE114" s="248">
        <f>IF(ISBLANK(VLOOKUP($AC114,'2007-2020 Metadata'!$A$6:$S$214,19,FALSE)),"",VLOOKUP($AC114,'2007-2020 Metadata'!$A$6:$S$214,19,FALSE))</f>
        <v>4</v>
      </c>
      <c r="AF114" s="88" t="str">
        <f>VLOOKUP($B114,'2007-2020 Metadata'!$A$4:$S$214,MATCH("Site type",'2007-2020 Metadata'!$A$4:$S$4,0),FALSE)</f>
        <v>Background</v>
      </c>
      <c r="AG114" s="143">
        <f t="shared" si="86"/>
        <v>5.6</v>
      </c>
      <c r="AH114" s="143">
        <f t="shared" si="87"/>
        <v>10.3</v>
      </c>
      <c r="AI114" s="144">
        <f t="shared" si="88"/>
        <v>20.716799242424244</v>
      </c>
    </row>
    <row r="115" spans="1:36" ht="12" customHeight="1" x14ac:dyDescent="0.15">
      <c r="B115" s="123" t="s">
        <v>127</v>
      </c>
      <c r="C115" s="119">
        <v>33.6</v>
      </c>
      <c r="D115" s="119">
        <v>33</v>
      </c>
      <c r="E115" s="119">
        <v>44.3</v>
      </c>
      <c r="F115" s="119">
        <v>44.7</v>
      </c>
      <c r="G115" s="119">
        <v>46.3</v>
      </c>
      <c r="H115" s="119">
        <v>46.6</v>
      </c>
      <c r="I115" s="119">
        <v>43.2</v>
      </c>
      <c r="J115" s="119">
        <v>50.1</v>
      </c>
      <c r="K115" s="119">
        <v>36.799999999999997</v>
      </c>
      <c r="L115" s="119">
        <v>33.9</v>
      </c>
      <c r="M115" s="119">
        <v>29.8</v>
      </c>
      <c r="N115" s="119">
        <v>32.799999999999997</v>
      </c>
      <c r="O115" s="121">
        <f t="shared" si="77"/>
        <v>39.591666666666669</v>
      </c>
      <c r="P115" s="121">
        <f t="shared" si="78"/>
        <v>17.488688418264967</v>
      </c>
      <c r="Q115" s="122">
        <f t="shared" si="79"/>
        <v>1</v>
      </c>
      <c r="R115" s="140">
        <f t="shared" si="92"/>
        <v>36.966666666666661</v>
      </c>
      <c r="S115" s="150">
        <f t="shared" si="93"/>
        <v>1</v>
      </c>
      <c r="T115" s="140">
        <f t="shared" si="82"/>
        <v>43.366666666666674</v>
      </c>
      <c r="U115" s="150">
        <f t="shared" si="83"/>
        <v>1</v>
      </c>
      <c r="V115" s="141">
        <f t="shared" si="84"/>
        <v>39.591666666666669</v>
      </c>
      <c r="W115" s="142">
        <f t="shared" si="85"/>
        <v>1</v>
      </c>
      <c r="X115" s="144">
        <f t="shared" si="89"/>
        <v>19.212121212121215</v>
      </c>
      <c r="Y115" s="144">
        <f t="shared" si="90"/>
        <v>22.559090909090916</v>
      </c>
      <c r="Z115" s="144">
        <f t="shared" si="91"/>
        <v>20.716799242424244</v>
      </c>
      <c r="AA115" s="10"/>
      <c r="AB115" s="357" t="str">
        <f>VLOOKUP($B115,'2007-2020 Metadata'!$A$4:$S$214,MATCH("Urban Area /Monitoring Zone",'2007-2020 Metadata'!$A$4:$S$4,0),FALSE)</f>
        <v>Wellington</v>
      </c>
      <c r="AC115" s="87" t="str">
        <f>VLOOKUP(B115,'2007-2020 Metadata'!$A$6:$A$214,1,FALSE)</f>
        <v>WEL049</v>
      </c>
      <c r="AD115" s="230" t="str">
        <f>VLOOKUP($AC115,'2007-2020 Metadata'!$A$6:$S$214,9,FALSE)</f>
        <v>Wellington</v>
      </c>
      <c r="AE115" s="248">
        <f>IF(ISBLANK(VLOOKUP($AC115,'2007-2020 Metadata'!$A$6:$S$214,19,FALSE)),"",VLOOKUP($AC115,'2007-2020 Metadata'!$A$6:$S$214,19,FALSE))</f>
        <v>4</v>
      </c>
      <c r="AF115" s="88" t="str">
        <f>VLOOKUP($B115,'2007-2020 Metadata'!$A$4:$S$214,MATCH("Site type",'2007-2020 Metadata'!$A$4:$S$4,0),FALSE)</f>
        <v>Local</v>
      </c>
      <c r="AG115" s="143">
        <f t="shared" si="86"/>
        <v>29.8</v>
      </c>
      <c r="AH115" s="143">
        <f t="shared" si="87"/>
        <v>50.1</v>
      </c>
      <c r="AI115" s="144">
        <f t="shared" si="88"/>
        <v>20.716799242424244</v>
      </c>
    </row>
    <row r="116" spans="1:36" ht="12" customHeight="1" x14ac:dyDescent="0.15">
      <c r="B116" s="123" t="s">
        <v>128</v>
      </c>
      <c r="C116" s="119">
        <v>17.8</v>
      </c>
      <c r="D116" s="119">
        <v>17.100000000000001</v>
      </c>
      <c r="E116" s="119">
        <v>13.3</v>
      </c>
      <c r="F116" s="119"/>
      <c r="G116" s="119"/>
      <c r="H116" s="119">
        <v>22.3</v>
      </c>
      <c r="I116" s="119">
        <v>20.399999999999999</v>
      </c>
      <c r="J116" s="119">
        <v>19.899999999999999</v>
      </c>
      <c r="K116" s="119">
        <v>15.5</v>
      </c>
      <c r="L116" s="119">
        <v>16.399999999999999</v>
      </c>
      <c r="M116" s="119">
        <v>16.899999999999999</v>
      </c>
      <c r="N116" s="119">
        <v>11.1</v>
      </c>
      <c r="O116" s="121">
        <f t="shared" si="77"/>
        <v>17.07</v>
      </c>
      <c r="P116" s="121">
        <f t="shared" si="78"/>
        <v>19.506041785396043</v>
      </c>
      <c r="Q116" s="122">
        <f t="shared" si="79"/>
        <v>0.83333333333333337</v>
      </c>
      <c r="R116" s="140">
        <f t="shared" si="92"/>
        <v>16.066666666666666</v>
      </c>
      <c r="S116" s="150">
        <f t="shared" si="93"/>
        <v>1</v>
      </c>
      <c r="T116" s="140">
        <f t="shared" si="82"/>
        <v>18.599999999999998</v>
      </c>
      <c r="U116" s="150">
        <f t="shared" si="83"/>
        <v>1</v>
      </c>
      <c r="V116" s="141">
        <f t="shared" si="84"/>
        <v>17.07</v>
      </c>
      <c r="W116" s="142">
        <f t="shared" si="85"/>
        <v>0.83333333333333337</v>
      </c>
      <c r="X116" s="144">
        <f t="shared" si="89"/>
        <v>19.212121212121215</v>
      </c>
      <c r="Y116" s="144">
        <f t="shared" si="90"/>
        <v>22.559090909090916</v>
      </c>
      <c r="Z116" s="144">
        <f t="shared" si="91"/>
        <v>20.716799242424244</v>
      </c>
      <c r="AA116" s="10"/>
      <c r="AB116" s="357" t="str">
        <f>VLOOKUP($B116,'2007-2020 Metadata'!$A$4:$S$214,MATCH("Urban Area /Monitoring Zone",'2007-2020 Metadata'!$A$4:$S$4,0),FALSE)</f>
        <v>Wellington</v>
      </c>
      <c r="AC116" s="87" t="str">
        <f>VLOOKUP(B116,'2007-2020 Metadata'!$A$6:$A$214,1,FALSE)</f>
        <v>WEL050</v>
      </c>
      <c r="AD116" s="230" t="str">
        <f>VLOOKUP($AC116,'2007-2020 Metadata'!$A$6:$S$214,9,FALSE)</f>
        <v>Wellington</v>
      </c>
      <c r="AE116" s="248">
        <f>IF(ISBLANK(VLOOKUP($AC116,'2007-2020 Metadata'!$A$6:$S$214,19,FALSE)),"",VLOOKUP($AC116,'2007-2020 Metadata'!$A$6:$S$214,19,FALSE))</f>
        <v>4</v>
      </c>
      <c r="AF116" s="88" t="str">
        <f>VLOOKUP($B116,'2007-2020 Metadata'!$A$4:$S$214,MATCH("Site type",'2007-2020 Metadata'!$A$4:$S$4,0),FALSE)</f>
        <v>SH</v>
      </c>
      <c r="AG116" s="143">
        <f t="shared" si="86"/>
        <v>11.1</v>
      </c>
      <c r="AH116" s="143">
        <f t="shared" si="87"/>
        <v>22.3</v>
      </c>
      <c r="AI116" s="144">
        <f t="shared" si="88"/>
        <v>20.716799242424244</v>
      </c>
    </row>
    <row r="117" spans="1:36" ht="12" customHeight="1" x14ac:dyDescent="0.15">
      <c r="B117" s="123" t="s">
        <v>129</v>
      </c>
      <c r="C117" s="119">
        <v>10.1</v>
      </c>
      <c r="D117" s="119">
        <v>12.1</v>
      </c>
      <c r="E117" s="119">
        <v>13.8</v>
      </c>
      <c r="F117" s="119">
        <v>13.7</v>
      </c>
      <c r="G117" s="119">
        <v>15.2</v>
      </c>
      <c r="H117" s="119">
        <v>12.3</v>
      </c>
      <c r="I117" s="119">
        <v>13.7</v>
      </c>
      <c r="J117" s="119">
        <v>12.7</v>
      </c>
      <c r="K117" s="119">
        <v>9.1</v>
      </c>
      <c r="L117" s="119">
        <v>11.6</v>
      </c>
      <c r="M117" s="119">
        <v>12.5</v>
      </c>
      <c r="N117" s="119">
        <v>8.3000000000000007</v>
      </c>
      <c r="O117" s="121">
        <f t="shared" si="77"/>
        <v>12.091666666666669</v>
      </c>
      <c r="P117" s="121">
        <f t="shared" si="78"/>
        <v>16.887988170307842</v>
      </c>
      <c r="Q117" s="122">
        <f t="shared" si="79"/>
        <v>1</v>
      </c>
      <c r="R117" s="140">
        <f t="shared" si="92"/>
        <v>12</v>
      </c>
      <c r="S117" s="150">
        <f t="shared" si="93"/>
        <v>1</v>
      </c>
      <c r="T117" s="140">
        <f t="shared" si="82"/>
        <v>11.833333333333334</v>
      </c>
      <c r="U117" s="150">
        <f t="shared" si="83"/>
        <v>1</v>
      </c>
      <c r="V117" s="141">
        <f t="shared" si="84"/>
        <v>12.091666666666669</v>
      </c>
      <c r="W117" s="142">
        <f t="shared" si="85"/>
        <v>1</v>
      </c>
      <c r="X117" s="144">
        <f t="shared" si="89"/>
        <v>19.212121212121215</v>
      </c>
      <c r="Y117" s="144">
        <f t="shared" si="90"/>
        <v>22.559090909090916</v>
      </c>
      <c r="Z117" s="144">
        <f t="shared" si="91"/>
        <v>20.716799242424244</v>
      </c>
      <c r="AA117" s="10"/>
      <c r="AB117" s="357" t="str">
        <f>VLOOKUP($B117,'2007-2020 Metadata'!$A$4:$S$214,MATCH("Urban Area /Monitoring Zone",'2007-2020 Metadata'!$A$4:$S$4,0),FALSE)</f>
        <v>Wellington</v>
      </c>
      <c r="AC117" s="87" t="str">
        <f>VLOOKUP(B117,'2007-2020 Metadata'!$A$6:$A$214,1,FALSE)</f>
        <v>WEL051</v>
      </c>
      <c r="AD117" s="230" t="str">
        <f>VLOOKUP($AC117,'2007-2020 Metadata'!$A$6:$S$214,9,FALSE)</f>
        <v>Wellington</v>
      </c>
      <c r="AE117" s="248">
        <f>IF(ISBLANK(VLOOKUP($AC117,'2007-2020 Metadata'!$A$6:$S$214,19,FALSE)),"",VLOOKUP($AC117,'2007-2020 Metadata'!$A$6:$S$214,19,FALSE))</f>
        <v>4</v>
      </c>
      <c r="AF117" s="88" t="str">
        <f>VLOOKUP($B117,'2007-2020 Metadata'!$A$4:$S$214,MATCH("Site type",'2007-2020 Metadata'!$A$4:$S$4,0),FALSE)</f>
        <v>Local</v>
      </c>
      <c r="AG117" s="143">
        <f t="shared" si="86"/>
        <v>8.3000000000000007</v>
      </c>
      <c r="AH117" s="143">
        <f t="shared" si="87"/>
        <v>15.2</v>
      </c>
      <c r="AI117" s="144">
        <f t="shared" si="88"/>
        <v>20.716799242424244</v>
      </c>
    </row>
    <row r="118" spans="1:36" ht="12" customHeight="1" x14ac:dyDescent="0.15">
      <c r="B118" s="123" t="s">
        <v>130</v>
      </c>
      <c r="C118" s="119">
        <v>13.5</v>
      </c>
      <c r="D118" s="119">
        <v>19.100000000000001</v>
      </c>
      <c r="E118" s="119">
        <v>23.4</v>
      </c>
      <c r="F118" s="119">
        <v>23.3</v>
      </c>
      <c r="G118" s="119">
        <v>26.2</v>
      </c>
      <c r="H118" s="119">
        <v>29.2</v>
      </c>
      <c r="I118" s="119">
        <v>27.1</v>
      </c>
      <c r="J118" s="119">
        <v>27.5</v>
      </c>
      <c r="K118" s="119">
        <v>16.600000000000001</v>
      </c>
      <c r="L118" s="119">
        <v>16.2</v>
      </c>
      <c r="M118" s="119">
        <v>16.8</v>
      </c>
      <c r="N118" s="119">
        <v>15</v>
      </c>
      <c r="O118" s="121">
        <f t="shared" si="77"/>
        <v>21.158333333333331</v>
      </c>
      <c r="P118" s="121">
        <f t="shared" si="78"/>
        <v>26.291179326684023</v>
      </c>
      <c r="Q118" s="122">
        <f t="shared" si="79"/>
        <v>1</v>
      </c>
      <c r="R118" s="140">
        <f t="shared" si="92"/>
        <v>18.666666666666668</v>
      </c>
      <c r="S118" s="150">
        <f t="shared" si="93"/>
        <v>1</v>
      </c>
      <c r="T118" s="140">
        <f t="shared" si="82"/>
        <v>23.733333333333334</v>
      </c>
      <c r="U118" s="150">
        <f t="shared" si="83"/>
        <v>1</v>
      </c>
      <c r="V118" s="141">
        <f t="shared" si="84"/>
        <v>21.158333333333331</v>
      </c>
      <c r="W118" s="142">
        <f t="shared" si="85"/>
        <v>1</v>
      </c>
      <c r="X118" s="144">
        <f t="shared" si="89"/>
        <v>16.18</v>
      </c>
      <c r="Y118" s="144">
        <f t="shared" si="90"/>
        <v>20.953333333333333</v>
      </c>
      <c r="Z118" s="144">
        <f t="shared" si="91"/>
        <v>18.800303030303031</v>
      </c>
      <c r="AA118" s="10"/>
      <c r="AB118" s="357" t="str">
        <f>VLOOKUP($B118,'2007-2020 Metadata'!$A$4:$S$214,MATCH("Urban Area /Monitoring Zone",'2007-2020 Metadata'!$A$4:$S$4,0),FALSE)</f>
        <v>Lower Hutt</v>
      </c>
      <c r="AC118" s="87" t="str">
        <f>VLOOKUP(B118,'2007-2020 Metadata'!$A$6:$A$214,1,FALSE)</f>
        <v>WEL052</v>
      </c>
      <c r="AD118" s="230" t="str">
        <f>VLOOKUP($AC118,'2007-2020 Metadata'!$A$6:$S$214,9,FALSE)</f>
        <v>Lower Hutt</v>
      </c>
      <c r="AE118" s="248">
        <f>IF(ISBLANK(VLOOKUP($AC118,'2007-2020 Metadata'!$A$6:$S$214,19,FALSE)),"",VLOOKUP($AC118,'2007-2020 Metadata'!$A$6:$S$214,19,FALSE))</f>
        <v>4</v>
      </c>
      <c r="AF118" s="88" t="str">
        <f>VLOOKUP($B118,'2007-2020 Metadata'!$A$4:$S$214,MATCH("Site type",'2007-2020 Metadata'!$A$4:$S$4,0),FALSE)</f>
        <v>SH</v>
      </c>
      <c r="AG118" s="143">
        <f t="shared" si="86"/>
        <v>13.5</v>
      </c>
      <c r="AH118" s="143">
        <f t="shared" si="87"/>
        <v>29.2</v>
      </c>
      <c r="AI118" s="144">
        <f t="shared" si="88"/>
        <v>18.800303030303031</v>
      </c>
    </row>
    <row r="119" spans="1:36" ht="12" customHeight="1" x14ac:dyDescent="0.15">
      <c r="A119" s="126"/>
      <c r="B119" s="123" t="s">
        <v>131</v>
      </c>
      <c r="C119" s="119">
        <v>20.3</v>
      </c>
      <c r="D119" s="119">
        <v>19.7</v>
      </c>
      <c r="E119" s="119">
        <v>23.6</v>
      </c>
      <c r="F119" s="119">
        <v>28</v>
      </c>
      <c r="G119" s="119">
        <v>27.6</v>
      </c>
      <c r="H119" s="119">
        <v>32.200000000000003</v>
      </c>
      <c r="I119" s="119">
        <v>30.5</v>
      </c>
      <c r="J119" s="119">
        <v>32.299999999999997</v>
      </c>
      <c r="K119" s="119">
        <v>18.8</v>
      </c>
      <c r="L119" s="119">
        <v>23.5</v>
      </c>
      <c r="M119" s="119">
        <v>21.1</v>
      </c>
      <c r="N119" s="119">
        <v>11.1</v>
      </c>
      <c r="O119" s="121">
        <f t="shared" si="77"/>
        <v>24.058333333333337</v>
      </c>
      <c r="P119" s="121">
        <f t="shared" si="78"/>
        <v>26.340619755188509</v>
      </c>
      <c r="Q119" s="122">
        <f t="shared" si="79"/>
        <v>1</v>
      </c>
      <c r="R119" s="140">
        <f t="shared" si="92"/>
        <v>21.2</v>
      </c>
      <c r="S119" s="150">
        <f t="shared" si="93"/>
        <v>1</v>
      </c>
      <c r="T119" s="140">
        <f t="shared" si="82"/>
        <v>27.2</v>
      </c>
      <c r="U119" s="150">
        <f t="shared" si="83"/>
        <v>1</v>
      </c>
      <c r="V119" s="141">
        <f t="shared" si="84"/>
        <v>24.058333333333337</v>
      </c>
      <c r="W119" s="142">
        <f t="shared" si="85"/>
        <v>1</v>
      </c>
      <c r="X119" s="144">
        <f t="shared" si="89"/>
        <v>16.18</v>
      </c>
      <c r="Y119" s="144">
        <f t="shared" si="90"/>
        <v>20.953333333333333</v>
      </c>
      <c r="Z119" s="144">
        <f t="shared" si="91"/>
        <v>18.800303030303031</v>
      </c>
      <c r="AA119" s="10"/>
      <c r="AB119" s="357" t="str">
        <f>VLOOKUP($B119,'2007-2020 Metadata'!$A$4:$S$214,MATCH("Urban Area /Monitoring Zone",'2007-2020 Metadata'!$A$4:$S$4,0),FALSE)</f>
        <v>Lower Hutt</v>
      </c>
      <c r="AC119" s="87" t="str">
        <f>VLOOKUP(B119,'2007-2020 Metadata'!$A$6:$A$214,1,FALSE)</f>
        <v>WEL053</v>
      </c>
      <c r="AD119" s="230" t="str">
        <f>VLOOKUP($AC119,'2007-2020 Metadata'!$A$6:$S$214,9,FALSE)</f>
        <v>Lower Hutt</v>
      </c>
      <c r="AE119" s="248">
        <f>IF(ISBLANK(VLOOKUP($AC119,'2007-2020 Metadata'!$A$6:$S$214,19,FALSE)),"",VLOOKUP($AC119,'2007-2020 Metadata'!$A$6:$S$214,19,FALSE))</f>
        <v>4</v>
      </c>
      <c r="AF119" s="88" t="str">
        <f>VLOOKUP($B119,'2007-2020 Metadata'!$A$4:$S$214,MATCH("Site type",'2007-2020 Metadata'!$A$4:$S$4,0),FALSE)</f>
        <v>Local</v>
      </c>
      <c r="AG119" s="143">
        <f t="shared" si="86"/>
        <v>11.1</v>
      </c>
      <c r="AH119" s="143">
        <f t="shared" si="87"/>
        <v>32.299999999999997</v>
      </c>
      <c r="AI119" s="144">
        <f t="shared" si="88"/>
        <v>18.800303030303031</v>
      </c>
    </row>
    <row r="120" spans="1:36" ht="12" customHeight="1" x14ac:dyDescent="0.15">
      <c r="B120" s="123" t="s">
        <v>132</v>
      </c>
      <c r="C120" s="119">
        <v>6.2</v>
      </c>
      <c r="D120" s="119">
        <v>8.4</v>
      </c>
      <c r="E120" s="119">
        <v>12.2</v>
      </c>
      <c r="F120" s="119">
        <v>13.6</v>
      </c>
      <c r="G120" s="119">
        <v>14</v>
      </c>
      <c r="H120" s="119">
        <v>16.5</v>
      </c>
      <c r="I120" s="119">
        <v>14</v>
      </c>
      <c r="J120" s="119">
        <v>15.5</v>
      </c>
      <c r="K120" s="119">
        <v>7.5</v>
      </c>
      <c r="L120" s="119">
        <v>9.3000000000000007</v>
      </c>
      <c r="M120" s="119">
        <v>8.6</v>
      </c>
      <c r="N120" s="119">
        <v>7.4</v>
      </c>
      <c r="O120" s="121">
        <f t="shared" si="77"/>
        <v>11.1</v>
      </c>
      <c r="P120" s="121">
        <f t="shared" si="78"/>
        <v>32.167449673988827</v>
      </c>
      <c r="Q120" s="122">
        <f t="shared" si="79"/>
        <v>1</v>
      </c>
      <c r="R120" s="140">
        <f t="shared" si="92"/>
        <v>8.9333333333333336</v>
      </c>
      <c r="S120" s="150">
        <f t="shared" si="93"/>
        <v>1</v>
      </c>
      <c r="T120" s="140">
        <f t="shared" si="82"/>
        <v>12.333333333333334</v>
      </c>
      <c r="U120" s="150">
        <f t="shared" si="83"/>
        <v>1</v>
      </c>
      <c r="V120" s="141">
        <f t="shared" si="84"/>
        <v>11.1</v>
      </c>
      <c r="W120" s="142">
        <f t="shared" si="85"/>
        <v>1</v>
      </c>
      <c r="X120" s="144">
        <f t="shared" si="89"/>
        <v>16.18</v>
      </c>
      <c r="Y120" s="144">
        <f t="shared" si="90"/>
        <v>20.953333333333333</v>
      </c>
      <c r="Z120" s="144">
        <f t="shared" si="91"/>
        <v>18.800303030303031</v>
      </c>
      <c r="AA120" s="10"/>
      <c r="AB120" s="357" t="str">
        <f>VLOOKUP($B120,'2007-2020 Metadata'!$A$4:$S$214,MATCH("Urban Area /Monitoring Zone",'2007-2020 Metadata'!$A$4:$S$4,0),FALSE)</f>
        <v>Lower Hutt</v>
      </c>
      <c r="AC120" s="87" t="str">
        <f>VLOOKUP(B120,'2007-2020 Metadata'!$A$6:$A$214,1,FALSE)</f>
        <v>WEL054</v>
      </c>
      <c r="AD120" s="230" t="str">
        <f>VLOOKUP($AC120,'2007-2020 Metadata'!$A$6:$S$214,9,FALSE)</f>
        <v>Lower Hutt</v>
      </c>
      <c r="AE120" s="248">
        <f>IF(ISBLANK(VLOOKUP($AC120,'2007-2020 Metadata'!$A$6:$S$214,19,FALSE)),"",VLOOKUP($AC120,'2007-2020 Metadata'!$A$6:$S$214,19,FALSE))</f>
        <v>3.5</v>
      </c>
      <c r="AF120" s="88" t="str">
        <f>VLOOKUP($B120,'2007-2020 Metadata'!$A$4:$S$214,MATCH("Site type",'2007-2020 Metadata'!$A$4:$S$4,0),FALSE)</f>
        <v>Background</v>
      </c>
      <c r="AG120" s="143">
        <f t="shared" si="86"/>
        <v>6.2</v>
      </c>
      <c r="AH120" s="143">
        <f t="shared" si="87"/>
        <v>16.5</v>
      </c>
      <c r="AI120" s="144">
        <f t="shared" si="88"/>
        <v>18.800303030303031</v>
      </c>
    </row>
    <row r="121" spans="1:36" ht="12" customHeight="1" x14ac:dyDescent="0.15">
      <c r="B121" s="123" t="s">
        <v>135</v>
      </c>
      <c r="C121" s="119">
        <v>18.2</v>
      </c>
      <c r="D121" s="119">
        <v>18.8</v>
      </c>
      <c r="E121" s="119">
        <v>23.7</v>
      </c>
      <c r="F121" s="119">
        <v>24.5</v>
      </c>
      <c r="G121" s="119">
        <v>21.8</v>
      </c>
      <c r="H121" s="119">
        <v>26.6</v>
      </c>
      <c r="I121" s="119">
        <v>25.5</v>
      </c>
      <c r="J121" s="119">
        <v>22.8</v>
      </c>
      <c r="K121" s="119">
        <v>18.399999999999999</v>
      </c>
      <c r="L121" s="119">
        <v>21.6</v>
      </c>
      <c r="M121" s="119">
        <v>19.399999999999999</v>
      </c>
      <c r="N121" s="119">
        <v>16.5</v>
      </c>
      <c r="O121" s="121">
        <f t="shared" si="77"/>
        <v>21.483333333333334</v>
      </c>
      <c r="P121" s="121">
        <f t="shared" si="78"/>
        <v>15.039807561729566</v>
      </c>
      <c r="Q121" s="122">
        <f t="shared" si="79"/>
        <v>1</v>
      </c>
      <c r="R121" s="140">
        <f t="shared" si="92"/>
        <v>20.233333333333334</v>
      </c>
      <c r="S121" s="150">
        <f t="shared" si="93"/>
        <v>1</v>
      </c>
      <c r="T121" s="140">
        <f t="shared" si="82"/>
        <v>22.233333333333331</v>
      </c>
      <c r="U121" s="150">
        <f t="shared" si="83"/>
        <v>1</v>
      </c>
      <c r="V121" s="141">
        <f t="shared" si="84"/>
        <v>21.483333333333334</v>
      </c>
      <c r="W121" s="142">
        <f t="shared" si="85"/>
        <v>1</v>
      </c>
      <c r="X121" s="144">
        <f t="shared" si="89"/>
        <v>20.233333333333334</v>
      </c>
      <c r="Y121" s="144">
        <f t="shared" si="90"/>
        <v>22.233333333333331</v>
      </c>
      <c r="Z121" s="144">
        <f t="shared" si="91"/>
        <v>21.483333333333334</v>
      </c>
      <c r="AA121" s="10"/>
      <c r="AB121" s="357" t="str">
        <f>VLOOKUP($B121,'2007-2020 Metadata'!$A$4:$S$214,MATCH("Urban Area /Monitoring Zone",'2007-2020 Metadata'!$A$4:$S$4,0),FALSE)</f>
        <v>Upper Hutt</v>
      </c>
      <c r="AC121" s="87" t="str">
        <f>VLOOKUP(B121,'2007-2020 Metadata'!$A$6:$A$214,1,FALSE)</f>
        <v>WEL057</v>
      </c>
      <c r="AD121" s="230" t="str">
        <f>VLOOKUP($AC121,'2007-2020 Metadata'!$A$6:$S$214,9,FALSE)</f>
        <v>Upper Hutt</v>
      </c>
      <c r="AE121" s="248">
        <f>IF(ISBLANK(VLOOKUP($AC121,'2007-2020 Metadata'!$A$6:$S$214,19,FALSE)),"",VLOOKUP($AC121,'2007-2020 Metadata'!$A$6:$S$214,19,FALSE))</f>
        <v>4</v>
      </c>
      <c r="AF121" s="88" t="str">
        <f>VLOOKUP($B121,'2007-2020 Metadata'!$A$4:$S$214,MATCH("Site type",'2007-2020 Metadata'!$A$4:$S$4,0),FALSE)</f>
        <v>SH</v>
      </c>
      <c r="AG121" s="143">
        <f t="shared" si="86"/>
        <v>16.5</v>
      </c>
      <c r="AH121" s="143">
        <f t="shared" si="87"/>
        <v>26.6</v>
      </c>
      <c r="AI121" s="144">
        <f t="shared" si="88"/>
        <v>21.483333333333334</v>
      </c>
    </row>
    <row r="122" spans="1:36" ht="12" customHeight="1" x14ac:dyDescent="0.15">
      <c r="B122" s="123" t="s">
        <v>139</v>
      </c>
      <c r="C122" s="119">
        <v>8.5</v>
      </c>
      <c r="D122" s="119">
        <v>14.2</v>
      </c>
      <c r="E122" s="119">
        <v>19.600000000000001</v>
      </c>
      <c r="F122" s="119">
        <v>20</v>
      </c>
      <c r="G122" s="119">
        <v>19.8</v>
      </c>
      <c r="H122" s="119">
        <v>21.7</v>
      </c>
      <c r="I122" s="119">
        <v>23.9</v>
      </c>
      <c r="J122" s="119">
        <v>20.6</v>
      </c>
      <c r="K122" s="119">
        <v>16</v>
      </c>
      <c r="L122" s="119">
        <v>16</v>
      </c>
      <c r="M122" s="119">
        <v>15.1</v>
      </c>
      <c r="N122" s="119">
        <v>11.6</v>
      </c>
      <c r="O122" s="121">
        <f t="shared" si="77"/>
        <v>17.249999999999996</v>
      </c>
      <c r="P122" s="121">
        <f t="shared" si="78"/>
        <v>25.947217593748857</v>
      </c>
      <c r="Q122" s="122">
        <f t="shared" si="79"/>
        <v>1</v>
      </c>
      <c r="R122" s="140">
        <f t="shared" si="92"/>
        <v>14.1</v>
      </c>
      <c r="S122" s="150">
        <f t="shared" si="93"/>
        <v>1</v>
      </c>
      <c r="T122" s="140">
        <f t="shared" si="82"/>
        <v>20.166666666666668</v>
      </c>
      <c r="U122" s="150">
        <f t="shared" si="83"/>
        <v>1</v>
      </c>
      <c r="V122" s="141">
        <f t="shared" si="84"/>
        <v>17.249999999999996</v>
      </c>
      <c r="W122" s="142">
        <f t="shared" si="85"/>
        <v>1</v>
      </c>
      <c r="X122" s="144">
        <f t="shared" si="89"/>
        <v>15.233333333333331</v>
      </c>
      <c r="Y122" s="144">
        <f t="shared" si="90"/>
        <v>18.583333333333336</v>
      </c>
      <c r="Z122" s="144">
        <f t="shared" si="91"/>
        <v>17.204166666666666</v>
      </c>
      <c r="AA122" s="10"/>
      <c r="AB122" s="357" t="str">
        <f>VLOOKUP($B122,'2007-2020 Metadata'!$A$4:$S$214,MATCH("Urban Area /Monitoring Zone",'2007-2020 Metadata'!$A$4:$S$4,0),FALSE)</f>
        <v>Otaki</v>
      </c>
      <c r="AC122" s="87" t="str">
        <f>VLOOKUP(B122,'2007-2020 Metadata'!$A$6:$A$214,1,FALSE)</f>
        <v>WEL061</v>
      </c>
      <c r="AD122" s="230" t="str">
        <f>VLOOKUP($AC122,'2007-2020 Metadata'!$A$6:$S$214,9,FALSE)</f>
        <v>Kapiti Coast</v>
      </c>
      <c r="AE122" s="248">
        <f>IF(ISBLANK(VLOOKUP($AC122,'2007-2020 Metadata'!$A$6:$S$214,19,FALSE)),"",VLOOKUP($AC122,'2007-2020 Metadata'!$A$6:$S$214,19,FALSE))</f>
        <v>4</v>
      </c>
      <c r="AF122" s="88" t="str">
        <f>VLOOKUP($B122,'2007-2020 Metadata'!$A$4:$S$214,MATCH("Site type",'2007-2020 Metadata'!$A$4:$S$4,0),FALSE)</f>
        <v>SH</v>
      </c>
      <c r="AG122" s="143">
        <f t="shared" si="86"/>
        <v>8.5</v>
      </c>
      <c r="AH122" s="143">
        <f t="shared" si="87"/>
        <v>23.9</v>
      </c>
      <c r="AI122" s="144">
        <f t="shared" si="88"/>
        <v>17.204166666666666</v>
      </c>
    </row>
    <row r="123" spans="1:36" ht="12" customHeight="1" x14ac:dyDescent="0.15">
      <c r="B123" s="123" t="s">
        <v>140</v>
      </c>
      <c r="C123" s="119">
        <v>8.6</v>
      </c>
      <c r="D123" s="119">
        <v>8.1999999999999993</v>
      </c>
      <c r="E123" s="119">
        <v>11.3</v>
      </c>
      <c r="F123" s="119">
        <v>10.8</v>
      </c>
      <c r="G123" s="119">
        <v>14.2</v>
      </c>
      <c r="H123" s="119"/>
      <c r="I123" s="119">
        <v>16.600000000000001</v>
      </c>
      <c r="J123" s="119">
        <v>15.3</v>
      </c>
      <c r="K123" s="119">
        <v>11.2</v>
      </c>
      <c r="L123" s="119">
        <v>10</v>
      </c>
      <c r="M123" s="119">
        <v>8</v>
      </c>
      <c r="N123" s="119">
        <v>6.6</v>
      </c>
      <c r="O123" s="121">
        <f t="shared" si="77"/>
        <v>10.981818181818181</v>
      </c>
      <c r="P123" s="121">
        <f t="shared" si="78"/>
        <v>29.254994996557247</v>
      </c>
      <c r="Q123" s="122">
        <f t="shared" si="79"/>
        <v>0.91666666666666663</v>
      </c>
      <c r="R123" s="140">
        <f t="shared" si="92"/>
        <v>9.3666666666666654</v>
      </c>
      <c r="S123" s="150">
        <f t="shared" si="93"/>
        <v>1</v>
      </c>
      <c r="T123" s="140">
        <f t="shared" si="82"/>
        <v>14.366666666666667</v>
      </c>
      <c r="U123" s="150">
        <f t="shared" si="83"/>
        <v>1</v>
      </c>
      <c r="V123" s="141">
        <f t="shared" si="84"/>
        <v>10.981818181818181</v>
      </c>
      <c r="W123" s="142">
        <f t="shared" si="85"/>
        <v>0.91666666666666663</v>
      </c>
      <c r="X123" s="144">
        <f t="shared" si="89"/>
        <v>15.711111111111114</v>
      </c>
      <c r="Y123" s="144">
        <f t="shared" si="90"/>
        <v>21.533333333333331</v>
      </c>
      <c r="Z123" s="144">
        <f t="shared" si="91"/>
        <v>18.406818181818181</v>
      </c>
      <c r="AA123" s="10"/>
      <c r="AB123" s="357" t="str">
        <f>VLOOKUP($B123,'2007-2020 Metadata'!$A$4:$S$214,MATCH("Urban Area /Monitoring Zone",'2007-2020 Metadata'!$A$4:$S$4,0),FALSE)</f>
        <v>Nelson</v>
      </c>
      <c r="AC123" s="87" t="str">
        <f>VLOOKUP(B123,'2007-2020 Metadata'!$A$6:$A$214,1,FALSE)</f>
        <v>WEL062</v>
      </c>
      <c r="AD123" s="230" t="str">
        <f>VLOOKUP($AC123,'2007-2020 Metadata'!$A$6:$S$214,9,FALSE)</f>
        <v>Nelson</v>
      </c>
      <c r="AE123" s="248">
        <f>IF(ISBLANK(VLOOKUP($AC123,'2007-2020 Metadata'!$A$6:$S$214,19,FALSE)),"",VLOOKUP($AC123,'2007-2020 Metadata'!$A$6:$S$214,19,FALSE))</f>
        <v>2.2000000000000002</v>
      </c>
      <c r="AF123" s="88" t="str">
        <f>VLOOKUP($B123,'2007-2020 Metadata'!$A$4:$S$214,MATCH("Site type",'2007-2020 Metadata'!$A$4:$S$4,0),FALSE)</f>
        <v>Background</v>
      </c>
      <c r="AG123" s="143">
        <f t="shared" si="86"/>
        <v>6.6</v>
      </c>
      <c r="AH123" s="143">
        <f t="shared" si="87"/>
        <v>16.600000000000001</v>
      </c>
      <c r="AI123" s="144">
        <f t="shared" si="88"/>
        <v>18.406818181818181</v>
      </c>
    </row>
    <row r="124" spans="1:36" ht="12" customHeight="1" x14ac:dyDescent="0.15">
      <c r="B124" s="123" t="s">
        <v>141</v>
      </c>
      <c r="C124" s="119">
        <v>15.5</v>
      </c>
      <c r="D124" s="119">
        <v>12.9</v>
      </c>
      <c r="E124" s="119">
        <v>20.7</v>
      </c>
      <c r="F124" s="119">
        <v>19.3</v>
      </c>
      <c r="G124" s="119">
        <v>19.5</v>
      </c>
      <c r="H124" s="119">
        <v>20.9</v>
      </c>
      <c r="I124" s="119">
        <v>18.399999999999999</v>
      </c>
      <c r="J124" s="119">
        <v>19.600000000000001</v>
      </c>
      <c r="K124" s="119">
        <v>13</v>
      </c>
      <c r="L124" s="119">
        <v>18.7</v>
      </c>
      <c r="M124" s="119">
        <v>16.600000000000001</v>
      </c>
      <c r="N124" s="119">
        <v>10.8</v>
      </c>
      <c r="O124" s="121">
        <f t="shared" si="77"/>
        <v>17.158333333333331</v>
      </c>
      <c r="P124" s="121">
        <f t="shared" si="78"/>
        <v>19.678554678899797</v>
      </c>
      <c r="Q124" s="122">
        <f t="shared" si="79"/>
        <v>1</v>
      </c>
      <c r="R124" s="140">
        <f t="shared" si="92"/>
        <v>16.366666666666664</v>
      </c>
      <c r="S124" s="150">
        <f t="shared" si="93"/>
        <v>1</v>
      </c>
      <c r="T124" s="140">
        <f t="shared" si="82"/>
        <v>17</v>
      </c>
      <c r="U124" s="150">
        <f t="shared" si="83"/>
        <v>1</v>
      </c>
      <c r="V124" s="141">
        <f t="shared" si="84"/>
        <v>17.158333333333331</v>
      </c>
      <c r="W124" s="142">
        <f t="shared" si="85"/>
        <v>1</v>
      </c>
      <c r="X124" s="144">
        <f t="shared" si="89"/>
        <v>15.233333333333331</v>
      </c>
      <c r="Y124" s="144">
        <f t="shared" si="90"/>
        <v>18.583333333333336</v>
      </c>
      <c r="Z124" s="144">
        <f t="shared" si="91"/>
        <v>17.204166666666666</v>
      </c>
      <c r="AA124" s="10"/>
      <c r="AB124" s="357" t="str">
        <f>VLOOKUP($B124,'2007-2020 Metadata'!$A$4:$S$214,MATCH("Urban Area /Monitoring Zone",'2007-2020 Metadata'!$A$4:$S$4,0),FALSE)</f>
        <v xml:space="preserve">Kapiti </v>
      </c>
      <c r="AC124" s="87" t="str">
        <f>VLOOKUP(B124,'2007-2020 Metadata'!$A$6:$A$214,1,FALSE)</f>
        <v>WEL063</v>
      </c>
      <c r="AD124" s="230" t="str">
        <f>VLOOKUP($AC124,'2007-2020 Metadata'!$A$6:$S$214,9,FALSE)</f>
        <v>Kapiti Coast</v>
      </c>
      <c r="AE124" s="248">
        <f>IF(ISBLANK(VLOOKUP($AC124,'2007-2020 Metadata'!$A$6:$S$214,19,FALSE)),"",VLOOKUP($AC124,'2007-2020 Metadata'!$A$6:$S$214,19,FALSE))</f>
        <v>3.5</v>
      </c>
      <c r="AF124" s="88" t="str">
        <f>VLOOKUP($B124,'2007-2020 Metadata'!$A$4:$S$214,MATCH("Site type",'2007-2020 Metadata'!$A$4:$S$4,0),FALSE)</f>
        <v>Local (ex SH)</v>
      </c>
      <c r="AG124" s="143">
        <f t="shared" si="86"/>
        <v>10.8</v>
      </c>
      <c r="AH124" s="143">
        <f t="shared" si="87"/>
        <v>20.9</v>
      </c>
      <c r="AI124" s="144">
        <f t="shared" si="88"/>
        <v>17.204166666666666</v>
      </c>
    </row>
    <row r="125" spans="1:36" ht="12" customHeight="1" x14ac:dyDescent="0.15">
      <c r="B125" s="123" t="s">
        <v>142</v>
      </c>
      <c r="C125" s="119">
        <v>16.5</v>
      </c>
      <c r="D125" s="119">
        <v>19.5</v>
      </c>
      <c r="E125" s="119">
        <v>28</v>
      </c>
      <c r="F125" s="119">
        <v>26.5</v>
      </c>
      <c r="G125" s="119">
        <v>24.9</v>
      </c>
      <c r="H125" s="119">
        <v>24.4</v>
      </c>
      <c r="I125" s="119">
        <v>25.4</v>
      </c>
      <c r="J125" s="119">
        <v>27</v>
      </c>
      <c r="K125" s="119">
        <v>20.6</v>
      </c>
      <c r="L125" s="119">
        <v>20.8</v>
      </c>
      <c r="M125" s="119">
        <v>18.399999999999999</v>
      </c>
      <c r="N125" s="119">
        <v>15.2</v>
      </c>
      <c r="O125" s="121">
        <f t="shared" si="77"/>
        <v>22.266666666666669</v>
      </c>
      <c r="P125" s="121">
        <f t="shared" si="78"/>
        <v>19.398374761877601</v>
      </c>
      <c r="Q125" s="122">
        <f t="shared" si="79"/>
        <v>1</v>
      </c>
      <c r="R125" s="140">
        <f t="shared" si="92"/>
        <v>21.333333333333332</v>
      </c>
      <c r="S125" s="150">
        <f t="shared" si="93"/>
        <v>1</v>
      </c>
      <c r="T125" s="140">
        <f t="shared" si="82"/>
        <v>24.333333333333332</v>
      </c>
      <c r="U125" s="150">
        <f t="shared" si="83"/>
        <v>1</v>
      </c>
      <c r="V125" s="141">
        <f t="shared" si="84"/>
        <v>22.266666666666669</v>
      </c>
      <c r="W125" s="142">
        <f t="shared" si="85"/>
        <v>1</v>
      </c>
      <c r="X125" s="144">
        <f t="shared" si="89"/>
        <v>19.212121212121215</v>
      </c>
      <c r="Y125" s="144">
        <f t="shared" si="90"/>
        <v>22.559090909090916</v>
      </c>
      <c r="Z125" s="144">
        <f t="shared" si="91"/>
        <v>20.716799242424244</v>
      </c>
      <c r="AA125" s="10"/>
      <c r="AB125" s="357" t="str">
        <f>VLOOKUP($B125,'2007-2020 Metadata'!$A$4:$S$214,MATCH("Urban Area /Monitoring Zone",'2007-2020 Metadata'!$A$4:$S$4,0),FALSE)</f>
        <v>Wellington</v>
      </c>
      <c r="AC125" s="87" t="str">
        <f>VLOOKUP(B125,'2007-2020 Metadata'!$A$6:$A$214,1,FALSE)</f>
        <v>WEL064</v>
      </c>
      <c r="AD125" s="230" t="str">
        <f>VLOOKUP($AC125,'2007-2020 Metadata'!$A$6:$S$214,9,FALSE)</f>
        <v>Wellington</v>
      </c>
      <c r="AE125" s="248">
        <f>IF(ISBLANK(VLOOKUP($AC125,'2007-2020 Metadata'!$A$6:$S$214,19,FALSE)),"",VLOOKUP($AC125,'2007-2020 Metadata'!$A$6:$S$214,19,FALSE))</f>
        <v>4</v>
      </c>
      <c r="AF125" s="88" t="str">
        <f>VLOOKUP($B125,'2007-2020 Metadata'!$A$4:$S$214,MATCH("Site type",'2007-2020 Metadata'!$A$4:$S$4,0),FALSE)</f>
        <v>SH</v>
      </c>
      <c r="AG125" s="143">
        <f t="shared" si="86"/>
        <v>15.2</v>
      </c>
      <c r="AH125" s="143">
        <f t="shared" si="87"/>
        <v>28</v>
      </c>
      <c r="AI125" s="144">
        <f t="shared" si="88"/>
        <v>20.716799242424244</v>
      </c>
    </row>
    <row r="126" spans="1:36" ht="12" customHeight="1" x14ac:dyDescent="0.15">
      <c r="B126" s="123" t="s">
        <v>479</v>
      </c>
      <c r="C126" s="119">
        <v>6</v>
      </c>
      <c r="D126" s="119">
        <v>5.5</v>
      </c>
      <c r="E126" s="119">
        <v>9.4</v>
      </c>
      <c r="F126" s="119">
        <v>7.2</v>
      </c>
      <c r="G126" s="119">
        <v>9</v>
      </c>
      <c r="H126" s="119">
        <v>8.8000000000000007</v>
      </c>
      <c r="I126" s="119">
        <v>8.3000000000000007</v>
      </c>
      <c r="J126" s="119">
        <v>8.9</v>
      </c>
      <c r="K126" s="119">
        <v>5.7</v>
      </c>
      <c r="L126" s="119">
        <v>6</v>
      </c>
      <c r="M126" s="119">
        <v>5.3</v>
      </c>
      <c r="N126" s="119">
        <v>5.2</v>
      </c>
      <c r="O126" s="121">
        <f t="shared" si="77"/>
        <v>7.1083333333333316</v>
      </c>
      <c r="P126" s="121">
        <f t="shared" si="78"/>
        <v>23.33652060016788</v>
      </c>
      <c r="Q126" s="122">
        <f t="shared" si="79"/>
        <v>1</v>
      </c>
      <c r="R126" s="140">
        <f t="shared" si="92"/>
        <v>6.9666666666666659</v>
      </c>
      <c r="S126" s="150">
        <f t="shared" si="93"/>
        <v>1</v>
      </c>
      <c r="T126" s="140">
        <f t="shared" si="82"/>
        <v>7.6333333333333337</v>
      </c>
      <c r="U126" s="150">
        <f t="shared" si="83"/>
        <v>1</v>
      </c>
      <c r="V126" s="141">
        <f t="shared" si="84"/>
        <v>7.1083333333333316</v>
      </c>
      <c r="W126" s="142">
        <f t="shared" si="85"/>
        <v>1</v>
      </c>
      <c r="X126" s="144">
        <f t="shared" si="89"/>
        <v>12.616666666666665</v>
      </c>
      <c r="Y126" s="144">
        <f t="shared" si="90"/>
        <v>13.433333333333334</v>
      </c>
      <c r="Z126" s="144">
        <f t="shared" si="91"/>
        <v>12.804166666666664</v>
      </c>
      <c r="AA126" s="10"/>
      <c r="AB126" s="357" t="str">
        <f>VLOOKUP($B126,'2007-2020 Metadata'!$A$4:$S$214,MATCH("Urban Area /Monitoring Zone",'2007-2020 Metadata'!$A$4:$S$4,0),FALSE)</f>
        <v>Porirua</v>
      </c>
      <c r="AC126" s="87" t="str">
        <f>VLOOKUP(B126,'2007-2020 Metadata'!$A$6:$A$214,1,FALSE)</f>
        <v>WEL072</v>
      </c>
      <c r="AD126" s="230" t="str">
        <f>VLOOKUP($AC126,'2007-2020 Metadata'!$A$6:$S$214,9,FALSE)</f>
        <v>Porirua</v>
      </c>
      <c r="AE126" s="248">
        <f>IF(ISBLANK(VLOOKUP($AC126,'2007-2020 Metadata'!$A$6:$S$214,19,FALSE)),"",VLOOKUP($AC126,'2007-2020 Metadata'!$A$6:$S$214,19,FALSE))</f>
        <v>3</v>
      </c>
      <c r="AF126" s="88" t="str">
        <f>VLOOKUP($B126,'2007-2020 Metadata'!$A$4:$S$214,MATCH("Site type",'2007-2020 Metadata'!$A$4:$S$4,0),FALSE)</f>
        <v>Background</v>
      </c>
      <c r="AG126" s="143">
        <f t="shared" si="86"/>
        <v>5.2</v>
      </c>
      <c r="AH126" s="143">
        <f t="shared" si="87"/>
        <v>9.4</v>
      </c>
      <c r="AI126" s="144">
        <f t="shared" si="88"/>
        <v>12.804166666666664</v>
      </c>
      <c r="AJ126" s="271"/>
    </row>
    <row r="127" spans="1:36" ht="12" customHeight="1" x14ac:dyDescent="0.15">
      <c r="B127" s="123" t="s">
        <v>503</v>
      </c>
      <c r="C127" s="119">
        <v>14.6</v>
      </c>
      <c r="D127" s="119">
        <v>20</v>
      </c>
      <c r="E127" s="119">
        <v>23.6</v>
      </c>
      <c r="F127" s="119">
        <v>22.4</v>
      </c>
      <c r="G127" s="119">
        <v>24.9</v>
      </c>
      <c r="H127" s="119">
        <v>22.8</v>
      </c>
      <c r="I127" s="119">
        <v>25.9</v>
      </c>
      <c r="J127" s="119">
        <v>22.3</v>
      </c>
      <c r="K127" s="119"/>
      <c r="L127" s="119"/>
      <c r="M127" s="119"/>
      <c r="N127" s="119"/>
      <c r="O127" s="121">
        <f t="shared" si="77"/>
        <v>22.062500000000004</v>
      </c>
      <c r="P127" s="121">
        <f t="shared" si="78"/>
        <v>15.868531474656992</v>
      </c>
      <c r="Q127" s="122">
        <f t="shared" si="79"/>
        <v>0.66666666666666663</v>
      </c>
      <c r="R127" s="260">
        <f t="shared" si="92"/>
        <v>19.400000000000002</v>
      </c>
      <c r="S127" s="261">
        <f t="shared" si="93"/>
        <v>1</v>
      </c>
      <c r="T127" s="260">
        <f t="shared" si="82"/>
        <v>24.1</v>
      </c>
      <c r="U127" s="261">
        <f t="shared" si="83"/>
        <v>0.66666666666666663</v>
      </c>
      <c r="V127" s="262" t="str">
        <f t="shared" si="84"/>
        <v>-</v>
      </c>
      <c r="W127" s="142">
        <f t="shared" si="85"/>
        <v>0.66666666666666663</v>
      </c>
      <c r="X127" s="177">
        <f t="shared" si="89"/>
        <v>19.212121212121215</v>
      </c>
      <c r="Y127" s="177">
        <f t="shared" si="90"/>
        <v>22.559090909090916</v>
      </c>
      <c r="Z127" s="177">
        <f t="shared" si="91"/>
        <v>20.716799242424244</v>
      </c>
      <c r="AA127" s="10"/>
      <c r="AB127" s="357" t="str">
        <f>VLOOKUP($B127,'2007-2020 Metadata'!$A$4:$S$214,MATCH("Urban Area /Monitoring Zone",'2007-2020 Metadata'!$A$4:$S$4,0),FALSE)</f>
        <v>Wellington</v>
      </c>
      <c r="AC127" s="259" t="str">
        <f>VLOOKUP(B127,'2007-2020 Metadata'!$A$6:$A$214,1,FALSE)</f>
        <v>WEL073</v>
      </c>
      <c r="AD127" s="256" t="str">
        <f>VLOOKUP($AC127,'2007-2020 Metadata'!$A$6:$S$214,9,FALSE)</f>
        <v>Wellington</v>
      </c>
      <c r="AE127" s="263">
        <f>IF(ISBLANK(VLOOKUP($AC127,'2007-2020 Metadata'!$A$6:$S$214,19,FALSE)),"",VLOOKUP($AC127,'2007-2020 Metadata'!$A$6:$S$214,19,FALSE))</f>
        <v>4</v>
      </c>
      <c r="AF127" s="257" t="str">
        <f>VLOOKUP($B127,'2007-2020 Metadata'!$A$4:$S$214,MATCH("Site type",'2007-2020 Metadata'!$A$4:$S$4,0),FALSE)</f>
        <v>SH</v>
      </c>
      <c r="AG127" s="258">
        <f>MIN(AVERAGE($C$127:$C$129),AVERAGE($D$127:$D$129),AVERAGE($E$127:$E$129),AVERAGE($F$127:$F$129),AVERAGE($G$127:$G$129),AVERAGE($H$127:$H$129),AVERAGE($I$127:$I$129),AVERAGE($J$127:$J$129))</f>
        <v>16.2</v>
      </c>
      <c r="AH127" s="258">
        <f>MAX(AVERAGE($C$127:$C$129),AVERAGE($D$127:$D$129),AVERAGE($E$127:$E$129),AVERAGE($F$127:$F$129),AVERAGE($G$127:$G$129),AVERAGE($H$127:$H$129),AVERAGE($I$127:$I$129),AVERAGE($J$127:$J$129))</f>
        <v>25.533333333333331</v>
      </c>
      <c r="AI127" s="177" t="str">
        <f t="shared" si="88"/>
        <v xml:space="preserve"> </v>
      </c>
      <c r="AJ127" s="271" t="s">
        <v>544</v>
      </c>
    </row>
    <row r="128" spans="1:36" ht="12" customHeight="1" x14ac:dyDescent="0.15">
      <c r="B128" s="123" t="s">
        <v>505</v>
      </c>
      <c r="C128" s="119">
        <v>17.3</v>
      </c>
      <c r="D128" s="119">
        <v>19.2</v>
      </c>
      <c r="E128" s="119">
        <v>15.4</v>
      </c>
      <c r="F128" s="119">
        <v>23.3</v>
      </c>
      <c r="G128" s="119">
        <v>23.8</v>
      </c>
      <c r="H128" s="119">
        <v>23</v>
      </c>
      <c r="I128" s="119">
        <v>25.4</v>
      </c>
      <c r="J128" s="119">
        <v>23.4</v>
      </c>
      <c r="K128" s="119"/>
      <c r="L128" s="119"/>
      <c r="M128" s="119"/>
      <c r="N128" s="119"/>
      <c r="O128" s="121">
        <f t="shared" si="77"/>
        <v>21.35</v>
      </c>
      <c r="P128" s="121">
        <f t="shared" si="78"/>
        <v>16.753677185688606</v>
      </c>
      <c r="Q128" s="122">
        <f t="shared" si="79"/>
        <v>0.66666666666666663</v>
      </c>
      <c r="R128" s="260">
        <f t="shared" si="92"/>
        <v>17.3</v>
      </c>
      <c r="S128" s="261">
        <f t="shared" si="93"/>
        <v>1</v>
      </c>
      <c r="T128" s="260">
        <f t="shared" si="82"/>
        <v>24.4</v>
      </c>
      <c r="U128" s="261">
        <f t="shared" si="83"/>
        <v>0.66666666666666663</v>
      </c>
      <c r="V128" s="262" t="str">
        <f t="shared" si="84"/>
        <v>-</v>
      </c>
      <c r="W128" s="142">
        <f t="shared" si="85"/>
        <v>0.66666666666666663</v>
      </c>
      <c r="X128" s="177">
        <f t="shared" si="89"/>
        <v>19.212121212121215</v>
      </c>
      <c r="Y128" s="177">
        <f t="shared" si="90"/>
        <v>22.559090909090916</v>
      </c>
      <c r="Z128" s="177">
        <f t="shared" si="91"/>
        <v>20.716799242424244</v>
      </c>
      <c r="AA128" s="10"/>
      <c r="AB128" s="357" t="str">
        <f>VLOOKUP($B128,'2007-2020 Metadata'!$A$4:$S$214,MATCH("Urban Area /Monitoring Zone",'2007-2020 Metadata'!$A$4:$S$4,0),FALSE)</f>
        <v>Wellington</v>
      </c>
      <c r="AC128" s="259" t="str">
        <f>VLOOKUP(B128,'2007-2020 Metadata'!$A$6:$A$214,1,FALSE)</f>
        <v>WEL074</v>
      </c>
      <c r="AD128" s="256" t="str">
        <f>VLOOKUP($AC128,'2007-2020 Metadata'!$A$6:$S$214,9,FALSE)</f>
        <v>Wellington</v>
      </c>
      <c r="AE128" s="263">
        <f>IF(ISBLANK(VLOOKUP($AC128,'2007-2020 Metadata'!$A$6:$S$214,19,FALSE)),"",VLOOKUP($AC128,'2007-2020 Metadata'!$A$6:$S$214,19,FALSE))</f>
        <v>4</v>
      </c>
      <c r="AF128" s="257" t="str">
        <f>VLOOKUP($B128,'2007-2020 Metadata'!$A$4:$S$214,MATCH("Site type",'2007-2020 Metadata'!$A$4:$S$4,0),FALSE)</f>
        <v>SH</v>
      </c>
      <c r="AG128" s="258">
        <f t="shared" ref="AG128:AG129" si="94">MIN(AVERAGE($C$127:$C$129),AVERAGE($D$127:$D$129),AVERAGE($E$127:$E$129),AVERAGE($F$127:$F$129),AVERAGE($G$127:$G$129),AVERAGE($H$127:$H$129),AVERAGE($I$127:$I$129),AVERAGE($J$127:$J$129))</f>
        <v>16.2</v>
      </c>
      <c r="AH128" s="258">
        <f t="shared" ref="AH128:AH129" si="95">MAX(AVERAGE($C$127:$C$129),AVERAGE($D$127:$D$129),AVERAGE($E$127:$E$129),AVERAGE($F$127:$F$129),AVERAGE($G$127:$G$129),AVERAGE($H$127:$H$129),AVERAGE($I$127:$I$129),AVERAGE($J$127:$J$129))</f>
        <v>25.533333333333331</v>
      </c>
      <c r="AI128" s="177" t="str">
        <f t="shared" si="88"/>
        <v xml:space="preserve"> </v>
      </c>
      <c r="AJ128" s="271" t="s">
        <v>544</v>
      </c>
    </row>
    <row r="129" spans="1:36" ht="12" customHeight="1" x14ac:dyDescent="0.15">
      <c r="A129" s="126"/>
      <c r="B129" s="123" t="s">
        <v>506</v>
      </c>
      <c r="C129" s="119">
        <v>16.7</v>
      </c>
      <c r="D129" s="119">
        <v>18.600000000000001</v>
      </c>
      <c r="E129" s="119">
        <v>23.6</v>
      </c>
      <c r="F129" s="119">
        <v>23</v>
      </c>
      <c r="G129" s="119">
        <v>25</v>
      </c>
      <c r="H129" s="119">
        <v>18.3</v>
      </c>
      <c r="I129" s="119">
        <v>25.3</v>
      </c>
      <c r="J129" s="119">
        <v>23.3</v>
      </c>
      <c r="K129" s="119"/>
      <c r="L129" s="119"/>
      <c r="M129" s="119"/>
      <c r="N129" s="119"/>
      <c r="O129" s="121">
        <f t="shared" si="77"/>
        <v>21.725000000000001</v>
      </c>
      <c r="P129" s="121">
        <f t="shared" si="78"/>
        <v>15.352893054230488</v>
      </c>
      <c r="Q129" s="122">
        <f t="shared" si="79"/>
        <v>0.66666666666666663</v>
      </c>
      <c r="R129" s="260">
        <f t="shared" si="92"/>
        <v>19.633333333333333</v>
      </c>
      <c r="S129" s="261">
        <f t="shared" si="93"/>
        <v>1</v>
      </c>
      <c r="T129" s="260">
        <f t="shared" si="82"/>
        <v>24.3</v>
      </c>
      <c r="U129" s="261">
        <f t="shared" si="83"/>
        <v>0.66666666666666663</v>
      </c>
      <c r="V129" s="262" t="str">
        <f t="shared" si="84"/>
        <v>-</v>
      </c>
      <c r="W129" s="142">
        <f t="shared" si="85"/>
        <v>0.66666666666666663</v>
      </c>
      <c r="X129" s="177">
        <f t="shared" si="89"/>
        <v>19.212121212121215</v>
      </c>
      <c r="Y129" s="177">
        <f t="shared" si="90"/>
        <v>22.559090909090916</v>
      </c>
      <c r="Z129" s="177">
        <f t="shared" si="91"/>
        <v>20.716799242424244</v>
      </c>
      <c r="AA129" s="10"/>
      <c r="AB129" s="357" t="str">
        <f>VLOOKUP($B129,'2007-2020 Metadata'!$A$4:$S$214,MATCH("Urban Area /Monitoring Zone",'2007-2020 Metadata'!$A$4:$S$4,0),FALSE)</f>
        <v>Wellington</v>
      </c>
      <c r="AC129" s="259" t="str">
        <f>VLOOKUP(B129,'2007-2020 Metadata'!$A$6:$A$214,1,FALSE)</f>
        <v>WEL075</v>
      </c>
      <c r="AD129" s="256" t="str">
        <f>VLOOKUP($AC129,'2007-2020 Metadata'!$A$6:$S$214,9,FALSE)</f>
        <v>Wellington</v>
      </c>
      <c r="AE129" s="263">
        <f>IF(ISBLANK(VLOOKUP($AC129,'2007-2020 Metadata'!$A$6:$S$214,19,FALSE)),"",VLOOKUP($AC129,'2007-2020 Metadata'!$A$6:$S$214,19,FALSE))</f>
        <v>4</v>
      </c>
      <c r="AF129" s="257" t="str">
        <f>VLOOKUP($B129,'2007-2020 Metadata'!$A$4:$S$214,MATCH("Site type",'2007-2020 Metadata'!$A$4:$S$4,0),FALSE)</f>
        <v>SH</v>
      </c>
      <c r="AG129" s="258">
        <f t="shared" si="94"/>
        <v>16.2</v>
      </c>
      <c r="AH129" s="258">
        <f t="shared" si="95"/>
        <v>25.533333333333331</v>
      </c>
      <c r="AI129" s="177" t="str">
        <f t="shared" si="88"/>
        <v xml:space="preserve"> </v>
      </c>
      <c r="AJ129" s="271" t="s">
        <v>544</v>
      </c>
    </row>
    <row r="130" spans="1:36" ht="12" customHeight="1" x14ac:dyDescent="0.15">
      <c r="A130" s="126"/>
      <c r="B130" s="123" t="s">
        <v>21</v>
      </c>
      <c r="C130" s="119">
        <v>9.5</v>
      </c>
      <c r="D130" s="119"/>
      <c r="E130" s="119">
        <v>11.9</v>
      </c>
      <c r="F130" s="119">
        <v>14.5</v>
      </c>
      <c r="G130" s="119">
        <v>16.3</v>
      </c>
      <c r="H130" s="119">
        <v>16</v>
      </c>
      <c r="I130" s="119">
        <v>17.2</v>
      </c>
      <c r="J130" s="119">
        <v>12.6</v>
      </c>
      <c r="K130" s="119">
        <v>11.2</v>
      </c>
      <c r="L130" s="119">
        <v>10.9</v>
      </c>
      <c r="M130" s="119">
        <v>8.9</v>
      </c>
      <c r="N130" s="119">
        <v>7.5</v>
      </c>
      <c r="O130" s="121">
        <f t="shared" si="77"/>
        <v>12.409090909090908</v>
      </c>
      <c r="P130" s="121">
        <f t="shared" si="78"/>
        <v>26.021829521405792</v>
      </c>
      <c r="Q130" s="122">
        <f t="shared" si="79"/>
        <v>0.91666666666666663</v>
      </c>
      <c r="R130" s="140">
        <f t="shared" si="92"/>
        <v>10.7</v>
      </c>
      <c r="S130" s="150">
        <f t="shared" si="93"/>
        <v>0.66666666666666663</v>
      </c>
      <c r="T130" s="140">
        <f t="shared" si="82"/>
        <v>13.666666666666666</v>
      </c>
      <c r="U130" s="150">
        <f t="shared" si="83"/>
        <v>1</v>
      </c>
      <c r="V130" s="141">
        <f t="shared" si="84"/>
        <v>12.409090909090908</v>
      </c>
      <c r="W130" s="142">
        <f t="shared" si="85"/>
        <v>0.91666666666666663</v>
      </c>
      <c r="X130" s="144">
        <f t="shared" si="89"/>
        <v>10.7</v>
      </c>
      <c r="Y130" s="144">
        <f t="shared" si="90"/>
        <v>13.666666666666666</v>
      </c>
      <c r="Z130" s="144">
        <f t="shared" si="91"/>
        <v>12.409090909090908</v>
      </c>
      <c r="AA130" s="10"/>
      <c r="AB130" s="357" t="str">
        <f>VLOOKUP($B130,'2007-2020 Metadata'!$A$4:$S$214,MATCH("Urban Area /Monitoring Zone",'2007-2020 Metadata'!$A$4:$S$4,0),FALSE)</f>
        <v>Greymouth</v>
      </c>
      <c r="AC130" s="87" t="str">
        <f>VLOOKUP(B130,'2007-2020 Metadata'!$A$6:$A$214,1,FALSE)</f>
        <v>CHR001</v>
      </c>
      <c r="AD130" s="230" t="str">
        <f>VLOOKUP($AC130,'2007-2020 Metadata'!$A$6:$S$214,9,FALSE)</f>
        <v>Greymouth</v>
      </c>
      <c r="AE130" s="248">
        <f>IF(ISBLANK(VLOOKUP($AC130,'2007-2020 Metadata'!$A$6:$S$214,19,FALSE)),"",VLOOKUP($AC130,'2007-2020 Metadata'!$A$6:$S$214,19,FALSE))</f>
        <v>2.2999999999999998</v>
      </c>
      <c r="AF130" s="88" t="str">
        <f>VLOOKUP($B130,'2007-2020 Metadata'!$A$4:$S$214,MATCH("Site type",'2007-2020 Metadata'!$A$4:$S$4,0),FALSE)</f>
        <v>SH</v>
      </c>
      <c r="AG130" s="143">
        <f t="shared" si="86"/>
        <v>7.5</v>
      </c>
      <c r="AH130" s="143">
        <f t="shared" si="87"/>
        <v>17.2</v>
      </c>
      <c r="AI130" s="144">
        <f t="shared" si="88"/>
        <v>12.409090909090908</v>
      </c>
    </row>
    <row r="131" spans="1:36" ht="12" customHeight="1" x14ac:dyDescent="0.15">
      <c r="B131" s="123" t="s">
        <v>22</v>
      </c>
      <c r="C131" s="119"/>
      <c r="D131" s="119">
        <v>25.7</v>
      </c>
      <c r="E131" s="119">
        <v>33.200000000000003</v>
      </c>
      <c r="F131" s="119">
        <v>25.3</v>
      </c>
      <c r="G131" s="119">
        <v>38.299999999999997</v>
      </c>
      <c r="H131" s="119">
        <v>42</v>
      </c>
      <c r="I131" s="119">
        <v>34.4</v>
      </c>
      <c r="J131" s="119">
        <v>32.799999999999997</v>
      </c>
      <c r="K131" s="119">
        <v>31</v>
      </c>
      <c r="L131" s="119">
        <v>30.3</v>
      </c>
      <c r="M131" s="119">
        <v>29</v>
      </c>
      <c r="N131" s="119">
        <v>20.5</v>
      </c>
      <c r="O131" s="121">
        <f t="shared" si="77"/>
        <v>31.136363636363637</v>
      </c>
      <c r="P131" s="121">
        <f t="shared" si="78"/>
        <v>19.510663540612363</v>
      </c>
      <c r="Q131" s="122">
        <f t="shared" si="79"/>
        <v>0.91666666666666663</v>
      </c>
      <c r="R131" s="140">
        <f t="shared" si="92"/>
        <v>29.450000000000003</v>
      </c>
      <c r="S131" s="150">
        <f t="shared" si="93"/>
        <v>0.66666666666666663</v>
      </c>
      <c r="T131" s="140">
        <f t="shared" si="82"/>
        <v>32.733333333333327</v>
      </c>
      <c r="U131" s="150">
        <f t="shared" si="83"/>
        <v>1</v>
      </c>
      <c r="V131" s="141">
        <f t="shared" si="84"/>
        <v>31.136363636363637</v>
      </c>
      <c r="W131" s="142">
        <f t="shared" si="85"/>
        <v>0.91666666666666663</v>
      </c>
      <c r="X131" s="144">
        <f t="shared" si="89"/>
        <v>24.35</v>
      </c>
      <c r="Y131" s="144">
        <f t="shared" si="90"/>
        <v>31.747916666666665</v>
      </c>
      <c r="Z131" s="144">
        <f t="shared" si="91"/>
        <v>28.310842803030305</v>
      </c>
      <c r="AA131" s="10"/>
      <c r="AB131" s="357" t="str">
        <f>VLOOKUP($B131,'2007-2020 Metadata'!$A$4:$S$214,MATCH("Urban Area /Monitoring Zone",'2007-2020 Metadata'!$A$4:$S$4,0),FALSE)</f>
        <v>Christchurch</v>
      </c>
      <c r="AC131" s="87" t="str">
        <f>VLOOKUP(B131,'2007-2020 Metadata'!$A$6:$A$214,1,FALSE)</f>
        <v>CHR002</v>
      </c>
      <c r="AD131" s="230" t="str">
        <f>VLOOKUP($AC131,'2007-2020 Metadata'!$A$6:$S$214,9,FALSE)</f>
        <v>Christchurch</v>
      </c>
      <c r="AE131" s="248">
        <f>IF(ISBLANK(VLOOKUP($AC131,'2007-2020 Metadata'!$A$6:$S$214,19,FALSE)),"",VLOOKUP($AC131,'2007-2020 Metadata'!$A$6:$S$214,19,FALSE))</f>
        <v>3.2</v>
      </c>
      <c r="AF131" s="88" t="str">
        <f>VLOOKUP($B131,'2007-2020 Metadata'!$A$4:$S$214,MATCH("Site type",'2007-2020 Metadata'!$A$4:$S$4,0),FALSE)</f>
        <v>SH</v>
      </c>
      <c r="AG131" s="143">
        <f t="shared" si="86"/>
        <v>20.5</v>
      </c>
      <c r="AH131" s="143">
        <f t="shared" si="87"/>
        <v>42</v>
      </c>
      <c r="AI131" s="144">
        <f t="shared" si="88"/>
        <v>28.310842803030305</v>
      </c>
    </row>
    <row r="132" spans="1:36" ht="12" customHeight="1" x14ac:dyDescent="0.15">
      <c r="B132" s="123" t="s">
        <v>23</v>
      </c>
      <c r="C132" s="119">
        <v>14.8</v>
      </c>
      <c r="D132" s="119">
        <v>18.5</v>
      </c>
      <c r="E132" s="119">
        <v>30.3</v>
      </c>
      <c r="F132" s="119">
        <v>27.8</v>
      </c>
      <c r="G132" s="119">
        <v>36</v>
      </c>
      <c r="H132" s="119">
        <v>42.8</v>
      </c>
      <c r="I132" s="119">
        <v>31</v>
      </c>
      <c r="J132" s="119">
        <v>37</v>
      </c>
      <c r="K132" s="119">
        <v>27.7</v>
      </c>
      <c r="L132" s="119">
        <v>18.100000000000001</v>
      </c>
      <c r="M132" s="119">
        <v>18.600000000000001</v>
      </c>
      <c r="N132" s="119">
        <v>15.8</v>
      </c>
      <c r="O132" s="121">
        <f t="shared" si="77"/>
        <v>26.533333333333335</v>
      </c>
      <c r="P132" s="121">
        <f t="shared" si="78"/>
        <v>35.067869153213842</v>
      </c>
      <c r="Q132" s="122">
        <f t="shared" si="79"/>
        <v>1</v>
      </c>
      <c r="R132" s="140">
        <f t="shared" si="92"/>
        <v>21.2</v>
      </c>
      <c r="S132" s="150">
        <f t="shared" si="93"/>
        <v>1</v>
      </c>
      <c r="T132" s="140">
        <f t="shared" si="82"/>
        <v>31.900000000000002</v>
      </c>
      <c r="U132" s="150">
        <f t="shared" si="83"/>
        <v>1</v>
      </c>
      <c r="V132" s="141">
        <f t="shared" si="84"/>
        <v>26.533333333333335</v>
      </c>
      <c r="W132" s="142">
        <f t="shared" si="85"/>
        <v>1</v>
      </c>
      <c r="X132" s="144">
        <f t="shared" si="89"/>
        <v>24.35</v>
      </c>
      <c r="Y132" s="144">
        <f t="shared" si="90"/>
        <v>31.747916666666665</v>
      </c>
      <c r="Z132" s="144">
        <f t="shared" si="91"/>
        <v>28.310842803030305</v>
      </c>
      <c r="AA132" s="10"/>
      <c r="AB132" s="357" t="str">
        <f>VLOOKUP($B132,'2007-2020 Metadata'!$A$4:$S$214,MATCH("Urban Area /Monitoring Zone",'2007-2020 Metadata'!$A$4:$S$4,0),FALSE)</f>
        <v>Christchurch</v>
      </c>
      <c r="AC132" s="87" t="str">
        <f>VLOOKUP(B132,'2007-2020 Metadata'!$A$6:$A$214,1,FALSE)</f>
        <v>CHR003</v>
      </c>
      <c r="AD132" s="230" t="str">
        <f>VLOOKUP($AC132,'2007-2020 Metadata'!$A$6:$S$214,9,FALSE)</f>
        <v>Christchurch</v>
      </c>
      <c r="AE132" s="248">
        <f>IF(ISBLANK(VLOOKUP($AC132,'2007-2020 Metadata'!$A$6:$S$214,19,FALSE)),"",VLOOKUP($AC132,'2007-2020 Metadata'!$A$6:$S$214,19,FALSE))</f>
        <v>3.3</v>
      </c>
      <c r="AF132" s="88" t="str">
        <f>VLOOKUP($B132,'2007-2020 Metadata'!$A$4:$S$214,MATCH("Site type",'2007-2020 Metadata'!$A$4:$S$4,0),FALSE)</f>
        <v>SH</v>
      </c>
      <c r="AG132" s="143">
        <f t="shared" si="86"/>
        <v>14.8</v>
      </c>
      <c r="AH132" s="143">
        <f t="shared" si="87"/>
        <v>42.8</v>
      </c>
      <c r="AI132" s="144">
        <f t="shared" si="88"/>
        <v>28.310842803030305</v>
      </c>
    </row>
    <row r="133" spans="1:36" ht="12" customHeight="1" x14ac:dyDescent="0.15">
      <c r="B133" s="123" t="s">
        <v>24</v>
      </c>
      <c r="C133" s="119">
        <v>7.4</v>
      </c>
      <c r="D133" s="119">
        <v>10.9</v>
      </c>
      <c r="E133" s="119">
        <v>14.5</v>
      </c>
      <c r="F133" s="119">
        <v>14.3</v>
      </c>
      <c r="G133" s="119">
        <v>18.8</v>
      </c>
      <c r="H133" s="119">
        <v>24.8</v>
      </c>
      <c r="I133" s="119">
        <v>19.399999999999999</v>
      </c>
      <c r="J133" s="119">
        <v>18</v>
      </c>
      <c r="K133" s="119">
        <v>13.1</v>
      </c>
      <c r="L133" s="119">
        <v>11.4</v>
      </c>
      <c r="M133" s="119">
        <v>10.7</v>
      </c>
      <c r="N133" s="119">
        <v>5.8</v>
      </c>
      <c r="O133" s="121">
        <f t="shared" si="77"/>
        <v>14.091666666666667</v>
      </c>
      <c r="P133" s="121">
        <f t="shared" si="78"/>
        <v>38.510550731025603</v>
      </c>
      <c r="Q133" s="122">
        <f t="shared" si="79"/>
        <v>1</v>
      </c>
      <c r="R133" s="140">
        <f t="shared" si="92"/>
        <v>10.933333333333332</v>
      </c>
      <c r="S133" s="150">
        <f t="shared" si="93"/>
        <v>1</v>
      </c>
      <c r="T133" s="140">
        <f t="shared" si="82"/>
        <v>16.833333333333332</v>
      </c>
      <c r="U133" s="150">
        <f t="shared" si="83"/>
        <v>1</v>
      </c>
      <c r="V133" s="141">
        <f t="shared" si="84"/>
        <v>14.091666666666667</v>
      </c>
      <c r="W133" s="142">
        <f t="shared" si="85"/>
        <v>1</v>
      </c>
      <c r="X133" s="144">
        <f t="shared" si="89"/>
        <v>24.35</v>
      </c>
      <c r="Y133" s="144">
        <f t="shared" si="90"/>
        <v>31.747916666666665</v>
      </c>
      <c r="Z133" s="144">
        <f t="shared" si="91"/>
        <v>28.310842803030305</v>
      </c>
      <c r="AA133" s="10"/>
      <c r="AB133" s="357" t="str">
        <f>VLOOKUP($B133,'2007-2020 Metadata'!$A$4:$S$214,MATCH("Urban Area /Monitoring Zone",'2007-2020 Metadata'!$A$4:$S$4,0),FALSE)</f>
        <v>Christchurch</v>
      </c>
      <c r="AC133" s="87" t="str">
        <f>VLOOKUP(B133,'2007-2020 Metadata'!$A$6:$A$214,1,FALSE)</f>
        <v>CHR004</v>
      </c>
      <c r="AD133" s="230" t="str">
        <f>VLOOKUP($AC133,'2007-2020 Metadata'!$A$6:$S$214,9,FALSE)</f>
        <v>Christchurch</v>
      </c>
      <c r="AE133" s="248">
        <f>IF(ISBLANK(VLOOKUP($AC133,'2007-2020 Metadata'!$A$6:$S$214,19,FALSE)),"",VLOOKUP($AC133,'2007-2020 Metadata'!$A$6:$S$214,19,FALSE))</f>
        <v>3.1</v>
      </c>
      <c r="AF133" s="88" t="str">
        <f>VLOOKUP($B133,'2007-2020 Metadata'!$A$4:$S$214,MATCH("Site type",'2007-2020 Metadata'!$A$4:$S$4,0),FALSE)</f>
        <v>Background</v>
      </c>
      <c r="AG133" s="143">
        <f t="shared" si="86"/>
        <v>5.8</v>
      </c>
      <c r="AH133" s="143">
        <f t="shared" si="87"/>
        <v>24.8</v>
      </c>
      <c r="AI133" s="144">
        <f t="shared" si="88"/>
        <v>28.310842803030305</v>
      </c>
    </row>
    <row r="134" spans="1:36" ht="12" customHeight="1" x14ac:dyDescent="0.15">
      <c r="B134" s="123" t="s">
        <v>25</v>
      </c>
      <c r="C134" s="119">
        <v>19.899999999999999</v>
      </c>
      <c r="D134" s="119">
        <v>28.2</v>
      </c>
      <c r="E134" s="119">
        <v>35.6</v>
      </c>
      <c r="F134" s="119">
        <v>34.4</v>
      </c>
      <c r="G134" s="119">
        <v>37.6</v>
      </c>
      <c r="H134" s="119">
        <v>39.700000000000003</v>
      </c>
      <c r="I134" s="119">
        <v>34.1</v>
      </c>
      <c r="J134" s="119">
        <v>35.299999999999997</v>
      </c>
      <c r="K134" s="119">
        <v>32.5</v>
      </c>
      <c r="L134" s="119">
        <v>35.1</v>
      </c>
      <c r="M134" s="119">
        <v>28.4</v>
      </c>
      <c r="N134" s="119">
        <v>21.3</v>
      </c>
      <c r="O134" s="121">
        <f t="shared" si="77"/>
        <v>31.841666666666665</v>
      </c>
      <c r="P134" s="121">
        <f t="shared" si="78"/>
        <v>19.464184488751354</v>
      </c>
      <c r="Q134" s="122">
        <f t="shared" si="79"/>
        <v>1</v>
      </c>
      <c r="R134" s="140">
        <f t="shared" si="92"/>
        <v>27.899999999999995</v>
      </c>
      <c r="S134" s="150">
        <f t="shared" si="93"/>
        <v>1</v>
      </c>
      <c r="T134" s="140">
        <f t="shared" si="82"/>
        <v>33.966666666666669</v>
      </c>
      <c r="U134" s="150">
        <f t="shared" si="83"/>
        <v>1</v>
      </c>
      <c r="V134" s="141">
        <f t="shared" si="84"/>
        <v>31.841666666666665</v>
      </c>
      <c r="W134" s="142">
        <f t="shared" si="85"/>
        <v>1</v>
      </c>
      <c r="X134" s="144">
        <f t="shared" si="89"/>
        <v>24.35</v>
      </c>
      <c r="Y134" s="144">
        <f t="shared" si="90"/>
        <v>31.747916666666665</v>
      </c>
      <c r="Z134" s="144">
        <f t="shared" si="91"/>
        <v>28.310842803030305</v>
      </c>
      <c r="AA134" s="10"/>
      <c r="AB134" s="357" t="str">
        <f>VLOOKUP($B134,'2007-2020 Metadata'!$A$4:$S$214,MATCH("Urban Area /Monitoring Zone",'2007-2020 Metadata'!$A$4:$S$4,0),FALSE)</f>
        <v>Christchurch</v>
      </c>
      <c r="AC134" s="87" t="str">
        <f>VLOOKUP(B134,'2007-2020 Metadata'!$A$6:$A$214,1,FALSE)</f>
        <v>CHR006</v>
      </c>
      <c r="AD134" s="230" t="str">
        <f>VLOOKUP($AC134,'2007-2020 Metadata'!$A$6:$S$214,9,FALSE)</f>
        <v>Christchurch</v>
      </c>
      <c r="AE134" s="248">
        <f>IF(ISBLANK(VLOOKUP($AC134,'2007-2020 Metadata'!$A$6:$S$214,19,FALSE)),"",VLOOKUP($AC134,'2007-2020 Metadata'!$A$6:$S$214,19,FALSE))</f>
        <v>3.4</v>
      </c>
      <c r="AF134" s="88" t="str">
        <f>VLOOKUP($B134,'2007-2020 Metadata'!$A$4:$S$214,MATCH("Site type",'2007-2020 Metadata'!$A$4:$S$4,0),FALSE)</f>
        <v>SH</v>
      </c>
      <c r="AG134" s="143">
        <f t="shared" si="86"/>
        <v>19.899999999999999</v>
      </c>
      <c r="AH134" s="143">
        <f t="shared" si="87"/>
        <v>39.700000000000003</v>
      </c>
      <c r="AI134" s="144">
        <f t="shared" si="88"/>
        <v>28.310842803030305</v>
      </c>
    </row>
    <row r="135" spans="1:36" ht="12" customHeight="1" x14ac:dyDescent="0.15">
      <c r="B135" s="123" t="s">
        <v>143</v>
      </c>
      <c r="C135" s="119">
        <v>18.8</v>
      </c>
      <c r="D135" s="119">
        <v>23.5</v>
      </c>
      <c r="E135" s="119">
        <v>30.7</v>
      </c>
      <c r="F135" s="119">
        <v>28.1</v>
      </c>
      <c r="G135" s="119"/>
      <c r="H135" s="119">
        <v>37.200000000000003</v>
      </c>
      <c r="I135" s="119">
        <v>31.9</v>
      </c>
      <c r="J135" s="119">
        <v>31.2</v>
      </c>
      <c r="K135" s="119">
        <v>24.5</v>
      </c>
      <c r="L135" s="119">
        <v>24.3</v>
      </c>
      <c r="M135" s="119">
        <v>22.1</v>
      </c>
      <c r="N135" s="119">
        <v>14.4</v>
      </c>
      <c r="O135" s="121">
        <f t="shared" si="77"/>
        <v>26.063636363636363</v>
      </c>
      <c r="P135" s="121">
        <f t="shared" si="78"/>
        <v>25.063945884244639</v>
      </c>
      <c r="Q135" s="122">
        <f t="shared" si="79"/>
        <v>0.91666666666666663</v>
      </c>
      <c r="R135" s="140">
        <f t="shared" si="92"/>
        <v>24.333333333333332</v>
      </c>
      <c r="S135" s="150">
        <f t="shared" si="93"/>
        <v>1</v>
      </c>
      <c r="T135" s="140">
        <f t="shared" si="82"/>
        <v>29.2</v>
      </c>
      <c r="U135" s="150">
        <f t="shared" si="83"/>
        <v>1</v>
      </c>
      <c r="V135" s="141">
        <f t="shared" si="84"/>
        <v>26.063636363636363</v>
      </c>
      <c r="W135" s="142">
        <f t="shared" si="85"/>
        <v>0.91666666666666663</v>
      </c>
      <c r="X135" s="144">
        <f t="shared" si="89"/>
        <v>24.35</v>
      </c>
      <c r="Y135" s="144">
        <f t="shared" si="90"/>
        <v>31.747916666666665</v>
      </c>
      <c r="Z135" s="144">
        <f t="shared" si="91"/>
        <v>28.310842803030305</v>
      </c>
      <c r="AA135" s="10"/>
      <c r="AB135" s="357" t="str">
        <f>VLOOKUP($B135,'2007-2020 Metadata'!$A$4:$S$214,MATCH("Urban Area /Monitoring Zone",'2007-2020 Metadata'!$A$4:$S$4,0),FALSE)</f>
        <v>Christchurch</v>
      </c>
      <c r="AC135" s="87" t="str">
        <f>VLOOKUP(B135,'2007-2020 Metadata'!$A$6:$A$214,1,FALSE)</f>
        <v>CHR011</v>
      </c>
      <c r="AD135" s="230" t="str">
        <f>VLOOKUP($AC135,'2007-2020 Metadata'!$A$6:$S$214,9,FALSE)</f>
        <v>Christchurch</v>
      </c>
      <c r="AE135" s="248">
        <f>IF(ISBLANK(VLOOKUP($AC135,'2007-2020 Metadata'!$A$6:$S$214,19,FALSE)),"",VLOOKUP($AC135,'2007-2020 Metadata'!$A$6:$S$214,19,FALSE))</f>
        <v>2.85</v>
      </c>
      <c r="AF135" s="88" t="str">
        <f>VLOOKUP($B135,'2007-2020 Metadata'!$A$4:$S$214,MATCH("Site type",'2007-2020 Metadata'!$A$4:$S$4,0),FALSE)</f>
        <v>SH</v>
      </c>
      <c r="AG135" s="143">
        <f t="shared" si="86"/>
        <v>14.4</v>
      </c>
      <c r="AH135" s="143">
        <f t="shared" si="87"/>
        <v>37.200000000000003</v>
      </c>
      <c r="AI135" s="144">
        <f t="shared" si="88"/>
        <v>28.310842803030305</v>
      </c>
    </row>
    <row r="136" spans="1:36" ht="12" customHeight="1" x14ac:dyDescent="0.15">
      <c r="B136" s="123" t="s">
        <v>144</v>
      </c>
      <c r="C136" s="119">
        <v>23.1</v>
      </c>
      <c r="D136" s="119">
        <v>25.2</v>
      </c>
      <c r="E136" s="119"/>
      <c r="F136" s="119">
        <v>26.1</v>
      </c>
      <c r="G136" s="119">
        <v>35.1</v>
      </c>
      <c r="H136" s="119">
        <v>42</v>
      </c>
      <c r="I136" s="119">
        <v>34.4</v>
      </c>
      <c r="J136" s="119">
        <v>33.6</v>
      </c>
      <c r="K136" s="119">
        <v>28.3</v>
      </c>
      <c r="L136" s="119">
        <v>28.4</v>
      </c>
      <c r="M136" s="119">
        <v>24.6</v>
      </c>
      <c r="N136" s="119">
        <v>18</v>
      </c>
      <c r="O136" s="121">
        <f t="shared" si="77"/>
        <v>28.981818181818184</v>
      </c>
      <c r="P136" s="121">
        <f t="shared" si="78"/>
        <v>23.284619834585452</v>
      </c>
      <c r="Q136" s="122">
        <f t="shared" si="79"/>
        <v>0.91666666666666663</v>
      </c>
      <c r="R136" s="140">
        <f t="shared" si="92"/>
        <v>24.15</v>
      </c>
      <c r="S136" s="150">
        <f t="shared" si="93"/>
        <v>0.66666666666666663</v>
      </c>
      <c r="T136" s="140">
        <f t="shared" si="82"/>
        <v>32.1</v>
      </c>
      <c r="U136" s="150">
        <f t="shared" si="83"/>
        <v>1</v>
      </c>
      <c r="V136" s="141">
        <f t="shared" si="84"/>
        <v>28.981818181818184</v>
      </c>
      <c r="W136" s="142">
        <f t="shared" si="85"/>
        <v>0.91666666666666663</v>
      </c>
      <c r="X136" s="144">
        <f t="shared" si="89"/>
        <v>24.35</v>
      </c>
      <c r="Y136" s="144">
        <f t="shared" si="90"/>
        <v>31.747916666666665</v>
      </c>
      <c r="Z136" s="144">
        <f t="shared" si="91"/>
        <v>28.310842803030305</v>
      </c>
      <c r="AA136" s="10"/>
      <c r="AB136" s="357" t="str">
        <f>VLOOKUP($B136,'2007-2020 Metadata'!$A$4:$S$214,MATCH("Urban Area /Monitoring Zone",'2007-2020 Metadata'!$A$4:$S$4,0),FALSE)</f>
        <v>Christchurch</v>
      </c>
      <c r="AC136" s="87" t="str">
        <f>VLOOKUP(B136,'2007-2020 Metadata'!$A$6:$A$214,1,FALSE)</f>
        <v>CHR012</v>
      </c>
      <c r="AD136" s="230" t="str">
        <f>VLOOKUP($AC136,'2007-2020 Metadata'!$A$6:$S$214,9,FALSE)</f>
        <v>Christchurch</v>
      </c>
      <c r="AE136" s="248">
        <f>IF(ISBLANK(VLOOKUP($AC136,'2007-2020 Metadata'!$A$6:$S$214,19,FALSE)),"",VLOOKUP($AC136,'2007-2020 Metadata'!$A$6:$S$214,19,FALSE))</f>
        <v>3</v>
      </c>
      <c r="AF136" s="88" t="str">
        <f>VLOOKUP($B136,'2007-2020 Metadata'!$A$4:$S$214,MATCH("Site type",'2007-2020 Metadata'!$A$4:$S$4,0),FALSE)</f>
        <v>Local</v>
      </c>
      <c r="AG136" s="143">
        <f t="shared" si="86"/>
        <v>18</v>
      </c>
      <c r="AH136" s="143">
        <f t="shared" si="87"/>
        <v>42</v>
      </c>
      <c r="AI136" s="144">
        <f t="shared" si="88"/>
        <v>28.310842803030305</v>
      </c>
    </row>
    <row r="137" spans="1:36" ht="12" customHeight="1" x14ac:dyDescent="0.15">
      <c r="B137" s="123" t="s">
        <v>145</v>
      </c>
      <c r="C137" s="119">
        <v>24.8</v>
      </c>
      <c r="D137" s="119">
        <v>31.3</v>
      </c>
      <c r="E137" s="119">
        <v>39.5</v>
      </c>
      <c r="F137" s="119">
        <v>34.1</v>
      </c>
      <c r="G137" s="119">
        <v>42.9</v>
      </c>
      <c r="H137" s="119">
        <v>48.3</v>
      </c>
      <c r="I137" s="119">
        <v>38.6</v>
      </c>
      <c r="J137" s="119">
        <v>39.5</v>
      </c>
      <c r="K137" s="119">
        <v>34.200000000000003</v>
      </c>
      <c r="L137" s="119">
        <v>29</v>
      </c>
      <c r="M137" s="119">
        <v>27.7</v>
      </c>
      <c r="N137" s="119">
        <v>20.7</v>
      </c>
      <c r="O137" s="121">
        <f t="shared" si="77"/>
        <v>34.216666666666661</v>
      </c>
      <c r="P137" s="121">
        <f t="shared" si="78"/>
        <v>23.286520475536783</v>
      </c>
      <c r="Q137" s="122">
        <f t="shared" si="79"/>
        <v>1</v>
      </c>
      <c r="R137" s="140">
        <f t="shared" si="92"/>
        <v>31.866666666666664</v>
      </c>
      <c r="S137" s="150">
        <f t="shared" si="93"/>
        <v>1</v>
      </c>
      <c r="T137" s="140">
        <f t="shared" si="82"/>
        <v>37.43333333333333</v>
      </c>
      <c r="U137" s="150">
        <f t="shared" si="83"/>
        <v>1</v>
      </c>
      <c r="V137" s="141">
        <f t="shared" si="84"/>
        <v>34.216666666666661</v>
      </c>
      <c r="W137" s="142">
        <f t="shared" si="85"/>
        <v>1</v>
      </c>
      <c r="X137" s="144">
        <f t="shared" si="89"/>
        <v>24.35</v>
      </c>
      <c r="Y137" s="144">
        <f t="shared" si="90"/>
        <v>31.747916666666665</v>
      </c>
      <c r="Z137" s="144">
        <f t="shared" si="91"/>
        <v>28.310842803030305</v>
      </c>
      <c r="AA137" s="10"/>
      <c r="AB137" s="357" t="str">
        <f>VLOOKUP($B137,'2007-2020 Metadata'!$A$4:$S$214,MATCH("Urban Area /Monitoring Zone",'2007-2020 Metadata'!$A$4:$S$4,0),FALSE)</f>
        <v>Christchurch</v>
      </c>
      <c r="AC137" s="87" t="str">
        <f>VLOOKUP(B137,'2007-2020 Metadata'!$A$6:$A$214,1,FALSE)</f>
        <v>CHR013</v>
      </c>
      <c r="AD137" s="230" t="str">
        <f>VLOOKUP($AC137,'2007-2020 Metadata'!$A$6:$S$214,9,FALSE)</f>
        <v>Christchurch</v>
      </c>
      <c r="AE137" s="248">
        <f>IF(ISBLANK(VLOOKUP($AC137,'2007-2020 Metadata'!$A$6:$S$214,19,FALSE)),"",VLOOKUP($AC137,'2007-2020 Metadata'!$A$6:$S$214,19,FALSE))</f>
        <v>3.15</v>
      </c>
      <c r="AF137" s="88" t="str">
        <f>VLOOKUP($B137,'2007-2020 Metadata'!$A$4:$S$214,MATCH("Site type",'2007-2020 Metadata'!$A$4:$S$4,0),FALSE)</f>
        <v>SH</v>
      </c>
      <c r="AG137" s="143">
        <f t="shared" si="86"/>
        <v>20.7</v>
      </c>
      <c r="AH137" s="143">
        <f t="shared" si="87"/>
        <v>48.3</v>
      </c>
      <c r="AI137" s="144">
        <f t="shared" si="88"/>
        <v>28.310842803030305</v>
      </c>
    </row>
    <row r="138" spans="1:36" ht="12" customHeight="1" x14ac:dyDescent="0.15">
      <c r="B138" s="123" t="s">
        <v>146</v>
      </c>
      <c r="C138" s="119">
        <v>22.7</v>
      </c>
      <c r="D138" s="119">
        <v>33.299999999999997</v>
      </c>
      <c r="E138" s="119">
        <v>37</v>
      </c>
      <c r="F138" s="119">
        <v>38.5</v>
      </c>
      <c r="G138" s="119">
        <v>48.6</v>
      </c>
      <c r="H138" s="119">
        <v>49</v>
      </c>
      <c r="I138" s="119">
        <v>41.2</v>
      </c>
      <c r="J138" s="119">
        <v>40.1</v>
      </c>
      <c r="K138" s="119">
        <v>37</v>
      </c>
      <c r="L138" s="119">
        <v>29.3</v>
      </c>
      <c r="M138" s="119">
        <v>33.1</v>
      </c>
      <c r="N138" s="119">
        <v>24.1</v>
      </c>
      <c r="O138" s="121">
        <f t="shared" si="77"/>
        <v>36.158333333333339</v>
      </c>
      <c r="P138" s="121">
        <f t="shared" si="78"/>
        <v>22.967606872004854</v>
      </c>
      <c r="Q138" s="122">
        <f t="shared" si="79"/>
        <v>1</v>
      </c>
      <c r="R138" s="140">
        <f t="shared" si="92"/>
        <v>31</v>
      </c>
      <c r="S138" s="150">
        <f t="shared" si="93"/>
        <v>1</v>
      </c>
      <c r="T138" s="140">
        <f t="shared" si="82"/>
        <v>39.433333333333337</v>
      </c>
      <c r="U138" s="150">
        <f t="shared" si="83"/>
        <v>1</v>
      </c>
      <c r="V138" s="141">
        <f t="shared" si="84"/>
        <v>36.158333333333339</v>
      </c>
      <c r="W138" s="142">
        <f t="shared" si="85"/>
        <v>1</v>
      </c>
      <c r="X138" s="144">
        <f t="shared" si="89"/>
        <v>24.35</v>
      </c>
      <c r="Y138" s="144">
        <f t="shared" si="90"/>
        <v>31.747916666666665</v>
      </c>
      <c r="Z138" s="144">
        <f t="shared" si="91"/>
        <v>28.310842803030305</v>
      </c>
      <c r="AA138" s="10"/>
      <c r="AB138" s="357" t="str">
        <f>VLOOKUP($B138,'2007-2020 Metadata'!$A$4:$S$214,MATCH("Urban Area /Monitoring Zone",'2007-2020 Metadata'!$A$4:$S$4,0),FALSE)</f>
        <v>Christchurch</v>
      </c>
      <c r="AC138" s="87" t="str">
        <f>VLOOKUP(B138,'2007-2020 Metadata'!$A$6:$A$214,1,FALSE)</f>
        <v>CHR014</v>
      </c>
      <c r="AD138" s="230" t="str">
        <f>VLOOKUP($AC138,'2007-2020 Metadata'!$A$6:$S$214,9,FALSE)</f>
        <v>Christchurch</v>
      </c>
      <c r="AE138" s="248">
        <f>IF(ISBLANK(VLOOKUP($AC138,'2007-2020 Metadata'!$A$6:$S$214,19,FALSE)),"",VLOOKUP($AC138,'2007-2020 Metadata'!$A$6:$S$214,19,FALSE))</f>
        <v>2.9</v>
      </c>
      <c r="AF138" s="88" t="str">
        <f>VLOOKUP($B138,'2007-2020 Metadata'!$A$4:$S$214,MATCH("Site type",'2007-2020 Metadata'!$A$4:$S$4,0),FALSE)</f>
        <v>SH</v>
      </c>
      <c r="AG138" s="143">
        <f t="shared" si="86"/>
        <v>22.7</v>
      </c>
      <c r="AH138" s="143">
        <f t="shared" si="87"/>
        <v>49</v>
      </c>
      <c r="AI138" s="144">
        <f t="shared" si="88"/>
        <v>28.310842803030305</v>
      </c>
    </row>
    <row r="139" spans="1:36" ht="12" customHeight="1" x14ac:dyDescent="0.15">
      <c r="B139" s="123" t="s">
        <v>147</v>
      </c>
      <c r="C139" s="119">
        <v>21.4</v>
      </c>
      <c r="D139" s="119">
        <v>21.5</v>
      </c>
      <c r="E139" s="119">
        <v>25.7</v>
      </c>
      <c r="F139" s="119">
        <v>28.6</v>
      </c>
      <c r="G139" s="119">
        <v>36.9</v>
      </c>
      <c r="H139" s="119">
        <v>44.7</v>
      </c>
      <c r="I139" s="119">
        <v>36.700000000000003</v>
      </c>
      <c r="J139" s="119">
        <v>34.200000000000003</v>
      </c>
      <c r="K139" s="119">
        <v>26.7</v>
      </c>
      <c r="L139" s="119">
        <v>27.2</v>
      </c>
      <c r="M139" s="119">
        <v>22.6</v>
      </c>
      <c r="N139" s="119">
        <v>18</v>
      </c>
      <c r="O139" s="121">
        <f t="shared" si="77"/>
        <v>28.683333333333334</v>
      </c>
      <c r="P139" s="121">
        <f t="shared" si="78"/>
        <v>27.603573996538781</v>
      </c>
      <c r="Q139" s="122">
        <f t="shared" si="79"/>
        <v>1</v>
      </c>
      <c r="R139" s="140">
        <f t="shared" si="92"/>
        <v>22.866666666666664</v>
      </c>
      <c r="S139" s="150">
        <f t="shared" si="93"/>
        <v>1</v>
      </c>
      <c r="T139" s="140">
        <f t="shared" si="82"/>
        <v>32.533333333333339</v>
      </c>
      <c r="U139" s="150">
        <f t="shared" si="83"/>
        <v>1</v>
      </c>
      <c r="V139" s="141">
        <f t="shared" si="84"/>
        <v>28.683333333333334</v>
      </c>
      <c r="W139" s="142">
        <f t="shared" si="85"/>
        <v>1</v>
      </c>
      <c r="X139" s="144">
        <f t="shared" si="89"/>
        <v>24.35</v>
      </c>
      <c r="Y139" s="144">
        <f t="shared" si="90"/>
        <v>31.747916666666665</v>
      </c>
      <c r="Z139" s="144">
        <f t="shared" si="91"/>
        <v>28.310842803030305</v>
      </c>
      <c r="AA139" s="10"/>
      <c r="AB139" s="357" t="str">
        <f>VLOOKUP($B139,'2007-2020 Metadata'!$A$4:$S$214,MATCH("Urban Area /Monitoring Zone",'2007-2020 Metadata'!$A$4:$S$4,0),FALSE)</f>
        <v>Christchurch</v>
      </c>
      <c r="AC139" s="87" t="str">
        <f>VLOOKUP(B139,'2007-2020 Metadata'!$A$6:$A$214,1,FALSE)</f>
        <v>CHR015</v>
      </c>
      <c r="AD139" s="230" t="str">
        <f>VLOOKUP($AC139,'2007-2020 Metadata'!$A$6:$S$214,9,FALSE)</f>
        <v>Christchurch</v>
      </c>
      <c r="AE139" s="248">
        <f>IF(ISBLANK(VLOOKUP($AC139,'2007-2020 Metadata'!$A$6:$S$214,19,FALSE)),"",VLOOKUP($AC139,'2007-2020 Metadata'!$A$6:$S$214,19,FALSE))</f>
        <v>3.1</v>
      </c>
      <c r="AF139" s="88" t="str">
        <f>VLOOKUP($B139,'2007-2020 Metadata'!$A$4:$S$214,MATCH("Site type",'2007-2020 Metadata'!$A$4:$S$4,0),FALSE)</f>
        <v>Local</v>
      </c>
      <c r="AG139" s="143">
        <f t="shared" si="86"/>
        <v>18</v>
      </c>
      <c r="AH139" s="143">
        <f t="shared" si="87"/>
        <v>44.7</v>
      </c>
      <c r="AI139" s="144">
        <f t="shared" si="88"/>
        <v>28.310842803030305</v>
      </c>
    </row>
    <row r="140" spans="1:36" ht="12" customHeight="1" x14ac:dyDescent="0.15">
      <c r="B140" s="123" t="s">
        <v>148</v>
      </c>
      <c r="C140" s="119">
        <v>25</v>
      </c>
      <c r="D140" s="119">
        <v>25.5</v>
      </c>
      <c r="E140" s="119">
        <v>39.700000000000003</v>
      </c>
      <c r="F140" s="119">
        <v>42</v>
      </c>
      <c r="G140" s="119">
        <v>42.9</v>
      </c>
      <c r="H140" s="119">
        <v>45.4</v>
      </c>
      <c r="I140" s="119">
        <v>43.5</v>
      </c>
      <c r="J140" s="119">
        <v>46.3</v>
      </c>
      <c r="K140" s="119">
        <v>31.9</v>
      </c>
      <c r="L140" s="119">
        <v>30</v>
      </c>
      <c r="M140" s="119">
        <v>25</v>
      </c>
      <c r="N140" s="119">
        <v>24.5</v>
      </c>
      <c r="O140" s="121">
        <f t="shared" si="77"/>
        <v>35.141666666666666</v>
      </c>
      <c r="P140" s="121">
        <f t="shared" si="78"/>
        <v>25.400930357467217</v>
      </c>
      <c r="Q140" s="122">
        <f t="shared" si="79"/>
        <v>1</v>
      </c>
      <c r="R140" s="140">
        <f t="shared" si="92"/>
        <v>30.066666666666666</v>
      </c>
      <c r="S140" s="150">
        <f t="shared" si="93"/>
        <v>1</v>
      </c>
      <c r="T140" s="140">
        <f t="shared" si="82"/>
        <v>40.566666666666663</v>
      </c>
      <c r="U140" s="150">
        <f t="shared" si="83"/>
        <v>1</v>
      </c>
      <c r="V140" s="141">
        <f t="shared" si="84"/>
        <v>35.141666666666666</v>
      </c>
      <c r="W140" s="142">
        <f t="shared" si="85"/>
        <v>1</v>
      </c>
      <c r="X140" s="144">
        <f t="shared" si="89"/>
        <v>24.35</v>
      </c>
      <c r="Y140" s="144">
        <f t="shared" si="90"/>
        <v>31.747916666666665</v>
      </c>
      <c r="Z140" s="144">
        <f t="shared" si="91"/>
        <v>28.310842803030305</v>
      </c>
      <c r="AA140" s="10"/>
      <c r="AB140" s="357" t="str">
        <f>VLOOKUP($B140,'2007-2020 Metadata'!$A$4:$S$214,MATCH("Urban Area /Monitoring Zone",'2007-2020 Metadata'!$A$4:$S$4,0),FALSE)</f>
        <v>Christchurch</v>
      </c>
      <c r="AC140" s="87" t="str">
        <f>VLOOKUP(B140,'2007-2020 Metadata'!$A$6:$A$214,1,FALSE)</f>
        <v>CHR016</v>
      </c>
      <c r="AD140" s="230" t="str">
        <f>VLOOKUP($AC140,'2007-2020 Metadata'!$A$6:$S$214,9,FALSE)</f>
        <v>Christchurch</v>
      </c>
      <c r="AE140" s="248">
        <f>IF(ISBLANK(VLOOKUP($AC140,'2007-2020 Metadata'!$A$6:$S$214,19,FALSE)),"",VLOOKUP($AC140,'2007-2020 Metadata'!$A$6:$S$214,19,FALSE))</f>
        <v>3</v>
      </c>
      <c r="AF140" s="88" t="str">
        <f>VLOOKUP($B140,'2007-2020 Metadata'!$A$4:$S$214,MATCH("Site type",'2007-2020 Metadata'!$A$4:$S$4,0),FALSE)</f>
        <v>Local</v>
      </c>
      <c r="AG140" s="143">
        <f t="shared" si="86"/>
        <v>24.5</v>
      </c>
      <c r="AH140" s="143">
        <f t="shared" si="87"/>
        <v>46.3</v>
      </c>
      <c r="AI140" s="144">
        <f t="shared" si="88"/>
        <v>28.310842803030305</v>
      </c>
    </row>
    <row r="141" spans="1:36" ht="12" customHeight="1" x14ac:dyDescent="0.15">
      <c r="B141" s="123" t="s">
        <v>149</v>
      </c>
      <c r="C141" s="119">
        <v>30</v>
      </c>
      <c r="D141" s="119">
        <v>33</v>
      </c>
      <c r="E141" s="119">
        <v>40.5</v>
      </c>
      <c r="F141" s="119">
        <v>36.1</v>
      </c>
      <c r="G141" s="119">
        <v>43.7</v>
      </c>
      <c r="H141" s="119">
        <v>49.5</v>
      </c>
      <c r="I141" s="119">
        <v>41.3</v>
      </c>
      <c r="J141" s="119">
        <v>52.3</v>
      </c>
      <c r="K141" s="119">
        <v>37.799999999999997</v>
      </c>
      <c r="L141" s="119">
        <v>37.700000000000003</v>
      </c>
      <c r="M141" s="119">
        <v>41.3</v>
      </c>
      <c r="N141" s="119">
        <v>33.700000000000003</v>
      </c>
      <c r="O141" s="121">
        <f t="shared" si="77"/>
        <v>39.741666666666667</v>
      </c>
      <c r="P141" s="121">
        <f t="shared" si="78"/>
        <v>16.484265405791298</v>
      </c>
      <c r="Q141" s="122">
        <f t="shared" si="79"/>
        <v>1</v>
      </c>
      <c r="R141" s="260">
        <f t="shared" si="92"/>
        <v>34.5</v>
      </c>
      <c r="S141" s="261">
        <f t="shared" si="93"/>
        <v>1</v>
      </c>
      <c r="T141" s="260">
        <f t="shared" si="82"/>
        <v>43.79999999999999</v>
      </c>
      <c r="U141" s="261">
        <f t="shared" si="83"/>
        <v>1</v>
      </c>
      <c r="V141" s="262">
        <f t="shared" si="84"/>
        <v>39.741666666666667</v>
      </c>
      <c r="W141" s="261">
        <f t="shared" si="85"/>
        <v>1</v>
      </c>
      <c r="X141" s="177">
        <f t="shared" ref="X141:X156" si="96">IF(VLOOKUP($B141,$AC$6:$AI$166,3,FALSE)="",$R141,IF(ISERROR(AVERAGEIF($AD$6:$AD$166,VLOOKUP($B141,$AC$6:$AI$166,2,FALSE),$R$6:$R$166)),"",AVERAGEIF($AD$6:$AD$166,VLOOKUP($B141,$AC$6:$AI$166,2,FALSE),$R$6:$R$166)))</f>
        <v>24.35</v>
      </c>
      <c r="Y141" s="177">
        <f t="shared" ref="Y141:Y156" si="97">IF(VLOOKUP($B141,$AC$6:$AI$166,3,FALSE)="",$T141,IF(ISERROR(AVERAGEIF($AD$6:$AD$166,VLOOKUP($B141,$AC$6:$AI$166,2,FALSE),$T$6:$T$166)),"",AVERAGEIF($AD$6:$AD$166,VLOOKUP($B141,$AC$6:$AI$166,2,FALSE),$T$6:$T$166)))</f>
        <v>31.747916666666665</v>
      </c>
      <c r="Z141" s="177">
        <f t="shared" ref="Z141:Z156" si="98">IF(VLOOKUP($B141,$AC$6:$AI$166,3,FALSE)="",$V141,IF(ISERROR(AVERAGEIF($AD$6:$AD$166,VLOOKUP($B141,$AC$6:$AI$166,2,FALSE),$V$6:$V$166)),"",AVERAGEIF($AD$6:$AD$166,VLOOKUP($B141,$AC$6:$AI$166,2,FALSE),$V$6:$V$166)))</f>
        <v>28.310842803030305</v>
      </c>
      <c r="AA141" s="10"/>
      <c r="AB141" s="357" t="str">
        <f>VLOOKUP($B141,'2007-2020 Metadata'!$A$4:$S$214,MATCH("Urban Area /Monitoring Zone",'2007-2020 Metadata'!$A$4:$S$4,0),FALSE)</f>
        <v>Christchurch</v>
      </c>
      <c r="AC141" s="259" t="str">
        <f>VLOOKUP(B141,'2007-2020 Metadata'!$A$6:$A$214,1,FALSE)</f>
        <v>CHR017</v>
      </c>
      <c r="AD141" s="256" t="str">
        <f>VLOOKUP($AC141,'2007-2020 Metadata'!$A$6:$S$214,9,FALSE)</f>
        <v>Christchurch</v>
      </c>
      <c r="AE141" s="263">
        <f>IF(ISBLANK(VLOOKUP($AC141,'2007-2020 Metadata'!$A$6:$S$214,19,FALSE)),"",VLOOKUP($AC141,'2007-2020 Metadata'!$A$6:$S$214,19,FALSE))</f>
        <v>3</v>
      </c>
      <c r="AF141" s="257" t="str">
        <f>VLOOKUP($B141,'2007-2020 Metadata'!$A$4:$S$214,MATCH("Site type",'2007-2020 Metadata'!$A$4:$S$4,0),FALSE)</f>
        <v>Local</v>
      </c>
      <c r="AG141" s="258">
        <f>MIN(AVERAGE($C$141:$C$143),AVERAGE($D$141:$D$143),AVERAGE($E$141:$E$143),AVERAGE($F$141:$F$143),AVERAGE($G$141:$G$143),AVERAGE($H$141:$H$143),AVERAGE($I$141:$I$143),AVERAGE($J$141:$J$143),AVERAGE($K$141:$K$143),AVERAGE($L$141:$L$143),AVERAGE($M$141:$M$143),AVERAGE($N$141:$N$143))</f>
        <v>31.666666666666668</v>
      </c>
      <c r="AH141" s="258">
        <f>MAX(AVERAGE($C$141:$C$143),AVERAGE($D$141:$D$143),AVERAGE($E$141:$E$143),AVERAGE($F$141:$F$143),AVERAGE($G$141:$G$143),AVERAGE($H$141:$H$143),AVERAGE($I$141:$I$143),AVERAGE($J$141:$J$143),AVERAGE($K$141:$K$143),AVERAGE($L$141:$L$143),AVERAGE($M$141:$M$143),AVERAGE($N$141:$N$143))</f>
        <v>52.4</v>
      </c>
      <c r="AI141" s="177">
        <f t="shared" si="88"/>
        <v>28.310842803030305</v>
      </c>
    </row>
    <row r="142" spans="1:36" ht="12" customHeight="1" x14ac:dyDescent="0.15">
      <c r="B142" s="123" t="s">
        <v>150</v>
      </c>
      <c r="C142" s="119">
        <v>30.4</v>
      </c>
      <c r="D142" s="119">
        <v>33.799999999999997</v>
      </c>
      <c r="E142" s="119">
        <v>40.1</v>
      </c>
      <c r="F142" s="119">
        <v>42.8</v>
      </c>
      <c r="G142" s="119">
        <v>40</v>
      </c>
      <c r="H142" s="119">
        <v>38.4</v>
      </c>
      <c r="I142" s="119">
        <v>41.8</v>
      </c>
      <c r="J142" s="119">
        <v>53.7</v>
      </c>
      <c r="K142" s="119">
        <v>41.5</v>
      </c>
      <c r="L142" s="119">
        <v>42</v>
      </c>
      <c r="M142" s="119">
        <v>41.7</v>
      </c>
      <c r="N142" s="119">
        <v>34.700000000000003</v>
      </c>
      <c r="O142" s="121">
        <f t="shared" si="77"/>
        <v>40.074999999999996</v>
      </c>
      <c r="P142" s="121">
        <f t="shared" si="78"/>
        <v>14.454518183094125</v>
      </c>
      <c r="Q142" s="122">
        <f t="shared" si="79"/>
        <v>1</v>
      </c>
      <c r="R142" s="260">
        <f t="shared" si="92"/>
        <v>34.766666666666659</v>
      </c>
      <c r="S142" s="261">
        <f t="shared" si="93"/>
        <v>1</v>
      </c>
      <c r="T142" s="260">
        <f t="shared" si="82"/>
        <v>45.666666666666664</v>
      </c>
      <c r="U142" s="261">
        <f t="shared" si="83"/>
        <v>1</v>
      </c>
      <c r="V142" s="262">
        <f t="shared" si="84"/>
        <v>40.074999999999996</v>
      </c>
      <c r="W142" s="261">
        <f t="shared" si="85"/>
        <v>1</v>
      </c>
      <c r="X142" s="177">
        <f t="shared" si="96"/>
        <v>24.35</v>
      </c>
      <c r="Y142" s="177">
        <f t="shared" si="97"/>
        <v>31.747916666666665</v>
      </c>
      <c r="Z142" s="177">
        <f t="shared" si="98"/>
        <v>28.310842803030305</v>
      </c>
      <c r="AA142" s="10"/>
      <c r="AB142" s="357" t="str">
        <f>VLOOKUP($B142,'2007-2020 Metadata'!$A$4:$S$214,MATCH("Urban Area /Monitoring Zone",'2007-2020 Metadata'!$A$4:$S$4,0),FALSE)</f>
        <v>Christchurch</v>
      </c>
      <c r="AC142" s="259" t="str">
        <f>VLOOKUP(B142,'2007-2020 Metadata'!$A$6:$A$214,1,FALSE)</f>
        <v>CHR018</v>
      </c>
      <c r="AD142" s="256" t="str">
        <f>VLOOKUP($AC142,'2007-2020 Metadata'!$A$6:$S$214,9,FALSE)</f>
        <v>Christchurch</v>
      </c>
      <c r="AE142" s="263">
        <f>IF(ISBLANK(VLOOKUP($AC142,'2007-2020 Metadata'!$A$6:$S$214,19,FALSE)),"",VLOOKUP($AC142,'2007-2020 Metadata'!$A$6:$S$214,19,FALSE))</f>
        <v>3</v>
      </c>
      <c r="AF142" s="257" t="str">
        <f>VLOOKUP($B142,'2007-2020 Metadata'!$A$4:$S$214,MATCH("Site type",'2007-2020 Metadata'!$A$4:$S$4,0),FALSE)</f>
        <v>Local</v>
      </c>
      <c r="AG142" s="258">
        <f>MIN(AVERAGE($C$141:$C$143),AVERAGE($D$141:$D$143),AVERAGE($E$141:$E$143),AVERAGE($F$141:$F$143),AVERAGE($G$141:$G$143),AVERAGE($H$141:$H$143),AVERAGE($I$141:$I$143),AVERAGE($J$141:$J$143),AVERAGE($K$141:$K$143),AVERAGE($L$141:$L$143),AVERAGE($M$141:$M$143),AVERAGE($N$141:$N$143))</f>
        <v>31.666666666666668</v>
      </c>
      <c r="AH142" s="258">
        <f>MAX(AVERAGE($C$141:$C$143),AVERAGE($D$141:$D$143),AVERAGE($E$141:$E$143),AVERAGE($F$141:$F$143),AVERAGE($G$141:$G$143),AVERAGE($H$141:$H$143),AVERAGE($I$141:$I$143),AVERAGE($J$141:$J$143),AVERAGE($K$141:$K$143),AVERAGE($L$141:$L$143),AVERAGE($M$141:$M$143),AVERAGE($N$141:$N$143))</f>
        <v>52.4</v>
      </c>
      <c r="AI142" s="177">
        <f t="shared" si="88"/>
        <v>28.310842803030305</v>
      </c>
    </row>
    <row r="143" spans="1:36" ht="12" customHeight="1" x14ac:dyDescent="0.15">
      <c r="B143" s="123" t="s">
        <v>151</v>
      </c>
      <c r="C143" s="119">
        <v>34.6</v>
      </c>
      <c r="D143" s="119">
        <v>38.4</v>
      </c>
      <c r="E143" s="119">
        <v>42.8</v>
      </c>
      <c r="F143" s="119">
        <v>39.5</v>
      </c>
      <c r="G143" s="119">
        <v>38.6</v>
      </c>
      <c r="H143" s="119">
        <v>45.7</v>
      </c>
      <c r="I143" s="119">
        <v>39</v>
      </c>
      <c r="J143" s="119">
        <v>51.2</v>
      </c>
      <c r="K143" s="119">
        <v>37.9</v>
      </c>
      <c r="L143" s="119">
        <v>37.4</v>
      </c>
      <c r="M143" s="119">
        <v>29.7</v>
      </c>
      <c r="N143" s="119">
        <v>35</v>
      </c>
      <c r="O143" s="121">
        <f t="shared" ref="O143:O156" si="99">(AVERAGE(C143:N143))</f>
        <v>39.15</v>
      </c>
      <c r="P143" s="121">
        <f t="shared" ref="P143:P156" si="100">IFERROR((STDEV(C143:N143)/O143)*100,"")</f>
        <v>14.081002761009263</v>
      </c>
      <c r="Q143" s="122">
        <f t="shared" ref="Q143:Q156" si="101">COUNT(C143:N143)/COUNT($C$6:$N$6)</f>
        <v>1</v>
      </c>
      <c r="R143" s="260">
        <f t="shared" ref="R143:R156" si="102">IF($S143=0%,"",IF($S143&gt;66%,AVERAGE($C143:$E143),"-"))</f>
        <v>38.6</v>
      </c>
      <c r="S143" s="261">
        <f t="shared" ref="S143:S156" si="103">COUNT(C143:E143)/3</f>
        <v>1</v>
      </c>
      <c r="T143" s="260">
        <f t="shared" si="82"/>
        <v>42.699999999999996</v>
      </c>
      <c r="U143" s="261">
        <f t="shared" si="83"/>
        <v>1</v>
      </c>
      <c r="V143" s="262">
        <f t="shared" si="84"/>
        <v>39.15</v>
      </c>
      <c r="W143" s="261">
        <f t="shared" si="85"/>
        <v>1</v>
      </c>
      <c r="X143" s="177">
        <f t="shared" si="96"/>
        <v>24.35</v>
      </c>
      <c r="Y143" s="177">
        <f t="shared" si="97"/>
        <v>31.747916666666665</v>
      </c>
      <c r="Z143" s="177">
        <f t="shared" si="98"/>
        <v>28.310842803030305</v>
      </c>
      <c r="AA143" s="10"/>
      <c r="AB143" s="357" t="str">
        <f>VLOOKUP($B143,'2007-2020 Metadata'!$A$4:$S$214,MATCH("Urban Area /Monitoring Zone",'2007-2020 Metadata'!$A$4:$S$4,0),FALSE)</f>
        <v>Christchurch</v>
      </c>
      <c r="AC143" s="259" t="str">
        <f>VLOOKUP(B143,'2007-2020 Metadata'!$A$6:$A$214,1,FALSE)</f>
        <v>CHR019</v>
      </c>
      <c r="AD143" s="256" t="str">
        <f>VLOOKUP($AC143,'2007-2020 Metadata'!$A$6:$S$214,9,FALSE)</f>
        <v>Christchurch</v>
      </c>
      <c r="AE143" s="263">
        <f>IF(ISBLANK(VLOOKUP($AC143,'2007-2020 Metadata'!$A$6:$S$214,19,FALSE)),"",VLOOKUP($AC143,'2007-2020 Metadata'!$A$6:$S$214,19,FALSE))</f>
        <v>3</v>
      </c>
      <c r="AF143" s="257" t="str">
        <f>VLOOKUP($B143,'2007-2020 Metadata'!$A$4:$S$214,MATCH("Site type",'2007-2020 Metadata'!$A$4:$S$4,0),FALSE)</f>
        <v>Local</v>
      </c>
      <c r="AG143" s="258">
        <f>MIN(AVERAGE($C$141:$C$143),AVERAGE($D$141:$D$143),AVERAGE($E$141:$E$143),AVERAGE($F$141:$F$143),AVERAGE($G$141:$G$143),AVERAGE($H$141:$H$143),AVERAGE($I$141:$I$143),AVERAGE($J$141:$J$143),AVERAGE($K$141:$K$143),AVERAGE($L$141:$L$143),AVERAGE($M$141:$M$143),AVERAGE($N$141:$N$143))</f>
        <v>31.666666666666668</v>
      </c>
      <c r="AH143" s="258">
        <f>MAX(AVERAGE($C$141:$C$143),AVERAGE($D$141:$D$143),AVERAGE($E$141:$E$143),AVERAGE($F$141:$F$143),AVERAGE($G$141:$G$143),AVERAGE($H$141:$H$143),AVERAGE($I$141:$I$143),AVERAGE($J$141:$J$143),AVERAGE($K$141:$K$143),AVERAGE($L$141:$L$143),AVERAGE($M$141:$M$143),AVERAGE($N$141:$N$143))</f>
        <v>52.4</v>
      </c>
      <c r="AI143" s="177">
        <f t="shared" si="88"/>
        <v>28.310842803030305</v>
      </c>
    </row>
    <row r="144" spans="1:36" ht="12" customHeight="1" x14ac:dyDescent="0.15">
      <c r="B144" s="123" t="s">
        <v>152</v>
      </c>
      <c r="C144" s="119">
        <v>7.7</v>
      </c>
      <c r="D144" s="119">
        <v>7.5</v>
      </c>
      <c r="E144" s="119">
        <v>11</v>
      </c>
      <c r="F144" s="119">
        <v>13.7</v>
      </c>
      <c r="G144" s="119">
        <v>20.6</v>
      </c>
      <c r="H144" s="119">
        <v>27</v>
      </c>
      <c r="I144" s="119">
        <v>15.8</v>
      </c>
      <c r="J144" s="119">
        <v>18.2</v>
      </c>
      <c r="K144" s="119">
        <v>12.4</v>
      </c>
      <c r="L144" s="119">
        <v>9.6</v>
      </c>
      <c r="M144" s="119">
        <v>11.6</v>
      </c>
      <c r="N144" s="119">
        <v>5.2</v>
      </c>
      <c r="O144" s="121">
        <f t="shared" si="99"/>
        <v>13.358333333333333</v>
      </c>
      <c r="P144" s="121">
        <f>IFERROR((STDEV(C144:N144)/O144)*100,"")</f>
        <v>46.512161157695061</v>
      </c>
      <c r="Q144" s="122">
        <f t="shared" si="101"/>
        <v>1</v>
      </c>
      <c r="R144" s="260">
        <f t="shared" si="102"/>
        <v>8.7333333333333325</v>
      </c>
      <c r="S144" s="261">
        <f t="shared" si="103"/>
        <v>1</v>
      </c>
      <c r="T144" s="260">
        <f t="shared" ref="T144:T156" si="104">IF($U144=0%,"",IF($U144&gt;66%,AVERAGE($I144:$K144),"-"))</f>
        <v>15.466666666666667</v>
      </c>
      <c r="U144" s="261">
        <f t="shared" ref="U144:U156" si="105">COUNT(I144:K144)/3</f>
        <v>1</v>
      </c>
      <c r="V144" s="262">
        <f t="shared" ref="V144:V156" si="106">IF(AND(($S144&gt;33%),($U144&gt;33%),($W144&gt;=75%)),AVERAGE($C144:$N144),"-")</f>
        <v>13.358333333333333</v>
      </c>
      <c r="W144" s="261">
        <f t="shared" ref="W144:W156" si="107">Q144</f>
        <v>1</v>
      </c>
      <c r="X144" s="177">
        <f t="shared" si="96"/>
        <v>24.35</v>
      </c>
      <c r="Y144" s="177">
        <f t="shared" si="97"/>
        <v>31.747916666666665</v>
      </c>
      <c r="Z144" s="177">
        <f t="shared" si="98"/>
        <v>28.310842803030305</v>
      </c>
      <c r="AA144" s="10"/>
      <c r="AB144" s="357" t="str">
        <f>VLOOKUP($B144,'2007-2020 Metadata'!$A$4:$S$214,MATCH("Urban Area /Monitoring Zone",'2007-2020 Metadata'!$A$4:$S$4,0),FALSE)</f>
        <v>Christchurch</v>
      </c>
      <c r="AC144" s="259" t="str">
        <f>VLOOKUP(B144,'2007-2020 Metadata'!$A$6:$A$214,1,FALSE)</f>
        <v>CHR020</v>
      </c>
      <c r="AD144" s="256" t="str">
        <f>VLOOKUP($AC144,'2007-2020 Metadata'!$A$6:$S$214,9,FALSE)</f>
        <v>Christchurch</v>
      </c>
      <c r="AE144" s="263">
        <f>IF(ISBLANK(VLOOKUP($AC144,'2007-2020 Metadata'!$A$6:$S$214,19,FALSE)),"",VLOOKUP($AC144,'2007-2020 Metadata'!$A$6:$S$214,19,FALSE))</f>
        <v>3.5</v>
      </c>
      <c r="AF144" s="257" t="str">
        <f>VLOOKUP($B144,'2007-2020 Metadata'!$A$4:$S$214,MATCH("Site type",'2007-2020 Metadata'!$A$4:$S$4,0),FALSE)</f>
        <v>Background</v>
      </c>
      <c r="AG144" s="258">
        <f>MIN(AVERAGE($C$144:$C$146),AVERAGE($D$144:$D$146),AVERAGE($E$144:$E$146),AVERAGE($F$144:$F$146),AVERAGE($G$144:$G$146),AVERAGE($H$144:$H$146),AVERAGE($I$144:$I$146),AVERAGE($J$144:$J$146),AVERAGE($K$144:$K$146),AVERAGE($L$144:$L$146),AVERAGE($M$144:$M$146),AVERAGE($N$144:$N$146))</f>
        <v>6.9333333333333336</v>
      </c>
      <c r="AH144" s="258">
        <f>MAX(AVERAGE($C$144:$C$146),AVERAGE($D$144:$D$146),AVERAGE($E$144:$E$146),AVERAGE($F$144:$F$146),AVERAGE($G$144:$G$146),AVERAGE($H$144:$H$146),AVERAGE($I$144:$I$146),AVERAGE($J$144:$J$146),AVERAGE($K$144:$K$146),AVERAGE($L$144:$L$146),AVERAGE($M$144:$M$146),AVERAGE($N$144:$N$146))</f>
        <v>24.533333333333331</v>
      </c>
      <c r="AI144" s="177">
        <f t="shared" ref="AI144:AI156" si="108">IF(W144&gt;=75%,Z144," ")</f>
        <v>28.310842803030305</v>
      </c>
    </row>
    <row r="145" spans="2:35" ht="12" customHeight="1" x14ac:dyDescent="0.15">
      <c r="B145" s="123" t="s">
        <v>153</v>
      </c>
      <c r="C145" s="119">
        <v>8.1</v>
      </c>
      <c r="D145" s="119">
        <v>9.5</v>
      </c>
      <c r="E145" s="119">
        <v>11.1</v>
      </c>
      <c r="F145" s="119">
        <v>14.9</v>
      </c>
      <c r="G145" s="119">
        <v>21.3</v>
      </c>
      <c r="H145" s="119">
        <v>22.8</v>
      </c>
      <c r="I145" s="119">
        <v>19.2</v>
      </c>
      <c r="J145" s="119">
        <v>19.3</v>
      </c>
      <c r="K145" s="119">
        <v>10.6</v>
      </c>
      <c r="L145" s="119">
        <v>10.9</v>
      </c>
      <c r="M145" s="119">
        <v>11.1</v>
      </c>
      <c r="N145" s="119">
        <v>7.6</v>
      </c>
      <c r="O145" s="121">
        <f t="shared" si="99"/>
        <v>13.866666666666667</v>
      </c>
      <c r="P145" s="121">
        <f t="shared" si="100"/>
        <v>38.924497351704368</v>
      </c>
      <c r="Q145" s="122">
        <f t="shared" si="101"/>
        <v>1</v>
      </c>
      <c r="R145" s="260">
        <f t="shared" si="102"/>
        <v>9.5666666666666682</v>
      </c>
      <c r="S145" s="261">
        <f t="shared" si="103"/>
        <v>1</v>
      </c>
      <c r="T145" s="260">
        <f t="shared" si="104"/>
        <v>16.366666666666667</v>
      </c>
      <c r="U145" s="261">
        <f t="shared" si="105"/>
        <v>1</v>
      </c>
      <c r="V145" s="262">
        <f t="shared" si="106"/>
        <v>13.866666666666667</v>
      </c>
      <c r="W145" s="261">
        <f t="shared" si="107"/>
        <v>1</v>
      </c>
      <c r="X145" s="177">
        <f t="shared" si="96"/>
        <v>24.35</v>
      </c>
      <c r="Y145" s="177">
        <f t="shared" si="97"/>
        <v>31.747916666666665</v>
      </c>
      <c r="Z145" s="177">
        <f t="shared" si="98"/>
        <v>28.310842803030305</v>
      </c>
      <c r="AA145" s="10"/>
      <c r="AB145" s="357" t="str">
        <f>VLOOKUP($B145,'2007-2020 Metadata'!$A$4:$S$214,MATCH("Urban Area /Monitoring Zone",'2007-2020 Metadata'!$A$4:$S$4,0),FALSE)</f>
        <v>Christchurch</v>
      </c>
      <c r="AC145" s="259" t="str">
        <f>VLOOKUP(B145,'2007-2020 Metadata'!$A$6:$A$214,1,FALSE)</f>
        <v>CHR021</v>
      </c>
      <c r="AD145" s="256" t="str">
        <f>VLOOKUP($AC145,'2007-2020 Metadata'!$A$6:$S$214,9,FALSE)</f>
        <v>Christchurch</v>
      </c>
      <c r="AE145" s="263">
        <f>IF(ISBLANK(VLOOKUP($AC145,'2007-2020 Metadata'!$A$6:$S$214,19,FALSE)),"",VLOOKUP($AC145,'2007-2020 Metadata'!$A$6:$S$214,19,FALSE))</f>
        <v>3.5</v>
      </c>
      <c r="AF145" s="257" t="str">
        <f>VLOOKUP($B145,'2007-2020 Metadata'!$A$4:$S$214,MATCH("Site type",'2007-2020 Metadata'!$A$4:$S$4,0),FALSE)</f>
        <v>Background</v>
      </c>
      <c r="AG145" s="258">
        <f>MIN(AVERAGE($C$144:$C$146),AVERAGE($D$144:$D$146),AVERAGE($E$144:$E$146),AVERAGE($F$144:$F$146),AVERAGE($G$144:$G$146),AVERAGE($H$144:$H$146),AVERAGE($I$144:$I$146),AVERAGE($J$144:$J$146),AVERAGE($K$144:$K$146),AVERAGE($L$144:$L$146),AVERAGE($M$144:$M$146),AVERAGE($N$144:$N$146))</f>
        <v>6.9333333333333336</v>
      </c>
      <c r="AH145" s="258">
        <f>MAX(AVERAGE($C$144:$C$146),AVERAGE($D$144:$D$146),AVERAGE($E$144:$E$146),AVERAGE($F$144:$F$146),AVERAGE($G$144:$G$146),AVERAGE($H$144:$H$146),AVERAGE($I$144:$I$146),AVERAGE($J$144:$J$146),AVERAGE($K$144:$K$146),AVERAGE($L$144:$L$146),AVERAGE($M$144:$M$146),AVERAGE($N$144:$N$146))</f>
        <v>24.533333333333331</v>
      </c>
      <c r="AI145" s="177">
        <f t="shared" si="108"/>
        <v>28.310842803030305</v>
      </c>
    </row>
    <row r="146" spans="2:35" ht="12" customHeight="1" x14ac:dyDescent="0.15">
      <c r="B146" s="123" t="s">
        <v>154</v>
      </c>
      <c r="C146" s="119">
        <v>6</v>
      </c>
      <c r="D146" s="119">
        <v>10</v>
      </c>
      <c r="E146" s="119">
        <v>13</v>
      </c>
      <c r="F146" s="119">
        <v>13.9</v>
      </c>
      <c r="G146" s="119">
        <v>20.5</v>
      </c>
      <c r="H146" s="119">
        <v>23.8</v>
      </c>
      <c r="I146" s="119">
        <v>20.100000000000001</v>
      </c>
      <c r="J146" s="119">
        <v>18.3</v>
      </c>
      <c r="K146" s="119">
        <v>13.4</v>
      </c>
      <c r="L146" s="119">
        <v>12</v>
      </c>
      <c r="M146" s="119">
        <v>8.1999999999999993</v>
      </c>
      <c r="N146" s="119">
        <v>8</v>
      </c>
      <c r="O146" s="121">
        <f t="shared" si="99"/>
        <v>13.933333333333332</v>
      </c>
      <c r="P146" s="121">
        <f>IFERROR((STDEV(C146:N146)/O146)*100,"")</f>
        <v>40.422964237687644</v>
      </c>
      <c r="Q146" s="122">
        <f t="shared" si="101"/>
        <v>1</v>
      </c>
      <c r="R146" s="260">
        <f t="shared" si="102"/>
        <v>9.6666666666666661</v>
      </c>
      <c r="S146" s="261">
        <f t="shared" si="103"/>
        <v>1</v>
      </c>
      <c r="T146" s="260">
        <f t="shared" si="104"/>
        <v>17.266666666666669</v>
      </c>
      <c r="U146" s="261">
        <f t="shared" si="105"/>
        <v>1</v>
      </c>
      <c r="V146" s="262">
        <f t="shared" si="106"/>
        <v>13.933333333333332</v>
      </c>
      <c r="W146" s="261">
        <f t="shared" si="107"/>
        <v>1</v>
      </c>
      <c r="X146" s="177">
        <f t="shared" si="96"/>
        <v>24.35</v>
      </c>
      <c r="Y146" s="177">
        <f t="shared" si="97"/>
        <v>31.747916666666665</v>
      </c>
      <c r="Z146" s="177">
        <f t="shared" si="98"/>
        <v>28.310842803030305</v>
      </c>
      <c r="AA146" s="10"/>
      <c r="AB146" s="357" t="str">
        <f>VLOOKUP($B146,'2007-2020 Metadata'!$A$4:$S$214,MATCH("Urban Area /Monitoring Zone",'2007-2020 Metadata'!$A$4:$S$4,0),FALSE)</f>
        <v>Christchurch</v>
      </c>
      <c r="AC146" s="259" t="str">
        <f>VLOOKUP(B146,'2007-2020 Metadata'!$A$6:$A$214,1,FALSE)</f>
        <v>CHR022</v>
      </c>
      <c r="AD146" s="256" t="str">
        <f>VLOOKUP($AC146,'2007-2020 Metadata'!$A$6:$S$214,9,FALSE)</f>
        <v>Christchurch</v>
      </c>
      <c r="AE146" s="263">
        <f>IF(ISBLANK(VLOOKUP($AC146,'2007-2020 Metadata'!$A$6:$S$214,19,FALSE)),"",VLOOKUP($AC146,'2007-2020 Metadata'!$A$6:$S$214,19,FALSE))</f>
        <v>3.5</v>
      </c>
      <c r="AF146" s="257" t="str">
        <f>VLOOKUP($B146,'2007-2020 Metadata'!$A$4:$S$214,MATCH("Site type",'2007-2020 Metadata'!$A$4:$S$4,0),FALSE)</f>
        <v>Background</v>
      </c>
      <c r="AG146" s="258">
        <f>MIN(AVERAGE($C$144:$C$146),AVERAGE($D$144:$D$146),AVERAGE($E$144:$E$146),AVERAGE($F$144:$F$146),AVERAGE($G$144:$G$146),AVERAGE($H$144:$H$146),AVERAGE($I$144:$I$146),AVERAGE($J$144:$J$146),AVERAGE($K$144:$K$146),AVERAGE($L$144:$L$146),AVERAGE($M$144:$M$146),AVERAGE($N$144:$N$146))</f>
        <v>6.9333333333333336</v>
      </c>
      <c r="AH146" s="258">
        <f>MAX(AVERAGE($C$144:$C$146),AVERAGE($D$144:$D$146),AVERAGE($E$144:$E$146),AVERAGE($F$144:$F$146),AVERAGE($G$144:$G$146),AVERAGE($H$144:$H$146),AVERAGE($I$144:$I$146),AVERAGE($J$144:$J$146),AVERAGE($K$144:$K$146),AVERAGE($L$144:$L$146),AVERAGE($M$144:$M$146),AVERAGE($N$144:$N$146))</f>
        <v>24.533333333333331</v>
      </c>
      <c r="AI146" s="177">
        <f t="shared" si="108"/>
        <v>28.310842803030305</v>
      </c>
    </row>
    <row r="147" spans="2:35" ht="12" customHeight="1" x14ac:dyDescent="0.15">
      <c r="B147" s="123" t="s">
        <v>26</v>
      </c>
      <c r="C147" s="119">
        <v>22.4</v>
      </c>
      <c r="D147" s="119">
        <v>24.4</v>
      </c>
      <c r="E147" s="119">
        <v>29.6</v>
      </c>
      <c r="F147" s="119">
        <v>30.1</v>
      </c>
      <c r="G147" s="119"/>
      <c r="H147" s="119">
        <v>29.7</v>
      </c>
      <c r="I147" s="119">
        <v>42.3</v>
      </c>
      <c r="J147" s="119">
        <v>33.4</v>
      </c>
      <c r="K147" s="119">
        <v>21.1</v>
      </c>
      <c r="L147" s="119">
        <v>19.7</v>
      </c>
      <c r="M147" s="119">
        <v>18.8</v>
      </c>
      <c r="N147" s="119">
        <v>7.4</v>
      </c>
      <c r="O147" s="121">
        <f t="shared" si="99"/>
        <v>25.354545454545452</v>
      </c>
      <c r="P147" s="121">
        <f t="shared" si="100"/>
        <v>36.06928167871272</v>
      </c>
      <c r="Q147" s="122">
        <f t="shared" si="101"/>
        <v>0.91666666666666663</v>
      </c>
      <c r="R147" s="140">
        <f t="shared" si="102"/>
        <v>25.466666666666669</v>
      </c>
      <c r="S147" s="150">
        <f t="shared" si="103"/>
        <v>1</v>
      </c>
      <c r="T147" s="140">
        <f t="shared" si="104"/>
        <v>32.266666666666659</v>
      </c>
      <c r="U147" s="150">
        <f t="shared" si="105"/>
        <v>1</v>
      </c>
      <c r="V147" s="141">
        <f t="shared" si="106"/>
        <v>25.354545454545452</v>
      </c>
      <c r="W147" s="142">
        <f t="shared" si="107"/>
        <v>0.91666666666666663</v>
      </c>
      <c r="X147" s="144">
        <f t="shared" si="96"/>
        <v>15.614285714285716</v>
      </c>
      <c r="Y147" s="144">
        <f t="shared" si="97"/>
        <v>19.316666666666666</v>
      </c>
      <c r="Z147" s="144">
        <f t="shared" si="98"/>
        <v>16.137330411736585</v>
      </c>
      <c r="AA147" s="10"/>
      <c r="AB147" s="357" t="str">
        <f>VLOOKUP($B147,'2007-2020 Metadata'!$A$4:$S$214,MATCH("Urban Area /Monitoring Zone",'2007-2020 Metadata'!$A$4:$S$4,0),FALSE)</f>
        <v>Dunedin</v>
      </c>
      <c r="AC147" s="87" t="str">
        <f>VLOOKUP(B147,'2007-2020 Metadata'!$A$6:$A$214,1,FALSE)</f>
        <v>DUN001</v>
      </c>
      <c r="AD147" s="230" t="str">
        <f>VLOOKUP($AC147,'2007-2020 Metadata'!$A$6:$S$214,9,FALSE)</f>
        <v>Dunedin</v>
      </c>
      <c r="AE147" s="248">
        <f>IF(ISBLANK(VLOOKUP($AC147,'2007-2020 Metadata'!$A$6:$S$214,19,FALSE)),"",VLOOKUP($AC147,'2007-2020 Metadata'!$A$6:$S$214,19,FALSE))</f>
        <v>3</v>
      </c>
      <c r="AF147" s="88" t="str">
        <f>VLOOKUP($B147,'2007-2020 Metadata'!$A$4:$S$214,MATCH("Site type",'2007-2020 Metadata'!$A$4:$S$4,0),FALSE)</f>
        <v>SH</v>
      </c>
      <c r="AG147" s="143">
        <f t="shared" ref="AG147:AG156" si="109">MIN(C147:N147)</f>
        <v>7.4</v>
      </c>
      <c r="AH147" s="143">
        <f t="shared" ref="AH147:AH156" si="110">MAX(C147:N147)</f>
        <v>42.3</v>
      </c>
      <c r="AI147" s="144">
        <f t="shared" si="108"/>
        <v>16.137330411736585</v>
      </c>
    </row>
    <row r="148" spans="2:35" ht="12" customHeight="1" x14ac:dyDescent="0.15">
      <c r="B148" s="123" t="s">
        <v>27</v>
      </c>
      <c r="C148" s="119">
        <v>12.8</v>
      </c>
      <c r="D148" s="119">
        <v>11.3</v>
      </c>
      <c r="E148" s="119">
        <v>17.100000000000001</v>
      </c>
      <c r="F148" s="119">
        <v>16.3</v>
      </c>
      <c r="G148" s="119">
        <v>21</v>
      </c>
      <c r="H148" s="119">
        <v>13.1</v>
      </c>
      <c r="I148" s="119">
        <v>18.2</v>
      </c>
      <c r="J148" s="119">
        <v>20.9</v>
      </c>
      <c r="K148" s="119">
        <v>13.7</v>
      </c>
      <c r="L148" s="119">
        <v>10.199999999999999</v>
      </c>
      <c r="M148" s="119">
        <v>13.4</v>
      </c>
      <c r="N148" s="119">
        <v>5.7</v>
      </c>
      <c r="O148" s="121">
        <f t="shared" si="99"/>
        <v>14.474999999999996</v>
      </c>
      <c r="P148" s="121">
        <f t="shared" si="100"/>
        <v>30.878904083853854</v>
      </c>
      <c r="Q148" s="122">
        <f t="shared" si="101"/>
        <v>1</v>
      </c>
      <c r="R148" s="140">
        <f t="shared" si="102"/>
        <v>13.733333333333334</v>
      </c>
      <c r="S148" s="150">
        <f t="shared" si="103"/>
        <v>1</v>
      </c>
      <c r="T148" s="140">
        <f t="shared" si="104"/>
        <v>17.599999999999998</v>
      </c>
      <c r="U148" s="150">
        <f t="shared" si="105"/>
        <v>1</v>
      </c>
      <c r="V148" s="141">
        <f t="shared" si="106"/>
        <v>14.474999999999996</v>
      </c>
      <c r="W148" s="142">
        <f t="shared" si="107"/>
        <v>1</v>
      </c>
      <c r="X148" s="144">
        <f t="shared" si="96"/>
        <v>15.614285714285716</v>
      </c>
      <c r="Y148" s="144">
        <f t="shared" si="97"/>
        <v>19.316666666666666</v>
      </c>
      <c r="Z148" s="144">
        <f t="shared" si="98"/>
        <v>16.137330411736585</v>
      </c>
      <c r="AA148" s="10"/>
      <c r="AB148" s="357" t="str">
        <f>VLOOKUP($B148,'2007-2020 Metadata'!$A$4:$S$214,MATCH("Urban Area /Monitoring Zone",'2007-2020 Metadata'!$A$4:$S$4,0),FALSE)</f>
        <v>Dunedin</v>
      </c>
      <c r="AC148" s="87" t="str">
        <f>VLOOKUP(B148,'2007-2020 Metadata'!$A$6:$A$214,1,FALSE)</f>
        <v>DUN002</v>
      </c>
      <c r="AD148" s="230" t="str">
        <f>VLOOKUP($AC148,'2007-2020 Metadata'!$A$6:$S$214,9,FALSE)</f>
        <v>Dunedin</v>
      </c>
      <c r="AE148" s="248">
        <f>IF(ISBLANK(VLOOKUP($AC148,'2007-2020 Metadata'!$A$6:$S$214,19,FALSE)),"",VLOOKUP($AC148,'2007-2020 Metadata'!$A$6:$S$214,19,FALSE))</f>
        <v>3</v>
      </c>
      <c r="AF148" s="88" t="str">
        <f>VLOOKUP($B148,'2007-2020 Metadata'!$A$4:$S$214,MATCH("Site type",'2007-2020 Metadata'!$A$4:$S$4,0),FALSE)</f>
        <v>SH</v>
      </c>
      <c r="AG148" s="143">
        <f t="shared" si="109"/>
        <v>5.7</v>
      </c>
      <c r="AH148" s="143">
        <f t="shared" si="110"/>
        <v>21</v>
      </c>
      <c r="AI148" s="144">
        <f t="shared" si="108"/>
        <v>16.137330411736585</v>
      </c>
    </row>
    <row r="149" spans="2:35" ht="12" customHeight="1" x14ac:dyDescent="0.15">
      <c r="B149" s="123" t="s">
        <v>29</v>
      </c>
      <c r="C149" s="119">
        <v>15.3</v>
      </c>
      <c r="D149" s="119">
        <v>16.8</v>
      </c>
      <c r="E149" s="119">
        <v>24.9</v>
      </c>
      <c r="F149" s="119">
        <v>28.8</v>
      </c>
      <c r="G149" s="119">
        <v>31.1</v>
      </c>
      <c r="H149" s="119">
        <v>38.700000000000003</v>
      </c>
      <c r="I149" s="119">
        <v>22.9</v>
      </c>
      <c r="J149" s="119">
        <v>30.6</v>
      </c>
      <c r="K149" s="119">
        <v>17.8</v>
      </c>
      <c r="L149" s="119">
        <v>15.2</v>
      </c>
      <c r="M149" s="119">
        <v>19.5</v>
      </c>
      <c r="N149" s="119">
        <v>16.100000000000001</v>
      </c>
      <c r="O149" s="121">
        <f t="shared" si="99"/>
        <v>23.141666666666669</v>
      </c>
      <c r="P149" s="121">
        <f t="shared" si="100"/>
        <v>33.2773764496621</v>
      </c>
      <c r="Q149" s="122">
        <f t="shared" si="101"/>
        <v>1</v>
      </c>
      <c r="R149" s="140">
        <f t="shared" si="102"/>
        <v>19</v>
      </c>
      <c r="S149" s="150">
        <f t="shared" si="103"/>
        <v>1</v>
      </c>
      <c r="T149" s="140">
        <f t="shared" si="104"/>
        <v>23.766666666666666</v>
      </c>
      <c r="U149" s="150">
        <f t="shared" si="105"/>
        <v>1</v>
      </c>
      <c r="V149" s="141">
        <f t="shared" si="106"/>
        <v>23.141666666666669</v>
      </c>
      <c r="W149" s="142">
        <f t="shared" si="107"/>
        <v>1</v>
      </c>
      <c r="X149" s="144">
        <f t="shared" si="96"/>
        <v>19</v>
      </c>
      <c r="Y149" s="144">
        <f t="shared" si="97"/>
        <v>23.766666666666666</v>
      </c>
      <c r="Z149" s="144">
        <f t="shared" si="98"/>
        <v>23.141666666666669</v>
      </c>
      <c r="AA149" s="10"/>
      <c r="AB149" s="357" t="str">
        <f>VLOOKUP($B149,'2007-2020 Metadata'!$A$4:$S$214,MATCH("Urban Area /Monitoring Zone",'2007-2020 Metadata'!$A$4:$S$4,0),FALSE)</f>
        <v>Queenstown</v>
      </c>
      <c r="AC149" s="87" t="str">
        <f>VLOOKUP(B149,'2007-2020 Metadata'!$A$6:$A$214,1,FALSE)</f>
        <v>DUN004</v>
      </c>
      <c r="AD149" s="230" t="str">
        <f>VLOOKUP($AC149,'2007-2020 Metadata'!$A$6:$S$214,9,FALSE)</f>
        <v>Queenstown</v>
      </c>
      <c r="AE149" s="248">
        <f>IF(ISBLANK(VLOOKUP($AC149,'2007-2020 Metadata'!$A$6:$S$214,19,FALSE)),"",VLOOKUP($AC149,'2007-2020 Metadata'!$A$6:$S$214,19,FALSE))</f>
        <v>3</v>
      </c>
      <c r="AF149" s="88" t="str">
        <f>VLOOKUP($B149,'2007-2020 Metadata'!$A$4:$S$214,MATCH("Site type",'2007-2020 Metadata'!$A$4:$S$4,0),FALSE)</f>
        <v>SH</v>
      </c>
      <c r="AG149" s="143">
        <f t="shared" si="109"/>
        <v>15.2</v>
      </c>
      <c r="AH149" s="143">
        <f t="shared" si="110"/>
        <v>38.700000000000003</v>
      </c>
      <c r="AI149" s="144">
        <f t="shared" si="108"/>
        <v>23.141666666666669</v>
      </c>
    </row>
    <row r="150" spans="2:35" ht="12" customHeight="1" x14ac:dyDescent="0.15">
      <c r="B150" s="123" t="s">
        <v>30</v>
      </c>
      <c r="C150" s="119">
        <v>19</v>
      </c>
      <c r="D150" s="119">
        <v>20.100000000000001</v>
      </c>
      <c r="E150" s="119">
        <v>24.6</v>
      </c>
      <c r="F150" s="119">
        <v>31.3</v>
      </c>
      <c r="G150" s="119">
        <v>28.4</v>
      </c>
      <c r="H150" s="119">
        <v>28.4</v>
      </c>
      <c r="I150" s="119"/>
      <c r="J150" s="119"/>
      <c r="K150" s="119">
        <v>19.899999999999999</v>
      </c>
      <c r="L150" s="119">
        <v>18.2</v>
      </c>
      <c r="M150" s="119"/>
      <c r="N150" s="119">
        <v>17</v>
      </c>
      <c r="O150" s="121">
        <f t="shared" si="99"/>
        <v>22.988888888888891</v>
      </c>
      <c r="P150" s="121">
        <f t="shared" si="100"/>
        <v>22.957403773597683</v>
      </c>
      <c r="Q150" s="122">
        <f t="shared" si="101"/>
        <v>0.75</v>
      </c>
      <c r="R150" s="140">
        <f t="shared" si="102"/>
        <v>21.233333333333334</v>
      </c>
      <c r="S150" s="150">
        <f t="shared" si="103"/>
        <v>1</v>
      </c>
      <c r="T150" s="140" t="str">
        <f t="shared" si="104"/>
        <v>-</v>
      </c>
      <c r="U150" s="150">
        <f t="shared" si="105"/>
        <v>0.33333333333333331</v>
      </c>
      <c r="V150" s="141">
        <f t="shared" si="106"/>
        <v>22.988888888888891</v>
      </c>
      <c r="W150" s="142">
        <f t="shared" si="107"/>
        <v>0.75</v>
      </c>
      <c r="X150" s="144">
        <f t="shared" si="96"/>
        <v>13.616666666666667</v>
      </c>
      <c r="Y150" s="144" t="str">
        <f t="shared" si="97"/>
        <v/>
      </c>
      <c r="Z150" s="144">
        <f t="shared" si="98"/>
        <v>22.988888888888891</v>
      </c>
      <c r="AA150" s="10"/>
      <c r="AB150" s="357" t="str">
        <f>VLOOKUP($B150,'2007-2020 Metadata'!$A$4:$S$214,MATCH("Urban Area /Monitoring Zone",'2007-2020 Metadata'!$A$4:$S$4,0),FALSE)</f>
        <v>Invercargill</v>
      </c>
      <c r="AC150" s="87" t="str">
        <f>VLOOKUP(B150,'2007-2020 Metadata'!$A$6:$A$214,1,FALSE)</f>
        <v>DUN005</v>
      </c>
      <c r="AD150" s="230" t="str">
        <f>VLOOKUP($AC150,'2007-2020 Metadata'!$A$6:$S$214,9,FALSE)</f>
        <v>Invercargill</v>
      </c>
      <c r="AE150" s="248">
        <f>IF(ISBLANK(VLOOKUP($AC150,'2007-2020 Metadata'!$A$6:$S$214,19,FALSE)),"",VLOOKUP($AC150,'2007-2020 Metadata'!$A$6:$S$214,19,FALSE))</f>
        <v>3</v>
      </c>
      <c r="AF150" s="88" t="str">
        <f>VLOOKUP($B150,'2007-2020 Metadata'!$A$4:$S$214,MATCH("Site type",'2007-2020 Metadata'!$A$4:$S$4,0),FALSE)</f>
        <v>SH</v>
      </c>
      <c r="AG150" s="143">
        <f t="shared" si="109"/>
        <v>17</v>
      </c>
      <c r="AH150" s="143">
        <f t="shared" si="110"/>
        <v>31.3</v>
      </c>
      <c r="AI150" s="144">
        <f t="shared" si="108"/>
        <v>22.988888888888891</v>
      </c>
    </row>
    <row r="151" spans="2:35" ht="12" customHeight="1" x14ac:dyDescent="0.15">
      <c r="B151" s="123" t="s">
        <v>155</v>
      </c>
      <c r="C151" s="119">
        <v>17.3</v>
      </c>
      <c r="D151" s="119">
        <v>19.899999999999999</v>
      </c>
      <c r="E151" s="119">
        <v>19.3</v>
      </c>
      <c r="F151" s="119">
        <v>23.1</v>
      </c>
      <c r="G151" s="119">
        <v>23</v>
      </c>
      <c r="H151" s="119">
        <v>19.8</v>
      </c>
      <c r="I151" s="119">
        <v>27.9</v>
      </c>
      <c r="J151" s="119">
        <v>28.2</v>
      </c>
      <c r="K151" s="119">
        <v>15.2</v>
      </c>
      <c r="L151" s="119">
        <v>15.6</v>
      </c>
      <c r="M151" s="119">
        <v>17.100000000000001</v>
      </c>
      <c r="N151" s="119">
        <v>7</v>
      </c>
      <c r="O151" s="121">
        <f t="shared" si="99"/>
        <v>19.449999999999996</v>
      </c>
      <c r="P151" s="121">
        <f t="shared" si="100"/>
        <v>29.909769861677947</v>
      </c>
      <c r="Q151" s="122">
        <f t="shared" si="101"/>
        <v>1</v>
      </c>
      <c r="R151" s="140">
        <f t="shared" si="102"/>
        <v>18.833333333333332</v>
      </c>
      <c r="S151" s="150">
        <f t="shared" si="103"/>
        <v>1</v>
      </c>
      <c r="T151" s="140">
        <f t="shared" si="104"/>
        <v>23.766666666666666</v>
      </c>
      <c r="U151" s="150">
        <f t="shared" si="105"/>
        <v>1</v>
      </c>
      <c r="V151" s="141">
        <f t="shared" si="106"/>
        <v>19.449999999999996</v>
      </c>
      <c r="W151" s="142">
        <f t="shared" si="107"/>
        <v>1</v>
      </c>
      <c r="X151" s="144">
        <f t="shared" si="96"/>
        <v>15.614285714285716</v>
      </c>
      <c r="Y151" s="144">
        <f t="shared" si="97"/>
        <v>19.316666666666666</v>
      </c>
      <c r="Z151" s="144">
        <f t="shared" si="98"/>
        <v>16.137330411736585</v>
      </c>
      <c r="AA151" s="10"/>
      <c r="AB151" s="357" t="str">
        <f>VLOOKUP($B151,'2007-2020 Metadata'!$A$4:$S$214,MATCH("Urban Area /Monitoring Zone",'2007-2020 Metadata'!$A$4:$S$4,0),FALSE)</f>
        <v>Dunedin</v>
      </c>
      <c r="AC151" s="87" t="str">
        <f>VLOOKUP(B151,'2007-2020 Metadata'!$A$6:$A$214,1,FALSE)</f>
        <v>DUN006</v>
      </c>
      <c r="AD151" s="230" t="str">
        <f>VLOOKUP($AC151,'2007-2020 Metadata'!$A$6:$S$214,9,FALSE)</f>
        <v>Dunedin</v>
      </c>
      <c r="AE151" s="248">
        <f>IF(ISBLANK(VLOOKUP($AC151,'2007-2020 Metadata'!$A$6:$S$214,19,FALSE)),"",VLOOKUP($AC151,'2007-2020 Metadata'!$A$6:$S$214,19,FALSE))</f>
        <v>3</v>
      </c>
      <c r="AF151" s="88" t="str">
        <f>VLOOKUP($B151,'2007-2020 Metadata'!$A$4:$S$214,MATCH("Site type",'2007-2020 Metadata'!$A$4:$S$4,0),FALSE)</f>
        <v>SH</v>
      </c>
      <c r="AG151" s="143">
        <f t="shared" si="109"/>
        <v>7</v>
      </c>
      <c r="AH151" s="143">
        <f t="shared" si="110"/>
        <v>28.2</v>
      </c>
      <c r="AI151" s="144">
        <f t="shared" si="108"/>
        <v>16.137330411736585</v>
      </c>
    </row>
    <row r="152" spans="2:35" ht="12" customHeight="1" x14ac:dyDescent="0.15">
      <c r="B152" s="123" t="s">
        <v>156</v>
      </c>
      <c r="C152" s="119">
        <v>9.5</v>
      </c>
      <c r="D152" s="119">
        <v>9.5</v>
      </c>
      <c r="E152" s="119"/>
      <c r="F152" s="119">
        <v>11.5</v>
      </c>
      <c r="G152" s="119">
        <v>11.1</v>
      </c>
      <c r="H152" s="119">
        <v>7</v>
      </c>
      <c r="I152" s="119">
        <v>10.1</v>
      </c>
      <c r="J152" s="119">
        <v>13.6</v>
      </c>
      <c r="K152" s="119">
        <v>7.6</v>
      </c>
      <c r="L152" s="119">
        <v>7.2</v>
      </c>
      <c r="M152" s="119">
        <v>6.4</v>
      </c>
      <c r="N152" s="119">
        <v>15</v>
      </c>
      <c r="O152" s="121">
        <f t="shared" si="99"/>
        <v>9.8636363636363633</v>
      </c>
      <c r="P152" s="121">
        <f t="shared" si="100"/>
        <v>28.184597021594666</v>
      </c>
      <c r="Q152" s="122">
        <f t="shared" si="101"/>
        <v>0.91666666666666663</v>
      </c>
      <c r="R152" s="140">
        <f t="shared" si="102"/>
        <v>9.5</v>
      </c>
      <c r="S152" s="150">
        <f t="shared" si="103"/>
        <v>0.66666666666666663</v>
      </c>
      <c r="T152" s="140">
        <f t="shared" si="104"/>
        <v>10.433333333333332</v>
      </c>
      <c r="U152" s="150">
        <f t="shared" si="105"/>
        <v>1</v>
      </c>
      <c r="V152" s="141">
        <f t="shared" si="106"/>
        <v>9.8636363636363633</v>
      </c>
      <c r="W152" s="142">
        <f t="shared" si="107"/>
        <v>0.91666666666666663</v>
      </c>
      <c r="X152" s="144">
        <f t="shared" si="96"/>
        <v>15.614285714285716</v>
      </c>
      <c r="Y152" s="144">
        <f t="shared" si="97"/>
        <v>19.316666666666666</v>
      </c>
      <c r="Z152" s="144">
        <f t="shared" si="98"/>
        <v>16.137330411736585</v>
      </c>
      <c r="AA152" s="10"/>
      <c r="AB152" s="357" t="str">
        <f>VLOOKUP($B152,'2007-2020 Metadata'!$A$4:$S$214,MATCH("Urban Area /Monitoring Zone",'2007-2020 Metadata'!$A$4:$S$4,0),FALSE)</f>
        <v>Dunedin</v>
      </c>
      <c r="AC152" s="87" t="str">
        <f>VLOOKUP(B152,'2007-2020 Metadata'!$A$6:$A$214,1,FALSE)</f>
        <v>DUN007</v>
      </c>
      <c r="AD152" s="230" t="str">
        <f>VLOOKUP($AC152,'2007-2020 Metadata'!$A$6:$S$214,9,FALSE)</f>
        <v>Dunedin</v>
      </c>
      <c r="AE152" s="248">
        <f>IF(ISBLANK(VLOOKUP($AC152,'2007-2020 Metadata'!$A$6:$S$214,19,FALSE)),"",VLOOKUP($AC152,'2007-2020 Metadata'!$A$6:$S$214,19,FALSE))</f>
        <v>3</v>
      </c>
      <c r="AF152" s="88" t="str">
        <f>VLOOKUP($B152,'2007-2020 Metadata'!$A$4:$S$214,MATCH("Site type",'2007-2020 Metadata'!$A$4:$S$4,0),FALSE)</f>
        <v>Background</v>
      </c>
      <c r="AG152" s="143">
        <f t="shared" si="109"/>
        <v>6.4</v>
      </c>
      <c r="AH152" s="143">
        <f t="shared" si="110"/>
        <v>15</v>
      </c>
      <c r="AI152" s="144">
        <f t="shared" si="108"/>
        <v>16.137330411736585</v>
      </c>
    </row>
    <row r="153" spans="2:35" ht="12" customHeight="1" x14ac:dyDescent="0.15">
      <c r="B153" s="123" t="s">
        <v>157</v>
      </c>
      <c r="C153" s="119">
        <v>10.199999999999999</v>
      </c>
      <c r="D153" s="119">
        <v>16.100000000000001</v>
      </c>
      <c r="E153" s="119">
        <v>17.2</v>
      </c>
      <c r="F153" s="119">
        <v>16.8</v>
      </c>
      <c r="G153" s="119">
        <v>15.3</v>
      </c>
      <c r="H153" s="119">
        <v>13.2</v>
      </c>
      <c r="I153" s="119">
        <v>13.6</v>
      </c>
      <c r="J153" s="119">
        <v>20.5</v>
      </c>
      <c r="K153" s="119"/>
      <c r="L153" s="119">
        <v>12.7</v>
      </c>
      <c r="M153" s="119">
        <v>12.5</v>
      </c>
      <c r="N153" s="119">
        <v>8.3000000000000007</v>
      </c>
      <c r="O153" s="121">
        <f t="shared" si="99"/>
        <v>14.218181818181819</v>
      </c>
      <c r="P153" s="121">
        <f t="shared" si="100"/>
        <v>24.116592692696486</v>
      </c>
      <c r="Q153" s="122">
        <f t="shared" si="101"/>
        <v>0.91666666666666663</v>
      </c>
      <c r="R153" s="140">
        <f t="shared" si="102"/>
        <v>14.5</v>
      </c>
      <c r="S153" s="150">
        <f t="shared" si="103"/>
        <v>1</v>
      </c>
      <c r="T153" s="140">
        <f t="shared" si="104"/>
        <v>17.05</v>
      </c>
      <c r="U153" s="150">
        <f t="shared" si="105"/>
        <v>0.66666666666666663</v>
      </c>
      <c r="V153" s="141">
        <f t="shared" si="106"/>
        <v>14.218181818181819</v>
      </c>
      <c r="W153" s="142">
        <f t="shared" si="107"/>
        <v>0.91666666666666663</v>
      </c>
      <c r="X153" s="144">
        <f t="shared" si="96"/>
        <v>15.614285714285716</v>
      </c>
      <c r="Y153" s="144">
        <f t="shared" si="97"/>
        <v>19.316666666666666</v>
      </c>
      <c r="Z153" s="144">
        <f t="shared" si="98"/>
        <v>16.137330411736585</v>
      </c>
      <c r="AA153" s="10"/>
      <c r="AB153" s="357" t="str">
        <f>VLOOKUP($B153,'2007-2020 Metadata'!$A$4:$S$214,MATCH("Urban Area /Monitoring Zone",'2007-2020 Metadata'!$A$4:$S$4,0),FALSE)</f>
        <v>Dunedin</v>
      </c>
      <c r="AC153" s="87" t="str">
        <f>VLOOKUP(B153,'2007-2020 Metadata'!$A$6:$A$214,1,FALSE)</f>
        <v>DUN008</v>
      </c>
      <c r="AD153" s="230" t="str">
        <f>VLOOKUP($AC153,'2007-2020 Metadata'!$A$6:$S$214,9,FALSE)</f>
        <v>Dunedin</v>
      </c>
      <c r="AE153" s="248">
        <f>IF(ISBLANK(VLOOKUP($AC153,'2007-2020 Metadata'!$A$6:$S$214,19,FALSE)),"",VLOOKUP($AC153,'2007-2020 Metadata'!$A$6:$S$214,19,FALSE))</f>
        <v>3</v>
      </c>
      <c r="AF153" s="88" t="str">
        <f>VLOOKUP($B153,'2007-2020 Metadata'!$A$4:$S$214,MATCH("Site type",'2007-2020 Metadata'!$A$4:$S$4,0),FALSE)</f>
        <v>Local</v>
      </c>
      <c r="AG153" s="143">
        <f t="shared" si="109"/>
        <v>8.3000000000000007</v>
      </c>
      <c r="AH153" s="143">
        <f t="shared" si="110"/>
        <v>20.5</v>
      </c>
      <c r="AI153" s="144">
        <f t="shared" si="108"/>
        <v>16.137330411736585</v>
      </c>
    </row>
    <row r="154" spans="2:35" ht="12" customHeight="1" x14ac:dyDescent="0.15">
      <c r="B154" s="123" t="s">
        <v>158</v>
      </c>
      <c r="C154" s="119">
        <v>14.7</v>
      </c>
      <c r="D154" s="119">
        <v>15.1</v>
      </c>
      <c r="E154" s="119">
        <v>17.899999999999999</v>
      </c>
      <c r="F154" s="119">
        <v>18.5</v>
      </c>
      <c r="G154" s="119">
        <v>26.3</v>
      </c>
      <c r="H154" s="119">
        <v>14</v>
      </c>
      <c r="I154" s="119">
        <v>21.5</v>
      </c>
      <c r="J154" s="119">
        <v>25.8</v>
      </c>
      <c r="K154" s="119">
        <v>15</v>
      </c>
      <c r="L154" s="119">
        <v>14.6</v>
      </c>
      <c r="M154" s="119">
        <v>14.9</v>
      </c>
      <c r="N154" s="119">
        <v>11.2</v>
      </c>
      <c r="O154" s="121">
        <f t="shared" si="99"/>
        <v>17.458333333333332</v>
      </c>
      <c r="P154" s="121">
        <f t="shared" si="100"/>
        <v>27.330232755437194</v>
      </c>
      <c r="Q154" s="122">
        <f t="shared" si="101"/>
        <v>1</v>
      </c>
      <c r="R154" s="140">
        <f t="shared" si="102"/>
        <v>15.899999999999999</v>
      </c>
      <c r="S154" s="150">
        <f t="shared" si="103"/>
        <v>1</v>
      </c>
      <c r="T154" s="140">
        <f t="shared" si="104"/>
        <v>20.766666666666666</v>
      </c>
      <c r="U154" s="150">
        <f t="shared" si="105"/>
        <v>1</v>
      </c>
      <c r="V154" s="141">
        <f t="shared" si="106"/>
        <v>17.458333333333332</v>
      </c>
      <c r="W154" s="142">
        <f t="shared" si="107"/>
        <v>1</v>
      </c>
      <c r="X154" s="144">
        <f t="shared" si="96"/>
        <v>15.614285714285716</v>
      </c>
      <c r="Y154" s="144">
        <f t="shared" si="97"/>
        <v>19.316666666666666</v>
      </c>
      <c r="Z154" s="144">
        <f t="shared" si="98"/>
        <v>16.137330411736585</v>
      </c>
      <c r="AA154" s="10"/>
      <c r="AB154" s="357" t="str">
        <f>VLOOKUP($B154,'2007-2020 Metadata'!$A$4:$S$214,MATCH("Urban Area /Monitoring Zone",'2007-2020 Metadata'!$A$4:$S$4,0),FALSE)</f>
        <v>Dunedin</v>
      </c>
      <c r="AC154" s="87" t="str">
        <f>VLOOKUP(B154,'2007-2020 Metadata'!$A$6:$A$214,1,FALSE)</f>
        <v>DUN009</v>
      </c>
      <c r="AD154" s="230" t="str">
        <f>VLOOKUP($AC154,'2007-2020 Metadata'!$A$6:$S$214,9,FALSE)</f>
        <v>Dunedin</v>
      </c>
      <c r="AE154" s="248">
        <f>IF(ISBLANK(VLOOKUP($AC154,'2007-2020 Metadata'!$A$6:$S$214,19,FALSE)),"",VLOOKUP($AC154,'2007-2020 Metadata'!$A$6:$S$214,19,FALSE))</f>
        <v>3</v>
      </c>
      <c r="AF154" s="88" t="str">
        <f>VLOOKUP($B154,'2007-2020 Metadata'!$A$4:$S$214,MATCH("Site type",'2007-2020 Metadata'!$A$4:$S$4,0),FALSE)</f>
        <v>Local</v>
      </c>
      <c r="AG154" s="143">
        <f t="shared" si="109"/>
        <v>11.2</v>
      </c>
      <c r="AH154" s="143">
        <f t="shared" si="110"/>
        <v>26.3</v>
      </c>
      <c r="AI154" s="144">
        <f t="shared" si="108"/>
        <v>16.137330411736585</v>
      </c>
    </row>
    <row r="155" spans="2:35" ht="12" customHeight="1" x14ac:dyDescent="0.15">
      <c r="B155" s="123" t="s">
        <v>31</v>
      </c>
      <c r="C155" s="119">
        <v>5.8</v>
      </c>
      <c r="D155" s="119">
        <v>5.4</v>
      </c>
      <c r="E155" s="119">
        <v>6.8</v>
      </c>
      <c r="F155" s="119">
        <v>9.1</v>
      </c>
      <c r="G155" s="119">
        <v>10.5</v>
      </c>
      <c r="H155" s="119">
        <v>8.8000000000000007</v>
      </c>
      <c r="I155" s="119"/>
      <c r="J155" s="119"/>
      <c r="K155" s="119"/>
      <c r="L155" s="119"/>
      <c r="M155" s="119">
        <v>6.8</v>
      </c>
      <c r="N155" s="119">
        <v>3.7</v>
      </c>
      <c r="O155" s="121">
        <f t="shared" si="99"/>
        <v>7.1125000000000007</v>
      </c>
      <c r="P155" s="121">
        <f t="shared" si="100"/>
        <v>31.334533918907681</v>
      </c>
      <c r="Q155" s="122">
        <f t="shared" si="101"/>
        <v>0.66666666666666663</v>
      </c>
      <c r="R155" s="140">
        <f t="shared" si="102"/>
        <v>6</v>
      </c>
      <c r="S155" s="150">
        <f t="shared" si="103"/>
        <v>1</v>
      </c>
      <c r="T155" s="140" t="str">
        <f t="shared" si="104"/>
        <v/>
      </c>
      <c r="U155" s="150">
        <f t="shared" si="105"/>
        <v>0</v>
      </c>
      <c r="V155" s="141" t="str">
        <f t="shared" si="106"/>
        <v>-</v>
      </c>
      <c r="W155" s="142">
        <f t="shared" si="107"/>
        <v>0.66666666666666663</v>
      </c>
      <c r="X155" s="144">
        <f t="shared" si="96"/>
        <v>13.616666666666667</v>
      </c>
      <c r="Y155" s="144" t="str">
        <f t="shared" si="97"/>
        <v/>
      </c>
      <c r="Z155" s="144">
        <f t="shared" si="98"/>
        <v>22.988888888888891</v>
      </c>
      <c r="AA155" s="10"/>
      <c r="AB155" s="357" t="str">
        <f>VLOOKUP($B155,'2007-2020 Metadata'!$A$4:$S$214,MATCH("Urban Area /Monitoring Zone",'2007-2020 Metadata'!$A$4:$S$4,0),FALSE)</f>
        <v>Invercargill</v>
      </c>
      <c r="AC155" s="87" t="str">
        <f>VLOOKUP(B155,'2007-2020 Metadata'!$A$6:$A$214,1,FALSE)</f>
        <v>DUN010</v>
      </c>
      <c r="AD155" s="230" t="str">
        <f>VLOOKUP($AC155,'2007-2020 Metadata'!$A$6:$S$214,9,FALSE)</f>
        <v>Invercargill</v>
      </c>
      <c r="AE155" s="248">
        <f>IF(ISBLANK(VLOOKUP($AC155,'2007-2020 Metadata'!$A$6:$S$214,19,FALSE)),"",VLOOKUP($AC155,'2007-2020 Metadata'!$A$6:$S$214,19,FALSE))</f>
        <v>3</v>
      </c>
      <c r="AF155" s="88" t="str">
        <f>VLOOKUP($B155,'2007-2020 Metadata'!$A$4:$S$214,MATCH("Site type",'2007-2020 Metadata'!$A$4:$S$4,0),FALSE)</f>
        <v>Background</v>
      </c>
      <c r="AG155" s="143">
        <f t="shared" si="109"/>
        <v>3.7</v>
      </c>
      <c r="AH155" s="143">
        <f t="shared" si="110"/>
        <v>10.5</v>
      </c>
      <c r="AI155" s="144" t="str">
        <f t="shared" si="108"/>
        <v xml:space="preserve"> </v>
      </c>
    </row>
    <row r="156" spans="2:35" ht="12" customHeight="1" x14ac:dyDescent="0.15">
      <c r="B156" s="123" t="s">
        <v>468</v>
      </c>
      <c r="C156" s="119">
        <v>10.7</v>
      </c>
      <c r="D156" s="119">
        <v>10.5</v>
      </c>
      <c r="E156" s="119">
        <v>12.9</v>
      </c>
      <c r="F156" s="119">
        <v>16.600000000000001</v>
      </c>
      <c r="G156" s="119">
        <v>16.899999999999999</v>
      </c>
      <c r="H156" s="119">
        <v>12.5</v>
      </c>
      <c r="I156" s="119">
        <v>14</v>
      </c>
      <c r="J156" s="119">
        <v>17.399999999999999</v>
      </c>
      <c r="K156" s="119">
        <v>8.6</v>
      </c>
      <c r="L156" s="119">
        <v>10.199695474754856</v>
      </c>
      <c r="M156" s="119">
        <v>10.199695474754856</v>
      </c>
      <c r="N156" s="119">
        <v>5.2</v>
      </c>
      <c r="O156" s="121">
        <f t="shared" si="99"/>
        <v>12.141615912459143</v>
      </c>
      <c r="P156" s="121">
        <f t="shared" si="100"/>
        <v>30.14629649461212</v>
      </c>
      <c r="Q156" s="122">
        <f t="shared" si="101"/>
        <v>1</v>
      </c>
      <c r="R156" s="140">
        <f t="shared" si="102"/>
        <v>11.366666666666667</v>
      </c>
      <c r="S156" s="150">
        <f t="shared" si="103"/>
        <v>1</v>
      </c>
      <c r="T156" s="140">
        <f t="shared" si="104"/>
        <v>13.333333333333334</v>
      </c>
      <c r="U156" s="150">
        <f t="shared" si="105"/>
        <v>1</v>
      </c>
      <c r="V156" s="141">
        <f t="shared" si="106"/>
        <v>12.141615912459143</v>
      </c>
      <c r="W156" s="142">
        <f t="shared" si="107"/>
        <v>1</v>
      </c>
      <c r="X156" s="144">
        <f t="shared" si="96"/>
        <v>15.614285714285716</v>
      </c>
      <c r="Y156" s="144">
        <f t="shared" si="97"/>
        <v>19.316666666666666</v>
      </c>
      <c r="Z156" s="144">
        <f t="shared" si="98"/>
        <v>16.137330411736585</v>
      </c>
      <c r="AA156" s="10"/>
      <c r="AB156" s="357" t="str">
        <f>VLOOKUP($B156,'2007-2020 Metadata'!$A$4:$S$214,MATCH("Urban Area /Monitoring Zone",'2007-2020 Metadata'!$A$4:$S$4,0),FALSE)</f>
        <v>Dunedin</v>
      </c>
      <c r="AC156" s="87" t="str">
        <f>VLOOKUP(B156,'2007-2020 Metadata'!$A$6:$A$214,1,FALSE)</f>
        <v>DUN011</v>
      </c>
      <c r="AD156" s="230" t="str">
        <f>VLOOKUP($AC156,'2007-2020 Metadata'!$A$6:$S$214,9,FALSE)</f>
        <v>Dunedin</v>
      </c>
      <c r="AE156" s="248">
        <f>IF(ISBLANK(VLOOKUP($AC156,'2007-2020 Metadata'!$A$6:$S$214,19,FALSE)),"",VLOOKUP($AC156,'2007-2020 Metadata'!$A$6:$S$214,19,FALSE))</f>
        <v>3</v>
      </c>
      <c r="AF156" s="88" t="str">
        <f>VLOOKUP($B156,'2007-2020 Metadata'!$A$4:$S$214,MATCH("Site type",'2007-2020 Metadata'!$A$4:$S$4,0),FALSE)</f>
        <v>SH</v>
      </c>
      <c r="AG156" s="143">
        <f t="shared" si="109"/>
        <v>5.2</v>
      </c>
      <c r="AH156" s="143">
        <f t="shared" si="110"/>
        <v>17.399999999999999</v>
      </c>
      <c r="AI156" s="144">
        <f t="shared" si="108"/>
        <v>16.137330411736585</v>
      </c>
    </row>
    <row r="157" spans="2:35" ht="12" customHeight="1" thickBot="1" x14ac:dyDescent="0.2">
      <c r="B157" s="127"/>
      <c r="C157" s="128"/>
      <c r="D157" s="128"/>
      <c r="E157" s="128"/>
      <c r="F157" s="128"/>
      <c r="G157" s="128"/>
      <c r="H157" s="128"/>
      <c r="I157" s="128"/>
      <c r="J157" s="128"/>
      <c r="K157" s="128"/>
      <c r="L157" s="128"/>
      <c r="M157" s="128"/>
      <c r="N157" s="128"/>
      <c r="O157" s="129"/>
      <c r="P157" s="129"/>
      <c r="Q157" s="130"/>
      <c r="R157" s="161"/>
      <c r="S157" s="174"/>
      <c r="T157" s="161"/>
      <c r="U157" s="174"/>
      <c r="V157" s="90"/>
      <c r="W157" s="108"/>
      <c r="X157" s="108"/>
      <c r="Y157" s="108"/>
      <c r="Z157" s="92"/>
      <c r="AA157" s="45"/>
      <c r="AB157" s="101"/>
      <c r="AC157" s="90"/>
      <c r="AD157" s="90"/>
      <c r="AE157" s="90"/>
      <c r="AF157" s="92"/>
      <c r="AG157" s="91"/>
      <c r="AH157" s="91"/>
      <c r="AI157" s="92"/>
    </row>
    <row r="158" spans="2:35" ht="12" customHeight="1" thickTop="1" x14ac:dyDescent="0.15">
      <c r="B158" s="114"/>
      <c r="C158" s="131" t="s">
        <v>487</v>
      </c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32"/>
      <c r="P158" s="132"/>
      <c r="Q158" s="132"/>
      <c r="R158" s="45"/>
      <c r="S158" s="45"/>
      <c r="T158" s="45"/>
      <c r="U158" s="45"/>
      <c r="V158" s="45"/>
      <c r="W158" s="45"/>
      <c r="X158" s="45"/>
      <c r="Y158" s="45"/>
      <c r="AA158" s="45"/>
      <c r="AC158" s="45"/>
      <c r="AG158" s="86"/>
      <c r="AH158" s="86"/>
    </row>
    <row r="159" spans="2:35" ht="12" customHeight="1" x14ac:dyDescent="0.15">
      <c r="B159" s="133" t="s">
        <v>455</v>
      </c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32"/>
      <c r="P159" s="132"/>
      <c r="Q159" s="132"/>
      <c r="R159" s="45"/>
      <c r="S159" s="45"/>
      <c r="T159" s="45"/>
      <c r="U159" s="45"/>
      <c r="V159" s="45"/>
      <c r="W159" s="45"/>
      <c r="X159" s="45"/>
      <c r="Y159" s="45"/>
      <c r="AA159" s="45"/>
      <c r="AC159" s="45"/>
      <c r="AG159" s="86"/>
      <c r="AH159" s="86"/>
    </row>
    <row r="160" spans="2:35" ht="11.25" customHeight="1" x14ac:dyDescent="0.15">
      <c r="B160" s="321"/>
      <c r="C160" s="301" t="s">
        <v>456</v>
      </c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32"/>
      <c r="P160" s="132"/>
      <c r="Q160" s="132"/>
      <c r="R160" s="45"/>
      <c r="S160" s="45"/>
      <c r="T160" s="45"/>
      <c r="U160" s="45"/>
      <c r="V160" s="45"/>
      <c r="W160" s="45"/>
      <c r="X160" s="45"/>
      <c r="Y160" s="45"/>
      <c r="AA160" s="45"/>
      <c r="AC160" s="45"/>
      <c r="AG160" s="86"/>
      <c r="AH160" s="86"/>
    </row>
    <row r="161" spans="2:34" ht="11.25" customHeight="1" x14ac:dyDescent="0.15">
      <c r="B161" s="371"/>
      <c r="C161" s="301" t="s">
        <v>1085</v>
      </c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32"/>
      <c r="P161" s="132"/>
      <c r="Q161" s="132"/>
      <c r="R161" s="45"/>
      <c r="S161" s="45"/>
      <c r="T161" s="45"/>
      <c r="U161" s="45"/>
      <c r="V161" s="45"/>
      <c r="W161" s="45"/>
      <c r="X161" s="45"/>
      <c r="Y161" s="45"/>
      <c r="AA161" s="45"/>
      <c r="AC161" s="45"/>
      <c r="AG161" s="86"/>
      <c r="AH161" s="86"/>
    </row>
    <row r="162" spans="2:34" ht="11.25" customHeight="1" x14ac:dyDescent="0.15">
      <c r="B162" s="134"/>
      <c r="C162" s="112" t="s">
        <v>488</v>
      </c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32"/>
      <c r="P162" s="132"/>
      <c r="Q162" s="132"/>
      <c r="R162" s="45"/>
      <c r="S162" s="45"/>
      <c r="T162" s="45"/>
      <c r="U162" s="45"/>
      <c r="V162" s="45"/>
      <c r="W162" s="45"/>
      <c r="X162" s="45"/>
      <c r="Y162" s="45"/>
      <c r="AA162" s="45"/>
      <c r="AC162" s="45"/>
      <c r="AG162" s="86"/>
      <c r="AH162" s="86"/>
    </row>
    <row r="163" spans="2:34" ht="11.25" customHeight="1" x14ac:dyDescent="0.15">
      <c r="B163" s="135"/>
      <c r="C163" s="112" t="s">
        <v>457</v>
      </c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32"/>
      <c r="P163" s="132"/>
      <c r="Q163" s="132"/>
      <c r="R163" s="45"/>
      <c r="S163" s="45"/>
      <c r="T163" s="45"/>
      <c r="U163" s="45"/>
      <c r="V163" s="45"/>
      <c r="W163" s="45"/>
      <c r="X163" s="45"/>
      <c r="Y163" s="45"/>
      <c r="AA163" s="45"/>
      <c r="AC163" s="45"/>
      <c r="AG163" s="86"/>
      <c r="AH163" s="86"/>
    </row>
    <row r="164" spans="2:34" ht="11.25" customHeight="1" x14ac:dyDescent="0.15">
      <c r="B164" s="136"/>
      <c r="C164" s="112" t="s">
        <v>458</v>
      </c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32"/>
      <c r="P164" s="132"/>
      <c r="Q164" s="132"/>
      <c r="R164" s="45"/>
      <c r="S164" s="45"/>
      <c r="T164" s="45"/>
      <c r="U164" s="45"/>
      <c r="V164" s="45"/>
      <c r="W164" s="45"/>
      <c r="X164" s="45"/>
      <c r="Y164" s="45"/>
      <c r="AA164" s="45"/>
      <c r="AC164" s="45"/>
      <c r="AG164" s="86"/>
      <c r="AH164" s="86"/>
    </row>
    <row r="165" spans="2:34" x14ac:dyDescent="0.15">
      <c r="B165" s="137"/>
      <c r="C165" s="112" t="s">
        <v>489</v>
      </c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32"/>
      <c r="P165" s="132"/>
      <c r="Q165" s="132"/>
      <c r="R165" s="45"/>
      <c r="S165" s="45"/>
      <c r="T165" s="45"/>
      <c r="U165" s="45"/>
      <c r="V165" s="45"/>
      <c r="W165" s="45"/>
      <c r="X165" s="45"/>
      <c r="Y165" s="45"/>
      <c r="AA165" s="45"/>
      <c r="AC165" s="45"/>
      <c r="AG165" s="86"/>
      <c r="AH165" s="86"/>
    </row>
    <row r="166" spans="2:34" x14ac:dyDescent="0.15">
      <c r="B166" s="176"/>
      <c r="C166" s="112" t="s">
        <v>510</v>
      </c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32"/>
      <c r="P166" s="132"/>
      <c r="Q166" s="132"/>
      <c r="R166" s="45"/>
      <c r="S166" s="45"/>
      <c r="T166" s="45"/>
      <c r="U166" s="45"/>
      <c r="V166" s="45"/>
      <c r="W166" s="45"/>
      <c r="X166" s="45"/>
      <c r="Y166" s="45"/>
      <c r="AA166" s="45"/>
      <c r="AC166" s="45"/>
      <c r="AG166" s="86"/>
      <c r="AH166" s="86"/>
    </row>
    <row r="167" spans="2:34" x14ac:dyDescent="0.15">
      <c r="B167" s="372"/>
      <c r="C167" s="10" t="s">
        <v>1086</v>
      </c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32"/>
      <c r="P167" s="132"/>
      <c r="Q167" s="132"/>
      <c r="R167" s="45"/>
      <c r="S167" s="45"/>
      <c r="T167" s="45"/>
      <c r="U167" s="45"/>
      <c r="V167" s="45"/>
      <c r="W167" s="45"/>
      <c r="X167" s="45"/>
      <c r="Y167" s="45"/>
      <c r="AA167" s="45"/>
      <c r="AC167" s="45"/>
      <c r="AG167" s="86"/>
      <c r="AH167" s="86"/>
    </row>
    <row r="168" spans="2:34" x14ac:dyDescent="0.15">
      <c r="B168" s="114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32"/>
      <c r="P168" s="132"/>
      <c r="Q168" s="132"/>
      <c r="R168" s="45"/>
      <c r="S168" s="45"/>
      <c r="T168" s="45"/>
      <c r="U168" s="45"/>
      <c r="V168" s="45"/>
      <c r="W168" s="45"/>
      <c r="X168" s="45"/>
      <c r="Y168" s="45"/>
      <c r="AA168" s="45"/>
      <c r="AC168" s="45"/>
      <c r="AG168" s="86"/>
      <c r="AH168" s="86"/>
    </row>
    <row r="169" spans="2:34" x14ac:dyDescent="0.15">
      <c r="B169" s="114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32"/>
      <c r="P169" s="132"/>
      <c r="Q169" s="132"/>
      <c r="R169" s="45"/>
      <c r="S169" s="45"/>
      <c r="T169" s="45"/>
      <c r="U169" s="45"/>
      <c r="V169" s="45"/>
      <c r="W169" s="45"/>
      <c r="X169" s="45"/>
      <c r="Y169" s="45"/>
      <c r="AA169" s="45"/>
      <c r="AC169" s="45"/>
      <c r="AG169" s="86"/>
      <c r="AH169" s="86"/>
    </row>
    <row r="170" spans="2:34" x14ac:dyDescent="0.15">
      <c r="B170" s="114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32"/>
      <c r="P170" s="132"/>
      <c r="Q170" s="132"/>
      <c r="R170" s="45"/>
      <c r="S170" s="45"/>
      <c r="T170" s="45"/>
      <c r="U170" s="45"/>
      <c r="V170" s="45"/>
      <c r="W170" s="45"/>
      <c r="X170" s="45"/>
      <c r="Y170" s="45"/>
      <c r="AA170" s="45"/>
      <c r="AC170" s="45"/>
      <c r="AG170" s="86"/>
      <c r="AH170" s="86"/>
    </row>
    <row r="171" spans="2:34" x14ac:dyDescent="0.15">
      <c r="B171" s="114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32"/>
      <c r="P171" s="132"/>
      <c r="Q171" s="132"/>
      <c r="R171" s="45"/>
      <c r="S171" s="45"/>
      <c r="T171" s="45"/>
      <c r="U171" s="45"/>
      <c r="V171" s="45"/>
      <c r="W171" s="45"/>
      <c r="X171" s="45"/>
      <c r="Y171" s="45"/>
      <c r="AA171" s="45"/>
      <c r="AC171" s="45"/>
      <c r="AG171" s="86"/>
      <c r="AH171" s="86"/>
    </row>
    <row r="172" spans="2:34" x14ac:dyDescent="0.15">
      <c r="B172" s="114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32"/>
      <c r="P172" s="132"/>
      <c r="Q172" s="132"/>
      <c r="R172" s="45"/>
      <c r="S172" s="45"/>
      <c r="T172" s="45"/>
      <c r="U172" s="45"/>
      <c r="V172" s="45"/>
      <c r="W172" s="45"/>
      <c r="X172" s="45"/>
      <c r="Y172" s="45"/>
      <c r="AA172" s="45"/>
      <c r="AC172" s="45"/>
      <c r="AG172" s="86"/>
      <c r="AH172" s="86"/>
    </row>
    <row r="173" spans="2:34" x14ac:dyDescent="0.15">
      <c r="B173" s="114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32"/>
      <c r="P173" s="132"/>
      <c r="Q173" s="132"/>
      <c r="R173" s="45"/>
      <c r="S173" s="45"/>
      <c r="T173" s="45"/>
      <c r="U173" s="45"/>
      <c r="V173" s="45"/>
      <c r="W173" s="45"/>
      <c r="X173" s="45"/>
      <c r="Y173" s="45"/>
      <c r="AA173" s="45"/>
      <c r="AC173" s="45"/>
      <c r="AG173" s="86"/>
      <c r="AH173" s="86"/>
    </row>
    <row r="174" spans="2:34" x14ac:dyDescent="0.15">
      <c r="B174" s="114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32"/>
      <c r="P174" s="132"/>
      <c r="Q174" s="132"/>
      <c r="R174" s="45"/>
      <c r="S174" s="45"/>
      <c r="T174" s="45"/>
      <c r="U174" s="45"/>
      <c r="V174" s="45"/>
      <c r="W174" s="45"/>
      <c r="X174" s="45"/>
      <c r="Y174" s="45"/>
      <c r="AA174" s="45"/>
      <c r="AC174" s="45"/>
      <c r="AG174" s="86"/>
      <c r="AH174" s="86"/>
    </row>
    <row r="175" spans="2:34" x14ac:dyDescent="0.15">
      <c r="B175" s="114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32"/>
      <c r="P175" s="132"/>
      <c r="Q175" s="132"/>
      <c r="R175" s="45"/>
      <c r="S175" s="45"/>
      <c r="T175" s="45"/>
      <c r="U175" s="45"/>
      <c r="V175" s="45"/>
      <c r="W175" s="45"/>
      <c r="X175" s="45"/>
      <c r="Y175" s="45"/>
      <c r="AA175" s="45"/>
      <c r="AC175" s="45"/>
      <c r="AG175" s="86"/>
      <c r="AH175" s="86"/>
    </row>
    <row r="176" spans="2:34" x14ac:dyDescent="0.15">
      <c r="B176" s="114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32"/>
      <c r="P176" s="132"/>
      <c r="Q176" s="132"/>
      <c r="R176" s="45"/>
      <c r="S176" s="45"/>
      <c r="T176" s="45"/>
      <c r="U176" s="45"/>
      <c r="V176" s="45"/>
      <c r="W176" s="45"/>
      <c r="X176" s="45"/>
      <c r="Y176" s="45"/>
      <c r="AA176" s="45"/>
      <c r="AC176" s="45"/>
      <c r="AG176" s="86"/>
      <c r="AH176" s="86"/>
    </row>
    <row r="177" spans="2:34" x14ac:dyDescent="0.15">
      <c r="B177" s="114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32"/>
      <c r="P177" s="132"/>
      <c r="Q177" s="132"/>
      <c r="R177" s="45"/>
      <c r="S177" s="45"/>
      <c r="T177" s="45"/>
      <c r="U177" s="45"/>
      <c r="V177" s="45"/>
      <c r="W177" s="45"/>
      <c r="X177" s="45"/>
      <c r="Y177" s="45"/>
      <c r="AA177" s="45"/>
      <c r="AC177" s="45"/>
      <c r="AG177" s="86"/>
      <c r="AH177" s="86"/>
    </row>
    <row r="178" spans="2:34" x14ac:dyDescent="0.15">
      <c r="B178" s="114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32"/>
      <c r="P178" s="132"/>
      <c r="Q178" s="132"/>
      <c r="R178" s="45"/>
      <c r="S178" s="45"/>
      <c r="T178" s="45"/>
      <c r="U178" s="45"/>
      <c r="V178" s="45"/>
      <c r="W178" s="45"/>
      <c r="X178" s="45"/>
      <c r="Y178" s="45"/>
      <c r="AA178" s="45"/>
      <c r="AC178" s="45"/>
      <c r="AG178" s="86"/>
      <c r="AH178" s="86"/>
    </row>
    <row r="179" spans="2:34" x14ac:dyDescent="0.15">
      <c r="B179" s="114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32"/>
      <c r="P179" s="132"/>
      <c r="Q179" s="132"/>
      <c r="R179" s="45"/>
      <c r="S179" s="45"/>
      <c r="T179" s="45"/>
      <c r="U179" s="45"/>
      <c r="V179" s="45"/>
      <c r="W179" s="45"/>
      <c r="X179" s="45"/>
      <c r="Y179" s="45"/>
      <c r="AA179" s="45"/>
      <c r="AC179" s="45"/>
      <c r="AG179" s="86"/>
      <c r="AH179" s="86"/>
    </row>
    <row r="180" spans="2:34" x14ac:dyDescent="0.15">
      <c r="B180" s="114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32"/>
      <c r="P180" s="132"/>
      <c r="Q180" s="132"/>
      <c r="R180" s="45"/>
      <c r="S180" s="45"/>
      <c r="T180" s="45"/>
      <c r="U180" s="45"/>
      <c r="V180" s="45"/>
      <c r="W180" s="45"/>
      <c r="X180" s="45"/>
      <c r="Y180" s="45"/>
      <c r="AA180" s="45"/>
      <c r="AC180" s="45"/>
      <c r="AG180" s="86"/>
      <c r="AH180" s="86"/>
    </row>
    <row r="181" spans="2:34" x14ac:dyDescent="0.15">
      <c r="B181" s="114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32"/>
      <c r="P181" s="132"/>
      <c r="Q181" s="132"/>
      <c r="R181" s="45"/>
      <c r="S181" s="45"/>
      <c r="T181" s="45"/>
      <c r="U181" s="45"/>
      <c r="V181" s="45"/>
      <c r="W181" s="45"/>
      <c r="X181" s="45"/>
      <c r="Y181" s="45"/>
      <c r="AA181" s="45"/>
      <c r="AC181" s="45"/>
      <c r="AG181" s="86"/>
      <c r="AH181" s="86"/>
    </row>
    <row r="182" spans="2:34" x14ac:dyDescent="0.15">
      <c r="B182" s="114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32"/>
      <c r="P182" s="132"/>
      <c r="Q182" s="132"/>
      <c r="R182" s="45"/>
      <c r="S182" s="45"/>
      <c r="T182" s="45"/>
      <c r="U182" s="45"/>
      <c r="V182" s="45"/>
      <c r="W182" s="45"/>
      <c r="X182" s="45"/>
      <c r="Y182" s="45"/>
      <c r="AA182" s="45"/>
      <c r="AC182" s="45"/>
      <c r="AG182" s="86"/>
      <c r="AH182" s="86"/>
    </row>
    <row r="183" spans="2:34" x14ac:dyDescent="0.15">
      <c r="B183" s="114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32"/>
      <c r="P183" s="132"/>
      <c r="Q183" s="132"/>
      <c r="R183" s="45"/>
      <c r="S183" s="45"/>
      <c r="T183" s="45"/>
      <c r="U183" s="45"/>
      <c r="V183" s="45"/>
      <c r="W183" s="45"/>
      <c r="X183" s="45"/>
      <c r="Y183" s="45"/>
      <c r="AA183" s="45"/>
      <c r="AC183" s="45"/>
    </row>
    <row r="184" spans="2:34" x14ac:dyDescent="0.15">
      <c r="B184" s="114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32"/>
      <c r="P184" s="132"/>
      <c r="Q184" s="132"/>
      <c r="R184" s="45"/>
      <c r="S184" s="45"/>
      <c r="T184" s="45"/>
      <c r="U184" s="45"/>
      <c r="V184" s="45"/>
      <c r="W184" s="45"/>
      <c r="X184" s="45"/>
      <c r="Y184" s="45"/>
      <c r="AA184" s="45"/>
      <c r="AC184" s="45"/>
    </row>
    <row r="185" spans="2:34" x14ac:dyDescent="0.15">
      <c r="B185" s="114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32"/>
      <c r="P185" s="132"/>
      <c r="Q185" s="132"/>
      <c r="R185" s="45"/>
      <c r="S185" s="45"/>
      <c r="T185" s="45"/>
      <c r="U185" s="45"/>
      <c r="V185" s="45"/>
      <c r="W185" s="45"/>
      <c r="X185" s="45"/>
      <c r="Y185" s="45"/>
      <c r="AA185" s="45"/>
      <c r="AC185" s="45"/>
    </row>
    <row r="186" spans="2:34" x14ac:dyDescent="0.15">
      <c r="B186" s="114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32"/>
      <c r="P186" s="132"/>
      <c r="Q186" s="132"/>
      <c r="R186" s="25"/>
      <c r="S186" s="25"/>
    </row>
    <row r="187" spans="2:34" x14ac:dyDescent="0.15">
      <c r="B187" s="114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32"/>
      <c r="P187" s="132"/>
      <c r="Q187" s="132"/>
      <c r="R187" s="25"/>
      <c r="S187" s="25"/>
    </row>
    <row r="188" spans="2:34" x14ac:dyDescent="0.15">
      <c r="B188" s="114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32"/>
      <c r="P188" s="132"/>
      <c r="Q188" s="132"/>
      <c r="R188" s="25"/>
      <c r="S188" s="25"/>
    </row>
    <row r="189" spans="2:34" x14ac:dyDescent="0.15">
      <c r="B189" s="114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32"/>
      <c r="P189" s="132"/>
      <c r="Q189" s="132"/>
      <c r="R189" s="25"/>
      <c r="S189" s="25"/>
    </row>
    <row r="190" spans="2:34" x14ac:dyDescent="0.15">
      <c r="B190" s="114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32"/>
      <c r="P190" s="132"/>
      <c r="Q190" s="132"/>
      <c r="R190" s="25"/>
      <c r="S190" s="25"/>
    </row>
    <row r="191" spans="2:34" x14ac:dyDescent="0.15">
      <c r="B191" s="114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32"/>
      <c r="P191" s="132"/>
      <c r="Q191" s="132"/>
      <c r="R191" s="25"/>
      <c r="S191" s="25"/>
    </row>
    <row r="192" spans="2:34" x14ac:dyDescent="0.15">
      <c r="B192" s="114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32"/>
      <c r="P192" s="132"/>
      <c r="Q192" s="132"/>
      <c r="R192" s="25"/>
      <c r="S192" s="25"/>
    </row>
    <row r="193" spans="2:19" x14ac:dyDescent="0.15">
      <c r="B193" s="114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32"/>
      <c r="P193" s="132"/>
      <c r="Q193" s="132"/>
      <c r="R193" s="25"/>
      <c r="S193" s="25"/>
    </row>
    <row r="194" spans="2:19" x14ac:dyDescent="0.15">
      <c r="B194" s="114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32"/>
      <c r="P194" s="132"/>
      <c r="Q194" s="132"/>
      <c r="R194" s="25"/>
      <c r="S194" s="25"/>
    </row>
    <row r="195" spans="2:19" x14ac:dyDescent="0.15">
      <c r="B195" s="114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32"/>
      <c r="P195" s="132"/>
      <c r="Q195" s="132"/>
      <c r="R195" s="25"/>
      <c r="S195" s="25"/>
    </row>
    <row r="196" spans="2:19" x14ac:dyDescent="0.15">
      <c r="B196" s="114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32"/>
      <c r="P196" s="132"/>
      <c r="Q196" s="132"/>
      <c r="R196" s="25"/>
      <c r="S196" s="25"/>
    </row>
    <row r="197" spans="2:19" x14ac:dyDescent="0.15">
      <c r="B197" s="114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32"/>
      <c r="P197" s="132"/>
      <c r="Q197" s="132"/>
      <c r="R197" s="25"/>
      <c r="S197" s="25"/>
    </row>
    <row r="198" spans="2:19" x14ac:dyDescent="0.15">
      <c r="B198" s="114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32"/>
      <c r="P198" s="132"/>
      <c r="Q198" s="132"/>
      <c r="R198" s="25"/>
      <c r="S198" s="25"/>
    </row>
    <row r="199" spans="2:19" x14ac:dyDescent="0.15">
      <c r="B199" s="114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32"/>
      <c r="P199" s="132"/>
      <c r="Q199" s="132"/>
      <c r="R199" s="25"/>
      <c r="S199" s="25"/>
    </row>
    <row r="200" spans="2:19" x14ac:dyDescent="0.15">
      <c r="B200" s="114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32"/>
      <c r="P200" s="132"/>
      <c r="Q200" s="132"/>
      <c r="R200" s="25"/>
      <c r="S200" s="25"/>
    </row>
    <row r="201" spans="2:19" x14ac:dyDescent="0.15">
      <c r="B201" s="114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32"/>
      <c r="P201" s="132"/>
      <c r="Q201" s="132"/>
      <c r="R201" s="25"/>
      <c r="S201" s="25"/>
    </row>
    <row r="202" spans="2:19" x14ac:dyDescent="0.15">
      <c r="B202" s="114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32"/>
      <c r="P202" s="132"/>
      <c r="Q202" s="132"/>
      <c r="R202" s="25"/>
      <c r="S202" s="25"/>
    </row>
    <row r="203" spans="2:19" x14ac:dyDescent="0.15">
      <c r="B203" s="114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32"/>
      <c r="P203" s="132"/>
      <c r="Q203" s="132"/>
      <c r="R203" s="25"/>
      <c r="S203" s="25"/>
    </row>
    <row r="204" spans="2:19" x14ac:dyDescent="0.15">
      <c r="B204" s="114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32"/>
      <c r="P204" s="132"/>
      <c r="Q204" s="132"/>
      <c r="R204" s="25"/>
      <c r="S204" s="25"/>
    </row>
    <row r="205" spans="2:19" x14ac:dyDescent="0.15">
      <c r="B205" s="114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32"/>
      <c r="P205" s="132"/>
      <c r="Q205" s="132"/>
      <c r="R205" s="25"/>
      <c r="S205" s="25"/>
    </row>
    <row r="206" spans="2:19" x14ac:dyDescent="0.15">
      <c r="B206" s="114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32"/>
      <c r="P206" s="132"/>
      <c r="Q206" s="132"/>
      <c r="R206" s="25"/>
      <c r="S206" s="25"/>
    </row>
    <row r="207" spans="2:19" x14ac:dyDescent="0.15">
      <c r="B207" s="114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32"/>
      <c r="P207" s="132"/>
      <c r="Q207" s="132"/>
      <c r="R207" s="25"/>
      <c r="S207" s="25"/>
    </row>
    <row r="208" spans="2:19" x14ac:dyDescent="0.15">
      <c r="B208" s="114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32"/>
      <c r="P208" s="132"/>
      <c r="Q208" s="132"/>
      <c r="R208" s="25"/>
      <c r="S208" s="25"/>
    </row>
    <row r="209" spans="2:19" x14ac:dyDescent="0.15">
      <c r="B209" s="114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32"/>
      <c r="P209" s="132"/>
      <c r="Q209" s="132"/>
      <c r="R209" s="25"/>
      <c r="S209" s="25"/>
    </row>
    <row r="210" spans="2:19" x14ac:dyDescent="0.15">
      <c r="B210" s="114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32"/>
      <c r="P210" s="132"/>
      <c r="Q210" s="132"/>
      <c r="R210" s="25"/>
      <c r="S210" s="25"/>
    </row>
    <row r="211" spans="2:19" x14ac:dyDescent="0.15">
      <c r="B211" s="114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32"/>
      <c r="P211" s="132"/>
      <c r="Q211" s="132"/>
      <c r="R211" s="25"/>
      <c r="S211" s="25"/>
    </row>
    <row r="212" spans="2:19" x14ac:dyDescent="0.15">
      <c r="B212" s="114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32"/>
      <c r="P212" s="132"/>
      <c r="Q212" s="132"/>
      <c r="R212" s="25"/>
      <c r="S212" s="25"/>
    </row>
    <row r="213" spans="2:19" x14ac:dyDescent="0.15">
      <c r="B213" s="114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32"/>
      <c r="P213" s="132"/>
      <c r="Q213" s="132"/>
      <c r="R213" s="25"/>
      <c r="S213" s="25"/>
    </row>
    <row r="214" spans="2:19" x14ac:dyDescent="0.15">
      <c r="B214" s="114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32"/>
      <c r="P214" s="132"/>
      <c r="Q214" s="132"/>
      <c r="R214" s="25"/>
      <c r="S214" s="25"/>
    </row>
    <row r="215" spans="2:19" x14ac:dyDescent="0.15">
      <c r="B215" s="114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32"/>
      <c r="P215" s="132"/>
      <c r="Q215" s="132"/>
      <c r="R215" s="25"/>
      <c r="S215" s="25"/>
    </row>
    <row r="216" spans="2:19" x14ac:dyDescent="0.15">
      <c r="B216" s="114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32"/>
      <c r="P216" s="132"/>
      <c r="Q216" s="132"/>
      <c r="R216" s="25"/>
      <c r="S216" s="25"/>
    </row>
    <row r="217" spans="2:19" x14ac:dyDescent="0.15">
      <c r="B217" s="114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32"/>
      <c r="P217" s="132"/>
      <c r="Q217" s="132"/>
      <c r="R217" s="25"/>
      <c r="S217" s="25"/>
    </row>
    <row r="218" spans="2:19" x14ac:dyDescent="0.15">
      <c r="B218" s="114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32"/>
      <c r="P218" s="132"/>
      <c r="Q218" s="132"/>
      <c r="R218" s="25"/>
      <c r="S218" s="25"/>
    </row>
    <row r="219" spans="2:19" x14ac:dyDescent="0.15">
      <c r="B219" s="114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32"/>
      <c r="P219" s="132"/>
      <c r="Q219" s="132"/>
      <c r="R219" s="25"/>
      <c r="S219" s="25"/>
    </row>
    <row r="220" spans="2:19" x14ac:dyDescent="0.15">
      <c r="B220" s="114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32"/>
      <c r="P220" s="132"/>
      <c r="Q220" s="132"/>
      <c r="R220" s="25"/>
      <c r="S220" s="25"/>
    </row>
    <row r="221" spans="2:19" x14ac:dyDescent="0.15">
      <c r="B221" s="114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32"/>
      <c r="P221" s="132"/>
      <c r="Q221" s="132"/>
      <c r="R221" s="25"/>
      <c r="S221" s="25"/>
    </row>
    <row r="222" spans="2:19" x14ac:dyDescent="0.15">
      <c r="B222" s="114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32"/>
      <c r="P222" s="132"/>
      <c r="Q222" s="132"/>
      <c r="R222" s="25"/>
      <c r="S222" s="25"/>
    </row>
    <row r="223" spans="2:19" x14ac:dyDescent="0.15">
      <c r="B223" s="114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32"/>
      <c r="P223" s="132"/>
      <c r="Q223" s="132"/>
      <c r="R223" s="25"/>
      <c r="S223" s="25"/>
    </row>
    <row r="224" spans="2:19" x14ac:dyDescent="0.15">
      <c r="B224" s="114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32"/>
      <c r="P224" s="132"/>
      <c r="Q224" s="132"/>
      <c r="R224" s="25"/>
      <c r="S224" s="25"/>
    </row>
    <row r="225" spans="2:19" x14ac:dyDescent="0.15">
      <c r="B225" s="114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32"/>
      <c r="P225" s="132"/>
      <c r="Q225" s="132"/>
      <c r="R225" s="25"/>
      <c r="S225" s="25"/>
    </row>
    <row r="226" spans="2:19" x14ac:dyDescent="0.15">
      <c r="B226" s="114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32"/>
      <c r="P226" s="132"/>
      <c r="Q226" s="132"/>
      <c r="R226" s="25"/>
      <c r="S226" s="25"/>
    </row>
    <row r="227" spans="2:19" x14ac:dyDescent="0.15">
      <c r="B227" s="114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32"/>
      <c r="P227" s="132"/>
      <c r="Q227" s="132"/>
      <c r="R227" s="25"/>
      <c r="S227" s="25"/>
    </row>
    <row r="228" spans="2:19" x14ac:dyDescent="0.15">
      <c r="B228" s="114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32"/>
      <c r="P228" s="132"/>
      <c r="Q228" s="132"/>
      <c r="R228" s="25"/>
      <c r="S228" s="25"/>
    </row>
    <row r="229" spans="2:19" x14ac:dyDescent="0.15">
      <c r="B229" s="114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32"/>
      <c r="P229" s="132"/>
      <c r="Q229" s="132"/>
      <c r="R229" s="25"/>
      <c r="S229" s="25"/>
    </row>
    <row r="230" spans="2:19" x14ac:dyDescent="0.15">
      <c r="B230" s="114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32"/>
      <c r="P230" s="132"/>
      <c r="Q230" s="132"/>
      <c r="R230" s="25"/>
      <c r="S230" s="25"/>
    </row>
    <row r="231" spans="2:19" x14ac:dyDescent="0.15">
      <c r="B231" s="114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32"/>
      <c r="P231" s="132"/>
      <c r="Q231" s="132"/>
      <c r="R231" s="25"/>
      <c r="S231" s="25"/>
    </row>
    <row r="232" spans="2:19" x14ac:dyDescent="0.15">
      <c r="B232" s="114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32"/>
      <c r="P232" s="132"/>
      <c r="Q232" s="132"/>
      <c r="R232" s="25"/>
      <c r="S232" s="25"/>
    </row>
    <row r="233" spans="2:19" x14ac:dyDescent="0.15">
      <c r="B233" s="114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32"/>
      <c r="P233" s="132"/>
      <c r="Q233" s="132"/>
      <c r="R233" s="25"/>
      <c r="S233" s="25"/>
    </row>
    <row r="234" spans="2:19" x14ac:dyDescent="0.15">
      <c r="B234" s="114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32"/>
      <c r="P234" s="132"/>
      <c r="Q234" s="132"/>
      <c r="R234" s="25"/>
      <c r="S234" s="25"/>
    </row>
    <row r="235" spans="2:19" x14ac:dyDescent="0.15">
      <c r="B235" s="114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32"/>
      <c r="P235" s="132"/>
      <c r="Q235" s="132"/>
      <c r="R235" s="25"/>
      <c r="S235" s="25"/>
    </row>
    <row r="236" spans="2:19" x14ac:dyDescent="0.15">
      <c r="B236" s="114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32"/>
      <c r="P236" s="132"/>
      <c r="Q236" s="132"/>
      <c r="R236" s="25"/>
      <c r="S236" s="25"/>
    </row>
    <row r="237" spans="2:19" x14ac:dyDescent="0.15">
      <c r="B237" s="114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32"/>
      <c r="P237" s="132"/>
      <c r="Q237" s="132"/>
      <c r="R237" s="25"/>
      <c r="S237" s="25"/>
    </row>
    <row r="238" spans="2:19" x14ac:dyDescent="0.15">
      <c r="B238" s="114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32"/>
      <c r="P238" s="132"/>
      <c r="Q238" s="132"/>
      <c r="R238" s="25"/>
      <c r="S238" s="25"/>
    </row>
    <row r="239" spans="2:19" x14ac:dyDescent="0.15">
      <c r="B239" s="114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32"/>
      <c r="P239" s="132"/>
      <c r="Q239" s="132"/>
      <c r="R239" s="25"/>
      <c r="S239" s="25"/>
    </row>
    <row r="240" spans="2:19" x14ac:dyDescent="0.15">
      <c r="B240" s="114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32"/>
      <c r="P240" s="132"/>
      <c r="Q240" s="132"/>
      <c r="R240" s="25"/>
      <c r="S240" s="25"/>
    </row>
    <row r="241" spans="2:19" x14ac:dyDescent="0.15">
      <c r="B241" s="114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32"/>
      <c r="P241" s="132"/>
      <c r="Q241" s="132"/>
      <c r="R241" s="25"/>
      <c r="S241" s="25"/>
    </row>
    <row r="242" spans="2:19" x14ac:dyDescent="0.15">
      <c r="B242" s="114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32"/>
      <c r="P242" s="132"/>
      <c r="Q242" s="132"/>
      <c r="R242" s="25"/>
      <c r="S242" s="25"/>
    </row>
    <row r="243" spans="2:19" x14ac:dyDescent="0.15">
      <c r="B243" s="114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32"/>
      <c r="P243" s="132"/>
      <c r="Q243" s="132"/>
      <c r="R243" s="25"/>
      <c r="S243" s="25"/>
    </row>
    <row r="244" spans="2:19" x14ac:dyDescent="0.15">
      <c r="B244" s="114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32"/>
      <c r="P244" s="132"/>
      <c r="Q244" s="132"/>
      <c r="R244" s="25"/>
      <c r="S244" s="25"/>
    </row>
    <row r="245" spans="2:19" x14ac:dyDescent="0.15">
      <c r="B245" s="114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32"/>
      <c r="P245" s="132"/>
      <c r="Q245" s="132"/>
      <c r="R245" s="25"/>
      <c r="S245" s="25"/>
    </row>
    <row r="246" spans="2:19" x14ac:dyDescent="0.15">
      <c r="B246" s="114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32"/>
      <c r="P246" s="132"/>
      <c r="Q246" s="132"/>
      <c r="R246" s="25"/>
      <c r="S246" s="25"/>
    </row>
    <row r="247" spans="2:19" x14ac:dyDescent="0.15">
      <c r="B247" s="114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32"/>
      <c r="P247" s="132"/>
      <c r="Q247" s="132"/>
      <c r="R247" s="25"/>
      <c r="S247" s="25"/>
    </row>
    <row r="248" spans="2:19" x14ac:dyDescent="0.15">
      <c r="B248" s="114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32"/>
      <c r="P248" s="132"/>
      <c r="Q248" s="132"/>
      <c r="R248" s="25"/>
      <c r="S248" s="25"/>
    </row>
    <row r="249" spans="2:19" x14ac:dyDescent="0.15">
      <c r="B249" s="114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32"/>
      <c r="P249" s="132"/>
      <c r="Q249" s="132"/>
      <c r="R249" s="25"/>
      <c r="S249" s="25"/>
    </row>
    <row r="250" spans="2:19" x14ac:dyDescent="0.15">
      <c r="B250" s="114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32"/>
      <c r="P250" s="132"/>
      <c r="Q250" s="132"/>
      <c r="R250" s="25"/>
      <c r="S250" s="25"/>
    </row>
    <row r="251" spans="2:19" x14ac:dyDescent="0.15">
      <c r="B251" s="114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32"/>
      <c r="P251" s="132"/>
      <c r="Q251" s="132"/>
      <c r="R251" s="25"/>
      <c r="S251" s="25"/>
    </row>
    <row r="252" spans="2:19" x14ac:dyDescent="0.15">
      <c r="B252" s="114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32"/>
      <c r="P252" s="132"/>
      <c r="Q252" s="132"/>
      <c r="R252" s="25"/>
      <c r="S252" s="25"/>
    </row>
    <row r="253" spans="2:19" x14ac:dyDescent="0.15">
      <c r="B253" s="114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32"/>
      <c r="P253" s="132"/>
      <c r="Q253" s="132"/>
      <c r="R253" s="25"/>
      <c r="S253" s="25"/>
    </row>
    <row r="254" spans="2:19" x14ac:dyDescent="0.15">
      <c r="B254" s="114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32"/>
      <c r="P254" s="132"/>
      <c r="Q254" s="132"/>
      <c r="R254" s="25"/>
      <c r="S254" s="25"/>
    </row>
    <row r="255" spans="2:19" x14ac:dyDescent="0.15">
      <c r="B255" s="114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32"/>
      <c r="P255" s="132"/>
      <c r="Q255" s="132"/>
      <c r="R255" s="25"/>
      <c r="S255" s="25"/>
    </row>
    <row r="256" spans="2:19" x14ac:dyDescent="0.15">
      <c r="B256" s="114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32"/>
      <c r="P256" s="132"/>
      <c r="Q256" s="132"/>
      <c r="R256" s="25"/>
      <c r="S256" s="25"/>
    </row>
    <row r="257" spans="2:19" x14ac:dyDescent="0.15">
      <c r="B257" s="114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32"/>
      <c r="P257" s="132"/>
      <c r="Q257" s="132"/>
      <c r="R257" s="25"/>
      <c r="S257" s="25"/>
    </row>
    <row r="258" spans="2:19" x14ac:dyDescent="0.15">
      <c r="B258" s="114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32"/>
      <c r="P258" s="132"/>
      <c r="Q258" s="132"/>
      <c r="R258" s="25"/>
      <c r="S258" s="25"/>
    </row>
    <row r="259" spans="2:19" x14ac:dyDescent="0.15">
      <c r="B259" s="114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32"/>
      <c r="P259" s="132"/>
      <c r="Q259" s="132"/>
      <c r="R259" s="25"/>
      <c r="S259" s="25"/>
    </row>
    <row r="260" spans="2:19" x14ac:dyDescent="0.15">
      <c r="B260" s="114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32"/>
      <c r="P260" s="132"/>
      <c r="Q260" s="132"/>
      <c r="R260" s="25"/>
      <c r="S260" s="25"/>
    </row>
    <row r="261" spans="2:19" x14ac:dyDescent="0.15">
      <c r="B261" s="114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32"/>
      <c r="P261" s="132"/>
      <c r="Q261" s="132"/>
      <c r="R261" s="25"/>
      <c r="S261" s="25"/>
    </row>
    <row r="262" spans="2:19" x14ac:dyDescent="0.15">
      <c r="B262" s="114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32"/>
      <c r="P262" s="132"/>
      <c r="Q262" s="132"/>
      <c r="R262" s="25"/>
      <c r="S262" s="25"/>
    </row>
    <row r="263" spans="2:19" x14ac:dyDescent="0.15">
      <c r="B263" s="114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32"/>
      <c r="P263" s="132"/>
      <c r="Q263" s="132"/>
      <c r="R263" s="25"/>
      <c r="S263" s="25"/>
    </row>
    <row r="264" spans="2:19" x14ac:dyDescent="0.15">
      <c r="B264" s="114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32"/>
      <c r="P264" s="132"/>
      <c r="Q264" s="132"/>
      <c r="R264" s="25"/>
      <c r="S264" s="25"/>
    </row>
    <row r="265" spans="2:19" x14ac:dyDescent="0.15">
      <c r="B265" s="114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32"/>
      <c r="P265" s="132"/>
      <c r="Q265" s="132"/>
      <c r="R265" s="25"/>
      <c r="S265" s="25"/>
    </row>
    <row r="266" spans="2:19" x14ac:dyDescent="0.15">
      <c r="B266" s="114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32"/>
      <c r="P266" s="132"/>
      <c r="Q266" s="132"/>
      <c r="R266" s="25"/>
      <c r="S266" s="25"/>
    </row>
    <row r="267" spans="2:19" x14ac:dyDescent="0.15">
      <c r="B267" s="114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32"/>
      <c r="P267" s="132"/>
      <c r="Q267" s="132"/>
      <c r="R267" s="25"/>
      <c r="S267" s="25"/>
    </row>
    <row r="268" spans="2:19" x14ac:dyDescent="0.15">
      <c r="B268" s="114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32"/>
      <c r="P268" s="132"/>
      <c r="Q268" s="132"/>
      <c r="R268" s="25"/>
      <c r="S268" s="25"/>
    </row>
    <row r="269" spans="2:19" x14ac:dyDescent="0.15">
      <c r="B269" s="114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32"/>
      <c r="P269" s="132"/>
      <c r="Q269" s="132"/>
      <c r="R269" s="25"/>
      <c r="S269" s="25"/>
    </row>
    <row r="270" spans="2:19" x14ac:dyDescent="0.15">
      <c r="B270" s="114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32"/>
      <c r="P270" s="132"/>
      <c r="Q270" s="132"/>
      <c r="R270" s="25"/>
      <c r="S270" s="25"/>
    </row>
    <row r="271" spans="2:19" x14ac:dyDescent="0.15">
      <c r="B271" s="114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32"/>
      <c r="P271" s="132"/>
      <c r="Q271" s="132"/>
      <c r="R271" s="25"/>
      <c r="S271" s="25"/>
    </row>
    <row r="272" spans="2:19" x14ac:dyDescent="0.15">
      <c r="B272" s="114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32"/>
      <c r="P272" s="132"/>
      <c r="Q272" s="132"/>
      <c r="R272" s="25"/>
      <c r="S272" s="25"/>
    </row>
    <row r="273" spans="2:19" x14ac:dyDescent="0.15">
      <c r="B273" s="114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32"/>
      <c r="P273" s="132"/>
      <c r="Q273" s="132"/>
      <c r="R273" s="25"/>
      <c r="S273" s="25"/>
    </row>
    <row r="274" spans="2:19" x14ac:dyDescent="0.15">
      <c r="B274" s="114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32"/>
      <c r="P274" s="132"/>
      <c r="Q274" s="132"/>
      <c r="R274" s="25"/>
      <c r="S274" s="25"/>
    </row>
    <row r="275" spans="2:19" x14ac:dyDescent="0.15">
      <c r="B275" s="114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32"/>
      <c r="P275" s="132"/>
      <c r="Q275" s="132"/>
      <c r="R275" s="25"/>
      <c r="S275" s="25"/>
    </row>
    <row r="276" spans="2:19" x14ac:dyDescent="0.15">
      <c r="B276" s="114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32"/>
      <c r="P276" s="132"/>
      <c r="Q276" s="132"/>
      <c r="R276" s="25"/>
      <c r="S276" s="25"/>
    </row>
    <row r="277" spans="2:19" x14ac:dyDescent="0.15">
      <c r="B277" s="114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32"/>
      <c r="P277" s="132"/>
      <c r="Q277" s="132"/>
      <c r="R277" s="25"/>
      <c r="S277" s="25"/>
    </row>
    <row r="278" spans="2:19" x14ac:dyDescent="0.15">
      <c r="B278" s="114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32"/>
      <c r="P278" s="132"/>
      <c r="Q278" s="132"/>
      <c r="R278" s="25"/>
      <c r="S278" s="25"/>
    </row>
    <row r="279" spans="2:19" x14ac:dyDescent="0.15">
      <c r="B279" s="114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32"/>
      <c r="P279" s="132"/>
      <c r="Q279" s="132"/>
      <c r="R279" s="25"/>
      <c r="S279" s="25"/>
    </row>
    <row r="280" spans="2:19" x14ac:dyDescent="0.15">
      <c r="B280" s="114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32"/>
      <c r="P280" s="132"/>
      <c r="Q280" s="132"/>
      <c r="R280" s="25"/>
      <c r="S280" s="25"/>
    </row>
    <row r="281" spans="2:19" x14ac:dyDescent="0.15">
      <c r="B281" s="114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32"/>
      <c r="P281" s="132"/>
      <c r="Q281" s="132"/>
      <c r="R281" s="25"/>
      <c r="S281" s="25"/>
    </row>
    <row r="282" spans="2:19" x14ac:dyDescent="0.15">
      <c r="B282" s="114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32"/>
      <c r="P282" s="132"/>
      <c r="Q282" s="132"/>
      <c r="R282" s="25"/>
      <c r="S282" s="25"/>
    </row>
    <row r="283" spans="2:19" x14ac:dyDescent="0.15">
      <c r="B283" s="114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32"/>
      <c r="P283" s="132"/>
      <c r="Q283" s="132"/>
      <c r="R283" s="25"/>
      <c r="S283" s="25"/>
    </row>
    <row r="284" spans="2:19" x14ac:dyDescent="0.15">
      <c r="B284" s="114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32"/>
      <c r="P284" s="132"/>
      <c r="Q284" s="132"/>
      <c r="R284" s="25"/>
      <c r="S284" s="25"/>
    </row>
    <row r="285" spans="2:19" x14ac:dyDescent="0.15">
      <c r="B285" s="114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32"/>
      <c r="P285" s="132"/>
      <c r="Q285" s="132"/>
      <c r="R285" s="25"/>
      <c r="S285" s="25"/>
    </row>
    <row r="286" spans="2:19" x14ac:dyDescent="0.15">
      <c r="B286" s="114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32"/>
      <c r="P286" s="132"/>
      <c r="Q286" s="132"/>
      <c r="R286" s="25"/>
      <c r="S286" s="25"/>
    </row>
    <row r="287" spans="2:19" x14ac:dyDescent="0.15">
      <c r="B287" s="114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32"/>
      <c r="P287" s="132"/>
      <c r="Q287" s="132"/>
      <c r="R287" s="25"/>
      <c r="S287" s="25"/>
    </row>
    <row r="288" spans="2:19" x14ac:dyDescent="0.15">
      <c r="B288" s="114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32"/>
      <c r="P288" s="132"/>
      <c r="Q288" s="132"/>
      <c r="R288" s="25"/>
      <c r="S288" s="25"/>
    </row>
    <row r="289" spans="2:19" x14ac:dyDescent="0.15">
      <c r="B289" s="114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32"/>
      <c r="P289" s="132"/>
      <c r="Q289" s="132"/>
      <c r="R289" s="25"/>
      <c r="S289" s="25"/>
    </row>
    <row r="290" spans="2:19" x14ac:dyDescent="0.15">
      <c r="B290" s="114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32"/>
      <c r="P290" s="132"/>
      <c r="Q290" s="132"/>
      <c r="R290" s="25"/>
      <c r="S290" s="25"/>
    </row>
    <row r="291" spans="2:19" x14ac:dyDescent="0.15">
      <c r="B291" s="114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32"/>
      <c r="P291" s="132"/>
      <c r="Q291" s="132"/>
      <c r="R291" s="25"/>
      <c r="S291" s="25"/>
    </row>
    <row r="292" spans="2:19" x14ac:dyDescent="0.15">
      <c r="B292" s="114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32"/>
      <c r="P292" s="132"/>
      <c r="Q292" s="132"/>
      <c r="R292" s="25"/>
      <c r="S292" s="25"/>
    </row>
    <row r="293" spans="2:19" x14ac:dyDescent="0.15">
      <c r="B293" s="114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32"/>
      <c r="P293" s="132"/>
      <c r="Q293" s="132"/>
      <c r="R293" s="25"/>
      <c r="S293" s="25"/>
    </row>
    <row r="294" spans="2:19" x14ac:dyDescent="0.15">
      <c r="B294" s="114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32"/>
      <c r="P294" s="132"/>
      <c r="Q294" s="132"/>
      <c r="R294" s="25"/>
      <c r="S294" s="25"/>
    </row>
    <row r="295" spans="2:19" x14ac:dyDescent="0.15">
      <c r="B295" s="114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32"/>
      <c r="P295" s="132"/>
      <c r="Q295" s="132"/>
      <c r="R295" s="25"/>
      <c r="S295" s="25"/>
    </row>
    <row r="296" spans="2:19" x14ac:dyDescent="0.15">
      <c r="B296" s="114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32"/>
      <c r="P296" s="132"/>
      <c r="Q296" s="132"/>
      <c r="R296" s="25"/>
      <c r="S296" s="25"/>
    </row>
    <row r="297" spans="2:19" x14ac:dyDescent="0.15">
      <c r="B297" s="114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32"/>
      <c r="P297" s="132"/>
      <c r="Q297" s="132"/>
      <c r="R297" s="25"/>
      <c r="S297" s="25"/>
    </row>
    <row r="298" spans="2:19" x14ac:dyDescent="0.15">
      <c r="B298" s="114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0"/>
      <c r="P298" s="110"/>
      <c r="Q298" s="110"/>
      <c r="R298" s="25"/>
      <c r="S298" s="25"/>
    </row>
    <row r="299" spans="2:19" x14ac:dyDescent="0.15">
      <c r="B299" s="114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0"/>
      <c r="P299" s="110"/>
      <c r="Q299" s="110"/>
      <c r="R299" s="25"/>
      <c r="S299" s="25"/>
    </row>
    <row r="300" spans="2:19" x14ac:dyDescent="0.15">
      <c r="B300" s="114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0"/>
      <c r="P300" s="110"/>
      <c r="Q300" s="110"/>
      <c r="R300" s="25"/>
      <c r="S300" s="25"/>
    </row>
    <row r="301" spans="2:19" x14ac:dyDescent="0.15">
      <c r="B301" s="114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0"/>
      <c r="P301" s="110"/>
      <c r="Q301" s="110"/>
      <c r="R301" s="25"/>
      <c r="S301" s="25"/>
    </row>
    <row r="302" spans="2:19" x14ac:dyDescent="0.15">
      <c r="B302" s="114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0"/>
      <c r="P302" s="110"/>
      <c r="Q302" s="110"/>
      <c r="R302" s="25"/>
      <c r="S302" s="25"/>
    </row>
    <row r="303" spans="2:19" x14ac:dyDescent="0.15">
      <c r="B303" s="114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0"/>
      <c r="P303" s="110"/>
      <c r="Q303" s="110"/>
      <c r="R303" s="25"/>
      <c r="S303" s="25"/>
    </row>
    <row r="304" spans="2:19" x14ac:dyDescent="0.15">
      <c r="B304" s="114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0"/>
      <c r="P304" s="110"/>
      <c r="Q304" s="110"/>
      <c r="R304" s="25"/>
      <c r="S304" s="25"/>
    </row>
    <row r="305" spans="2:35" x14ac:dyDescent="0.15">
      <c r="B305" s="114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0"/>
      <c r="P305" s="110"/>
      <c r="Q305" s="110"/>
      <c r="R305" s="25"/>
      <c r="S305" s="25"/>
      <c r="Z305" s="50"/>
      <c r="AA305" s="50"/>
      <c r="AB305" s="50"/>
      <c r="AC305" s="50"/>
      <c r="AF305" s="50"/>
      <c r="AG305" s="50"/>
      <c r="AH305" s="50"/>
      <c r="AI305" s="50"/>
    </row>
    <row r="306" spans="2:35" x14ac:dyDescent="0.15">
      <c r="B306" s="114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0"/>
      <c r="P306" s="110"/>
      <c r="Q306" s="110"/>
      <c r="R306" s="25"/>
      <c r="S306" s="25"/>
      <c r="Z306" s="50"/>
      <c r="AA306" s="50"/>
      <c r="AB306" s="50"/>
      <c r="AC306" s="50"/>
      <c r="AF306" s="50"/>
      <c r="AG306" s="50"/>
      <c r="AH306" s="50"/>
      <c r="AI306" s="50"/>
    </row>
    <row r="307" spans="2:35" x14ac:dyDescent="0.15">
      <c r="B307" s="114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0"/>
      <c r="P307" s="110"/>
      <c r="Q307" s="110"/>
      <c r="R307" s="25"/>
      <c r="S307" s="25"/>
      <c r="Z307" s="50"/>
      <c r="AA307" s="50"/>
      <c r="AB307" s="50"/>
      <c r="AC307" s="50"/>
      <c r="AF307" s="50"/>
      <c r="AG307" s="50"/>
      <c r="AH307" s="50"/>
      <c r="AI307" s="50"/>
    </row>
    <row r="308" spans="2:35" x14ac:dyDescent="0.15">
      <c r="B308" s="114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0"/>
      <c r="P308" s="110"/>
      <c r="Q308" s="110"/>
      <c r="R308" s="25"/>
      <c r="S308" s="25"/>
      <c r="Z308" s="50"/>
      <c r="AA308" s="50"/>
      <c r="AB308" s="50"/>
      <c r="AC308" s="50"/>
      <c r="AF308" s="50"/>
      <c r="AG308" s="50"/>
      <c r="AH308" s="50"/>
      <c r="AI308" s="50"/>
    </row>
    <row r="309" spans="2:35" s="111" customFormat="1" x14ac:dyDescent="0.15">
      <c r="B309" s="114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R309" s="25"/>
      <c r="S309" s="25"/>
      <c r="T309" s="21"/>
      <c r="U309" s="10"/>
      <c r="V309" s="10"/>
      <c r="W309" s="10"/>
      <c r="X309" s="10"/>
      <c r="Y309" s="10"/>
      <c r="Z309" s="50"/>
      <c r="AA309" s="50"/>
      <c r="AB309" s="50"/>
      <c r="AC309" s="50"/>
      <c r="AD309" s="247"/>
      <c r="AE309" s="247"/>
      <c r="AF309" s="50"/>
      <c r="AG309" s="50"/>
      <c r="AH309" s="50"/>
      <c r="AI309" s="50"/>
    </row>
    <row r="310" spans="2:35" s="111" customFormat="1" x14ac:dyDescent="0.15">
      <c r="B310" s="114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R310" s="25"/>
      <c r="S310" s="25"/>
      <c r="T310" s="21"/>
      <c r="U310" s="10"/>
      <c r="V310" s="10"/>
      <c r="W310" s="10"/>
      <c r="X310" s="10"/>
      <c r="Y310" s="10"/>
      <c r="Z310" s="50"/>
      <c r="AA310" s="50"/>
      <c r="AB310" s="50"/>
      <c r="AC310" s="50"/>
      <c r="AD310" s="247"/>
      <c r="AE310" s="247"/>
      <c r="AF310" s="50"/>
      <c r="AG310" s="50"/>
      <c r="AH310" s="50"/>
      <c r="AI310" s="50"/>
    </row>
    <row r="311" spans="2:35" s="111" customFormat="1" x14ac:dyDescent="0.15">
      <c r="B311" s="114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R311" s="25"/>
      <c r="S311" s="25"/>
      <c r="T311" s="21"/>
      <c r="U311" s="10"/>
      <c r="V311" s="10"/>
      <c r="W311" s="10"/>
      <c r="X311" s="10"/>
      <c r="Y311" s="10"/>
      <c r="Z311" s="50"/>
      <c r="AA311" s="50"/>
      <c r="AB311" s="50"/>
      <c r="AC311" s="50"/>
      <c r="AD311" s="247"/>
      <c r="AE311" s="247"/>
      <c r="AF311" s="50"/>
      <c r="AG311" s="50"/>
      <c r="AH311" s="50"/>
      <c r="AI311" s="50"/>
    </row>
    <row r="312" spans="2:35" s="111" customFormat="1" x14ac:dyDescent="0.15">
      <c r="B312" s="114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R312" s="25"/>
      <c r="S312" s="25"/>
      <c r="T312" s="21"/>
      <c r="U312" s="10"/>
      <c r="V312" s="10"/>
      <c r="W312" s="10"/>
      <c r="X312" s="10"/>
      <c r="Y312" s="10"/>
      <c r="Z312" s="50"/>
      <c r="AA312" s="50"/>
      <c r="AB312" s="50"/>
      <c r="AC312" s="50"/>
      <c r="AD312" s="247"/>
      <c r="AE312" s="247"/>
      <c r="AF312" s="50"/>
      <c r="AG312" s="50"/>
      <c r="AH312" s="50"/>
      <c r="AI312" s="50"/>
    </row>
    <row r="313" spans="2:35" s="111" customFormat="1" x14ac:dyDescent="0.15">
      <c r="B313" s="114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R313" s="25"/>
      <c r="S313" s="25"/>
      <c r="T313" s="21"/>
      <c r="U313" s="10"/>
      <c r="V313" s="10"/>
      <c r="W313" s="10"/>
      <c r="X313" s="10"/>
      <c r="Y313" s="10"/>
      <c r="Z313" s="50"/>
      <c r="AA313" s="50"/>
      <c r="AB313" s="50"/>
      <c r="AC313" s="50"/>
      <c r="AD313" s="247"/>
      <c r="AE313" s="247"/>
      <c r="AF313" s="50"/>
      <c r="AG313" s="50"/>
      <c r="AH313" s="50"/>
      <c r="AI313" s="50"/>
    </row>
    <row r="314" spans="2:35" s="111" customFormat="1" x14ac:dyDescent="0.15">
      <c r="B314" s="114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R314" s="25"/>
      <c r="S314" s="25"/>
      <c r="T314" s="21"/>
      <c r="U314" s="10"/>
      <c r="V314" s="10"/>
      <c r="W314" s="10"/>
      <c r="X314" s="10"/>
      <c r="Y314" s="10"/>
      <c r="Z314" s="50"/>
      <c r="AA314" s="50"/>
      <c r="AB314" s="50"/>
      <c r="AC314" s="50"/>
      <c r="AD314" s="247"/>
      <c r="AE314" s="247"/>
      <c r="AF314" s="50"/>
      <c r="AG314" s="50"/>
      <c r="AH314" s="50"/>
      <c r="AI314" s="50"/>
    </row>
    <row r="315" spans="2:35" s="111" customFormat="1" x14ac:dyDescent="0.15">
      <c r="B315" s="114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R315" s="25"/>
      <c r="S315" s="25"/>
      <c r="T315" s="21"/>
      <c r="U315" s="10"/>
      <c r="V315" s="10"/>
      <c r="W315" s="10"/>
      <c r="X315" s="10"/>
      <c r="Y315" s="10"/>
      <c r="Z315" s="50"/>
      <c r="AA315" s="50"/>
      <c r="AB315" s="50"/>
      <c r="AC315" s="50"/>
      <c r="AD315" s="247"/>
      <c r="AE315" s="247"/>
      <c r="AF315" s="50"/>
      <c r="AG315" s="50"/>
      <c r="AH315" s="50"/>
      <c r="AI315" s="50"/>
    </row>
    <row r="316" spans="2:35" s="111" customFormat="1" x14ac:dyDescent="0.15">
      <c r="B316" s="114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R316" s="25"/>
      <c r="S316" s="25"/>
      <c r="T316" s="21"/>
      <c r="U316" s="10"/>
      <c r="V316" s="10"/>
      <c r="W316" s="10"/>
      <c r="X316" s="10"/>
      <c r="Y316" s="10"/>
      <c r="Z316" s="50"/>
      <c r="AA316" s="50"/>
      <c r="AB316" s="50"/>
      <c r="AC316" s="50"/>
      <c r="AD316" s="247"/>
      <c r="AE316" s="247"/>
      <c r="AF316" s="50"/>
      <c r="AG316" s="50"/>
      <c r="AH316" s="50"/>
      <c r="AI316" s="50"/>
    </row>
    <row r="317" spans="2:35" s="111" customFormat="1" x14ac:dyDescent="0.15">
      <c r="B317" s="114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R317" s="25"/>
      <c r="S317" s="25"/>
      <c r="T317" s="21"/>
      <c r="U317" s="10"/>
      <c r="V317" s="10"/>
      <c r="W317" s="10"/>
      <c r="X317" s="10"/>
      <c r="Y317" s="10"/>
      <c r="Z317" s="50"/>
      <c r="AA317" s="50"/>
      <c r="AB317" s="50"/>
      <c r="AC317" s="50"/>
      <c r="AD317" s="247"/>
      <c r="AE317" s="247"/>
      <c r="AF317" s="50"/>
      <c r="AG317" s="50"/>
      <c r="AH317" s="50"/>
      <c r="AI317" s="50"/>
    </row>
    <row r="318" spans="2:35" s="111" customFormat="1" x14ac:dyDescent="0.15">
      <c r="B318" s="114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R318" s="25"/>
      <c r="S318" s="25"/>
      <c r="T318" s="21"/>
      <c r="U318" s="10"/>
      <c r="V318" s="10"/>
      <c r="W318" s="10"/>
      <c r="X318" s="10"/>
      <c r="Y318" s="10"/>
      <c r="Z318" s="50"/>
      <c r="AA318" s="50"/>
      <c r="AB318" s="50"/>
      <c r="AC318" s="50"/>
      <c r="AD318" s="247"/>
      <c r="AE318" s="247"/>
      <c r="AF318" s="50"/>
      <c r="AG318" s="50"/>
      <c r="AH318" s="50"/>
      <c r="AI318" s="50"/>
    </row>
    <row r="319" spans="2:35" s="111" customFormat="1" x14ac:dyDescent="0.15">
      <c r="B319" s="114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R319" s="25"/>
      <c r="S319" s="25"/>
      <c r="T319" s="21"/>
      <c r="U319" s="10"/>
      <c r="V319" s="10"/>
      <c r="W319" s="10"/>
      <c r="X319" s="10"/>
      <c r="Y319" s="10"/>
      <c r="Z319" s="50"/>
      <c r="AA319" s="50"/>
      <c r="AB319" s="50"/>
      <c r="AC319" s="50"/>
      <c r="AD319" s="247"/>
      <c r="AE319" s="247"/>
      <c r="AF319" s="50"/>
      <c r="AG319" s="50"/>
      <c r="AH319" s="50"/>
      <c r="AI319" s="50"/>
    </row>
    <row r="320" spans="2:35" s="111" customFormat="1" x14ac:dyDescent="0.15">
      <c r="B320" s="114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R320" s="25"/>
      <c r="S320" s="25"/>
      <c r="T320" s="21"/>
      <c r="U320" s="10"/>
      <c r="V320" s="10"/>
      <c r="W320" s="10"/>
      <c r="X320" s="10"/>
      <c r="Y320" s="10"/>
      <c r="Z320" s="50"/>
      <c r="AA320" s="50"/>
      <c r="AB320" s="50"/>
      <c r="AC320" s="50"/>
      <c r="AD320" s="247"/>
      <c r="AE320" s="247"/>
      <c r="AF320" s="50"/>
      <c r="AG320" s="50"/>
      <c r="AH320" s="50"/>
      <c r="AI320" s="50"/>
    </row>
    <row r="321" spans="2:35" s="111" customFormat="1" x14ac:dyDescent="0.15">
      <c r="B321" s="114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R321" s="25"/>
      <c r="S321" s="25"/>
      <c r="T321" s="21"/>
      <c r="U321" s="10"/>
      <c r="V321" s="10"/>
      <c r="W321" s="10"/>
      <c r="X321" s="10"/>
      <c r="Y321" s="10"/>
      <c r="Z321" s="50"/>
      <c r="AA321" s="50"/>
      <c r="AB321" s="50"/>
      <c r="AC321" s="50"/>
      <c r="AD321" s="247"/>
      <c r="AE321" s="247"/>
      <c r="AF321" s="50"/>
      <c r="AG321" s="50"/>
      <c r="AH321" s="50"/>
      <c r="AI321" s="50"/>
    </row>
    <row r="322" spans="2:35" s="111" customFormat="1" x14ac:dyDescent="0.15">
      <c r="B322" s="114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R322" s="25"/>
      <c r="S322" s="25"/>
      <c r="T322" s="21"/>
      <c r="U322" s="10"/>
      <c r="V322" s="10"/>
      <c r="W322" s="10"/>
      <c r="X322" s="10"/>
      <c r="Y322" s="10"/>
      <c r="Z322" s="50"/>
      <c r="AA322" s="50"/>
      <c r="AB322" s="50"/>
      <c r="AC322" s="50"/>
      <c r="AD322" s="247"/>
      <c r="AE322" s="247"/>
      <c r="AF322" s="50"/>
      <c r="AG322" s="50"/>
      <c r="AH322" s="50"/>
      <c r="AI322" s="50"/>
    </row>
    <row r="323" spans="2:35" s="111" customFormat="1" x14ac:dyDescent="0.15">
      <c r="B323" s="114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R323" s="25"/>
      <c r="S323" s="25"/>
      <c r="T323" s="21"/>
      <c r="U323" s="10"/>
      <c r="V323" s="10"/>
      <c r="W323" s="10"/>
      <c r="X323" s="10"/>
      <c r="Y323" s="10"/>
      <c r="Z323" s="50"/>
      <c r="AA323" s="50"/>
      <c r="AB323" s="50"/>
      <c r="AC323" s="50"/>
      <c r="AD323" s="247"/>
      <c r="AE323" s="247"/>
      <c r="AF323" s="50"/>
      <c r="AG323" s="50"/>
      <c r="AH323" s="50"/>
      <c r="AI323" s="50"/>
    </row>
    <row r="324" spans="2:35" s="111" customFormat="1" x14ac:dyDescent="0.15">
      <c r="B324" s="114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R324" s="26"/>
      <c r="S324" s="26"/>
      <c r="T324" s="21"/>
      <c r="U324" s="10"/>
      <c r="V324" s="10"/>
      <c r="W324" s="10"/>
      <c r="X324" s="10"/>
      <c r="Y324" s="10"/>
      <c r="Z324" s="50"/>
      <c r="AA324" s="50"/>
      <c r="AB324" s="50"/>
      <c r="AC324" s="50"/>
      <c r="AD324" s="247"/>
      <c r="AE324" s="247"/>
      <c r="AF324" s="50"/>
      <c r="AG324" s="50"/>
      <c r="AH324" s="50"/>
      <c r="AI324" s="50"/>
    </row>
    <row r="325" spans="2:35" s="111" customFormat="1" x14ac:dyDescent="0.15">
      <c r="B325" s="114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R325" s="26"/>
      <c r="S325" s="26"/>
      <c r="T325" s="21"/>
      <c r="U325" s="10"/>
      <c r="V325" s="10"/>
      <c r="W325" s="10"/>
      <c r="X325" s="10"/>
      <c r="Y325" s="10"/>
      <c r="Z325" s="50"/>
      <c r="AA325" s="50"/>
      <c r="AB325" s="50"/>
      <c r="AC325" s="50"/>
      <c r="AD325" s="247"/>
      <c r="AE325" s="247"/>
      <c r="AF325" s="50"/>
      <c r="AG325" s="50"/>
      <c r="AH325" s="50"/>
      <c r="AI325" s="50"/>
    </row>
    <row r="326" spans="2:35" s="111" customFormat="1" x14ac:dyDescent="0.15">
      <c r="B326" s="114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R326" s="26"/>
      <c r="S326" s="26"/>
      <c r="T326" s="21"/>
      <c r="U326" s="10"/>
      <c r="V326" s="10"/>
      <c r="W326" s="10"/>
      <c r="X326" s="10"/>
      <c r="Y326" s="10"/>
      <c r="Z326" s="50"/>
      <c r="AA326" s="50"/>
      <c r="AB326" s="50"/>
      <c r="AC326" s="50"/>
      <c r="AD326" s="247"/>
      <c r="AE326" s="247"/>
      <c r="AF326" s="50"/>
      <c r="AG326" s="50"/>
      <c r="AH326" s="50"/>
      <c r="AI326" s="50"/>
    </row>
    <row r="327" spans="2:35" s="111" customFormat="1" x14ac:dyDescent="0.15">
      <c r="B327" s="114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R327" s="26"/>
      <c r="S327" s="26"/>
      <c r="T327" s="21"/>
      <c r="U327" s="10"/>
      <c r="V327" s="10"/>
      <c r="W327" s="10"/>
      <c r="X327" s="10"/>
      <c r="Y327" s="10"/>
      <c r="Z327" s="50"/>
      <c r="AA327" s="50"/>
      <c r="AB327" s="50"/>
      <c r="AC327" s="50"/>
      <c r="AD327" s="247"/>
      <c r="AE327" s="247"/>
      <c r="AF327" s="50"/>
      <c r="AG327" s="50"/>
      <c r="AH327" s="50"/>
      <c r="AI327" s="50"/>
    </row>
    <row r="328" spans="2:35" s="111" customFormat="1" x14ac:dyDescent="0.15">
      <c r="B328" s="114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R328" s="26"/>
      <c r="S328" s="26"/>
      <c r="T328" s="21"/>
      <c r="U328" s="10"/>
      <c r="V328" s="10"/>
      <c r="W328" s="10"/>
      <c r="X328" s="10"/>
      <c r="Y328" s="10"/>
      <c r="Z328" s="50"/>
      <c r="AA328" s="50"/>
      <c r="AB328" s="50"/>
      <c r="AC328" s="50"/>
      <c r="AD328" s="247"/>
      <c r="AE328" s="247"/>
      <c r="AF328" s="50"/>
      <c r="AG328" s="50"/>
      <c r="AH328" s="50"/>
      <c r="AI328" s="50"/>
    </row>
    <row r="329" spans="2:35" s="111" customFormat="1" x14ac:dyDescent="0.15">
      <c r="B329" s="114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R329" s="26"/>
      <c r="S329" s="26"/>
      <c r="T329" s="21"/>
      <c r="U329" s="10"/>
      <c r="V329" s="10"/>
      <c r="W329" s="10"/>
      <c r="X329" s="10"/>
      <c r="Y329" s="10"/>
      <c r="Z329" s="50"/>
      <c r="AA329" s="50"/>
      <c r="AB329" s="50"/>
      <c r="AC329" s="50"/>
      <c r="AD329" s="247"/>
      <c r="AE329" s="247"/>
      <c r="AF329" s="50"/>
      <c r="AG329" s="50"/>
      <c r="AH329" s="50"/>
      <c r="AI329" s="50"/>
    </row>
    <row r="330" spans="2:35" s="111" customFormat="1" x14ac:dyDescent="0.15">
      <c r="B330" s="114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R330" s="26"/>
      <c r="S330" s="26"/>
      <c r="T330" s="21"/>
      <c r="U330" s="10"/>
      <c r="V330" s="10"/>
      <c r="W330" s="10"/>
      <c r="X330" s="10"/>
      <c r="Y330" s="10"/>
      <c r="Z330" s="50"/>
      <c r="AA330" s="50"/>
      <c r="AB330" s="50"/>
      <c r="AC330" s="50"/>
      <c r="AD330" s="247"/>
      <c r="AE330" s="247"/>
      <c r="AF330" s="50"/>
      <c r="AG330" s="50"/>
      <c r="AH330" s="50"/>
      <c r="AI330" s="50"/>
    </row>
    <row r="331" spans="2:35" s="111" customFormat="1" x14ac:dyDescent="0.15">
      <c r="B331" s="114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R331" s="26"/>
      <c r="S331" s="26"/>
      <c r="T331" s="21"/>
      <c r="U331" s="10"/>
      <c r="V331" s="10"/>
      <c r="W331" s="10"/>
      <c r="X331" s="10"/>
      <c r="Y331" s="10"/>
      <c r="Z331" s="50"/>
      <c r="AA331" s="50"/>
      <c r="AB331" s="50"/>
      <c r="AC331" s="50"/>
      <c r="AD331" s="247"/>
      <c r="AE331" s="247"/>
      <c r="AF331" s="50"/>
      <c r="AG331" s="50"/>
      <c r="AH331" s="50"/>
      <c r="AI331" s="50"/>
    </row>
    <row r="332" spans="2:35" s="111" customFormat="1" x14ac:dyDescent="0.15">
      <c r="B332" s="114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R332" s="26"/>
      <c r="S332" s="26"/>
      <c r="T332" s="21"/>
      <c r="U332" s="10"/>
      <c r="V332" s="10"/>
      <c r="W332" s="10"/>
      <c r="X332" s="10"/>
      <c r="Y332" s="10"/>
      <c r="Z332" s="50"/>
      <c r="AA332" s="50"/>
      <c r="AB332" s="50"/>
      <c r="AC332" s="50"/>
      <c r="AD332" s="247"/>
      <c r="AE332" s="247"/>
      <c r="AF332" s="50"/>
      <c r="AG332" s="50"/>
      <c r="AH332" s="50"/>
      <c r="AI332" s="50"/>
    </row>
    <row r="333" spans="2:35" s="111" customFormat="1" x14ac:dyDescent="0.15">
      <c r="B333" s="114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R333" s="26"/>
      <c r="S333" s="26"/>
      <c r="T333" s="21"/>
      <c r="U333" s="20"/>
      <c r="V333" s="20"/>
      <c r="W333" s="20"/>
      <c r="X333" s="20"/>
      <c r="Y333" s="20"/>
      <c r="Z333" s="50"/>
      <c r="AA333" s="50"/>
      <c r="AB333" s="50"/>
      <c r="AC333" s="50"/>
      <c r="AD333" s="247"/>
      <c r="AE333" s="247"/>
      <c r="AF333" s="50"/>
      <c r="AG333" s="50"/>
      <c r="AH333" s="50"/>
      <c r="AI333" s="50"/>
    </row>
    <row r="334" spans="2:35" s="111" customFormat="1" x14ac:dyDescent="0.15">
      <c r="B334" s="114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R334" s="26"/>
      <c r="S334" s="26"/>
      <c r="T334" s="21"/>
      <c r="U334" s="20"/>
      <c r="V334" s="20"/>
      <c r="W334" s="20"/>
      <c r="X334" s="20"/>
      <c r="Y334" s="20"/>
      <c r="Z334" s="50"/>
      <c r="AA334" s="50"/>
      <c r="AB334" s="50"/>
      <c r="AC334" s="50"/>
      <c r="AD334" s="247"/>
      <c r="AE334" s="247"/>
      <c r="AF334" s="50"/>
      <c r="AG334" s="50"/>
      <c r="AH334" s="50"/>
      <c r="AI334" s="50"/>
    </row>
    <row r="335" spans="2:35" s="111" customFormat="1" x14ac:dyDescent="0.15">
      <c r="B335" s="114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R335" s="26"/>
      <c r="S335" s="26"/>
      <c r="T335" s="21"/>
      <c r="U335" s="20"/>
      <c r="V335" s="20"/>
      <c r="W335" s="20"/>
      <c r="X335" s="20"/>
      <c r="Y335" s="20"/>
      <c r="Z335" s="50"/>
      <c r="AA335" s="50"/>
      <c r="AB335" s="50"/>
      <c r="AC335" s="50"/>
      <c r="AD335" s="247"/>
      <c r="AE335" s="247"/>
      <c r="AF335" s="50"/>
      <c r="AG335" s="50"/>
      <c r="AH335" s="50"/>
      <c r="AI335" s="50"/>
    </row>
    <row r="336" spans="2:35" s="111" customFormat="1" x14ac:dyDescent="0.15">
      <c r="B336" s="114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R336" s="26"/>
      <c r="S336" s="26"/>
      <c r="T336" s="21"/>
      <c r="U336" s="20"/>
      <c r="V336" s="20"/>
      <c r="W336" s="20"/>
      <c r="X336" s="20"/>
      <c r="Y336" s="20"/>
      <c r="Z336" s="50"/>
      <c r="AA336" s="50"/>
      <c r="AB336" s="50"/>
      <c r="AC336" s="50"/>
      <c r="AD336" s="247"/>
      <c r="AE336" s="247"/>
      <c r="AF336" s="50"/>
      <c r="AG336" s="50"/>
      <c r="AH336" s="50"/>
      <c r="AI336" s="50"/>
    </row>
    <row r="337" spans="2:35" s="111" customFormat="1" x14ac:dyDescent="0.15">
      <c r="B337" s="114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R337" s="26"/>
      <c r="S337" s="26"/>
      <c r="T337" s="21"/>
      <c r="U337" s="20"/>
      <c r="V337" s="20"/>
      <c r="W337" s="20"/>
      <c r="X337" s="20"/>
      <c r="Y337" s="20"/>
      <c r="Z337" s="50"/>
      <c r="AA337" s="50"/>
      <c r="AB337" s="50"/>
      <c r="AC337" s="50"/>
      <c r="AD337" s="247"/>
      <c r="AE337" s="247"/>
      <c r="AF337" s="50"/>
      <c r="AG337" s="50"/>
      <c r="AH337" s="50"/>
      <c r="AI337" s="50"/>
    </row>
    <row r="338" spans="2:35" s="111" customFormat="1" x14ac:dyDescent="0.15">
      <c r="B338" s="114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R338" s="26"/>
      <c r="S338" s="26"/>
      <c r="T338" s="21"/>
      <c r="U338" s="20"/>
      <c r="V338" s="20"/>
      <c r="W338" s="20"/>
      <c r="X338" s="20"/>
      <c r="Y338" s="20"/>
      <c r="Z338" s="50"/>
      <c r="AA338" s="50"/>
      <c r="AB338" s="50"/>
      <c r="AC338" s="50"/>
      <c r="AD338" s="247"/>
      <c r="AE338" s="247"/>
      <c r="AF338" s="50"/>
      <c r="AG338" s="50"/>
      <c r="AH338" s="50"/>
      <c r="AI338" s="50"/>
    </row>
    <row r="339" spans="2:35" s="111" customFormat="1" x14ac:dyDescent="0.15">
      <c r="B339" s="114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R339" s="26"/>
      <c r="S339" s="26"/>
      <c r="T339" s="21"/>
      <c r="U339" s="20"/>
      <c r="V339" s="20"/>
      <c r="W339" s="20"/>
      <c r="X339" s="20"/>
      <c r="Y339" s="20"/>
      <c r="Z339" s="50"/>
      <c r="AA339" s="50"/>
      <c r="AB339" s="50"/>
      <c r="AC339" s="50"/>
      <c r="AD339" s="247"/>
      <c r="AE339" s="247"/>
      <c r="AF339" s="50"/>
      <c r="AG339" s="50"/>
      <c r="AH339" s="50"/>
      <c r="AI339" s="50"/>
    </row>
    <row r="340" spans="2:35" s="111" customFormat="1" x14ac:dyDescent="0.15">
      <c r="B340" s="114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R340" s="26"/>
      <c r="S340" s="26"/>
      <c r="T340" s="21"/>
      <c r="U340" s="20"/>
      <c r="V340" s="20"/>
      <c r="W340" s="20"/>
      <c r="X340" s="20"/>
      <c r="Y340" s="20"/>
      <c r="Z340" s="50"/>
      <c r="AA340" s="50"/>
      <c r="AB340" s="50"/>
      <c r="AC340" s="50"/>
      <c r="AD340" s="247"/>
      <c r="AE340" s="247"/>
      <c r="AF340" s="50"/>
      <c r="AG340" s="50"/>
      <c r="AH340" s="50"/>
      <c r="AI340" s="50"/>
    </row>
    <row r="341" spans="2:35" s="111" customFormat="1" x14ac:dyDescent="0.15">
      <c r="B341" s="114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R341" s="26"/>
      <c r="S341" s="26"/>
      <c r="T341" s="21"/>
      <c r="U341" s="20"/>
      <c r="V341" s="20"/>
      <c r="W341" s="20"/>
      <c r="X341" s="20"/>
      <c r="Y341" s="20"/>
      <c r="Z341" s="50"/>
      <c r="AA341" s="50"/>
      <c r="AB341" s="50"/>
      <c r="AC341" s="50"/>
      <c r="AD341" s="247"/>
      <c r="AE341" s="247"/>
      <c r="AF341" s="50"/>
      <c r="AG341" s="50"/>
      <c r="AH341" s="50"/>
      <c r="AI341" s="50"/>
    </row>
    <row r="342" spans="2:35" s="111" customFormat="1" x14ac:dyDescent="0.15">
      <c r="B342" s="114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R342" s="26"/>
      <c r="S342" s="26"/>
      <c r="T342" s="21"/>
      <c r="U342" s="20"/>
      <c r="V342" s="20"/>
      <c r="W342" s="20"/>
      <c r="X342" s="20"/>
      <c r="Y342" s="20"/>
      <c r="Z342" s="50"/>
      <c r="AA342" s="50"/>
      <c r="AB342" s="50"/>
      <c r="AC342" s="50"/>
      <c r="AD342" s="247"/>
      <c r="AE342" s="247"/>
      <c r="AF342" s="50"/>
      <c r="AG342" s="50"/>
      <c r="AH342" s="50"/>
      <c r="AI342" s="50"/>
    </row>
    <row r="343" spans="2:35" s="111" customFormat="1" x14ac:dyDescent="0.15">
      <c r="B343" s="114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R343" s="26"/>
      <c r="S343" s="26"/>
      <c r="T343" s="21"/>
      <c r="U343" s="20"/>
      <c r="V343" s="20"/>
      <c r="W343" s="20"/>
      <c r="X343" s="20"/>
      <c r="Y343" s="20"/>
      <c r="Z343" s="50"/>
      <c r="AA343" s="50"/>
      <c r="AB343" s="50"/>
      <c r="AC343" s="50"/>
      <c r="AD343" s="247"/>
      <c r="AE343" s="247"/>
      <c r="AF343" s="50"/>
      <c r="AG343" s="50"/>
      <c r="AH343" s="50"/>
      <c r="AI343" s="50"/>
    </row>
    <row r="344" spans="2:35" s="111" customFormat="1" x14ac:dyDescent="0.15">
      <c r="B344" s="114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R344" s="26"/>
      <c r="S344" s="26"/>
      <c r="T344" s="21"/>
      <c r="U344" s="20"/>
      <c r="V344" s="20"/>
      <c r="W344" s="20"/>
      <c r="X344" s="20"/>
      <c r="Y344" s="20"/>
      <c r="Z344" s="50"/>
      <c r="AA344" s="50"/>
      <c r="AB344" s="50"/>
      <c r="AC344" s="50"/>
      <c r="AD344" s="247"/>
      <c r="AE344" s="247"/>
      <c r="AF344" s="50"/>
      <c r="AG344" s="50"/>
      <c r="AH344" s="50"/>
      <c r="AI344" s="50"/>
    </row>
    <row r="345" spans="2:35" s="111" customFormat="1" x14ac:dyDescent="0.15">
      <c r="B345" s="114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R345" s="26"/>
      <c r="S345" s="26"/>
      <c r="T345" s="21"/>
      <c r="U345" s="20"/>
      <c r="V345" s="20"/>
      <c r="W345" s="20"/>
      <c r="X345" s="20"/>
      <c r="Y345" s="20"/>
      <c r="Z345" s="50"/>
      <c r="AA345" s="50"/>
      <c r="AB345" s="50"/>
      <c r="AC345" s="50"/>
      <c r="AD345" s="247"/>
      <c r="AE345" s="247"/>
      <c r="AF345" s="50"/>
      <c r="AG345" s="50"/>
      <c r="AH345" s="50"/>
      <c r="AI345" s="50"/>
    </row>
    <row r="346" spans="2:35" s="111" customFormat="1" x14ac:dyDescent="0.15">
      <c r="B346" s="114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R346" s="26"/>
      <c r="S346" s="26"/>
      <c r="T346" s="21"/>
      <c r="U346" s="20"/>
      <c r="V346" s="20"/>
      <c r="W346" s="20"/>
      <c r="X346" s="20"/>
      <c r="Y346" s="20"/>
      <c r="Z346" s="50"/>
      <c r="AA346" s="50"/>
      <c r="AB346" s="50"/>
      <c r="AC346" s="50"/>
      <c r="AD346" s="247"/>
      <c r="AE346" s="247"/>
      <c r="AF346" s="50"/>
      <c r="AG346" s="50"/>
      <c r="AH346" s="50"/>
      <c r="AI346" s="50"/>
    </row>
    <row r="347" spans="2:35" s="111" customFormat="1" x14ac:dyDescent="0.15">
      <c r="B347" s="114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R347" s="26"/>
      <c r="S347" s="26"/>
      <c r="T347" s="21"/>
      <c r="U347" s="20"/>
      <c r="V347" s="20"/>
      <c r="W347" s="20"/>
      <c r="X347" s="20"/>
      <c r="Y347" s="20"/>
      <c r="Z347" s="50"/>
      <c r="AA347" s="50"/>
      <c r="AB347" s="50"/>
      <c r="AC347" s="50"/>
      <c r="AD347" s="247"/>
      <c r="AE347" s="247"/>
      <c r="AF347" s="50"/>
      <c r="AG347" s="50"/>
      <c r="AH347" s="50"/>
      <c r="AI347" s="50"/>
    </row>
    <row r="348" spans="2:35" s="111" customFormat="1" x14ac:dyDescent="0.15">
      <c r="B348" s="114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R348" s="26"/>
      <c r="S348" s="26"/>
      <c r="T348" s="21"/>
      <c r="U348" s="20"/>
      <c r="V348" s="20"/>
      <c r="W348" s="20"/>
      <c r="X348" s="20"/>
      <c r="Y348" s="20"/>
      <c r="Z348" s="50"/>
      <c r="AA348" s="50"/>
      <c r="AB348" s="50"/>
      <c r="AC348" s="50"/>
      <c r="AD348" s="247"/>
      <c r="AE348" s="247"/>
      <c r="AF348" s="50"/>
      <c r="AG348" s="50"/>
      <c r="AH348" s="50"/>
      <c r="AI348" s="50"/>
    </row>
    <row r="349" spans="2:35" s="111" customFormat="1" x14ac:dyDescent="0.15">
      <c r="B349" s="114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R349" s="26"/>
      <c r="S349" s="26"/>
      <c r="T349" s="21"/>
      <c r="U349" s="20"/>
      <c r="V349" s="20"/>
      <c r="W349" s="20"/>
      <c r="X349" s="20"/>
      <c r="Y349" s="20"/>
      <c r="Z349" s="50"/>
      <c r="AA349" s="50"/>
      <c r="AB349" s="50"/>
      <c r="AC349" s="50"/>
      <c r="AD349" s="247"/>
      <c r="AE349" s="247"/>
      <c r="AF349" s="50"/>
      <c r="AG349" s="50"/>
      <c r="AH349" s="50"/>
      <c r="AI349" s="50"/>
    </row>
    <row r="350" spans="2:35" s="111" customFormat="1" x14ac:dyDescent="0.15">
      <c r="B350" s="114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R350" s="26"/>
      <c r="S350" s="26"/>
      <c r="T350" s="21"/>
      <c r="U350" s="20"/>
      <c r="V350" s="20"/>
      <c r="W350" s="20"/>
      <c r="X350" s="20"/>
      <c r="Y350" s="20"/>
      <c r="Z350" s="50"/>
      <c r="AA350" s="50"/>
      <c r="AB350" s="50"/>
      <c r="AC350" s="50"/>
      <c r="AD350" s="247"/>
      <c r="AE350" s="247"/>
      <c r="AF350" s="50"/>
      <c r="AG350" s="50"/>
      <c r="AH350" s="50"/>
      <c r="AI350" s="50"/>
    </row>
    <row r="351" spans="2:35" s="111" customFormat="1" x14ac:dyDescent="0.15">
      <c r="B351" s="114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R351" s="26"/>
      <c r="S351" s="26"/>
      <c r="T351" s="21"/>
      <c r="U351" s="20"/>
      <c r="V351" s="20"/>
      <c r="W351" s="20"/>
      <c r="X351" s="20"/>
      <c r="Y351" s="20"/>
      <c r="Z351" s="50"/>
      <c r="AA351" s="50"/>
      <c r="AB351" s="50"/>
      <c r="AC351" s="50"/>
      <c r="AD351" s="247"/>
      <c r="AE351" s="247"/>
      <c r="AF351" s="50"/>
      <c r="AG351" s="50"/>
      <c r="AH351" s="50"/>
      <c r="AI351" s="50"/>
    </row>
    <row r="352" spans="2:35" s="111" customFormat="1" x14ac:dyDescent="0.15">
      <c r="B352" s="114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R352" s="26"/>
      <c r="S352" s="26"/>
      <c r="T352" s="21"/>
      <c r="U352" s="20"/>
      <c r="V352" s="20"/>
      <c r="W352" s="20"/>
      <c r="X352" s="20"/>
      <c r="Y352" s="20"/>
      <c r="Z352" s="50"/>
      <c r="AA352" s="50"/>
      <c r="AB352" s="50"/>
      <c r="AC352" s="50"/>
      <c r="AD352" s="247"/>
      <c r="AE352" s="247"/>
      <c r="AF352" s="50"/>
      <c r="AG352" s="50"/>
      <c r="AH352" s="50"/>
      <c r="AI352" s="50"/>
    </row>
    <row r="353" spans="2:35" s="111" customFormat="1" x14ac:dyDescent="0.15">
      <c r="B353" s="114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R353" s="26"/>
      <c r="S353" s="26"/>
      <c r="T353" s="21"/>
      <c r="U353" s="20"/>
      <c r="V353" s="20"/>
      <c r="W353" s="20"/>
      <c r="X353" s="20"/>
      <c r="Y353" s="20"/>
      <c r="Z353" s="50"/>
      <c r="AA353" s="50"/>
      <c r="AB353" s="50"/>
      <c r="AC353" s="50"/>
      <c r="AD353" s="247"/>
      <c r="AE353" s="247"/>
      <c r="AF353" s="50"/>
      <c r="AG353" s="50"/>
      <c r="AH353" s="50"/>
      <c r="AI353" s="50"/>
    </row>
    <row r="354" spans="2:35" s="111" customFormat="1" x14ac:dyDescent="0.15">
      <c r="B354" s="114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R354" s="26"/>
      <c r="S354" s="26"/>
      <c r="T354" s="21"/>
      <c r="U354" s="20"/>
      <c r="V354" s="20"/>
      <c r="W354" s="20"/>
      <c r="X354" s="20"/>
      <c r="Y354" s="20"/>
      <c r="Z354" s="50"/>
      <c r="AA354" s="50"/>
      <c r="AB354" s="50"/>
      <c r="AC354" s="50"/>
      <c r="AD354" s="247"/>
      <c r="AE354" s="247"/>
      <c r="AF354" s="50"/>
      <c r="AG354" s="50"/>
      <c r="AH354" s="50"/>
      <c r="AI354" s="50"/>
    </row>
    <row r="355" spans="2:35" s="111" customFormat="1" x14ac:dyDescent="0.15">
      <c r="B355" s="114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R355" s="26"/>
      <c r="S355" s="26"/>
      <c r="T355" s="21"/>
      <c r="U355" s="20"/>
      <c r="V355" s="20"/>
      <c r="W355" s="20"/>
      <c r="X355" s="20"/>
      <c r="Y355" s="20"/>
      <c r="Z355" s="50"/>
      <c r="AA355" s="50"/>
      <c r="AB355" s="50"/>
      <c r="AC355" s="50"/>
      <c r="AD355" s="247"/>
      <c r="AE355" s="247"/>
      <c r="AF355" s="50"/>
      <c r="AG355" s="50"/>
      <c r="AH355" s="50"/>
      <c r="AI355" s="50"/>
    </row>
    <row r="356" spans="2:35" s="111" customFormat="1" x14ac:dyDescent="0.15">
      <c r="B356" s="114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R356" s="26"/>
      <c r="S356" s="26"/>
      <c r="T356" s="21"/>
      <c r="U356" s="20"/>
      <c r="V356" s="20"/>
      <c r="W356" s="20"/>
      <c r="X356" s="20"/>
      <c r="Y356" s="20"/>
      <c r="Z356" s="50"/>
      <c r="AA356" s="50"/>
      <c r="AB356" s="50"/>
      <c r="AC356" s="50"/>
      <c r="AD356" s="247"/>
      <c r="AE356" s="247"/>
      <c r="AF356" s="50"/>
      <c r="AG356" s="50"/>
      <c r="AH356" s="50"/>
      <c r="AI356" s="50"/>
    </row>
    <row r="357" spans="2:35" s="111" customFormat="1" x14ac:dyDescent="0.15">
      <c r="B357" s="114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R357" s="26"/>
      <c r="S357" s="26"/>
      <c r="T357" s="21"/>
      <c r="U357" s="20"/>
      <c r="V357" s="20"/>
      <c r="W357" s="20"/>
      <c r="X357" s="20"/>
      <c r="Y357" s="20"/>
      <c r="Z357" s="50"/>
      <c r="AA357" s="50"/>
      <c r="AB357" s="50"/>
      <c r="AC357" s="50"/>
      <c r="AD357" s="247"/>
      <c r="AE357" s="247"/>
      <c r="AF357" s="50"/>
      <c r="AG357" s="50"/>
      <c r="AH357" s="50"/>
      <c r="AI357" s="50"/>
    </row>
    <row r="358" spans="2:35" s="111" customFormat="1" x14ac:dyDescent="0.15">
      <c r="B358" s="114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R358" s="26"/>
      <c r="S358" s="26"/>
      <c r="T358" s="21"/>
      <c r="U358" s="20"/>
      <c r="V358" s="20"/>
      <c r="W358" s="20"/>
      <c r="X358" s="20"/>
      <c r="Y358" s="20"/>
      <c r="Z358" s="50"/>
      <c r="AA358" s="50"/>
      <c r="AB358" s="50"/>
      <c r="AC358" s="50"/>
      <c r="AD358" s="247"/>
      <c r="AE358" s="247"/>
      <c r="AF358" s="50"/>
      <c r="AG358" s="50"/>
      <c r="AH358" s="50"/>
      <c r="AI358" s="50"/>
    </row>
    <row r="359" spans="2:35" s="111" customFormat="1" x14ac:dyDescent="0.15">
      <c r="B359" s="114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R359" s="26"/>
      <c r="S359" s="26"/>
      <c r="T359" s="21"/>
      <c r="U359" s="20"/>
      <c r="V359" s="20"/>
      <c r="W359" s="20"/>
      <c r="X359" s="20"/>
      <c r="Y359" s="20"/>
      <c r="Z359" s="50"/>
      <c r="AA359" s="50"/>
      <c r="AB359" s="50"/>
      <c r="AC359" s="50"/>
      <c r="AD359" s="247"/>
      <c r="AE359" s="247"/>
      <c r="AF359" s="50"/>
      <c r="AG359" s="50"/>
      <c r="AH359" s="50"/>
      <c r="AI359" s="50"/>
    </row>
    <row r="360" spans="2:35" s="111" customFormat="1" x14ac:dyDescent="0.15">
      <c r="B360" s="114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R360" s="26"/>
      <c r="S360" s="26"/>
      <c r="T360" s="21"/>
      <c r="U360" s="20"/>
      <c r="V360" s="20"/>
      <c r="W360" s="20"/>
      <c r="X360" s="20"/>
      <c r="Y360" s="20"/>
      <c r="Z360" s="50"/>
      <c r="AA360" s="50"/>
      <c r="AB360" s="50"/>
      <c r="AC360" s="50"/>
      <c r="AD360" s="247"/>
      <c r="AE360" s="247"/>
      <c r="AF360" s="50"/>
      <c r="AG360" s="50"/>
      <c r="AH360" s="50"/>
      <c r="AI360" s="50"/>
    </row>
    <row r="361" spans="2:35" s="111" customFormat="1" x14ac:dyDescent="0.15">
      <c r="B361" s="114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R361" s="26"/>
      <c r="S361" s="26"/>
      <c r="T361" s="21"/>
      <c r="U361" s="20"/>
      <c r="V361" s="20"/>
      <c r="W361" s="20"/>
      <c r="X361" s="20"/>
      <c r="Y361" s="20"/>
      <c r="Z361" s="50"/>
      <c r="AA361" s="50"/>
      <c r="AB361" s="50"/>
      <c r="AC361" s="50"/>
      <c r="AD361" s="247"/>
      <c r="AE361" s="247"/>
      <c r="AF361" s="50"/>
      <c r="AG361" s="50"/>
      <c r="AH361" s="50"/>
      <c r="AI361" s="50"/>
    </row>
    <row r="362" spans="2:35" s="111" customFormat="1" x14ac:dyDescent="0.15">
      <c r="B362" s="114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R362" s="26"/>
      <c r="S362" s="26"/>
      <c r="T362" s="21"/>
      <c r="U362" s="20"/>
      <c r="V362" s="20"/>
      <c r="W362" s="20"/>
      <c r="X362" s="20"/>
      <c r="Y362" s="20"/>
      <c r="Z362" s="50"/>
      <c r="AA362" s="50"/>
      <c r="AB362" s="50"/>
      <c r="AC362" s="50"/>
      <c r="AD362" s="247"/>
      <c r="AE362" s="247"/>
      <c r="AF362" s="50"/>
      <c r="AG362" s="50"/>
      <c r="AH362" s="50"/>
      <c r="AI362" s="50"/>
    </row>
    <row r="363" spans="2:35" s="111" customFormat="1" x14ac:dyDescent="0.15">
      <c r="B363" s="114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R363" s="26"/>
      <c r="S363" s="26"/>
      <c r="T363" s="21"/>
      <c r="U363" s="20"/>
      <c r="V363" s="20"/>
      <c r="W363" s="20"/>
      <c r="X363" s="20"/>
      <c r="Y363" s="20"/>
      <c r="Z363" s="50"/>
      <c r="AA363" s="50"/>
      <c r="AB363" s="50"/>
      <c r="AC363" s="50"/>
      <c r="AD363" s="247"/>
      <c r="AE363" s="247"/>
      <c r="AF363" s="50"/>
      <c r="AG363" s="50"/>
      <c r="AH363" s="50"/>
      <c r="AI363" s="50"/>
    </row>
    <row r="364" spans="2:35" s="111" customFormat="1" x14ac:dyDescent="0.15">
      <c r="B364" s="114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R364" s="26"/>
      <c r="S364" s="26"/>
      <c r="T364" s="21"/>
      <c r="U364" s="20"/>
      <c r="V364" s="20"/>
      <c r="W364" s="20"/>
      <c r="X364" s="20"/>
      <c r="Y364" s="20"/>
      <c r="Z364" s="50"/>
      <c r="AA364" s="50"/>
      <c r="AB364" s="50"/>
      <c r="AC364" s="50"/>
      <c r="AD364" s="247"/>
      <c r="AE364" s="247"/>
      <c r="AF364" s="50"/>
      <c r="AG364" s="50"/>
      <c r="AH364" s="50"/>
      <c r="AI364" s="50"/>
    </row>
    <row r="365" spans="2:35" s="111" customFormat="1" x14ac:dyDescent="0.15">
      <c r="B365" s="114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R365" s="26"/>
      <c r="S365" s="26"/>
      <c r="T365" s="21"/>
      <c r="U365" s="20"/>
      <c r="V365" s="20"/>
      <c r="W365" s="20"/>
      <c r="X365" s="20"/>
      <c r="Y365" s="20"/>
      <c r="Z365" s="50"/>
      <c r="AA365" s="50"/>
      <c r="AB365" s="50"/>
      <c r="AC365" s="50"/>
      <c r="AD365" s="247"/>
      <c r="AE365" s="247"/>
      <c r="AF365" s="50"/>
      <c r="AG365" s="50"/>
      <c r="AH365" s="50"/>
      <c r="AI365" s="50"/>
    </row>
    <row r="366" spans="2:35" s="111" customFormat="1" x14ac:dyDescent="0.15">
      <c r="B366" s="114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R366" s="26"/>
      <c r="S366" s="26"/>
      <c r="T366" s="21"/>
      <c r="U366" s="20"/>
      <c r="V366" s="20"/>
      <c r="W366" s="20"/>
      <c r="X366" s="20"/>
      <c r="Y366" s="20"/>
      <c r="Z366" s="50"/>
      <c r="AA366" s="50"/>
      <c r="AB366" s="50"/>
      <c r="AC366" s="50"/>
      <c r="AD366" s="247"/>
      <c r="AE366" s="247"/>
      <c r="AF366" s="50"/>
      <c r="AG366" s="50"/>
      <c r="AH366" s="50"/>
      <c r="AI366" s="50"/>
    </row>
    <row r="367" spans="2:35" s="111" customFormat="1" x14ac:dyDescent="0.15">
      <c r="B367" s="114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R367" s="26"/>
      <c r="S367" s="26"/>
      <c r="T367" s="21"/>
      <c r="U367" s="20"/>
      <c r="V367" s="20"/>
      <c r="W367" s="20"/>
      <c r="X367" s="20"/>
      <c r="Y367" s="20"/>
      <c r="Z367" s="50"/>
      <c r="AA367" s="50"/>
      <c r="AB367" s="50"/>
      <c r="AC367" s="50"/>
      <c r="AD367" s="247"/>
      <c r="AE367" s="247"/>
      <c r="AF367" s="50"/>
      <c r="AG367" s="50"/>
      <c r="AH367" s="50"/>
      <c r="AI367" s="50"/>
    </row>
    <row r="368" spans="2:35" s="111" customFormat="1" x14ac:dyDescent="0.15">
      <c r="B368" s="114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R368" s="26"/>
      <c r="S368" s="26"/>
      <c r="T368" s="21"/>
      <c r="U368" s="20"/>
      <c r="V368" s="20"/>
      <c r="W368" s="20"/>
      <c r="X368" s="20"/>
      <c r="Y368" s="20"/>
      <c r="Z368" s="50"/>
      <c r="AA368" s="50"/>
      <c r="AB368" s="50"/>
      <c r="AC368" s="50"/>
      <c r="AD368" s="247"/>
      <c r="AE368" s="247"/>
      <c r="AF368" s="50"/>
      <c r="AG368" s="50"/>
      <c r="AH368" s="50"/>
      <c r="AI368" s="50"/>
    </row>
    <row r="369" spans="2:35" s="111" customFormat="1" x14ac:dyDescent="0.15">
      <c r="B369" s="114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R369" s="26"/>
      <c r="S369" s="26"/>
      <c r="T369" s="21"/>
      <c r="U369" s="20"/>
      <c r="V369" s="20"/>
      <c r="W369" s="20"/>
      <c r="X369" s="20"/>
      <c r="Y369" s="20"/>
      <c r="Z369" s="50"/>
      <c r="AA369" s="50"/>
      <c r="AB369" s="50"/>
      <c r="AC369" s="50"/>
      <c r="AD369" s="247"/>
      <c r="AE369" s="247"/>
      <c r="AF369" s="50"/>
      <c r="AG369" s="50"/>
      <c r="AH369" s="50"/>
      <c r="AI369" s="50"/>
    </row>
    <row r="370" spans="2:35" s="111" customFormat="1" x14ac:dyDescent="0.15">
      <c r="B370" s="114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R370" s="26"/>
      <c r="S370" s="26"/>
      <c r="T370" s="21"/>
      <c r="U370" s="20"/>
      <c r="V370" s="20"/>
      <c r="W370" s="20"/>
      <c r="X370" s="20"/>
      <c r="Y370" s="20"/>
      <c r="Z370" s="50"/>
      <c r="AA370" s="50"/>
      <c r="AB370" s="50"/>
      <c r="AC370" s="50"/>
      <c r="AD370" s="247"/>
      <c r="AE370" s="247"/>
      <c r="AF370" s="50"/>
      <c r="AG370" s="50"/>
      <c r="AH370" s="50"/>
      <c r="AI370" s="50"/>
    </row>
    <row r="371" spans="2:35" s="111" customFormat="1" x14ac:dyDescent="0.15">
      <c r="B371" s="114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R371" s="26"/>
      <c r="S371" s="26"/>
      <c r="T371" s="21"/>
      <c r="U371" s="20"/>
      <c r="V371" s="20"/>
      <c r="W371" s="20"/>
      <c r="X371" s="20"/>
      <c r="Y371" s="20"/>
      <c r="Z371" s="50"/>
      <c r="AA371" s="50"/>
      <c r="AB371" s="50"/>
      <c r="AC371" s="50"/>
      <c r="AD371" s="247"/>
      <c r="AE371" s="247"/>
      <c r="AF371" s="50"/>
      <c r="AG371" s="50"/>
      <c r="AH371" s="50"/>
      <c r="AI371" s="50"/>
    </row>
    <row r="372" spans="2:35" s="111" customFormat="1" x14ac:dyDescent="0.15">
      <c r="B372" s="114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R372" s="26"/>
      <c r="S372" s="26"/>
      <c r="T372" s="21"/>
      <c r="U372" s="20"/>
      <c r="V372" s="20"/>
      <c r="W372" s="20"/>
      <c r="X372" s="20"/>
      <c r="Y372" s="20"/>
      <c r="Z372" s="50"/>
      <c r="AA372" s="50"/>
      <c r="AB372" s="50"/>
      <c r="AC372" s="50"/>
      <c r="AD372" s="247"/>
      <c r="AE372" s="247"/>
      <c r="AF372" s="50"/>
      <c r="AG372" s="50"/>
      <c r="AH372" s="50"/>
      <c r="AI372" s="50"/>
    </row>
    <row r="373" spans="2:35" s="111" customFormat="1" x14ac:dyDescent="0.15">
      <c r="B373" s="114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R373" s="26"/>
      <c r="S373" s="26"/>
      <c r="T373" s="21"/>
      <c r="U373" s="20"/>
      <c r="V373" s="20"/>
      <c r="W373" s="20"/>
      <c r="X373" s="20"/>
      <c r="Y373" s="20"/>
      <c r="Z373" s="50"/>
      <c r="AA373" s="50"/>
      <c r="AB373" s="50"/>
      <c r="AC373" s="50"/>
      <c r="AD373" s="247"/>
      <c r="AE373" s="247"/>
      <c r="AF373" s="50"/>
      <c r="AG373" s="50"/>
      <c r="AH373" s="50"/>
      <c r="AI373" s="50"/>
    </row>
    <row r="374" spans="2:35" s="111" customFormat="1" x14ac:dyDescent="0.15">
      <c r="B374" s="114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R374" s="26"/>
      <c r="S374" s="26"/>
      <c r="T374" s="21"/>
      <c r="U374" s="20"/>
      <c r="V374" s="20"/>
      <c r="W374" s="20"/>
      <c r="X374" s="20"/>
      <c r="Y374" s="20"/>
      <c r="Z374" s="50"/>
      <c r="AA374" s="50"/>
      <c r="AB374" s="50"/>
      <c r="AC374" s="50"/>
      <c r="AD374" s="247"/>
      <c r="AE374" s="247"/>
      <c r="AF374" s="50"/>
      <c r="AG374" s="50"/>
      <c r="AH374" s="50"/>
      <c r="AI374" s="50"/>
    </row>
    <row r="375" spans="2:35" s="111" customFormat="1" x14ac:dyDescent="0.15">
      <c r="B375" s="114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R375" s="26"/>
      <c r="S375" s="26"/>
      <c r="T375" s="21"/>
      <c r="U375" s="20"/>
      <c r="V375" s="20"/>
      <c r="W375" s="20"/>
      <c r="X375" s="20"/>
      <c r="Y375" s="20"/>
      <c r="Z375" s="50"/>
      <c r="AA375" s="50"/>
      <c r="AB375" s="50"/>
      <c r="AC375" s="50"/>
      <c r="AD375" s="247"/>
      <c r="AE375" s="247"/>
      <c r="AF375" s="50"/>
      <c r="AG375" s="50"/>
      <c r="AH375" s="50"/>
      <c r="AI375" s="50"/>
    </row>
    <row r="376" spans="2:35" s="111" customFormat="1" x14ac:dyDescent="0.15">
      <c r="B376" s="114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R376" s="26"/>
      <c r="S376" s="26"/>
      <c r="T376" s="21"/>
      <c r="U376" s="20"/>
      <c r="V376" s="20"/>
      <c r="W376" s="20"/>
      <c r="X376" s="20"/>
      <c r="Y376" s="20"/>
      <c r="Z376" s="50"/>
      <c r="AA376" s="50"/>
      <c r="AB376" s="50"/>
      <c r="AC376" s="50"/>
      <c r="AD376" s="247"/>
      <c r="AE376" s="247"/>
      <c r="AF376" s="50"/>
      <c r="AG376" s="50"/>
      <c r="AH376" s="50"/>
      <c r="AI376" s="50"/>
    </row>
    <row r="377" spans="2:35" s="111" customFormat="1" x14ac:dyDescent="0.15">
      <c r="B377" s="114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R377" s="26"/>
      <c r="S377" s="26"/>
      <c r="T377" s="21"/>
      <c r="U377" s="20"/>
      <c r="V377" s="20"/>
      <c r="W377" s="20"/>
      <c r="X377" s="20"/>
      <c r="Y377" s="20"/>
      <c r="Z377" s="50"/>
      <c r="AA377" s="50"/>
      <c r="AB377" s="50"/>
      <c r="AC377" s="50"/>
      <c r="AD377" s="247"/>
      <c r="AE377" s="247"/>
      <c r="AF377" s="50"/>
      <c r="AG377" s="50"/>
      <c r="AH377" s="50"/>
      <c r="AI377" s="50"/>
    </row>
    <row r="378" spans="2:35" s="111" customFormat="1" x14ac:dyDescent="0.15">
      <c r="B378" s="114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R378" s="26"/>
      <c r="S378" s="26"/>
      <c r="T378" s="21"/>
      <c r="U378" s="20"/>
      <c r="V378" s="20"/>
      <c r="W378" s="20"/>
      <c r="X378" s="20"/>
      <c r="Y378" s="20"/>
      <c r="Z378" s="50"/>
      <c r="AA378" s="50"/>
      <c r="AB378" s="50"/>
      <c r="AC378" s="50"/>
      <c r="AD378" s="247"/>
      <c r="AE378" s="247"/>
      <c r="AF378" s="50"/>
      <c r="AG378" s="50"/>
      <c r="AH378" s="50"/>
      <c r="AI378" s="50"/>
    </row>
    <row r="379" spans="2:35" s="111" customFormat="1" x14ac:dyDescent="0.15">
      <c r="B379" s="114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R379" s="26"/>
      <c r="S379" s="26"/>
      <c r="T379" s="21"/>
      <c r="U379" s="20"/>
      <c r="V379" s="20"/>
      <c r="W379" s="20"/>
      <c r="X379" s="20"/>
      <c r="Y379" s="20"/>
      <c r="Z379" s="50"/>
      <c r="AA379" s="50"/>
      <c r="AB379" s="50"/>
      <c r="AC379" s="50"/>
      <c r="AD379" s="247"/>
      <c r="AE379" s="247"/>
      <c r="AF379" s="50"/>
      <c r="AG379" s="50"/>
      <c r="AH379" s="50"/>
      <c r="AI379" s="50"/>
    </row>
    <row r="380" spans="2:35" s="111" customFormat="1" x14ac:dyDescent="0.15">
      <c r="B380" s="114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R380" s="26"/>
      <c r="S380" s="26"/>
      <c r="T380" s="21"/>
      <c r="U380" s="20"/>
      <c r="V380" s="20"/>
      <c r="W380" s="20"/>
      <c r="X380" s="20"/>
      <c r="Y380" s="20"/>
      <c r="Z380" s="50"/>
      <c r="AA380" s="50"/>
      <c r="AB380" s="50"/>
      <c r="AC380" s="50"/>
      <c r="AD380" s="247"/>
      <c r="AE380" s="247"/>
      <c r="AF380" s="50"/>
      <c r="AG380" s="50"/>
      <c r="AH380" s="50"/>
      <c r="AI380" s="50"/>
    </row>
    <row r="381" spans="2:35" s="111" customFormat="1" x14ac:dyDescent="0.15">
      <c r="B381" s="114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R381" s="26"/>
      <c r="S381" s="26"/>
      <c r="T381" s="21"/>
      <c r="U381" s="20"/>
      <c r="V381" s="20"/>
      <c r="W381" s="20"/>
      <c r="X381" s="20"/>
      <c r="Y381" s="20"/>
      <c r="Z381" s="50"/>
      <c r="AA381" s="50"/>
      <c r="AB381" s="50"/>
      <c r="AC381" s="50"/>
      <c r="AD381" s="247"/>
      <c r="AE381" s="247"/>
      <c r="AF381" s="50"/>
      <c r="AG381" s="50"/>
      <c r="AH381" s="50"/>
      <c r="AI381" s="50"/>
    </row>
    <row r="382" spans="2:35" s="111" customFormat="1" x14ac:dyDescent="0.15">
      <c r="B382" s="114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R382" s="26"/>
      <c r="S382" s="26"/>
      <c r="T382" s="21"/>
      <c r="U382" s="20"/>
      <c r="V382" s="20"/>
      <c r="W382" s="20"/>
      <c r="X382" s="20"/>
      <c r="Y382" s="20"/>
      <c r="Z382" s="50"/>
      <c r="AA382" s="50"/>
      <c r="AB382" s="50"/>
      <c r="AC382" s="50"/>
      <c r="AD382" s="247"/>
      <c r="AE382" s="247"/>
      <c r="AF382" s="50"/>
      <c r="AG382" s="50"/>
      <c r="AH382" s="50"/>
      <c r="AI382" s="50"/>
    </row>
    <row r="383" spans="2:35" s="111" customFormat="1" x14ac:dyDescent="0.15">
      <c r="B383" s="114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R383" s="26"/>
      <c r="S383" s="26"/>
      <c r="T383" s="21"/>
      <c r="U383" s="20"/>
      <c r="V383" s="20"/>
      <c r="W383" s="20"/>
      <c r="X383" s="20"/>
      <c r="Y383" s="20"/>
      <c r="Z383" s="50"/>
      <c r="AA383" s="50"/>
      <c r="AB383" s="50"/>
      <c r="AC383" s="50"/>
      <c r="AD383" s="247"/>
      <c r="AE383" s="247"/>
      <c r="AF383" s="50"/>
      <c r="AG383" s="50"/>
      <c r="AH383" s="50"/>
      <c r="AI383" s="50"/>
    </row>
    <row r="384" spans="2:35" s="111" customFormat="1" x14ac:dyDescent="0.15">
      <c r="B384" s="114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R384" s="26"/>
      <c r="S384" s="26"/>
      <c r="T384" s="21"/>
      <c r="U384" s="20"/>
      <c r="V384" s="20"/>
      <c r="W384" s="20"/>
      <c r="X384" s="20"/>
      <c r="Y384" s="20"/>
      <c r="Z384" s="50"/>
      <c r="AA384" s="50"/>
      <c r="AB384" s="50"/>
      <c r="AC384" s="50"/>
      <c r="AD384" s="247"/>
      <c r="AE384" s="247"/>
      <c r="AF384" s="50"/>
      <c r="AG384" s="50"/>
      <c r="AH384" s="50"/>
      <c r="AI384" s="50"/>
    </row>
    <row r="385" spans="2:35" s="111" customFormat="1" x14ac:dyDescent="0.15">
      <c r="B385" s="114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R385" s="26"/>
      <c r="S385" s="26"/>
      <c r="T385" s="21"/>
      <c r="U385" s="20"/>
      <c r="V385" s="20"/>
      <c r="W385" s="20"/>
      <c r="X385" s="20"/>
      <c r="Y385" s="20"/>
      <c r="Z385" s="50"/>
      <c r="AA385" s="50"/>
      <c r="AB385" s="50"/>
      <c r="AC385" s="50"/>
      <c r="AD385" s="247"/>
      <c r="AE385" s="247"/>
      <c r="AF385" s="50"/>
      <c r="AG385" s="50"/>
      <c r="AH385" s="50"/>
      <c r="AI385" s="50"/>
    </row>
    <row r="386" spans="2:35" s="111" customFormat="1" x14ac:dyDescent="0.15">
      <c r="B386" s="114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R386" s="26"/>
      <c r="S386" s="26"/>
      <c r="T386" s="21"/>
      <c r="U386" s="20"/>
      <c r="V386" s="20"/>
      <c r="W386" s="20"/>
      <c r="X386" s="20"/>
      <c r="Y386" s="20"/>
      <c r="Z386" s="50"/>
      <c r="AA386" s="50"/>
      <c r="AB386" s="50"/>
      <c r="AC386" s="50"/>
      <c r="AD386" s="247"/>
      <c r="AE386" s="247"/>
      <c r="AF386" s="50"/>
      <c r="AG386" s="50"/>
      <c r="AH386" s="50"/>
      <c r="AI386" s="50"/>
    </row>
    <row r="387" spans="2:35" s="111" customFormat="1" x14ac:dyDescent="0.15">
      <c r="B387" s="114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R387" s="26"/>
      <c r="S387" s="26"/>
      <c r="T387" s="21"/>
      <c r="U387" s="20"/>
      <c r="V387" s="20"/>
      <c r="W387" s="20"/>
      <c r="X387" s="20"/>
      <c r="Y387" s="20"/>
      <c r="Z387" s="50"/>
      <c r="AA387" s="50"/>
      <c r="AB387" s="50"/>
      <c r="AC387" s="50"/>
      <c r="AD387" s="247"/>
      <c r="AE387" s="247"/>
      <c r="AF387" s="50"/>
      <c r="AG387" s="50"/>
      <c r="AH387" s="50"/>
      <c r="AI387" s="50"/>
    </row>
    <row r="388" spans="2:35" s="111" customFormat="1" x14ac:dyDescent="0.15">
      <c r="B388" s="114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R388" s="26"/>
      <c r="S388" s="26"/>
      <c r="T388" s="21"/>
      <c r="U388" s="20"/>
      <c r="V388" s="20"/>
      <c r="W388" s="20"/>
      <c r="X388" s="20"/>
      <c r="Y388" s="20"/>
      <c r="Z388" s="50"/>
      <c r="AA388" s="50"/>
      <c r="AB388" s="50"/>
      <c r="AC388" s="50"/>
      <c r="AD388" s="247"/>
      <c r="AE388" s="247"/>
      <c r="AF388" s="50"/>
      <c r="AG388" s="50"/>
      <c r="AH388" s="50"/>
      <c r="AI388" s="50"/>
    </row>
    <row r="389" spans="2:35" s="111" customFormat="1" x14ac:dyDescent="0.15">
      <c r="B389" s="114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R389" s="26"/>
      <c r="S389" s="26"/>
      <c r="T389" s="21"/>
      <c r="U389" s="20"/>
      <c r="V389" s="20"/>
      <c r="W389" s="20"/>
      <c r="X389" s="20"/>
      <c r="Y389" s="20"/>
      <c r="Z389" s="50"/>
      <c r="AA389" s="50"/>
      <c r="AB389" s="50"/>
      <c r="AC389" s="50"/>
      <c r="AD389" s="247"/>
      <c r="AE389" s="247"/>
      <c r="AF389" s="50"/>
      <c r="AG389" s="50"/>
      <c r="AH389" s="50"/>
      <c r="AI389" s="50"/>
    </row>
    <row r="390" spans="2:35" s="111" customFormat="1" x14ac:dyDescent="0.15">
      <c r="B390" s="114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R390" s="26"/>
      <c r="S390" s="26"/>
      <c r="T390" s="21"/>
      <c r="U390" s="20"/>
      <c r="V390" s="20"/>
      <c r="W390" s="20"/>
      <c r="X390" s="20"/>
      <c r="Y390" s="20"/>
      <c r="Z390" s="50"/>
      <c r="AA390" s="50"/>
      <c r="AB390" s="50"/>
      <c r="AC390" s="50"/>
      <c r="AD390" s="247"/>
      <c r="AE390" s="247"/>
      <c r="AF390" s="50"/>
      <c r="AG390" s="50"/>
      <c r="AH390" s="50"/>
      <c r="AI390" s="50"/>
    </row>
    <row r="391" spans="2:35" s="111" customFormat="1" x14ac:dyDescent="0.15">
      <c r="B391" s="114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R391" s="26"/>
      <c r="S391" s="26"/>
      <c r="T391" s="21"/>
      <c r="U391" s="20"/>
      <c r="V391" s="20"/>
      <c r="W391" s="20"/>
      <c r="X391" s="20"/>
      <c r="Y391" s="20"/>
      <c r="Z391" s="50"/>
      <c r="AA391" s="50"/>
      <c r="AB391" s="50"/>
      <c r="AC391" s="50"/>
      <c r="AD391" s="247"/>
      <c r="AE391" s="247"/>
      <c r="AF391" s="50"/>
      <c r="AG391" s="50"/>
      <c r="AH391" s="50"/>
      <c r="AI391" s="50"/>
    </row>
    <row r="392" spans="2:35" s="111" customFormat="1" x14ac:dyDescent="0.15">
      <c r="B392" s="114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R392" s="26"/>
      <c r="S392" s="26"/>
      <c r="T392" s="21"/>
      <c r="U392" s="20"/>
      <c r="V392" s="20"/>
      <c r="W392" s="20"/>
      <c r="X392" s="20"/>
      <c r="Y392" s="20"/>
      <c r="Z392" s="50"/>
      <c r="AA392" s="50"/>
      <c r="AB392" s="50"/>
      <c r="AC392" s="50"/>
      <c r="AD392" s="247"/>
      <c r="AE392" s="247"/>
      <c r="AF392" s="50"/>
      <c r="AG392" s="50"/>
      <c r="AH392" s="50"/>
      <c r="AI392" s="50"/>
    </row>
    <row r="393" spans="2:35" s="111" customFormat="1" x14ac:dyDescent="0.15">
      <c r="B393" s="114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R393" s="26"/>
      <c r="S393" s="26"/>
      <c r="T393" s="21"/>
      <c r="U393" s="20"/>
      <c r="V393" s="20"/>
      <c r="W393" s="20"/>
      <c r="X393" s="20"/>
      <c r="Y393" s="20"/>
      <c r="Z393" s="50"/>
      <c r="AA393" s="50"/>
      <c r="AB393" s="50"/>
      <c r="AC393" s="50"/>
      <c r="AD393" s="247"/>
      <c r="AE393" s="247"/>
      <c r="AF393" s="50"/>
      <c r="AG393" s="50"/>
      <c r="AH393" s="50"/>
      <c r="AI393" s="50"/>
    </row>
    <row r="394" spans="2:35" s="111" customFormat="1" x14ac:dyDescent="0.15">
      <c r="B394" s="114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R394" s="26"/>
      <c r="S394" s="26"/>
      <c r="T394" s="21"/>
      <c r="U394" s="20"/>
      <c r="V394" s="20"/>
      <c r="W394" s="20"/>
      <c r="X394" s="20"/>
      <c r="Y394" s="20"/>
      <c r="Z394" s="50"/>
      <c r="AA394" s="50"/>
      <c r="AB394" s="50"/>
      <c r="AC394" s="50"/>
      <c r="AD394" s="247"/>
      <c r="AE394" s="247"/>
      <c r="AF394" s="50"/>
      <c r="AG394" s="50"/>
      <c r="AH394" s="50"/>
      <c r="AI394" s="50"/>
    </row>
    <row r="395" spans="2:35" s="111" customFormat="1" x14ac:dyDescent="0.15">
      <c r="B395" s="114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R395" s="26"/>
      <c r="S395" s="26"/>
      <c r="T395" s="21"/>
      <c r="U395" s="20"/>
      <c r="V395" s="20"/>
      <c r="W395" s="20"/>
      <c r="X395" s="20"/>
      <c r="Y395" s="20"/>
      <c r="Z395" s="50"/>
      <c r="AA395" s="50"/>
      <c r="AB395" s="50"/>
      <c r="AC395" s="50"/>
      <c r="AD395" s="247"/>
      <c r="AE395" s="247"/>
      <c r="AF395" s="50"/>
      <c r="AG395" s="50"/>
      <c r="AH395" s="50"/>
      <c r="AI395" s="50"/>
    </row>
    <row r="396" spans="2:35" s="111" customFormat="1" x14ac:dyDescent="0.15">
      <c r="B396" s="114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R396" s="26"/>
      <c r="S396" s="26"/>
      <c r="T396" s="21"/>
      <c r="U396" s="20"/>
      <c r="V396" s="20"/>
      <c r="W396" s="20"/>
      <c r="X396" s="20"/>
      <c r="Y396" s="20"/>
      <c r="Z396" s="50"/>
      <c r="AA396" s="50"/>
      <c r="AB396" s="50"/>
      <c r="AC396" s="50"/>
      <c r="AD396" s="247"/>
      <c r="AE396" s="247"/>
      <c r="AF396" s="50"/>
      <c r="AG396" s="50"/>
      <c r="AH396" s="50"/>
      <c r="AI396" s="50"/>
    </row>
    <row r="397" spans="2:35" s="111" customFormat="1" x14ac:dyDescent="0.15">
      <c r="B397" s="114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R397" s="26"/>
      <c r="S397" s="26"/>
      <c r="T397" s="21"/>
      <c r="U397" s="20"/>
      <c r="V397" s="20"/>
      <c r="W397" s="20"/>
      <c r="X397" s="20"/>
      <c r="Y397" s="20"/>
      <c r="Z397" s="50"/>
      <c r="AA397" s="50"/>
      <c r="AB397" s="50"/>
      <c r="AC397" s="50"/>
      <c r="AD397" s="247"/>
      <c r="AE397" s="247"/>
      <c r="AF397" s="50"/>
      <c r="AG397" s="50"/>
      <c r="AH397" s="50"/>
      <c r="AI397" s="50"/>
    </row>
    <row r="398" spans="2:35" s="111" customFormat="1" x14ac:dyDescent="0.15">
      <c r="B398" s="114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R398" s="26"/>
      <c r="S398" s="26"/>
      <c r="T398" s="21"/>
      <c r="U398" s="20"/>
      <c r="V398" s="20"/>
      <c r="W398" s="20"/>
      <c r="X398" s="20"/>
      <c r="Y398" s="20"/>
      <c r="Z398" s="50"/>
      <c r="AA398" s="50"/>
      <c r="AB398" s="50"/>
      <c r="AC398" s="50"/>
      <c r="AD398" s="247"/>
      <c r="AE398" s="247"/>
      <c r="AF398" s="50"/>
      <c r="AG398" s="50"/>
      <c r="AH398" s="50"/>
      <c r="AI398" s="50"/>
    </row>
    <row r="399" spans="2:35" s="111" customFormat="1" x14ac:dyDescent="0.15">
      <c r="B399" s="114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R399" s="26"/>
      <c r="S399" s="26"/>
      <c r="T399" s="21"/>
      <c r="U399" s="20"/>
      <c r="V399" s="20"/>
      <c r="W399" s="20"/>
      <c r="X399" s="20"/>
      <c r="Y399" s="20"/>
      <c r="Z399" s="50"/>
      <c r="AA399" s="50"/>
      <c r="AB399" s="50"/>
      <c r="AC399" s="50"/>
      <c r="AD399" s="247"/>
      <c r="AE399" s="247"/>
      <c r="AF399" s="50"/>
      <c r="AG399" s="50"/>
      <c r="AH399" s="50"/>
      <c r="AI399" s="50"/>
    </row>
    <row r="400" spans="2:35" s="111" customFormat="1" x14ac:dyDescent="0.15">
      <c r="B400" s="114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R400" s="26"/>
      <c r="S400" s="26"/>
      <c r="T400" s="21"/>
      <c r="U400" s="20"/>
      <c r="V400" s="20"/>
      <c r="W400" s="20"/>
      <c r="X400" s="20"/>
      <c r="Y400" s="20"/>
      <c r="Z400" s="50"/>
      <c r="AA400" s="50"/>
      <c r="AB400" s="50"/>
      <c r="AC400" s="50"/>
      <c r="AD400" s="247"/>
      <c r="AE400" s="247"/>
      <c r="AF400" s="50"/>
      <c r="AG400" s="50"/>
      <c r="AH400" s="50"/>
      <c r="AI400" s="50"/>
    </row>
    <row r="401" spans="2:35" s="111" customFormat="1" x14ac:dyDescent="0.15">
      <c r="B401" s="114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R401" s="26"/>
      <c r="S401" s="26"/>
      <c r="T401" s="21"/>
      <c r="U401" s="20"/>
      <c r="V401" s="20"/>
      <c r="W401" s="20"/>
      <c r="X401" s="20"/>
      <c r="Y401" s="20"/>
      <c r="Z401" s="50"/>
      <c r="AA401" s="50"/>
      <c r="AB401" s="50"/>
      <c r="AC401" s="50"/>
      <c r="AD401" s="247"/>
      <c r="AE401" s="247"/>
      <c r="AF401" s="50"/>
      <c r="AG401" s="50"/>
      <c r="AH401" s="50"/>
      <c r="AI401" s="50"/>
    </row>
    <row r="402" spans="2:35" s="111" customFormat="1" x14ac:dyDescent="0.15">
      <c r="B402" s="114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R402" s="26"/>
      <c r="S402" s="26"/>
      <c r="T402" s="21"/>
      <c r="U402" s="20"/>
      <c r="V402" s="20"/>
      <c r="W402" s="20"/>
      <c r="X402" s="20"/>
      <c r="Y402" s="20"/>
      <c r="Z402" s="50"/>
      <c r="AA402" s="50"/>
      <c r="AB402" s="50"/>
      <c r="AC402" s="50"/>
      <c r="AD402" s="247"/>
      <c r="AE402" s="247"/>
      <c r="AF402" s="50"/>
      <c r="AG402" s="50"/>
      <c r="AH402" s="50"/>
      <c r="AI402" s="50"/>
    </row>
    <row r="403" spans="2:35" s="111" customFormat="1" x14ac:dyDescent="0.15">
      <c r="B403" s="114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R403" s="26"/>
      <c r="S403" s="26"/>
      <c r="T403" s="21"/>
      <c r="U403" s="20"/>
      <c r="V403" s="20"/>
      <c r="W403" s="20"/>
      <c r="X403" s="20"/>
      <c r="Y403" s="20"/>
      <c r="Z403" s="50"/>
      <c r="AA403" s="50"/>
      <c r="AB403" s="50"/>
      <c r="AC403" s="50"/>
      <c r="AD403" s="247"/>
      <c r="AE403" s="247"/>
      <c r="AF403" s="50"/>
      <c r="AG403" s="50"/>
      <c r="AH403" s="50"/>
      <c r="AI403" s="50"/>
    </row>
    <row r="404" spans="2:35" s="111" customFormat="1" x14ac:dyDescent="0.15">
      <c r="B404" s="114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R404" s="26"/>
      <c r="S404" s="26"/>
      <c r="T404" s="21"/>
      <c r="U404" s="20"/>
      <c r="V404" s="20"/>
      <c r="W404" s="20"/>
      <c r="X404" s="20"/>
      <c r="Y404" s="20"/>
      <c r="Z404" s="50"/>
      <c r="AA404" s="50"/>
      <c r="AB404" s="50"/>
      <c r="AC404" s="50"/>
      <c r="AD404" s="247"/>
      <c r="AE404" s="247"/>
      <c r="AF404" s="50"/>
      <c r="AG404" s="50"/>
      <c r="AH404" s="50"/>
      <c r="AI404" s="50"/>
    </row>
    <row r="405" spans="2:35" s="111" customFormat="1" x14ac:dyDescent="0.15">
      <c r="B405" s="114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R405" s="26"/>
      <c r="S405" s="26"/>
      <c r="T405" s="21"/>
      <c r="U405" s="20"/>
      <c r="V405" s="20"/>
      <c r="W405" s="20"/>
      <c r="X405" s="20"/>
      <c r="Y405" s="20"/>
      <c r="Z405" s="50"/>
      <c r="AA405" s="50"/>
      <c r="AB405" s="50"/>
      <c r="AC405" s="50"/>
      <c r="AD405" s="247"/>
      <c r="AE405" s="247"/>
      <c r="AF405" s="50"/>
      <c r="AG405" s="50"/>
      <c r="AH405" s="50"/>
      <c r="AI405" s="50"/>
    </row>
    <row r="406" spans="2:35" s="111" customFormat="1" x14ac:dyDescent="0.15">
      <c r="B406" s="114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R406" s="26"/>
      <c r="S406" s="26"/>
      <c r="T406" s="21"/>
      <c r="U406" s="20"/>
      <c r="V406" s="20"/>
      <c r="W406" s="20"/>
      <c r="X406" s="20"/>
      <c r="Y406" s="20"/>
      <c r="Z406" s="50"/>
      <c r="AA406" s="50"/>
      <c r="AB406" s="50"/>
      <c r="AC406" s="50"/>
      <c r="AD406" s="247"/>
      <c r="AE406" s="247"/>
      <c r="AF406" s="50"/>
      <c r="AG406" s="50"/>
      <c r="AH406" s="50"/>
      <c r="AI406" s="50"/>
    </row>
    <row r="407" spans="2:35" s="111" customFormat="1" x14ac:dyDescent="0.15">
      <c r="B407" s="114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R407" s="26"/>
      <c r="S407" s="26"/>
      <c r="T407" s="21"/>
      <c r="U407" s="20"/>
      <c r="V407" s="20"/>
      <c r="W407" s="20"/>
      <c r="X407" s="20"/>
      <c r="Y407" s="20"/>
      <c r="Z407" s="50"/>
      <c r="AA407" s="50"/>
      <c r="AB407" s="50"/>
      <c r="AC407" s="50"/>
      <c r="AD407" s="247"/>
      <c r="AE407" s="247"/>
      <c r="AF407" s="50"/>
      <c r="AG407" s="50"/>
      <c r="AH407" s="50"/>
      <c r="AI407" s="50"/>
    </row>
    <row r="408" spans="2:35" s="111" customFormat="1" x14ac:dyDescent="0.15">
      <c r="B408" s="114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R408" s="26"/>
      <c r="S408" s="26"/>
      <c r="T408" s="21"/>
      <c r="U408" s="20"/>
      <c r="V408" s="20"/>
      <c r="W408" s="20"/>
      <c r="X408" s="20"/>
      <c r="Y408" s="20"/>
      <c r="Z408" s="50"/>
      <c r="AA408" s="50"/>
      <c r="AB408" s="50"/>
      <c r="AC408" s="50"/>
      <c r="AD408" s="247"/>
      <c r="AE408" s="247"/>
      <c r="AF408" s="50"/>
      <c r="AG408" s="50"/>
      <c r="AH408" s="50"/>
      <c r="AI408" s="50"/>
    </row>
    <row r="409" spans="2:35" s="111" customFormat="1" x14ac:dyDescent="0.15">
      <c r="B409" s="114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R409" s="26"/>
      <c r="S409" s="26"/>
      <c r="T409" s="21"/>
      <c r="U409" s="20"/>
      <c r="V409" s="20"/>
      <c r="W409" s="20"/>
      <c r="X409" s="20"/>
      <c r="Y409" s="20"/>
      <c r="Z409" s="50"/>
      <c r="AA409" s="50"/>
      <c r="AB409" s="50"/>
      <c r="AC409" s="50"/>
      <c r="AD409" s="247"/>
      <c r="AE409" s="247"/>
      <c r="AF409" s="50"/>
      <c r="AG409" s="50"/>
      <c r="AH409" s="50"/>
      <c r="AI409" s="50"/>
    </row>
    <row r="410" spans="2:35" s="111" customFormat="1" x14ac:dyDescent="0.15">
      <c r="B410" s="114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R410" s="26"/>
      <c r="S410" s="26"/>
      <c r="T410" s="21"/>
      <c r="U410" s="20"/>
      <c r="V410" s="20"/>
      <c r="W410" s="20"/>
      <c r="X410" s="20"/>
      <c r="Y410" s="20"/>
      <c r="Z410" s="50"/>
      <c r="AA410" s="50"/>
      <c r="AB410" s="50"/>
      <c r="AC410" s="50"/>
      <c r="AD410" s="247"/>
      <c r="AE410" s="247"/>
      <c r="AF410" s="50"/>
      <c r="AG410" s="50"/>
      <c r="AH410" s="50"/>
      <c r="AI410" s="50"/>
    </row>
    <row r="411" spans="2:35" s="111" customFormat="1" x14ac:dyDescent="0.15">
      <c r="B411" s="114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R411" s="26"/>
      <c r="S411" s="26"/>
      <c r="T411" s="21"/>
      <c r="U411" s="20"/>
      <c r="V411" s="20"/>
      <c r="W411" s="20"/>
      <c r="X411" s="20"/>
      <c r="Y411" s="20"/>
      <c r="Z411" s="50"/>
      <c r="AA411" s="50"/>
      <c r="AB411" s="50"/>
      <c r="AC411" s="50"/>
      <c r="AD411" s="247"/>
      <c r="AE411" s="247"/>
      <c r="AF411" s="50"/>
      <c r="AG411" s="50"/>
      <c r="AH411" s="50"/>
      <c r="AI411" s="50"/>
    </row>
    <row r="412" spans="2:35" s="111" customFormat="1" x14ac:dyDescent="0.15">
      <c r="B412" s="114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R412" s="26"/>
      <c r="S412" s="26"/>
      <c r="T412" s="21"/>
      <c r="U412" s="20"/>
      <c r="V412" s="20"/>
      <c r="W412" s="20"/>
      <c r="X412" s="20"/>
      <c r="Y412" s="20"/>
      <c r="Z412" s="50"/>
      <c r="AA412" s="50"/>
      <c r="AB412" s="50"/>
      <c r="AC412" s="50"/>
      <c r="AD412" s="247"/>
      <c r="AE412" s="247"/>
      <c r="AF412" s="50"/>
      <c r="AG412" s="50"/>
      <c r="AH412" s="50"/>
      <c r="AI412" s="50"/>
    </row>
    <row r="413" spans="2:35" s="111" customFormat="1" x14ac:dyDescent="0.15">
      <c r="B413" s="114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R413" s="26"/>
      <c r="S413" s="26"/>
      <c r="T413" s="21"/>
      <c r="U413" s="20"/>
      <c r="V413" s="20"/>
      <c r="W413" s="20"/>
      <c r="X413" s="20"/>
      <c r="Y413" s="20"/>
      <c r="Z413" s="50"/>
      <c r="AA413" s="50"/>
      <c r="AB413" s="50"/>
      <c r="AC413" s="50"/>
      <c r="AD413" s="247"/>
      <c r="AE413" s="247"/>
      <c r="AF413" s="50"/>
      <c r="AG413" s="50"/>
      <c r="AH413" s="50"/>
      <c r="AI413" s="50"/>
    </row>
    <row r="414" spans="2:35" s="111" customFormat="1" x14ac:dyDescent="0.15">
      <c r="B414" s="114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R414" s="26"/>
      <c r="S414" s="26"/>
      <c r="T414" s="21"/>
      <c r="U414" s="20"/>
      <c r="V414" s="20"/>
      <c r="W414" s="20"/>
      <c r="X414" s="20"/>
      <c r="Y414" s="20"/>
      <c r="Z414" s="50"/>
      <c r="AA414" s="50"/>
      <c r="AB414" s="50"/>
      <c r="AC414" s="50"/>
      <c r="AD414" s="247"/>
      <c r="AE414" s="247"/>
      <c r="AF414" s="50"/>
      <c r="AG414" s="50"/>
      <c r="AH414" s="50"/>
      <c r="AI414" s="50"/>
    </row>
    <row r="415" spans="2:35" s="111" customFormat="1" x14ac:dyDescent="0.15">
      <c r="B415" s="114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R415" s="26"/>
      <c r="S415" s="26"/>
      <c r="T415" s="21"/>
      <c r="U415" s="20"/>
      <c r="V415" s="20"/>
      <c r="W415" s="20"/>
      <c r="X415" s="20"/>
      <c r="Y415" s="20"/>
      <c r="Z415" s="39"/>
      <c r="AA415" s="39"/>
      <c r="AB415" s="39"/>
      <c r="AC415" s="39"/>
      <c r="AD415" s="247"/>
      <c r="AE415" s="247"/>
      <c r="AF415" s="39"/>
      <c r="AG415" s="39"/>
      <c r="AH415" s="39"/>
      <c r="AI415" s="39"/>
    </row>
    <row r="416" spans="2:35" s="111" customFormat="1" x14ac:dyDescent="0.15">
      <c r="B416" s="114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R416" s="26"/>
      <c r="S416" s="26"/>
      <c r="T416" s="21"/>
      <c r="U416" s="20"/>
      <c r="V416" s="20"/>
      <c r="W416" s="20"/>
      <c r="X416" s="20"/>
      <c r="Y416" s="20"/>
      <c r="Z416" s="39"/>
      <c r="AA416" s="39"/>
      <c r="AB416" s="39"/>
      <c r="AC416" s="39"/>
      <c r="AD416" s="247"/>
      <c r="AE416" s="247"/>
      <c r="AF416" s="39"/>
      <c r="AG416" s="39"/>
      <c r="AH416" s="39"/>
      <c r="AI416" s="39"/>
    </row>
    <row r="417" spans="2:35" s="111" customFormat="1" x14ac:dyDescent="0.15">
      <c r="B417" s="109"/>
      <c r="C417" s="110"/>
      <c r="D417" s="110"/>
      <c r="E417" s="110"/>
      <c r="F417" s="110"/>
      <c r="G417" s="110"/>
      <c r="H417" s="110"/>
      <c r="I417" s="110"/>
      <c r="J417" s="110"/>
      <c r="K417" s="110"/>
      <c r="L417" s="110"/>
      <c r="M417" s="110"/>
      <c r="N417" s="110"/>
      <c r="R417" s="26"/>
      <c r="S417" s="26"/>
      <c r="T417" s="21"/>
      <c r="U417" s="20"/>
      <c r="V417" s="20"/>
      <c r="W417" s="20"/>
      <c r="X417" s="20"/>
      <c r="Y417" s="20"/>
      <c r="Z417" s="39"/>
      <c r="AA417" s="39"/>
      <c r="AB417" s="39"/>
      <c r="AC417" s="39"/>
      <c r="AD417" s="247"/>
      <c r="AE417" s="247"/>
      <c r="AF417" s="39"/>
      <c r="AG417" s="39"/>
      <c r="AH417" s="39"/>
      <c r="AI417" s="39"/>
    </row>
    <row r="418" spans="2:35" s="111" customFormat="1" x14ac:dyDescent="0.15">
      <c r="B418" s="109"/>
      <c r="C418" s="110"/>
      <c r="D418" s="110"/>
      <c r="E418" s="110"/>
      <c r="F418" s="110"/>
      <c r="G418" s="110"/>
      <c r="H418" s="110"/>
      <c r="I418" s="110"/>
      <c r="J418" s="110"/>
      <c r="K418" s="110"/>
      <c r="L418" s="110"/>
      <c r="M418" s="110"/>
      <c r="N418" s="110"/>
      <c r="R418" s="26"/>
      <c r="S418" s="26"/>
      <c r="T418" s="21"/>
      <c r="U418" s="20"/>
      <c r="V418" s="20"/>
      <c r="W418" s="20"/>
      <c r="X418" s="20"/>
      <c r="Y418" s="20"/>
      <c r="Z418" s="39"/>
      <c r="AA418" s="39"/>
      <c r="AB418" s="39"/>
      <c r="AC418" s="39"/>
      <c r="AD418" s="247"/>
      <c r="AE418" s="247"/>
      <c r="AF418" s="39"/>
      <c r="AG418" s="39"/>
      <c r="AH418" s="39"/>
      <c r="AI418" s="39"/>
    </row>
    <row r="419" spans="2:35" x14ac:dyDescent="0.15">
      <c r="U419" s="20"/>
      <c r="V419" s="20"/>
      <c r="W419" s="20"/>
      <c r="X419" s="20"/>
      <c r="Y419" s="20"/>
    </row>
    <row r="420" spans="2:35" x14ac:dyDescent="0.15">
      <c r="U420" s="20"/>
      <c r="V420" s="20"/>
      <c r="W420" s="20"/>
      <c r="X420" s="20"/>
      <c r="Y420" s="20"/>
    </row>
    <row r="421" spans="2:35" x14ac:dyDescent="0.15">
      <c r="U421" s="20"/>
      <c r="V421" s="20"/>
      <c r="W421" s="20"/>
      <c r="X421" s="20"/>
      <c r="Y421" s="20"/>
    </row>
    <row r="422" spans="2:35" x14ac:dyDescent="0.15">
      <c r="U422" s="20"/>
      <c r="V422" s="20"/>
      <c r="W422" s="20"/>
      <c r="X422" s="20"/>
      <c r="Y422" s="20"/>
    </row>
    <row r="423" spans="2:35" x14ac:dyDescent="0.15">
      <c r="U423" s="20"/>
      <c r="V423" s="20"/>
      <c r="W423" s="20"/>
      <c r="X423" s="20"/>
      <c r="Y423" s="20"/>
    </row>
    <row r="424" spans="2:35" x14ac:dyDescent="0.15">
      <c r="U424" s="20"/>
      <c r="V424" s="20"/>
      <c r="W424" s="20"/>
      <c r="X424" s="20"/>
      <c r="Y424" s="20"/>
    </row>
    <row r="425" spans="2:35" x14ac:dyDescent="0.15">
      <c r="U425" s="20"/>
      <c r="V425" s="20"/>
      <c r="W425" s="20"/>
      <c r="X425" s="20"/>
      <c r="Y425" s="20"/>
    </row>
    <row r="426" spans="2:35" x14ac:dyDescent="0.15">
      <c r="U426" s="20"/>
      <c r="V426" s="20"/>
      <c r="W426" s="20"/>
      <c r="X426" s="20"/>
      <c r="Y426" s="20"/>
    </row>
    <row r="427" spans="2:35" x14ac:dyDescent="0.15">
      <c r="U427" s="20"/>
      <c r="V427" s="20"/>
      <c r="W427" s="20"/>
      <c r="X427" s="20"/>
      <c r="Y427" s="20"/>
    </row>
    <row r="428" spans="2:35" x14ac:dyDescent="0.15">
      <c r="U428" s="20"/>
      <c r="V428" s="20"/>
      <c r="W428" s="20"/>
      <c r="X428" s="20"/>
      <c r="Y428" s="20"/>
    </row>
    <row r="429" spans="2:35" x14ac:dyDescent="0.15">
      <c r="U429" s="20"/>
      <c r="V429" s="20"/>
      <c r="W429" s="20"/>
      <c r="X429" s="20"/>
      <c r="Y429" s="20"/>
    </row>
    <row r="430" spans="2:35" x14ac:dyDescent="0.15">
      <c r="U430" s="20"/>
      <c r="V430" s="20"/>
      <c r="W430" s="20"/>
      <c r="X430" s="20"/>
      <c r="Y430" s="20"/>
    </row>
    <row r="431" spans="2:35" x14ac:dyDescent="0.15">
      <c r="U431" s="20"/>
      <c r="V431" s="20"/>
      <c r="W431" s="20"/>
      <c r="X431" s="20"/>
      <c r="Y431" s="20"/>
    </row>
    <row r="432" spans="2:35" x14ac:dyDescent="0.15">
      <c r="U432" s="20"/>
      <c r="V432" s="20"/>
      <c r="W432" s="20"/>
      <c r="X432" s="20"/>
      <c r="Y432" s="20"/>
    </row>
    <row r="433" spans="21:25" x14ac:dyDescent="0.15">
      <c r="U433" s="20"/>
      <c r="V433" s="20"/>
      <c r="W433" s="20"/>
      <c r="X433" s="20"/>
      <c r="Y433" s="20"/>
    </row>
    <row r="434" spans="21:25" x14ac:dyDescent="0.15">
      <c r="U434" s="20"/>
      <c r="V434" s="20"/>
      <c r="W434" s="20"/>
      <c r="X434" s="20"/>
      <c r="Y434" s="20"/>
    </row>
    <row r="435" spans="21:25" x14ac:dyDescent="0.15">
      <c r="U435" s="20"/>
      <c r="V435" s="20"/>
      <c r="W435" s="20"/>
      <c r="X435" s="20"/>
      <c r="Y435" s="20"/>
    </row>
    <row r="436" spans="21:25" x14ac:dyDescent="0.15">
      <c r="U436" s="20"/>
      <c r="V436" s="20"/>
      <c r="W436" s="20"/>
      <c r="X436" s="20"/>
      <c r="Y436" s="20"/>
    </row>
    <row r="437" spans="21:25" x14ac:dyDescent="0.15">
      <c r="U437" s="20"/>
      <c r="V437" s="20"/>
      <c r="W437" s="20"/>
      <c r="X437" s="20"/>
      <c r="Y437" s="20"/>
    </row>
    <row r="438" spans="21:25" x14ac:dyDescent="0.15">
      <c r="U438" s="20"/>
      <c r="V438" s="20"/>
      <c r="W438" s="20"/>
      <c r="X438" s="20"/>
      <c r="Y438" s="20"/>
    </row>
    <row r="439" spans="21:25" x14ac:dyDescent="0.15">
      <c r="U439" s="20"/>
      <c r="V439" s="20"/>
      <c r="W439" s="20"/>
      <c r="X439" s="20"/>
      <c r="Y439" s="20"/>
    </row>
    <row r="440" spans="21:25" x14ac:dyDescent="0.15">
      <c r="U440" s="20"/>
      <c r="V440" s="20"/>
      <c r="W440" s="20"/>
      <c r="X440" s="20"/>
      <c r="Y440" s="20"/>
    </row>
    <row r="441" spans="21:25" x14ac:dyDescent="0.15">
      <c r="U441" s="20"/>
      <c r="V441" s="20"/>
      <c r="W441" s="20"/>
      <c r="X441" s="20"/>
      <c r="Y441" s="20"/>
    </row>
    <row r="442" spans="21:25" x14ac:dyDescent="0.15">
      <c r="U442" s="20"/>
      <c r="V442" s="20"/>
      <c r="W442" s="20"/>
      <c r="X442" s="20"/>
      <c r="Y442" s="20"/>
    </row>
  </sheetData>
  <sheetProtection formatCells="0" formatColumns="0" formatRows="0" insertColumns="0" insertRows="0" insertHyperlinks="0" deleteColumns="0" deleteRows="0" sort="0" autoFilter="0" pivotTables="0"/>
  <dataConsolidate function="average">
    <dataRefs count="1">
      <dataRef ref="A6:B221" sheet="Monthly Summary Jan-Mar" r:id="rId1"/>
    </dataRefs>
  </dataConsolidate>
  <mergeCells count="10">
    <mergeCell ref="Z5:Z6"/>
    <mergeCell ref="U5:U6"/>
    <mergeCell ref="W5:W6"/>
    <mergeCell ref="B1:Q1"/>
    <mergeCell ref="B2:Q2"/>
    <mergeCell ref="B3:Q3"/>
    <mergeCell ref="C5:P5"/>
    <mergeCell ref="Q5:Q6"/>
    <mergeCell ref="S5:S6"/>
    <mergeCell ref="X4:Z4"/>
  </mergeCells>
  <phoneticPr fontId="0" type="noConversion"/>
  <conditionalFormatting sqref="O7:O156">
    <cfRule type="cellIs" dxfId="142" priority="47" stopIfTrue="1" operator="greaterThan">
      <formula>30</formula>
    </cfRule>
    <cfRule type="cellIs" dxfId="141" priority="48" stopIfTrue="1" operator="between">
      <formula>0.1</formula>
      <formula>10</formula>
    </cfRule>
    <cfRule type="cellIs" dxfId="140" priority="49" stopIfTrue="1" operator="lessThan">
      <formula>0.1</formula>
    </cfRule>
  </conditionalFormatting>
  <conditionalFormatting sqref="P7:P156">
    <cfRule type="containsBlanks" priority="37" stopIfTrue="1">
      <formula>LEN(TRIM(P7))=0</formula>
    </cfRule>
    <cfRule type="cellIs" dxfId="139" priority="51" stopIfTrue="1" operator="greaterThan">
      <formula>40</formula>
    </cfRule>
  </conditionalFormatting>
  <conditionalFormatting sqref="L9:M11 L13:M17 L19:M22 L24:M41 L43:M43 L45:M45 L47:M56 L58:M59 L61:M156">
    <cfRule type="cellIs" dxfId="138" priority="44" stopIfTrue="1" operator="greaterThan">
      <formula>30</formula>
    </cfRule>
    <cfRule type="cellIs" dxfId="137" priority="45" stopIfTrue="1" operator="between">
      <formula>0.1</formula>
      <formula>10</formula>
    </cfRule>
    <cfRule type="cellIs" dxfId="136" priority="46" stopIfTrue="1" operator="lessThan">
      <formula>0.1</formula>
    </cfRule>
  </conditionalFormatting>
  <conditionalFormatting sqref="C7 C69:C156 C9:C12 C14:C18 C20:C23 C25:C42 C44 C46 C48:C60 C62:C67">
    <cfRule type="cellIs" dxfId="135" priority="41" stopIfTrue="1" operator="greaterThan">
      <formula>30</formula>
    </cfRule>
    <cfRule type="cellIs" dxfId="134" priority="42" stopIfTrue="1" operator="between">
      <formula>0.1</formula>
      <formula>10</formula>
    </cfRule>
    <cfRule type="cellIs" dxfId="133" priority="43" stopIfTrue="1" operator="lessThan">
      <formula>0.1</formula>
    </cfRule>
  </conditionalFormatting>
  <conditionalFormatting sqref="D7:E7 I69:I156 D69:E156 I8:I12 L8:N11 D9:E12 D14:E18 I14:I18 L13:N17 D20:E22 D25:E42 L19:N22 I20:I22 E24 D23 D44:E44 D46:E46 D48:E60 I24:I41 L24:N41 L43:N43 I43 I45 L45:N45 L47:N56 I47:I60 I62:I67 D62:E67 L58:N59 L61:N156">
    <cfRule type="cellIs" dxfId="132" priority="38" stopIfTrue="1" operator="greaterThan">
      <formula>30</formula>
    </cfRule>
    <cfRule type="cellIs" dxfId="131" priority="39" stopIfTrue="1" operator="between">
      <formula>0.1</formula>
      <formula>10</formula>
    </cfRule>
    <cfRule type="cellIs" dxfId="130" priority="40" stopIfTrue="1" operator="lessThan">
      <formula>0.1</formula>
    </cfRule>
  </conditionalFormatting>
  <conditionalFormatting sqref="E7 E70:E104 E106:E156 E9:E12 E14:E18 E20:E22 E24:E42 E44 E46 E48:E60 E62:E67">
    <cfRule type="cellIs" dxfId="129" priority="34" stopIfTrue="1" operator="greaterThan">
      <formula>30</formula>
    </cfRule>
    <cfRule type="cellIs" dxfId="128" priority="35" stopIfTrue="1" operator="between">
      <formula>0.1</formula>
      <formula>10</formula>
    </cfRule>
    <cfRule type="cellIs" dxfId="127" priority="36" stopIfTrue="1" operator="lessThan">
      <formula>0.1</formula>
    </cfRule>
  </conditionalFormatting>
  <conditionalFormatting sqref="I9:I12 I106:I156 I69:I104 I14:I18 I20:I22 I24:I41 I43 I45 I47:I60 I62:I67">
    <cfRule type="cellIs" dxfId="126" priority="31" stopIfTrue="1" operator="greaterThan">
      <formula>30</formula>
    </cfRule>
    <cfRule type="cellIs" dxfId="125" priority="32" stopIfTrue="1" operator="between">
      <formula>0.1</formula>
      <formula>10</formula>
    </cfRule>
    <cfRule type="cellIs" dxfId="124" priority="33" stopIfTrue="1" operator="lessThan">
      <formula>0.1</formula>
    </cfRule>
  </conditionalFormatting>
  <conditionalFormatting sqref="N98:N114 N118:N156 N9:N11 N13:N17 N19:N22 N24:N41 N43 N45 N47:N56 N58:N59 N61:N96">
    <cfRule type="cellIs" dxfId="123" priority="28" stopIfTrue="1" operator="greaterThan">
      <formula>30</formula>
    </cfRule>
    <cfRule type="cellIs" dxfId="122" priority="29" stopIfTrue="1" operator="between">
      <formula>0.1</formula>
      <formula>10</formula>
    </cfRule>
    <cfRule type="cellIs" dxfId="121" priority="30" stopIfTrue="1" operator="lessThan">
      <formula>0.1</formula>
    </cfRule>
  </conditionalFormatting>
  <conditionalFormatting sqref="F69:F156 F8:F12 F14:F18 F20:F22 F24:F42 F44 F46 F48:F60 F62:F67">
    <cfRule type="cellIs" dxfId="120" priority="25" stopIfTrue="1" operator="greaterThan">
      <formula>30</formula>
    </cfRule>
    <cfRule type="cellIs" dxfId="119" priority="26" stopIfTrue="1" operator="between">
      <formula>0.1</formula>
      <formula>10</formula>
    </cfRule>
    <cfRule type="cellIs" dxfId="118" priority="27" stopIfTrue="1" operator="lessThan">
      <formula>0.1</formula>
    </cfRule>
  </conditionalFormatting>
  <conditionalFormatting sqref="F69:F156 F8:F12 F14:F18 F20:F22 F24:F42 F44 F46 F48:F60 F62:F67">
    <cfRule type="cellIs" dxfId="117" priority="22" stopIfTrue="1" operator="greaterThan">
      <formula>30</formula>
    </cfRule>
    <cfRule type="cellIs" dxfId="116" priority="23" stopIfTrue="1" operator="between">
      <formula>0.1</formula>
      <formula>10</formula>
    </cfRule>
    <cfRule type="cellIs" dxfId="115" priority="24" stopIfTrue="1" operator="lessThan">
      <formula>0.1</formula>
    </cfRule>
  </conditionalFormatting>
  <conditionalFormatting sqref="G69:H156 G8:H12 G14:H18 G20:H22 G24:H41 G43:H43 G45:H45 G47:H60 G62:H67">
    <cfRule type="cellIs" dxfId="114" priority="19" stopIfTrue="1" operator="greaterThan">
      <formula>30</formula>
    </cfRule>
    <cfRule type="cellIs" dxfId="113" priority="20" stopIfTrue="1" operator="between">
      <formula>0.1</formula>
      <formula>10</formula>
    </cfRule>
    <cfRule type="cellIs" dxfId="112" priority="21" stopIfTrue="1" operator="lessThan">
      <formula>0.1</formula>
    </cfRule>
  </conditionalFormatting>
  <conditionalFormatting sqref="G69:H156 G8:H12 G14:H18 G20:H22 G24:H41 G43:H43 G45:H45 G47:H60 G62:H67">
    <cfRule type="cellIs" dxfId="111" priority="16" stopIfTrue="1" operator="greaterThan">
      <formula>30</formula>
    </cfRule>
    <cfRule type="cellIs" dxfId="110" priority="17" stopIfTrue="1" operator="between">
      <formula>0.1</formula>
      <formula>10</formula>
    </cfRule>
    <cfRule type="cellIs" dxfId="109" priority="18" stopIfTrue="1" operator="lessThan">
      <formula>0.1</formula>
    </cfRule>
  </conditionalFormatting>
  <conditionalFormatting sqref="J69:J156 J8:J12 J14:J17 J19:J22 J24:J41 J43 J45 J47:J60 J62:J67">
    <cfRule type="cellIs" dxfId="108" priority="13" stopIfTrue="1" operator="greaterThan">
      <formula>30</formula>
    </cfRule>
    <cfRule type="cellIs" dxfId="107" priority="14" stopIfTrue="1" operator="between">
      <formula>0.1</formula>
      <formula>10</formula>
    </cfRule>
    <cfRule type="cellIs" dxfId="106" priority="15" stopIfTrue="1" operator="lessThan">
      <formula>0.1</formula>
    </cfRule>
  </conditionalFormatting>
  <conditionalFormatting sqref="J9:J12 J106:J156 J69:J104 J14:J17 J19:J22 J24:J41 J43 J45 J47:J60 J62:J67">
    <cfRule type="cellIs" dxfId="105" priority="10" stopIfTrue="1" operator="greaterThan">
      <formula>30</formula>
    </cfRule>
    <cfRule type="cellIs" dxfId="104" priority="11" stopIfTrue="1" operator="between">
      <formula>0.1</formula>
      <formula>10</formula>
    </cfRule>
    <cfRule type="cellIs" dxfId="103" priority="12" stopIfTrue="1" operator="lessThan">
      <formula>0.1</formula>
    </cfRule>
  </conditionalFormatting>
  <conditionalFormatting sqref="K8:K12 K14:K17 K19:K22 K24:K41 K43 K45 K47:K56 K58:K59 K61:K156">
    <cfRule type="cellIs" dxfId="102" priority="7" stopIfTrue="1" operator="greaterThan">
      <formula>30</formula>
    </cfRule>
    <cfRule type="cellIs" dxfId="101" priority="8" stopIfTrue="1" operator="between">
      <formula>0.1</formula>
      <formula>10</formula>
    </cfRule>
    <cfRule type="cellIs" dxfId="100" priority="9" stopIfTrue="1" operator="lessThan">
      <formula>0.1</formula>
    </cfRule>
  </conditionalFormatting>
  <conditionalFormatting sqref="K8:K12 K14:K17 K19:K22 K24:K41 K43 K45 K47:K56 K58:K59 K61:K156">
    <cfRule type="cellIs" dxfId="99" priority="4" stopIfTrue="1" operator="greaterThan">
      <formula>30</formula>
    </cfRule>
    <cfRule type="cellIs" dxfId="98" priority="5" stopIfTrue="1" operator="between">
      <formula>0.1</formula>
      <formula>10</formula>
    </cfRule>
    <cfRule type="cellIs" dxfId="97" priority="6" stopIfTrue="1" operator="lessThan">
      <formula>0.1</formula>
    </cfRule>
  </conditionalFormatting>
  <conditionalFormatting sqref="Q7:Q156 S7:S156 U7:U156 W7:W156">
    <cfRule type="cellIs" dxfId="96" priority="2" stopIfTrue="1" operator="lessThanOrEqual">
      <formula>0.5</formula>
    </cfRule>
    <cfRule type="cellIs" dxfId="95" priority="3" stopIfTrue="1" operator="lessThan">
      <formula>0.75</formula>
    </cfRule>
  </conditionalFormatting>
  <printOptions horizontalCentered="1"/>
  <pageMargins left="0.74803149606299213" right="0.74803149606299213" top="0.98425196850393704" bottom="0.98425196850393704" header="0.51181102362204722" footer="0.51181102362204722"/>
  <pageSetup paperSize="8" scale="50" orientation="portrait" r:id="rId2"/>
  <headerFooter alignWithMargins="0"/>
  <rowBreaks count="1" manualBreakCount="1">
    <brk id="88" max="7" man="1"/>
  </rowBreaks>
  <ignoredErrors>
    <ignoredError sqref="S62:S156 U62:U156 S7:S12 U7:U18 S14:S18 U20:U23 S20:S23 U25:U42 S25:S42 U44 S44 U46 S46 U48:U60 S48:S60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K435"/>
  <sheetViews>
    <sheetView workbookViewId="0">
      <pane xSplit="2" ySplit="6" topLeftCell="D7" activePane="bottomRight" state="frozen"/>
      <selection pane="topRight" activeCell="C1" sqref="C1"/>
      <selection pane="bottomLeft" activeCell="A8" sqref="A8"/>
      <selection pane="bottomRight" activeCell="AE7" sqref="AE7"/>
    </sheetView>
  </sheetViews>
  <sheetFormatPr defaultColWidth="9.140625" defaultRowHeight="10.5" x14ac:dyDescent="0.15"/>
  <cols>
    <col min="1" max="1" width="9.140625" style="110"/>
    <col min="2" max="2" width="15.7109375" style="109" customWidth="1"/>
    <col min="3" max="3" width="33.85546875" style="109" hidden="1" customWidth="1"/>
    <col min="4" max="15" width="15.7109375" style="110" customWidth="1"/>
    <col min="16" max="18" width="15.7109375" style="111" customWidth="1"/>
    <col min="19" max="20" width="11.7109375" style="26" customWidth="1"/>
    <col min="21" max="21" width="11.7109375" style="21" customWidth="1"/>
    <col min="22" max="26" width="11.7109375" style="10" customWidth="1"/>
    <col min="27" max="27" width="11.7109375" style="39" customWidth="1"/>
    <col min="28" max="28" width="10.7109375" style="39" customWidth="1"/>
    <col min="29" max="29" width="21" style="39" bestFit="1" customWidth="1"/>
    <col min="30" max="30" width="10.7109375" style="39" customWidth="1"/>
    <col min="31" max="31" width="16.7109375" style="230" bestFit="1" customWidth="1"/>
    <col min="32" max="32" width="9.140625" style="230"/>
    <col min="33" max="33" width="12.42578125" style="39" bestFit="1" customWidth="1"/>
    <col min="34" max="36" width="9.140625" style="39"/>
    <col min="37" max="16384" width="9.140625" style="110"/>
  </cols>
  <sheetData>
    <row r="1" spans="2:36" s="112" customFormat="1" ht="18" customHeight="1" thickTop="1" x14ac:dyDescent="0.15">
      <c r="B1" s="452" t="s">
        <v>448</v>
      </c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4"/>
      <c r="S1" s="23"/>
      <c r="T1" s="23"/>
      <c r="U1" s="3"/>
      <c r="V1" s="2"/>
      <c r="W1" s="2"/>
      <c r="X1" s="2"/>
      <c r="Y1" s="2"/>
      <c r="Z1" s="2"/>
      <c r="AA1" s="31"/>
      <c r="AB1" s="31"/>
      <c r="AC1" s="93"/>
      <c r="AD1" s="93"/>
      <c r="AE1" s="206"/>
      <c r="AF1" s="206"/>
      <c r="AG1" s="93"/>
      <c r="AH1" s="93"/>
      <c r="AI1" s="93"/>
      <c r="AJ1" s="31"/>
    </row>
    <row r="2" spans="2:36" s="112" customFormat="1" ht="18" customHeight="1" x14ac:dyDescent="0.15">
      <c r="B2" s="455" t="s">
        <v>449</v>
      </c>
      <c r="C2" s="456"/>
      <c r="D2" s="456"/>
      <c r="E2" s="456"/>
      <c r="F2" s="456"/>
      <c r="G2" s="456"/>
      <c r="H2" s="456"/>
      <c r="I2" s="456"/>
      <c r="J2" s="456"/>
      <c r="K2" s="456"/>
      <c r="L2" s="456"/>
      <c r="M2" s="456"/>
      <c r="N2" s="456"/>
      <c r="O2" s="456"/>
      <c r="P2" s="456"/>
      <c r="Q2" s="456"/>
      <c r="R2" s="457"/>
      <c r="S2" s="23"/>
      <c r="T2" s="23"/>
      <c r="U2" s="3"/>
      <c r="V2" s="2"/>
      <c r="W2" s="2"/>
      <c r="X2" s="2"/>
      <c r="Y2" s="2"/>
      <c r="Z2" s="2"/>
      <c r="AA2" s="31"/>
      <c r="AB2" s="31"/>
      <c r="AC2" s="93"/>
      <c r="AD2" s="93"/>
      <c r="AE2" s="206"/>
      <c r="AF2" s="206"/>
      <c r="AG2" s="93"/>
      <c r="AH2" s="93"/>
      <c r="AI2" s="93"/>
      <c r="AJ2" s="31"/>
    </row>
    <row r="3" spans="2:36" s="112" customFormat="1" ht="18" customHeight="1" thickBot="1" x14ac:dyDescent="0.2">
      <c r="B3" s="458" t="s">
        <v>483</v>
      </c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459"/>
      <c r="O3" s="459"/>
      <c r="P3" s="459"/>
      <c r="Q3" s="459"/>
      <c r="R3" s="460"/>
      <c r="S3" s="23"/>
      <c r="T3" s="23"/>
      <c r="U3" s="3"/>
      <c r="V3" s="2"/>
      <c r="W3" s="2"/>
      <c r="X3" s="2"/>
      <c r="Y3" s="2"/>
      <c r="Z3" s="2"/>
      <c r="AA3" s="31"/>
      <c r="AB3" s="31"/>
      <c r="AC3" s="94"/>
      <c r="AD3" s="94"/>
      <c r="AE3" s="206"/>
      <c r="AF3" s="206"/>
      <c r="AG3" s="94"/>
      <c r="AH3" s="94"/>
      <c r="AI3" s="94"/>
      <c r="AJ3" s="31"/>
    </row>
    <row r="4" spans="2:36" s="112" customFormat="1" ht="14.25" thickTop="1" thickBot="1" x14ac:dyDescent="0.25">
      <c r="B4" s="114"/>
      <c r="C4" s="114"/>
      <c r="P4" s="115"/>
      <c r="Q4" s="115"/>
      <c r="R4" s="115"/>
      <c r="S4" s="21" t="s">
        <v>497</v>
      </c>
      <c r="T4" s="30"/>
      <c r="U4" s="21" t="s">
        <v>498</v>
      </c>
      <c r="V4" s="1"/>
      <c r="W4" s="1"/>
      <c r="X4" s="1"/>
      <c r="Y4" s="449" t="s">
        <v>508</v>
      </c>
      <c r="Z4" s="449"/>
      <c r="AA4" s="449"/>
      <c r="AB4" s="105"/>
      <c r="AC4" s="31"/>
      <c r="AD4" s="31"/>
      <c r="AE4" s="206"/>
      <c r="AF4" s="206"/>
      <c r="AG4" s="31"/>
      <c r="AH4" s="31"/>
      <c r="AI4" s="31"/>
      <c r="AJ4" s="31"/>
    </row>
    <row r="5" spans="2:36" s="112" customFormat="1" ht="14.25" customHeight="1" thickTop="1" thickBot="1" x14ac:dyDescent="0.2">
      <c r="B5" s="113"/>
      <c r="C5" s="106"/>
      <c r="D5" s="462" t="s">
        <v>451</v>
      </c>
      <c r="E5" s="462"/>
      <c r="F5" s="462"/>
      <c r="G5" s="462"/>
      <c r="H5" s="462"/>
      <c r="I5" s="462"/>
      <c r="J5" s="462"/>
      <c r="K5" s="462"/>
      <c r="L5" s="462"/>
      <c r="M5" s="462"/>
      <c r="N5" s="462"/>
      <c r="O5" s="462"/>
      <c r="P5" s="462"/>
      <c r="Q5" s="463"/>
      <c r="R5" s="464" t="s">
        <v>452</v>
      </c>
      <c r="S5" s="139" t="s">
        <v>461</v>
      </c>
      <c r="T5" s="466" t="s">
        <v>452</v>
      </c>
      <c r="U5" s="168" t="s">
        <v>460</v>
      </c>
      <c r="V5" s="450" t="s">
        <v>452</v>
      </c>
      <c r="W5" s="168" t="s">
        <v>494</v>
      </c>
      <c r="X5" s="450" t="s">
        <v>452</v>
      </c>
      <c r="Y5" s="139" t="s">
        <v>461</v>
      </c>
      <c r="Z5" s="139" t="s">
        <v>460</v>
      </c>
      <c r="AA5" s="450" t="s">
        <v>509</v>
      </c>
      <c r="AB5" s="107"/>
      <c r="AC5" s="95"/>
      <c r="AD5" s="96"/>
      <c r="AE5" s="96"/>
      <c r="AF5" s="96"/>
      <c r="AG5" s="96"/>
      <c r="AH5" s="96"/>
      <c r="AI5" s="96"/>
      <c r="AJ5" s="97"/>
    </row>
    <row r="6" spans="2:36" s="112" customFormat="1" ht="14.25" customHeight="1" thickTop="1" x14ac:dyDescent="0.15">
      <c r="B6" s="116" t="s">
        <v>453</v>
      </c>
      <c r="C6" s="34">
        <v>41609</v>
      </c>
      <c r="D6" s="117">
        <v>41640</v>
      </c>
      <c r="E6" s="117">
        <v>41671</v>
      </c>
      <c r="F6" s="117">
        <v>41699</v>
      </c>
      <c r="G6" s="117">
        <v>41730</v>
      </c>
      <c r="H6" s="117">
        <v>41760</v>
      </c>
      <c r="I6" s="117">
        <v>41791</v>
      </c>
      <c r="J6" s="117">
        <v>41821</v>
      </c>
      <c r="K6" s="117">
        <v>41852</v>
      </c>
      <c r="L6" s="117">
        <v>41883</v>
      </c>
      <c r="M6" s="117">
        <v>41913</v>
      </c>
      <c r="N6" s="117">
        <v>41944</v>
      </c>
      <c r="O6" s="117">
        <v>41974</v>
      </c>
      <c r="P6" s="162" t="s">
        <v>454</v>
      </c>
      <c r="Q6" s="162" t="s">
        <v>484</v>
      </c>
      <c r="R6" s="465"/>
      <c r="S6" s="149" t="s">
        <v>454</v>
      </c>
      <c r="T6" s="467"/>
      <c r="U6" s="158" t="s">
        <v>454</v>
      </c>
      <c r="V6" s="451"/>
      <c r="W6" s="158" t="s">
        <v>454</v>
      </c>
      <c r="X6" s="451"/>
      <c r="Y6" s="149" t="s">
        <v>454</v>
      </c>
      <c r="Z6" s="149" t="s">
        <v>454</v>
      </c>
      <c r="AA6" s="451"/>
      <c r="AB6" s="31"/>
      <c r="AC6" s="98" t="s">
        <v>166</v>
      </c>
      <c r="AD6" s="34" t="s">
        <v>476</v>
      </c>
      <c r="AE6" s="34" t="s">
        <v>1087</v>
      </c>
      <c r="AF6" s="34" t="s">
        <v>1088</v>
      </c>
      <c r="AG6" s="34" t="s">
        <v>472</v>
      </c>
      <c r="AH6" s="34" t="s">
        <v>474</v>
      </c>
      <c r="AI6" s="34" t="s">
        <v>473</v>
      </c>
      <c r="AJ6" s="99" t="s">
        <v>475</v>
      </c>
    </row>
    <row r="7" spans="2:36" ht="12" customHeight="1" x14ac:dyDescent="0.15">
      <c r="B7" s="118" t="s">
        <v>2</v>
      </c>
      <c r="C7" s="104">
        <f>IF(ISBLANK(VLOOKUP($B7,'Monthly Summary 2013'!$B$7:$Q$152,14,FALSE)),"",IF(ISERROR(VLOOKUP($B7,'Monthly Summary 2013'!$B$7:$Q$152,14,FALSE)=0),"",VLOOKUP($B7,'Monthly Summary 2013'!$B$7:$Q$152,14,FALSE)))</f>
        <v>17.600000000000001</v>
      </c>
      <c r="D7" s="119">
        <v>19.8</v>
      </c>
      <c r="E7" s="119">
        <v>20.3</v>
      </c>
      <c r="F7" s="119">
        <v>30.7</v>
      </c>
      <c r="G7" s="119">
        <v>32.1</v>
      </c>
      <c r="H7" s="120"/>
      <c r="I7" s="120"/>
      <c r="J7" s="120"/>
      <c r="K7" s="120"/>
      <c r="L7" s="120"/>
      <c r="M7" s="120"/>
      <c r="N7" s="120"/>
      <c r="O7" s="120"/>
      <c r="P7" s="121">
        <f>(AVERAGE(D7:O7))</f>
        <v>25.725000000000001</v>
      </c>
      <c r="Q7" s="121">
        <f>IFERROR((STDEV(D7:O7)/P7)*100,"")</f>
        <v>25.582002098915375</v>
      </c>
      <c r="R7" s="122">
        <f>COUNT(D7:O7)/COUNT($D$6:$O$6)</f>
        <v>0.33333333333333331</v>
      </c>
      <c r="S7" s="140">
        <f>IF($T7=0%,"",IF($T7&gt;66%,AVERAGE($D7:$F7),"-"))</f>
        <v>23.599999999999998</v>
      </c>
      <c r="T7" s="150">
        <f>COUNT(D7:F7)/3</f>
        <v>1</v>
      </c>
      <c r="U7" s="140" t="str">
        <f>IF($V7=0%,"",IF($V7&gt;66%,AVERAGE($J7:$L7),"-"))</f>
        <v/>
      </c>
      <c r="V7" s="9">
        <f>COUNT(J7:L7)/3</f>
        <v>0</v>
      </c>
      <c r="W7" s="171" t="str">
        <f t="shared" ref="W7:W38" si="0">IF(AND(($T7&gt;33%),($V7&gt;33%),($X7&gt;=75%)),AVERAGE($D7:$O7),"-")</f>
        <v>-</v>
      </c>
      <c r="X7" s="142">
        <f t="shared" ref="X7:X38" si="1">R7</f>
        <v>0.33333333333333331</v>
      </c>
      <c r="Y7" s="267">
        <f t="shared" ref="Y7:Y38" si="2">IF(VLOOKUP($B7,$AD$6:$AJ$158,3,FALSE)="",$S7,IF(ISERROR(AVERAGEIF($AE$6:$AE$158,VLOOKUP($B7,$AD$6:$AJ$158,2,FALSE),$S$6:$S$158)),"",AVERAGEIF($AE$6:$AE$158,VLOOKUP($B7,$AD$6:$AJ$158,2,FALSE),$S$6:$S$158)))</f>
        <v>15.616666666666665</v>
      </c>
      <c r="Z7" s="267">
        <f t="shared" ref="Z7:Z38" si="3">IF(VLOOKUP($B7,$AD$6:$AJ$158,3,FALSE)="",$U7,IF(ISERROR(AVERAGEIF($AE$6:$AE$158,VLOOKUP($B7,$AD$6:$AJ$158,2,FALSE),$U$6:$U$158)),"",AVERAGEIF($AE$6:$AE$158,VLOOKUP($B7,$AD$6:$AJ$158,2,FALSE),$U$6:$U$158)))</f>
        <v>18.633333333333333</v>
      </c>
      <c r="AA7" s="267">
        <f t="shared" ref="AA7:AA38" si="4">IF(VLOOKUP($B7,$AD$6:$AJ$158,3,FALSE)="",$W7,IF(ISERROR(AVERAGEIF($AE$6:$AE$158,VLOOKUP($B7,$AD$6:$AJ$158,2,FALSE),$W$6:$W$158)),"",AVERAGEIF($AE$6:$AE$158,VLOOKUP($B7,$AD$6:$AJ$158,2,FALSE),$W$6:$W$158)))</f>
        <v>9.163636363636364</v>
      </c>
      <c r="AB7" s="10"/>
      <c r="AC7" s="100" t="str">
        <f>VLOOKUP($B7,'2007-2020 Metadata'!$A$4:$S$214,MATCH("Urban Area /Monitoring Zone",'2007-2020 Metadata'!$A$4:$S$4,0),FALSE)</f>
        <v>Whangarei</v>
      </c>
      <c r="AD7" s="87" t="str">
        <f>VLOOKUP(B7,'2007-2020 Metadata'!$A$6:$A$214,1,FALSE)</f>
        <v>AUC001</v>
      </c>
      <c r="AE7" s="230" t="str">
        <f>VLOOKUP($AD7,'2007-2020 Metadata'!$A$6:$S$214,9,FALSE)</f>
        <v>Whangarei</v>
      </c>
      <c r="AF7" s="248">
        <f>IF(ISBLANK(VLOOKUP($AD7,'2007-2020 Metadata'!$A$6:$S$214,19,FALSE)),"",VLOOKUP($AD7,'2007-2020 Metadata'!$A$6:$S$214,19,FALSE))</f>
        <v>3.2</v>
      </c>
      <c r="AG7" s="88" t="str">
        <f>VLOOKUP($B7,'2007-2020 Metadata'!$A$4:$S$214,MATCH("Site type",'2007-2020 Metadata'!$A$4:$S$4,0),FALSE)</f>
        <v>SH</v>
      </c>
      <c r="AH7" s="143">
        <f>MIN($D7:$O7)</f>
        <v>19.8</v>
      </c>
      <c r="AI7" s="143">
        <f>MAX($D7:$O7)</f>
        <v>32.1</v>
      </c>
      <c r="AJ7" s="144" t="str">
        <f>IF($X7&gt;=75%,$AA7," ")</f>
        <v xml:space="preserve"> </v>
      </c>
    </row>
    <row r="8" spans="2:36" ht="12" customHeight="1" x14ac:dyDescent="0.15">
      <c r="B8" s="123" t="s">
        <v>3</v>
      </c>
      <c r="C8" s="104" t="str">
        <f>IF(ISBLANK(VLOOKUP($B8,'Monthly Summary 2013'!$B$7:$Q$152,14,FALSE)),"",IF(ISERROR(VLOOKUP($B8,'Monthly Summary 2013'!$B$7:$Q$152,14,FALSE)=0),"",VLOOKUP($B8,'Monthly Summary 2013'!$B$7:$Q$152,14,FALSE)))</f>
        <v/>
      </c>
      <c r="D8" s="119">
        <v>7.7</v>
      </c>
      <c r="E8" s="119">
        <v>8.5</v>
      </c>
      <c r="F8" s="119">
        <v>14.7</v>
      </c>
      <c r="G8" s="119">
        <v>11.4</v>
      </c>
      <c r="H8" s="119">
        <v>15.3</v>
      </c>
      <c r="I8" s="119">
        <v>11.8</v>
      </c>
      <c r="J8" s="119">
        <v>11.8</v>
      </c>
      <c r="K8" s="124">
        <v>10</v>
      </c>
      <c r="L8" s="124">
        <v>9.8000000000000007</v>
      </c>
      <c r="M8" s="124">
        <v>10.8</v>
      </c>
      <c r="N8" s="124">
        <v>7.5</v>
      </c>
      <c r="O8" s="124">
        <v>9.9</v>
      </c>
      <c r="P8" s="121">
        <f t="shared" ref="P8:P71" si="5">(AVERAGE(D8:O8))</f>
        <v>10.766666666666666</v>
      </c>
      <c r="Q8" s="121">
        <f t="shared" ref="Q8:Q72" si="6">IFERROR((STDEV(D8:O8)/P8)*100,"")</f>
        <v>22.758720473516913</v>
      </c>
      <c r="R8" s="122">
        <f t="shared" ref="R8:R72" si="7">COUNT(D8:O8)/COUNT($D$6:$O$6)</f>
        <v>1</v>
      </c>
      <c r="S8" s="140">
        <f t="shared" ref="S8:S71" si="8">IF($T8=0%,"",IF($T8&gt;66%,AVERAGE($D8:$F8),"-"))</f>
        <v>10.299999999999999</v>
      </c>
      <c r="T8" s="24">
        <f t="shared" ref="T8:T71" si="9">COUNT(D8:F8)/3</f>
        <v>1</v>
      </c>
      <c r="U8" s="140">
        <f t="shared" ref="U8:U71" si="10">IF($V8=0%,"",IF($V8&gt;66%,AVERAGE($J8:$L8),"-"))</f>
        <v>10.533333333333333</v>
      </c>
      <c r="V8" s="9">
        <f t="shared" ref="V8:V71" si="11">COUNT(J8:L8)/3</f>
        <v>1</v>
      </c>
      <c r="W8" s="172">
        <f t="shared" si="0"/>
        <v>10.766666666666666</v>
      </c>
      <c r="X8" s="142">
        <f t="shared" si="1"/>
        <v>1</v>
      </c>
      <c r="Y8" s="144">
        <f t="shared" si="2"/>
        <v>10.299999999999999</v>
      </c>
      <c r="Z8" s="144">
        <f t="shared" si="3"/>
        <v>10.533333333333333</v>
      </c>
      <c r="AA8" s="144">
        <f t="shared" si="4"/>
        <v>10.766666666666666</v>
      </c>
      <c r="AB8" s="10"/>
      <c r="AC8" s="357" t="str">
        <f>VLOOKUP($B8,'2007-2020 Metadata'!$A$4:$S$214,MATCH("Urban Area /Monitoring Zone",'2007-2020 Metadata'!$A$4:$S$4,0),FALSE)</f>
        <v>Auckland - Northern</v>
      </c>
      <c r="AD8" s="87" t="str">
        <f>VLOOKUP(B8,'2007-2020 Metadata'!$A$6:$A$214,1,FALSE)</f>
        <v>AUC004</v>
      </c>
      <c r="AE8" s="230" t="str">
        <f>VLOOKUP($AD8,'2007-2020 Metadata'!$A$6:$S$214,9,FALSE)</f>
        <v>Rodney</v>
      </c>
      <c r="AF8" s="248">
        <f>IF(ISBLANK(VLOOKUP($AD8,'2007-2020 Metadata'!$A$6:$S$214,19,FALSE)),"",VLOOKUP($AD8,'2007-2020 Metadata'!$A$6:$S$214,19,FALSE))</f>
        <v>2.5</v>
      </c>
      <c r="AG8" s="88" t="str">
        <f>VLOOKUP($B8,'2007-2020 Metadata'!$A$4:$S$214,MATCH("Site type",'2007-2020 Metadata'!$A$4:$S$4,0),FALSE)</f>
        <v>SH</v>
      </c>
      <c r="AH8" s="143">
        <f t="shared" ref="AH8:AH71" si="12">MIN($D8:$O8)</f>
        <v>7.5</v>
      </c>
      <c r="AI8" s="143">
        <f t="shared" ref="AI8:AI71" si="13">MAX($D8:$O8)</f>
        <v>15.3</v>
      </c>
      <c r="AJ8" s="144">
        <f t="shared" ref="AJ8:AJ71" si="14">IF($X8&gt;=75%,$AA8," ")</f>
        <v>10.766666666666666</v>
      </c>
    </row>
    <row r="9" spans="2:36" ht="12" customHeight="1" x14ac:dyDescent="0.15">
      <c r="B9" s="123" t="s">
        <v>4</v>
      </c>
      <c r="C9" s="104">
        <f>IF(ISBLANK(VLOOKUP($B9,'Monthly Summary 2013'!$B$7:$Q$152,14,FALSE)),"",IF(ISERROR(VLOOKUP($B9,'Monthly Summary 2013'!$B$7:$Q$152,14,FALSE)=0),"",VLOOKUP($B9,'Monthly Summary 2013'!$B$7:$Q$152,14,FALSE)))</f>
        <v>14.7</v>
      </c>
      <c r="D9" s="119">
        <v>14.2</v>
      </c>
      <c r="E9" s="119">
        <v>27</v>
      </c>
      <c r="F9" s="119">
        <v>32</v>
      </c>
      <c r="G9" s="119">
        <v>28.5</v>
      </c>
      <c r="H9" s="119">
        <v>35</v>
      </c>
      <c r="I9" s="119">
        <v>26.6</v>
      </c>
      <c r="J9" s="119">
        <v>26.6</v>
      </c>
      <c r="K9" s="124">
        <v>30.2</v>
      </c>
      <c r="L9" s="124">
        <v>25.4</v>
      </c>
      <c r="M9" s="124">
        <v>32</v>
      </c>
      <c r="N9" s="124">
        <v>24.6</v>
      </c>
      <c r="O9" s="124">
        <v>25.4</v>
      </c>
      <c r="P9" s="121">
        <f t="shared" si="5"/>
        <v>27.291666666666668</v>
      </c>
      <c r="Q9" s="121">
        <f t="shared" si="6"/>
        <v>19.151485289220645</v>
      </c>
      <c r="R9" s="122">
        <f t="shared" si="7"/>
        <v>1</v>
      </c>
      <c r="S9" s="140">
        <f t="shared" si="8"/>
        <v>24.400000000000002</v>
      </c>
      <c r="T9" s="24">
        <f t="shared" si="9"/>
        <v>1</v>
      </c>
      <c r="U9" s="140">
        <f t="shared" si="10"/>
        <v>27.399999999999995</v>
      </c>
      <c r="V9" s="9">
        <f t="shared" si="11"/>
        <v>1</v>
      </c>
      <c r="W9" s="172">
        <f t="shared" si="0"/>
        <v>27.291666666666668</v>
      </c>
      <c r="X9" s="142">
        <f t="shared" si="1"/>
        <v>1</v>
      </c>
      <c r="Y9" s="144">
        <f t="shared" si="2"/>
        <v>21.266666666666666</v>
      </c>
      <c r="Z9" s="144">
        <f t="shared" si="3"/>
        <v>25.651515151515149</v>
      </c>
      <c r="AA9" s="144">
        <f t="shared" si="4"/>
        <v>24.289325068870525</v>
      </c>
      <c r="AB9" s="10"/>
      <c r="AC9" s="357" t="str">
        <f>VLOOKUP($B9,'2007-2020 Metadata'!$A$4:$S$214,MATCH("Urban Area /Monitoring Zone",'2007-2020 Metadata'!$A$4:$S$4,0),FALSE)</f>
        <v>Auckland - Northern</v>
      </c>
      <c r="AD9" s="87" t="str">
        <f>VLOOKUP(B9,'2007-2020 Metadata'!$A$6:$A$214,1,FALSE)</f>
        <v>AUC005</v>
      </c>
      <c r="AE9" s="230" t="str">
        <f>VLOOKUP($AD9,'2007-2020 Metadata'!$A$6:$S$214,9,FALSE)</f>
        <v xml:space="preserve">North Shore </v>
      </c>
      <c r="AF9" s="248">
        <f>IF(ISBLANK(VLOOKUP($AD9,'2007-2020 Metadata'!$A$6:$S$214,19,FALSE)),"",VLOOKUP($AD9,'2007-2020 Metadata'!$A$6:$S$214,19,FALSE))</f>
        <v>2.1</v>
      </c>
      <c r="AG9" s="88" t="str">
        <f>VLOOKUP($B9,'2007-2020 Metadata'!$A$4:$S$214,MATCH("Site type",'2007-2020 Metadata'!$A$4:$S$4,0),FALSE)</f>
        <v>Local</v>
      </c>
      <c r="AH9" s="143">
        <f t="shared" si="12"/>
        <v>14.2</v>
      </c>
      <c r="AI9" s="143">
        <f t="shared" si="13"/>
        <v>35</v>
      </c>
      <c r="AJ9" s="144">
        <f t="shared" si="14"/>
        <v>24.289325068870525</v>
      </c>
    </row>
    <row r="10" spans="2:36" ht="12" customHeight="1" x14ac:dyDescent="0.15">
      <c r="B10" s="123" t="s">
        <v>6</v>
      </c>
      <c r="C10" s="104">
        <f>IF(ISBLANK(VLOOKUP($B10,'Monthly Summary 2013'!$B$7:$Q$152,14,FALSE)),"",IF(ISERROR(VLOOKUP($B10,'Monthly Summary 2013'!$B$7:$Q$152,14,FALSE)=0),"",VLOOKUP($B10,'Monthly Summary 2013'!$B$7:$Q$152,14,FALSE)))</f>
        <v>12.2</v>
      </c>
      <c r="D10" s="119">
        <v>20.100000000000001</v>
      </c>
      <c r="E10" s="119">
        <v>23.7</v>
      </c>
      <c r="F10" s="119">
        <v>24</v>
      </c>
      <c r="G10" s="119">
        <v>23.1</v>
      </c>
      <c r="H10" s="119">
        <v>28.5</v>
      </c>
      <c r="I10" s="119">
        <v>26</v>
      </c>
      <c r="J10" s="119">
        <v>26</v>
      </c>
      <c r="K10" s="124">
        <v>28.6</v>
      </c>
      <c r="L10" s="124">
        <v>21.1</v>
      </c>
      <c r="M10" s="124">
        <v>19.5</v>
      </c>
      <c r="N10" s="124">
        <v>9.4</v>
      </c>
      <c r="O10" s="124">
        <v>19.7</v>
      </c>
      <c r="P10" s="121">
        <f t="shared" si="5"/>
        <v>22.474999999999998</v>
      </c>
      <c r="Q10" s="121">
        <f t="shared" si="6"/>
        <v>23.155577078011333</v>
      </c>
      <c r="R10" s="122">
        <f t="shared" si="7"/>
        <v>1</v>
      </c>
      <c r="S10" s="140">
        <f t="shared" si="8"/>
        <v>22.599999999999998</v>
      </c>
      <c r="T10" s="24">
        <f t="shared" si="9"/>
        <v>1</v>
      </c>
      <c r="U10" s="140">
        <f t="shared" si="10"/>
        <v>25.233333333333334</v>
      </c>
      <c r="V10" s="9">
        <f t="shared" si="11"/>
        <v>1</v>
      </c>
      <c r="W10" s="172">
        <f t="shared" si="0"/>
        <v>22.474999999999998</v>
      </c>
      <c r="X10" s="142">
        <f t="shared" si="1"/>
        <v>1</v>
      </c>
      <c r="Y10" s="144">
        <f t="shared" si="2"/>
        <v>21.266666666666666</v>
      </c>
      <c r="Z10" s="144">
        <f t="shared" si="3"/>
        <v>25.651515151515149</v>
      </c>
      <c r="AA10" s="144">
        <f t="shared" si="4"/>
        <v>24.289325068870525</v>
      </c>
      <c r="AB10" s="10"/>
      <c r="AC10" s="357" t="str">
        <f>VLOOKUP($B10,'2007-2020 Metadata'!$A$4:$S$214,MATCH("Urban Area /Monitoring Zone",'2007-2020 Metadata'!$A$4:$S$4,0),FALSE)</f>
        <v>Auckland - Northern</v>
      </c>
      <c r="AD10" s="87" t="str">
        <f>VLOOKUP(B10,'2007-2020 Metadata'!$A$6:$A$214,1,FALSE)</f>
        <v>AUC007</v>
      </c>
      <c r="AE10" s="230" t="str">
        <f>VLOOKUP($AD10,'2007-2020 Metadata'!$A$6:$S$214,9,FALSE)</f>
        <v xml:space="preserve">North Shore </v>
      </c>
      <c r="AF10" s="248">
        <f>IF(ISBLANK(VLOOKUP($AD10,'2007-2020 Metadata'!$A$6:$S$214,19,FALSE)),"",VLOOKUP($AD10,'2007-2020 Metadata'!$A$6:$S$214,19,FALSE))</f>
        <v>3</v>
      </c>
      <c r="AG10" s="88" t="str">
        <f>VLOOKUP($B10,'2007-2020 Metadata'!$A$4:$S$214,MATCH("Site type",'2007-2020 Metadata'!$A$4:$S$4,0),FALSE)</f>
        <v>SH</v>
      </c>
      <c r="AH10" s="143">
        <f t="shared" si="12"/>
        <v>9.4</v>
      </c>
      <c r="AI10" s="143">
        <f t="shared" si="13"/>
        <v>28.6</v>
      </c>
      <c r="AJ10" s="144">
        <f t="shared" si="14"/>
        <v>24.289325068870525</v>
      </c>
    </row>
    <row r="11" spans="2:36" ht="12" customHeight="1" x14ac:dyDescent="0.15">
      <c r="B11" s="123" t="s">
        <v>7</v>
      </c>
      <c r="C11" s="104">
        <f>IF(ISBLANK(VLOOKUP($B11,'Monthly Summary 2013'!$B$7:$Q$152,14,FALSE)),"",IF(ISERROR(VLOOKUP($B11,'Monthly Summary 2013'!$B$7:$Q$152,14,FALSE)=0),"",VLOOKUP($B11,'Monthly Summary 2013'!$B$7:$Q$152,14,FALSE)))</f>
        <v>11.9</v>
      </c>
      <c r="D11" s="119">
        <v>16.2</v>
      </c>
      <c r="E11" s="119">
        <v>20.5</v>
      </c>
      <c r="F11" s="119">
        <v>26.9</v>
      </c>
      <c r="G11" s="119">
        <v>27</v>
      </c>
      <c r="H11" s="119">
        <v>24.4</v>
      </c>
      <c r="I11" s="119">
        <v>30.9</v>
      </c>
      <c r="J11" s="119">
        <v>30.9</v>
      </c>
      <c r="K11" s="124">
        <v>34.5</v>
      </c>
      <c r="L11" s="124">
        <v>25</v>
      </c>
      <c r="M11" s="124">
        <v>20.5</v>
      </c>
      <c r="N11" s="124">
        <v>7.9</v>
      </c>
      <c r="O11" s="124">
        <v>13.8</v>
      </c>
      <c r="P11" s="121">
        <f t="shared" si="5"/>
        <v>23.208333333333332</v>
      </c>
      <c r="Q11" s="121">
        <f t="shared" si="6"/>
        <v>33.504733715930776</v>
      </c>
      <c r="R11" s="122">
        <f t="shared" si="7"/>
        <v>1</v>
      </c>
      <c r="S11" s="140">
        <f t="shared" si="8"/>
        <v>21.2</v>
      </c>
      <c r="T11" s="24">
        <f t="shared" si="9"/>
        <v>1</v>
      </c>
      <c r="U11" s="140">
        <f t="shared" si="10"/>
        <v>30.133333333333336</v>
      </c>
      <c r="V11" s="9">
        <f t="shared" si="11"/>
        <v>1</v>
      </c>
      <c r="W11" s="172">
        <f t="shared" si="0"/>
        <v>23.208333333333332</v>
      </c>
      <c r="X11" s="142">
        <f t="shared" si="1"/>
        <v>1</v>
      </c>
      <c r="Y11" s="144">
        <f t="shared" si="2"/>
        <v>25.528205128205133</v>
      </c>
      <c r="Z11" s="144">
        <f t="shared" si="3"/>
        <v>30.112820512820516</v>
      </c>
      <c r="AA11" s="144">
        <f t="shared" si="4"/>
        <v>28.421689976689979</v>
      </c>
      <c r="AB11" s="10"/>
      <c r="AC11" s="357" t="str">
        <f>VLOOKUP($B11,'2007-2020 Metadata'!$A$4:$S$214,MATCH("Urban Area /Monitoring Zone",'2007-2020 Metadata'!$A$4:$S$4,0),FALSE)</f>
        <v>Auckland - Central</v>
      </c>
      <c r="AD11" s="87" t="str">
        <f>VLOOKUP(B11,'2007-2020 Metadata'!$A$6:$A$214,1,FALSE)</f>
        <v>AUC008</v>
      </c>
      <c r="AE11" s="230" t="str">
        <f>VLOOKUP($AD11,'2007-2020 Metadata'!$A$6:$S$214,9,FALSE)</f>
        <v>Auckland</v>
      </c>
      <c r="AF11" s="248">
        <f>IF(ISBLANK(VLOOKUP($AD11,'2007-2020 Metadata'!$A$6:$S$214,19,FALSE)),"",VLOOKUP($AD11,'2007-2020 Metadata'!$A$6:$S$214,19,FALSE))</f>
        <v>3</v>
      </c>
      <c r="AG11" s="88" t="str">
        <f>VLOOKUP($B11,'2007-2020 Metadata'!$A$4:$S$214,MATCH("Site type",'2007-2020 Metadata'!$A$4:$S$4,0),FALSE)</f>
        <v>SH</v>
      </c>
      <c r="AH11" s="143">
        <f t="shared" si="12"/>
        <v>7.9</v>
      </c>
      <c r="AI11" s="143">
        <f t="shared" si="13"/>
        <v>34.5</v>
      </c>
      <c r="AJ11" s="144">
        <f t="shared" si="14"/>
        <v>28.421689976689979</v>
      </c>
    </row>
    <row r="12" spans="2:36" ht="12" customHeight="1" x14ac:dyDescent="0.15">
      <c r="B12" s="123" t="s">
        <v>8</v>
      </c>
      <c r="C12" s="104">
        <f>IF(ISBLANK(VLOOKUP($B12,'Monthly Summary 2013'!$B$7:$Q$152,14,FALSE)),"",IF(ISERROR(VLOOKUP($B12,'Monthly Summary 2013'!$B$7:$Q$152,14,FALSE)=0),"",VLOOKUP($B12,'Monthly Summary 2013'!$B$7:$Q$152,14,FALSE)))</f>
        <v>38.1</v>
      </c>
      <c r="D12" s="119">
        <v>31.1</v>
      </c>
      <c r="E12" s="119">
        <v>40.200000000000003</v>
      </c>
      <c r="F12" s="119">
        <v>45.9</v>
      </c>
      <c r="G12" s="119">
        <v>37.4</v>
      </c>
      <c r="H12" s="119">
        <v>51.6</v>
      </c>
      <c r="I12" s="119">
        <v>39.200000000000003</v>
      </c>
      <c r="J12" s="119">
        <v>39.200000000000003</v>
      </c>
      <c r="K12" s="124">
        <v>51.2</v>
      </c>
      <c r="L12" s="124">
        <v>40.299999999999997</v>
      </c>
      <c r="M12" s="124">
        <v>47.5</v>
      </c>
      <c r="N12" s="124">
        <v>37</v>
      </c>
      <c r="O12" s="124">
        <v>31.2</v>
      </c>
      <c r="P12" s="121">
        <f t="shared" si="5"/>
        <v>40.983333333333334</v>
      </c>
      <c r="Q12" s="121">
        <f t="shared" si="6"/>
        <v>16.667564330051</v>
      </c>
      <c r="R12" s="122">
        <f t="shared" si="7"/>
        <v>1</v>
      </c>
      <c r="S12" s="140">
        <f t="shared" si="8"/>
        <v>39.06666666666667</v>
      </c>
      <c r="T12" s="24">
        <f t="shared" si="9"/>
        <v>1</v>
      </c>
      <c r="U12" s="140">
        <f t="shared" si="10"/>
        <v>43.566666666666663</v>
      </c>
      <c r="V12" s="9">
        <f t="shared" si="11"/>
        <v>1</v>
      </c>
      <c r="W12" s="172">
        <f t="shared" si="0"/>
        <v>40.983333333333334</v>
      </c>
      <c r="X12" s="142">
        <f t="shared" si="1"/>
        <v>1</v>
      </c>
      <c r="Y12" s="144">
        <f t="shared" si="2"/>
        <v>25.528205128205133</v>
      </c>
      <c r="Z12" s="144">
        <f t="shared" si="3"/>
        <v>30.112820512820516</v>
      </c>
      <c r="AA12" s="144">
        <f t="shared" si="4"/>
        <v>28.421689976689979</v>
      </c>
      <c r="AB12" s="10"/>
      <c r="AC12" s="357" t="str">
        <f>VLOOKUP($B12,'2007-2020 Metadata'!$A$4:$S$214,MATCH("Urban Area /Monitoring Zone",'2007-2020 Metadata'!$A$4:$S$4,0),FALSE)</f>
        <v>Auckland - Central</v>
      </c>
      <c r="AD12" s="87" t="str">
        <f>VLOOKUP(B12,'2007-2020 Metadata'!$A$6:$A$214,1,FALSE)</f>
        <v>AUC009</v>
      </c>
      <c r="AE12" s="230" t="str">
        <f>VLOOKUP($AD12,'2007-2020 Metadata'!$A$6:$S$214,9,FALSE)</f>
        <v>Auckland</v>
      </c>
      <c r="AF12" s="248">
        <f>IF(ISBLANK(VLOOKUP($AD12,'2007-2020 Metadata'!$A$6:$S$214,19,FALSE)),"",VLOOKUP($AD12,'2007-2020 Metadata'!$A$6:$S$214,19,FALSE))</f>
        <v>3</v>
      </c>
      <c r="AG12" s="88" t="str">
        <f>VLOOKUP($B12,'2007-2020 Metadata'!$A$4:$S$214,MATCH("Site type",'2007-2020 Metadata'!$A$4:$S$4,0),FALSE)</f>
        <v>SH</v>
      </c>
      <c r="AH12" s="143">
        <f t="shared" si="12"/>
        <v>31.1</v>
      </c>
      <c r="AI12" s="143">
        <f t="shared" si="13"/>
        <v>51.6</v>
      </c>
      <c r="AJ12" s="144">
        <f t="shared" si="14"/>
        <v>28.421689976689979</v>
      </c>
    </row>
    <row r="13" spans="2:36" ht="12" customHeight="1" x14ac:dyDescent="0.15">
      <c r="B13" s="123" t="s">
        <v>9</v>
      </c>
      <c r="C13" s="104">
        <f>IF(ISBLANK(VLOOKUP($B13,'Monthly Summary 2013'!$B$7:$Q$152,14,FALSE)),"",IF(ISERROR(VLOOKUP($B13,'Monthly Summary 2013'!$B$7:$Q$152,14,FALSE)=0),"",VLOOKUP($B13,'Monthly Summary 2013'!$B$7:$Q$152,14,FALSE)))</f>
        <v>29.7</v>
      </c>
      <c r="D13" s="119">
        <v>26.2</v>
      </c>
      <c r="E13" s="119">
        <v>27.7</v>
      </c>
      <c r="F13" s="119">
        <v>40.4</v>
      </c>
      <c r="G13" s="119">
        <v>34.299999999999997</v>
      </c>
      <c r="H13" s="119">
        <v>45.9</v>
      </c>
      <c r="I13" s="119">
        <v>33.200000000000003</v>
      </c>
      <c r="J13" s="119">
        <v>33.200000000000003</v>
      </c>
      <c r="K13" s="124">
        <v>39.700000000000003</v>
      </c>
      <c r="L13" s="124">
        <v>35.700000000000003</v>
      </c>
      <c r="M13" s="124">
        <v>44</v>
      </c>
      <c r="N13" s="124">
        <v>33.4</v>
      </c>
      <c r="O13" s="124">
        <v>26.6</v>
      </c>
      <c r="P13" s="121">
        <f t="shared" si="5"/>
        <v>35.024999999999999</v>
      </c>
      <c r="Q13" s="121">
        <f t="shared" si="6"/>
        <v>18.510443107072259</v>
      </c>
      <c r="R13" s="122">
        <f t="shared" si="7"/>
        <v>1</v>
      </c>
      <c r="S13" s="140">
        <f t="shared" si="8"/>
        <v>31.433333333333334</v>
      </c>
      <c r="T13" s="24">
        <f t="shared" si="9"/>
        <v>1</v>
      </c>
      <c r="U13" s="140">
        <f t="shared" si="10"/>
        <v>36.200000000000003</v>
      </c>
      <c r="V13" s="9">
        <f t="shared" si="11"/>
        <v>1</v>
      </c>
      <c r="W13" s="172">
        <f t="shared" si="0"/>
        <v>35.024999999999999</v>
      </c>
      <c r="X13" s="142">
        <f t="shared" si="1"/>
        <v>1</v>
      </c>
      <c r="Y13" s="144">
        <f t="shared" si="2"/>
        <v>25.528205128205133</v>
      </c>
      <c r="Z13" s="144">
        <f t="shared" si="3"/>
        <v>30.112820512820516</v>
      </c>
      <c r="AA13" s="144">
        <f t="shared" si="4"/>
        <v>28.421689976689979</v>
      </c>
      <c r="AB13" s="10"/>
      <c r="AC13" s="357" t="str">
        <f>VLOOKUP($B13,'2007-2020 Metadata'!$A$4:$S$214,MATCH("Urban Area /Monitoring Zone",'2007-2020 Metadata'!$A$4:$S$4,0),FALSE)</f>
        <v>Auckland - Central</v>
      </c>
      <c r="AD13" s="87" t="str">
        <f>VLOOKUP(B13,'2007-2020 Metadata'!$A$6:$A$214,1,FALSE)</f>
        <v>AUC011</v>
      </c>
      <c r="AE13" s="230" t="str">
        <f>VLOOKUP($AD13,'2007-2020 Metadata'!$A$6:$S$214,9,FALSE)</f>
        <v>Auckland</v>
      </c>
      <c r="AF13" s="248">
        <f>IF(ISBLANK(VLOOKUP($AD13,'2007-2020 Metadata'!$A$6:$S$214,19,FALSE)),"",VLOOKUP($AD13,'2007-2020 Metadata'!$A$6:$S$214,19,FALSE))</f>
        <v>3</v>
      </c>
      <c r="AG13" s="88" t="str">
        <f>VLOOKUP($B13,'2007-2020 Metadata'!$A$4:$S$214,MATCH("Site type",'2007-2020 Metadata'!$A$4:$S$4,0),FALSE)</f>
        <v>SH</v>
      </c>
      <c r="AH13" s="143">
        <f t="shared" si="12"/>
        <v>26.2</v>
      </c>
      <c r="AI13" s="143">
        <f t="shared" si="13"/>
        <v>45.9</v>
      </c>
      <c r="AJ13" s="144">
        <f t="shared" si="14"/>
        <v>28.421689976689979</v>
      </c>
    </row>
    <row r="14" spans="2:36" ht="12" customHeight="1" x14ac:dyDescent="0.15">
      <c r="B14" s="123" t="s">
        <v>10</v>
      </c>
      <c r="C14" s="104">
        <f>IF(ISBLANK(VLOOKUP($B14,'Monthly Summary 2013'!$B$7:$Q$152,14,FALSE)),"",IF(ISERROR(VLOOKUP($B14,'Monthly Summary 2013'!$B$7:$Q$152,14,FALSE)=0),"",VLOOKUP($B14,'Monthly Summary 2013'!$B$7:$Q$152,14,FALSE)))</f>
        <v>22.2</v>
      </c>
      <c r="D14" s="119">
        <v>23</v>
      </c>
      <c r="E14" s="119">
        <v>25.4</v>
      </c>
      <c r="F14" s="119">
        <v>34.9</v>
      </c>
      <c r="G14" s="119">
        <v>31.7</v>
      </c>
      <c r="H14" s="119">
        <v>41.1</v>
      </c>
      <c r="I14" s="119">
        <v>28.4</v>
      </c>
      <c r="J14" s="119">
        <v>32.1</v>
      </c>
      <c r="K14" s="124">
        <v>31.3</v>
      </c>
      <c r="L14" s="124">
        <v>29.6</v>
      </c>
      <c r="M14" s="124">
        <v>31.3</v>
      </c>
      <c r="N14" s="124">
        <v>29.7</v>
      </c>
      <c r="O14" s="124"/>
      <c r="P14" s="121">
        <f t="shared" si="5"/>
        <v>30.772727272727273</v>
      </c>
      <c r="Q14" s="121">
        <f t="shared" si="6"/>
        <v>15.390417780246461</v>
      </c>
      <c r="R14" s="268">
        <f t="shared" si="7"/>
        <v>0.91666666666666663</v>
      </c>
      <c r="S14" s="260">
        <f t="shared" si="8"/>
        <v>27.766666666666666</v>
      </c>
      <c r="T14" s="264">
        <f t="shared" si="9"/>
        <v>1</v>
      </c>
      <c r="U14" s="260">
        <f t="shared" si="10"/>
        <v>31</v>
      </c>
      <c r="V14" s="265">
        <f t="shared" si="11"/>
        <v>1</v>
      </c>
      <c r="W14" s="266">
        <f t="shared" si="0"/>
        <v>30.772727272727273</v>
      </c>
      <c r="X14" s="261">
        <f t="shared" si="1"/>
        <v>0.91666666666666663</v>
      </c>
      <c r="Y14" s="177">
        <f t="shared" si="2"/>
        <v>25.528205128205133</v>
      </c>
      <c r="Z14" s="177">
        <f t="shared" si="3"/>
        <v>30.112820512820516</v>
      </c>
      <c r="AA14" s="177">
        <f t="shared" si="4"/>
        <v>28.421689976689979</v>
      </c>
      <c r="AB14" s="10"/>
      <c r="AC14" s="357" t="str">
        <f>VLOOKUP($B14,'2007-2020 Metadata'!$A$4:$S$214,MATCH("Urban Area /Monitoring Zone",'2007-2020 Metadata'!$A$4:$S$4,0),FALSE)</f>
        <v>Auckland - Central</v>
      </c>
      <c r="AD14" s="259" t="str">
        <f>VLOOKUP(B14,'2007-2020 Metadata'!$A$6:$A$214,1,FALSE)</f>
        <v>AUC013</v>
      </c>
      <c r="AE14" s="256" t="str">
        <f>VLOOKUP($AD14,'2007-2020 Metadata'!$A$6:$S$214,9,FALSE)</f>
        <v>Auckland</v>
      </c>
      <c r="AF14" s="263">
        <f>IF(ISBLANK(VLOOKUP($AD14,'2007-2020 Metadata'!$A$6:$S$214,19,FALSE)),"",VLOOKUP($AD14,'2007-2020 Metadata'!$A$6:$S$214,19,FALSE))</f>
        <v>4</v>
      </c>
      <c r="AG14" s="257" t="str">
        <f>VLOOKUP($B14,'2007-2020 Metadata'!$A$4:$S$214,MATCH("Site type",'2007-2020 Metadata'!$A$4:$S$4,0),FALSE)</f>
        <v>SH</v>
      </c>
      <c r="AH14" s="365">
        <v>9.9</v>
      </c>
      <c r="AI14" s="365">
        <v>20.2</v>
      </c>
      <c r="AJ14" s="359">
        <v>27.5</v>
      </c>
    </row>
    <row r="15" spans="2:36" ht="12" customHeight="1" x14ac:dyDescent="0.15">
      <c r="B15" s="123" t="s">
        <v>11</v>
      </c>
      <c r="C15" s="104">
        <f>IF(ISBLANK(VLOOKUP($B15,'Monthly Summary 2013'!$B$7:$Q$152,14,FALSE)),"",IF(ISERROR(VLOOKUP($B15,'Monthly Summary 2013'!$B$7:$Q$152,14,FALSE)=0),"",VLOOKUP($B15,'Monthly Summary 2013'!$B$7:$Q$152,14,FALSE)))</f>
        <v>21.1</v>
      </c>
      <c r="D15" s="119">
        <v>22.9</v>
      </c>
      <c r="E15" s="119">
        <v>25.7</v>
      </c>
      <c r="F15" s="119">
        <v>35.4</v>
      </c>
      <c r="G15" s="119">
        <v>34.200000000000003</v>
      </c>
      <c r="H15" s="119">
        <v>45.8</v>
      </c>
      <c r="I15" s="119">
        <v>32.6</v>
      </c>
      <c r="J15" s="119">
        <v>36.700000000000003</v>
      </c>
      <c r="K15" s="124">
        <v>25.7</v>
      </c>
      <c r="L15" s="124">
        <v>26.6</v>
      </c>
      <c r="M15" s="124">
        <v>27.3</v>
      </c>
      <c r="N15" s="124">
        <v>27.8</v>
      </c>
      <c r="O15" s="124">
        <v>19.3</v>
      </c>
      <c r="P15" s="121">
        <f t="shared" si="5"/>
        <v>30.000000000000004</v>
      </c>
      <c r="Q15" s="121">
        <f t="shared" si="6"/>
        <v>24.071862110242805</v>
      </c>
      <c r="R15" s="268">
        <f t="shared" si="7"/>
        <v>1</v>
      </c>
      <c r="S15" s="260">
        <f t="shared" si="8"/>
        <v>28</v>
      </c>
      <c r="T15" s="264">
        <f t="shared" si="9"/>
        <v>1</v>
      </c>
      <c r="U15" s="260">
        <f t="shared" si="10"/>
        <v>29.666666666666668</v>
      </c>
      <c r="V15" s="265">
        <f t="shared" si="11"/>
        <v>1</v>
      </c>
      <c r="W15" s="266">
        <f t="shared" si="0"/>
        <v>30.000000000000004</v>
      </c>
      <c r="X15" s="261">
        <f t="shared" si="1"/>
        <v>1</v>
      </c>
      <c r="Y15" s="177">
        <f t="shared" si="2"/>
        <v>25.528205128205133</v>
      </c>
      <c r="Z15" s="177">
        <f t="shared" si="3"/>
        <v>30.112820512820516</v>
      </c>
      <c r="AA15" s="177">
        <f t="shared" si="4"/>
        <v>28.421689976689979</v>
      </c>
      <c r="AB15" s="10"/>
      <c r="AC15" s="357" t="str">
        <f>VLOOKUP($B15,'2007-2020 Metadata'!$A$4:$S$214,MATCH("Urban Area /Monitoring Zone",'2007-2020 Metadata'!$A$4:$S$4,0),FALSE)</f>
        <v>Auckland - Central</v>
      </c>
      <c r="AD15" s="259" t="str">
        <f>VLOOKUP(B15,'2007-2020 Metadata'!$A$6:$A$214,1,FALSE)</f>
        <v>AUC014</v>
      </c>
      <c r="AE15" s="256" t="str">
        <f>VLOOKUP($AD15,'2007-2020 Metadata'!$A$6:$S$214,9,FALSE)</f>
        <v>Auckland</v>
      </c>
      <c r="AF15" s="263">
        <f>IF(ISBLANK(VLOOKUP($AD15,'2007-2020 Metadata'!$A$6:$S$214,19,FALSE)),"",VLOOKUP($AD15,'2007-2020 Metadata'!$A$6:$S$214,19,FALSE))</f>
        <v>4</v>
      </c>
      <c r="AG15" s="257" t="str">
        <f>VLOOKUP($B15,'2007-2020 Metadata'!$A$4:$S$214,MATCH("Site type",'2007-2020 Metadata'!$A$4:$S$4,0),FALSE)</f>
        <v>SH</v>
      </c>
      <c r="AH15" s="365">
        <v>9.9</v>
      </c>
      <c r="AI15" s="365">
        <v>20.2</v>
      </c>
      <c r="AJ15" s="359">
        <v>27.5</v>
      </c>
    </row>
    <row r="16" spans="2:36" ht="12" customHeight="1" x14ac:dyDescent="0.15">
      <c r="B16" s="123" t="s">
        <v>12</v>
      </c>
      <c r="C16" s="104">
        <f>IF(ISBLANK(VLOOKUP($B16,'Monthly Summary 2013'!$B$7:$Q$152,14,FALSE)),"",IF(ISERROR(VLOOKUP($B16,'Monthly Summary 2013'!$B$7:$Q$152,14,FALSE)=0),"",VLOOKUP($B16,'Monthly Summary 2013'!$B$7:$Q$152,14,FALSE)))</f>
        <v>20.7</v>
      </c>
      <c r="D16" s="119">
        <v>22.9</v>
      </c>
      <c r="E16" s="119">
        <v>19.7</v>
      </c>
      <c r="F16" s="119">
        <v>32.1</v>
      </c>
      <c r="G16" s="119">
        <v>34.799999999999997</v>
      </c>
      <c r="H16" s="119">
        <v>43.5</v>
      </c>
      <c r="I16" s="119">
        <v>30.7</v>
      </c>
      <c r="J16" s="119">
        <v>36</v>
      </c>
      <c r="K16" s="124">
        <v>28.3</v>
      </c>
      <c r="L16" s="124">
        <v>24.8</v>
      </c>
      <c r="M16" s="124">
        <v>29.4</v>
      </c>
      <c r="N16" s="124">
        <v>27.6</v>
      </c>
      <c r="O16" s="124">
        <v>18.8</v>
      </c>
      <c r="P16" s="121">
        <f t="shared" si="5"/>
        <v>29.05</v>
      </c>
      <c r="Q16" s="121">
        <f t="shared" si="6"/>
        <v>24.415042119152659</v>
      </c>
      <c r="R16" s="268">
        <f t="shared" si="7"/>
        <v>1</v>
      </c>
      <c r="S16" s="260">
        <f t="shared" si="8"/>
        <v>24.899999999999995</v>
      </c>
      <c r="T16" s="264">
        <f t="shared" si="9"/>
        <v>1</v>
      </c>
      <c r="U16" s="260">
        <f t="shared" si="10"/>
        <v>29.7</v>
      </c>
      <c r="V16" s="265">
        <f t="shared" si="11"/>
        <v>1</v>
      </c>
      <c r="W16" s="266">
        <f t="shared" si="0"/>
        <v>29.05</v>
      </c>
      <c r="X16" s="261">
        <f t="shared" si="1"/>
        <v>1</v>
      </c>
      <c r="Y16" s="177">
        <f t="shared" si="2"/>
        <v>25.528205128205133</v>
      </c>
      <c r="Z16" s="177">
        <f t="shared" si="3"/>
        <v>30.112820512820516</v>
      </c>
      <c r="AA16" s="177">
        <f t="shared" si="4"/>
        <v>28.421689976689979</v>
      </c>
      <c r="AB16" s="10"/>
      <c r="AC16" s="357" t="str">
        <f>VLOOKUP($B16,'2007-2020 Metadata'!$A$4:$S$214,MATCH("Urban Area /Monitoring Zone",'2007-2020 Metadata'!$A$4:$S$4,0),FALSE)</f>
        <v>Auckland - Central</v>
      </c>
      <c r="AD16" s="259" t="str">
        <f>VLOOKUP(B16,'2007-2020 Metadata'!$A$6:$A$214,1,FALSE)</f>
        <v>AUC015</v>
      </c>
      <c r="AE16" s="256" t="str">
        <f>VLOOKUP($AD16,'2007-2020 Metadata'!$A$6:$S$214,9,FALSE)</f>
        <v>Auckland</v>
      </c>
      <c r="AF16" s="263">
        <f>IF(ISBLANK(VLOOKUP($AD16,'2007-2020 Metadata'!$A$6:$S$214,19,FALSE)),"",VLOOKUP($AD16,'2007-2020 Metadata'!$A$6:$S$214,19,FALSE))</f>
        <v>4</v>
      </c>
      <c r="AG16" s="257" t="str">
        <f>VLOOKUP($B16,'2007-2020 Metadata'!$A$4:$S$214,MATCH("Site type",'2007-2020 Metadata'!$A$4:$S$4,0),FALSE)</f>
        <v>SH</v>
      </c>
      <c r="AH16" s="365">
        <v>9.9</v>
      </c>
      <c r="AI16" s="365">
        <v>20.2</v>
      </c>
      <c r="AJ16" s="359">
        <v>27.5</v>
      </c>
    </row>
    <row r="17" spans="2:36" ht="12" customHeight="1" x14ac:dyDescent="0.15">
      <c r="B17" s="123" t="s">
        <v>13</v>
      </c>
      <c r="C17" s="104">
        <f>IF(ISBLANK(VLOOKUP($B17,'Monthly Summary 2013'!$B$7:$Q$152,14,FALSE)),"",IF(ISERROR(VLOOKUP($B17,'Monthly Summary 2013'!$B$7:$Q$152,14,FALSE)=0),"",VLOOKUP($B17,'Monthly Summary 2013'!$B$7:$Q$152,14,FALSE)))</f>
        <v>17.7</v>
      </c>
      <c r="D17" s="119">
        <v>18.5</v>
      </c>
      <c r="E17" s="119">
        <v>25.2</v>
      </c>
      <c r="F17" s="119"/>
      <c r="G17" s="119">
        <v>30.2</v>
      </c>
      <c r="H17" s="119">
        <v>43.8</v>
      </c>
      <c r="I17" s="119">
        <v>28</v>
      </c>
      <c r="J17" s="119">
        <v>28</v>
      </c>
      <c r="K17" s="124">
        <v>30.8</v>
      </c>
      <c r="L17" s="124">
        <v>29.6</v>
      </c>
      <c r="M17" s="124"/>
      <c r="N17" s="124"/>
      <c r="O17" s="124">
        <v>19.5</v>
      </c>
      <c r="P17" s="121">
        <f t="shared" si="5"/>
        <v>28.177777777777777</v>
      </c>
      <c r="Q17" s="121">
        <f t="shared" si="6"/>
        <v>26.167409019873617</v>
      </c>
      <c r="R17" s="122">
        <f t="shared" si="7"/>
        <v>0.75</v>
      </c>
      <c r="S17" s="140">
        <f t="shared" si="8"/>
        <v>21.85</v>
      </c>
      <c r="T17" s="24">
        <f t="shared" si="9"/>
        <v>0.66666666666666663</v>
      </c>
      <c r="U17" s="140">
        <f t="shared" si="10"/>
        <v>29.466666666666669</v>
      </c>
      <c r="V17" s="9">
        <f t="shared" si="11"/>
        <v>1</v>
      </c>
      <c r="W17" s="172">
        <f t="shared" si="0"/>
        <v>28.177777777777777</v>
      </c>
      <c r="X17" s="142">
        <f t="shared" si="1"/>
        <v>0.75</v>
      </c>
      <c r="Y17" s="144">
        <f t="shared" si="2"/>
        <v>20.435185185185187</v>
      </c>
      <c r="Z17" s="144">
        <f t="shared" si="3"/>
        <v>26.950000000000003</v>
      </c>
      <c r="AA17" s="144">
        <f t="shared" si="4"/>
        <v>24.634722222222219</v>
      </c>
      <c r="AB17" s="10"/>
      <c r="AC17" s="357" t="str">
        <f>VLOOKUP($B17,'2007-2020 Metadata'!$A$4:$S$214,MATCH("Urban Area /Monitoring Zone",'2007-2020 Metadata'!$A$4:$S$4,0),FALSE)</f>
        <v xml:space="preserve">Auckland - Southern </v>
      </c>
      <c r="AD17" s="87" t="str">
        <f>VLOOKUP(B17,'2007-2020 Metadata'!$A$6:$A$214,1,FALSE)</f>
        <v>AUC018</v>
      </c>
      <c r="AE17" s="230" t="str">
        <f>VLOOKUP($AD17,'2007-2020 Metadata'!$A$6:$S$214,9,FALSE)</f>
        <v>Manukau</v>
      </c>
      <c r="AF17" s="248">
        <f>IF(ISBLANK(VLOOKUP($AD17,'2007-2020 Metadata'!$A$6:$S$214,19,FALSE)),"",VLOOKUP($AD17,'2007-2020 Metadata'!$A$6:$S$214,19,FALSE))</f>
        <v>3</v>
      </c>
      <c r="AG17" s="88" t="str">
        <f>VLOOKUP($B17,'2007-2020 Metadata'!$A$4:$S$214,MATCH("Site type",'2007-2020 Metadata'!$A$4:$S$4,0),FALSE)</f>
        <v>SH</v>
      </c>
      <c r="AH17" s="143">
        <f t="shared" si="12"/>
        <v>18.5</v>
      </c>
      <c r="AI17" s="143">
        <f t="shared" si="13"/>
        <v>43.8</v>
      </c>
      <c r="AJ17" s="144">
        <f t="shared" si="14"/>
        <v>24.634722222222219</v>
      </c>
    </row>
    <row r="18" spans="2:36" ht="12" customHeight="1" x14ac:dyDescent="0.15">
      <c r="B18" s="123" t="s">
        <v>14</v>
      </c>
      <c r="C18" s="104">
        <f>IF(ISBLANK(VLOOKUP($B18,'Monthly Summary 2013'!$B$7:$Q$152,14,FALSE)),"",IF(ISERROR(VLOOKUP($B18,'Monthly Summary 2013'!$B$7:$Q$152,14,FALSE)=0),"",VLOOKUP($B18,'Monthly Summary 2013'!$B$7:$Q$152,14,FALSE)))</f>
        <v>13.8</v>
      </c>
      <c r="D18" s="119">
        <v>11.4</v>
      </c>
      <c r="E18" s="119">
        <v>17.7</v>
      </c>
      <c r="F18" s="119">
        <v>22.8</v>
      </c>
      <c r="G18" s="119">
        <v>27.2</v>
      </c>
      <c r="H18" s="119">
        <v>29.1</v>
      </c>
      <c r="I18" s="119">
        <v>25.7</v>
      </c>
      <c r="J18" s="119">
        <v>25.7</v>
      </c>
      <c r="K18" s="124">
        <v>25.4</v>
      </c>
      <c r="L18" s="124">
        <v>21.1</v>
      </c>
      <c r="M18" s="124">
        <v>20.9</v>
      </c>
      <c r="N18" s="124">
        <v>13</v>
      </c>
      <c r="O18" s="124">
        <v>16.2</v>
      </c>
      <c r="P18" s="121">
        <f t="shared" si="5"/>
        <v>21.349999999999998</v>
      </c>
      <c r="Q18" s="121">
        <f t="shared" si="6"/>
        <v>26.775470060736634</v>
      </c>
      <c r="R18" s="122">
        <f t="shared" si="7"/>
        <v>1</v>
      </c>
      <c r="S18" s="140">
        <f t="shared" si="8"/>
        <v>17.3</v>
      </c>
      <c r="T18" s="24">
        <f t="shared" si="9"/>
        <v>1</v>
      </c>
      <c r="U18" s="140">
        <f t="shared" si="10"/>
        <v>24.066666666666663</v>
      </c>
      <c r="V18" s="9">
        <f t="shared" si="11"/>
        <v>1</v>
      </c>
      <c r="W18" s="172">
        <f t="shared" si="0"/>
        <v>21.349999999999998</v>
      </c>
      <c r="X18" s="142">
        <f t="shared" si="1"/>
        <v>1</v>
      </c>
      <c r="Y18" s="144">
        <f t="shared" si="2"/>
        <v>20.435185185185187</v>
      </c>
      <c r="Z18" s="144">
        <f t="shared" si="3"/>
        <v>26.950000000000003</v>
      </c>
      <c r="AA18" s="144">
        <f t="shared" si="4"/>
        <v>24.634722222222219</v>
      </c>
      <c r="AB18" s="10"/>
      <c r="AC18" s="357" t="str">
        <f>VLOOKUP($B18,'2007-2020 Metadata'!$A$4:$S$214,MATCH("Urban Area /Monitoring Zone",'2007-2020 Metadata'!$A$4:$S$4,0),FALSE)</f>
        <v xml:space="preserve">Auckland - Southern </v>
      </c>
      <c r="AD18" s="87" t="str">
        <f>VLOOKUP(B18,'2007-2020 Metadata'!$A$6:$A$214,1,FALSE)</f>
        <v>AUC019</v>
      </c>
      <c r="AE18" s="230" t="str">
        <f>VLOOKUP($AD18,'2007-2020 Metadata'!$A$6:$S$214,9,FALSE)</f>
        <v>Manukau</v>
      </c>
      <c r="AF18" s="248">
        <f>IF(ISBLANK(VLOOKUP($AD18,'2007-2020 Metadata'!$A$6:$S$214,19,FALSE)),"",VLOOKUP($AD18,'2007-2020 Metadata'!$A$6:$S$214,19,FALSE))</f>
        <v>2</v>
      </c>
      <c r="AG18" s="88" t="str">
        <f>VLOOKUP($B18,'2007-2020 Metadata'!$A$4:$S$214,MATCH("Site type",'2007-2020 Metadata'!$A$4:$S$4,0),FALSE)</f>
        <v>SH</v>
      </c>
      <c r="AH18" s="143">
        <f t="shared" si="12"/>
        <v>11.4</v>
      </c>
      <c r="AI18" s="143">
        <f t="shared" si="13"/>
        <v>29.1</v>
      </c>
      <c r="AJ18" s="144">
        <f t="shared" si="14"/>
        <v>24.634722222222219</v>
      </c>
    </row>
    <row r="19" spans="2:36" ht="12" customHeight="1" x14ac:dyDescent="0.15">
      <c r="B19" s="123" t="s">
        <v>993</v>
      </c>
      <c r="C19" s="104">
        <f>IF(ISBLANK(VLOOKUP($B19,'Monthly Summary 2013'!$B$7:$Q$152,14,FALSE)),"",IF(ISERROR(VLOOKUP($B19,'Monthly Summary 2013'!$B$7:$Q$152,14,FALSE)=0),"",VLOOKUP($B19,'Monthly Summary 2013'!$B$7:$Q$152,14,FALSE)))</f>
        <v>11.4</v>
      </c>
      <c r="D19" s="119">
        <v>10.5</v>
      </c>
      <c r="E19" s="119">
        <v>12.1</v>
      </c>
      <c r="F19" s="119">
        <v>15.1</v>
      </c>
      <c r="G19" s="119">
        <v>15.2</v>
      </c>
      <c r="H19" s="119">
        <v>21.3</v>
      </c>
      <c r="I19" s="119">
        <v>15.9</v>
      </c>
      <c r="J19" s="119">
        <v>15.9</v>
      </c>
      <c r="K19" s="124">
        <v>15.8</v>
      </c>
      <c r="L19" s="124">
        <v>14.5</v>
      </c>
      <c r="M19" s="124">
        <v>16.3</v>
      </c>
      <c r="N19" s="124">
        <v>11.7</v>
      </c>
      <c r="O19" s="124">
        <v>9.6</v>
      </c>
      <c r="P19" s="121">
        <f t="shared" si="5"/>
        <v>14.491666666666667</v>
      </c>
      <c r="Q19" s="121">
        <f t="shared" si="6"/>
        <v>21.776589303019854</v>
      </c>
      <c r="R19" s="122">
        <f t="shared" si="7"/>
        <v>1</v>
      </c>
      <c r="S19" s="140">
        <f t="shared" si="8"/>
        <v>12.566666666666668</v>
      </c>
      <c r="T19" s="24">
        <f t="shared" si="9"/>
        <v>1</v>
      </c>
      <c r="U19" s="140">
        <f t="shared" si="10"/>
        <v>15.4</v>
      </c>
      <c r="V19" s="9">
        <f t="shared" si="11"/>
        <v>1</v>
      </c>
      <c r="W19" s="172">
        <f t="shared" si="0"/>
        <v>14.491666666666667</v>
      </c>
      <c r="X19" s="142">
        <f t="shared" si="1"/>
        <v>1</v>
      </c>
      <c r="Y19" s="144">
        <f t="shared" si="2"/>
        <v>12.566666666666668</v>
      </c>
      <c r="Z19" s="144">
        <f t="shared" si="3"/>
        <v>15.4</v>
      </c>
      <c r="AA19" s="144">
        <f t="shared" si="4"/>
        <v>14.491666666666667</v>
      </c>
      <c r="AB19" s="10"/>
      <c r="AC19" s="357">
        <f>VLOOKUP($B19,'2007-2020 Metadata'!$A$4:$S$214,MATCH("Urban Area /Monitoring Zone",'2007-2020 Metadata'!$A$4:$S$4,0),FALSE)</f>
        <v>0</v>
      </c>
      <c r="AD19" s="87" t="str">
        <f>VLOOKUP(B19,'2007-2020 Metadata'!$A$6:$A$214,1,FALSE)</f>
        <v>AUC020a</v>
      </c>
      <c r="AE19" s="230">
        <f>VLOOKUP($AD19,'2007-2020 Metadata'!$A$6:$S$214,9,FALSE)</f>
        <v>0</v>
      </c>
      <c r="AF19" s="248" t="str">
        <f>IF(ISBLANK(VLOOKUP($AD19,'2007-2020 Metadata'!$A$6:$S$214,19,FALSE)),"",VLOOKUP($AD19,'2007-2020 Metadata'!$A$6:$S$214,19,FALSE))</f>
        <v/>
      </c>
      <c r="AG19" s="88" t="str">
        <f>VLOOKUP($B19,'2007-2020 Metadata'!$A$4:$S$214,MATCH("Site type",'2007-2020 Metadata'!$A$4:$S$4,0),FALSE)</f>
        <v>SH</v>
      </c>
      <c r="AH19" s="143">
        <f t="shared" si="12"/>
        <v>9.6</v>
      </c>
      <c r="AI19" s="143">
        <f t="shared" si="13"/>
        <v>21.3</v>
      </c>
      <c r="AJ19" s="144">
        <f t="shared" si="14"/>
        <v>14.491666666666667</v>
      </c>
    </row>
    <row r="20" spans="2:36" ht="12" customHeight="1" x14ac:dyDescent="0.15">
      <c r="B20" s="123" t="s">
        <v>994</v>
      </c>
      <c r="C20" s="104">
        <f>IF(ISBLANK(VLOOKUP($B20,'Monthly Summary 2013'!$B$7:$Q$152,14,FALSE)),"",IF(ISERROR(VLOOKUP($B20,'Monthly Summary 2013'!$B$7:$Q$152,14,FALSE)=0),"",VLOOKUP($B20,'Monthly Summary 2013'!$B$7:$Q$152,14,FALSE)))</f>
        <v>10.3</v>
      </c>
      <c r="D20" s="119">
        <v>10.4</v>
      </c>
      <c r="E20" s="119">
        <v>12.8</v>
      </c>
      <c r="F20" s="119">
        <v>20</v>
      </c>
      <c r="G20" s="119">
        <v>19.600000000000001</v>
      </c>
      <c r="H20" s="119">
        <v>19.100000000000001</v>
      </c>
      <c r="I20" s="119">
        <v>18.7</v>
      </c>
      <c r="J20" s="119">
        <v>18.7</v>
      </c>
      <c r="K20" s="124">
        <v>17.899999999999999</v>
      </c>
      <c r="L20" s="124">
        <v>13.5</v>
      </c>
      <c r="M20" s="124">
        <v>12.2</v>
      </c>
      <c r="N20" s="124">
        <v>8.3000000000000007</v>
      </c>
      <c r="O20" s="124">
        <v>7.4</v>
      </c>
      <c r="P20" s="121">
        <f t="shared" si="5"/>
        <v>14.883333333333335</v>
      </c>
      <c r="Q20" s="121">
        <f t="shared" si="6"/>
        <v>31.209432246774689</v>
      </c>
      <c r="R20" s="122">
        <f t="shared" si="7"/>
        <v>1</v>
      </c>
      <c r="S20" s="140">
        <f t="shared" si="8"/>
        <v>14.4</v>
      </c>
      <c r="T20" s="24">
        <f t="shared" si="9"/>
        <v>1</v>
      </c>
      <c r="U20" s="140">
        <f t="shared" si="10"/>
        <v>16.7</v>
      </c>
      <c r="V20" s="9">
        <f t="shared" si="11"/>
        <v>1</v>
      </c>
      <c r="W20" s="172">
        <f t="shared" si="0"/>
        <v>14.883333333333335</v>
      </c>
      <c r="X20" s="142">
        <f t="shared" si="1"/>
        <v>1</v>
      </c>
      <c r="Y20" s="144">
        <f t="shared" si="2"/>
        <v>14.4</v>
      </c>
      <c r="Z20" s="144">
        <f t="shared" si="3"/>
        <v>16.7</v>
      </c>
      <c r="AA20" s="144">
        <f t="shared" si="4"/>
        <v>14.883333333333335</v>
      </c>
      <c r="AB20" s="10"/>
      <c r="AC20" s="357">
        <f>VLOOKUP($B20,'2007-2020 Metadata'!$A$4:$S$214,MATCH("Urban Area /Monitoring Zone",'2007-2020 Metadata'!$A$4:$S$4,0),FALSE)</f>
        <v>0</v>
      </c>
      <c r="AD20" s="87" t="str">
        <f>VLOOKUP(B20,'2007-2020 Metadata'!$A$6:$A$214,1,FALSE)</f>
        <v>AUC021a</v>
      </c>
      <c r="AE20" s="230">
        <f>VLOOKUP($AD20,'2007-2020 Metadata'!$A$6:$S$214,9,FALSE)</f>
        <v>0</v>
      </c>
      <c r="AF20" s="248" t="str">
        <f>IF(ISBLANK(VLOOKUP($AD20,'2007-2020 Metadata'!$A$6:$S$214,19,FALSE)),"",VLOOKUP($AD20,'2007-2020 Metadata'!$A$6:$S$214,19,FALSE))</f>
        <v/>
      </c>
      <c r="AG20" s="88" t="str">
        <f>VLOOKUP($B20,'2007-2020 Metadata'!$A$4:$S$214,MATCH("Site type",'2007-2020 Metadata'!$A$4:$S$4,0),FALSE)</f>
        <v>Background</v>
      </c>
      <c r="AH20" s="143">
        <f t="shared" si="12"/>
        <v>7.4</v>
      </c>
      <c r="AI20" s="143">
        <f t="shared" si="13"/>
        <v>20</v>
      </c>
      <c r="AJ20" s="144">
        <f t="shared" si="14"/>
        <v>14.883333333333335</v>
      </c>
    </row>
    <row r="21" spans="2:36" ht="12" customHeight="1" x14ac:dyDescent="0.15">
      <c r="B21" s="123" t="s">
        <v>17</v>
      </c>
      <c r="C21" s="104">
        <f>IF(ISBLANK(VLOOKUP($B21,'Monthly Summary 2013'!$B$7:$Q$152,14,FALSE)),"",IF(ISERROR(VLOOKUP($B21,'Monthly Summary 2013'!$B$7:$Q$152,14,FALSE)=0),"",VLOOKUP($B21,'Monthly Summary 2013'!$B$7:$Q$152,14,FALSE)))</f>
        <v>17.8</v>
      </c>
      <c r="D21" s="119">
        <v>21.3</v>
      </c>
      <c r="E21" s="119">
        <v>25.9</v>
      </c>
      <c r="F21" s="119"/>
      <c r="G21" s="119"/>
      <c r="H21" s="119">
        <v>32.4</v>
      </c>
      <c r="I21" s="119">
        <v>29</v>
      </c>
      <c r="J21" s="119">
        <v>29</v>
      </c>
      <c r="K21" s="124">
        <v>35.700000000000003</v>
      </c>
      <c r="L21" s="124">
        <v>29.2</v>
      </c>
      <c r="M21" s="124">
        <v>27.2</v>
      </c>
      <c r="N21" s="124">
        <v>20.2</v>
      </c>
      <c r="O21" s="124">
        <v>15.7</v>
      </c>
      <c r="P21" s="121">
        <f t="shared" si="5"/>
        <v>26.559999999999995</v>
      </c>
      <c r="Q21" s="121">
        <f t="shared" si="6"/>
        <v>22.570272191969028</v>
      </c>
      <c r="R21" s="122">
        <f t="shared" si="7"/>
        <v>0.83333333333333337</v>
      </c>
      <c r="S21" s="140">
        <f t="shared" si="8"/>
        <v>23.6</v>
      </c>
      <c r="T21" s="24">
        <f t="shared" si="9"/>
        <v>0.66666666666666663</v>
      </c>
      <c r="U21" s="140">
        <f t="shared" si="10"/>
        <v>31.3</v>
      </c>
      <c r="V21" s="9">
        <f t="shared" si="11"/>
        <v>1</v>
      </c>
      <c r="W21" s="172">
        <f t="shared" si="0"/>
        <v>26.559999999999995</v>
      </c>
      <c r="X21" s="142">
        <f t="shared" si="1"/>
        <v>0.83333333333333337</v>
      </c>
      <c r="Y21" s="144">
        <f t="shared" si="2"/>
        <v>25.528205128205133</v>
      </c>
      <c r="Z21" s="144">
        <f t="shared" si="3"/>
        <v>30.112820512820516</v>
      </c>
      <c r="AA21" s="144">
        <f t="shared" si="4"/>
        <v>28.421689976689979</v>
      </c>
      <c r="AB21" s="10"/>
      <c r="AC21" s="357" t="str">
        <f>VLOOKUP($B21,'2007-2020 Metadata'!$A$4:$S$214,MATCH("Urban Area /Monitoring Zone",'2007-2020 Metadata'!$A$4:$S$4,0),FALSE)</f>
        <v>Auckland - Central</v>
      </c>
      <c r="AD21" s="87" t="str">
        <f>VLOOKUP(B21,'2007-2020 Metadata'!$A$6:$A$214,1,FALSE)</f>
        <v>AUC022</v>
      </c>
      <c r="AE21" s="230" t="str">
        <f>VLOOKUP($AD21,'2007-2020 Metadata'!$A$6:$S$214,9,FALSE)</f>
        <v>Auckland</v>
      </c>
      <c r="AF21" s="248">
        <f>IF(ISBLANK(VLOOKUP($AD21,'2007-2020 Metadata'!$A$6:$S$214,19,FALSE)),"",VLOOKUP($AD21,'2007-2020 Metadata'!$A$6:$S$214,19,FALSE))</f>
        <v>3</v>
      </c>
      <c r="AG21" s="88" t="str">
        <f>VLOOKUP($B21,'2007-2020 Metadata'!$A$4:$S$214,MATCH("Site type",'2007-2020 Metadata'!$A$4:$S$4,0),FALSE)</f>
        <v>SH</v>
      </c>
      <c r="AH21" s="143">
        <f t="shared" si="12"/>
        <v>15.7</v>
      </c>
      <c r="AI21" s="143">
        <f t="shared" si="13"/>
        <v>35.700000000000003</v>
      </c>
      <c r="AJ21" s="144">
        <f t="shared" si="14"/>
        <v>28.421689976689979</v>
      </c>
    </row>
    <row r="22" spans="2:36" ht="12" customHeight="1" x14ac:dyDescent="0.15">
      <c r="B22" s="123" t="s">
        <v>18</v>
      </c>
      <c r="C22" s="104">
        <f>IF(ISBLANK(VLOOKUP($B22,'Monthly Summary 2013'!$B$7:$Q$152,14,FALSE)),"",IF(ISERROR(VLOOKUP($B22,'Monthly Summary 2013'!$B$7:$Q$152,14,FALSE)=0),"",VLOOKUP($B22,'Monthly Summary 2013'!$B$7:$Q$152,14,FALSE)))</f>
        <v>10.199999999999999</v>
      </c>
      <c r="D22" s="119">
        <v>9.1999999999999993</v>
      </c>
      <c r="E22" s="119">
        <v>14</v>
      </c>
      <c r="F22" s="119">
        <v>15.9</v>
      </c>
      <c r="G22" s="119">
        <v>21.8</v>
      </c>
      <c r="H22" s="119">
        <v>19.5</v>
      </c>
      <c r="I22" s="119">
        <v>20.7</v>
      </c>
      <c r="J22" s="119">
        <v>20.7</v>
      </c>
      <c r="K22" s="124">
        <v>21.6</v>
      </c>
      <c r="L22" s="124">
        <v>19</v>
      </c>
      <c r="M22" s="124">
        <v>15.4</v>
      </c>
      <c r="N22" s="124">
        <v>9.1</v>
      </c>
      <c r="O22" s="124">
        <v>13.6</v>
      </c>
      <c r="P22" s="121">
        <f t="shared" si="5"/>
        <v>16.708333333333332</v>
      </c>
      <c r="Q22" s="121">
        <f t="shared" si="6"/>
        <v>27.271452940613266</v>
      </c>
      <c r="R22" s="122">
        <f t="shared" si="7"/>
        <v>1</v>
      </c>
      <c r="S22" s="140">
        <f t="shared" si="8"/>
        <v>13.033333333333333</v>
      </c>
      <c r="T22" s="24">
        <f t="shared" si="9"/>
        <v>1</v>
      </c>
      <c r="U22" s="140">
        <f t="shared" si="10"/>
        <v>20.433333333333334</v>
      </c>
      <c r="V22" s="9">
        <f t="shared" si="11"/>
        <v>1</v>
      </c>
      <c r="W22" s="172">
        <f t="shared" si="0"/>
        <v>16.708333333333332</v>
      </c>
      <c r="X22" s="142">
        <f t="shared" si="1"/>
        <v>1</v>
      </c>
      <c r="Y22" s="144">
        <f t="shared" si="2"/>
        <v>25.528205128205133</v>
      </c>
      <c r="Z22" s="144">
        <f t="shared" si="3"/>
        <v>30.112820512820516</v>
      </c>
      <c r="AA22" s="144">
        <f t="shared" si="4"/>
        <v>28.421689976689979</v>
      </c>
      <c r="AB22" s="10"/>
      <c r="AC22" s="357" t="str">
        <f>VLOOKUP($B22,'2007-2020 Metadata'!$A$4:$S$214,MATCH("Urban Area /Monitoring Zone",'2007-2020 Metadata'!$A$4:$S$4,0),FALSE)</f>
        <v>Auckland - Central</v>
      </c>
      <c r="AD22" s="87" t="str">
        <f>VLOOKUP(B22,'2007-2020 Metadata'!$A$6:$A$214,1,FALSE)</f>
        <v>AUC025</v>
      </c>
      <c r="AE22" s="230" t="str">
        <f>VLOOKUP($AD22,'2007-2020 Metadata'!$A$6:$S$214,9,FALSE)</f>
        <v>Auckland</v>
      </c>
      <c r="AF22" s="248">
        <f>IF(ISBLANK(VLOOKUP($AD22,'2007-2020 Metadata'!$A$6:$S$214,19,FALSE)),"",VLOOKUP($AD22,'2007-2020 Metadata'!$A$6:$S$214,19,FALSE))</f>
        <v>3</v>
      </c>
      <c r="AG22" s="88" t="str">
        <f>VLOOKUP($B22,'2007-2020 Metadata'!$A$4:$S$214,MATCH("Site type",'2007-2020 Metadata'!$A$4:$S$4,0),FALSE)</f>
        <v>SH</v>
      </c>
      <c r="AH22" s="143">
        <f t="shared" si="12"/>
        <v>9.1</v>
      </c>
      <c r="AI22" s="143">
        <f t="shared" si="13"/>
        <v>21.8</v>
      </c>
      <c r="AJ22" s="144">
        <f t="shared" si="14"/>
        <v>28.421689976689979</v>
      </c>
    </row>
    <row r="23" spans="2:36" ht="12" customHeight="1" x14ac:dyDescent="0.15">
      <c r="B23" s="123" t="s">
        <v>19</v>
      </c>
      <c r="C23" s="104">
        <f>IF(ISBLANK(VLOOKUP($B23,'Monthly Summary 2013'!$B$7:$Q$152,14,FALSE)),"",IF(ISERROR(VLOOKUP($B23,'Monthly Summary 2013'!$B$7:$Q$152,14,FALSE)=0),"",VLOOKUP($B23,'Monthly Summary 2013'!$B$7:$Q$152,14,FALSE)))</f>
        <v>10.8</v>
      </c>
      <c r="D23" s="119">
        <v>12.1</v>
      </c>
      <c r="E23" s="119">
        <v>15.8</v>
      </c>
      <c r="F23" s="119">
        <v>21.2</v>
      </c>
      <c r="G23" s="119">
        <v>27.8</v>
      </c>
      <c r="H23" s="119">
        <v>22</v>
      </c>
      <c r="I23" s="119">
        <v>24.5</v>
      </c>
      <c r="J23" s="119">
        <v>24.5</v>
      </c>
      <c r="K23" s="124">
        <v>28</v>
      </c>
      <c r="L23" s="124">
        <v>22.2</v>
      </c>
      <c r="M23" s="124">
        <v>16.600000000000001</v>
      </c>
      <c r="N23" s="124">
        <v>6.3</v>
      </c>
      <c r="O23" s="124">
        <v>18.3</v>
      </c>
      <c r="P23" s="121">
        <f t="shared" si="5"/>
        <v>19.941666666666666</v>
      </c>
      <c r="Q23" s="121">
        <f t="shared" si="6"/>
        <v>32.349343644279976</v>
      </c>
      <c r="R23" s="122">
        <f t="shared" si="7"/>
        <v>1</v>
      </c>
      <c r="S23" s="140">
        <f t="shared" si="8"/>
        <v>16.366666666666664</v>
      </c>
      <c r="T23" s="24">
        <f t="shared" si="9"/>
        <v>1</v>
      </c>
      <c r="U23" s="140">
        <f t="shared" si="10"/>
        <v>24.900000000000002</v>
      </c>
      <c r="V23" s="9">
        <f t="shared" si="11"/>
        <v>1</v>
      </c>
      <c r="W23" s="172">
        <f t="shared" si="0"/>
        <v>19.941666666666666</v>
      </c>
      <c r="X23" s="142">
        <f t="shared" si="1"/>
        <v>1</v>
      </c>
      <c r="Y23" s="144">
        <f t="shared" si="2"/>
        <v>20.435185185185187</v>
      </c>
      <c r="Z23" s="144">
        <f t="shared" si="3"/>
        <v>26.950000000000003</v>
      </c>
      <c r="AA23" s="144">
        <f t="shared" si="4"/>
        <v>24.634722222222219</v>
      </c>
      <c r="AB23" s="10"/>
      <c r="AC23" s="357" t="str">
        <f>VLOOKUP($B23,'2007-2020 Metadata'!$A$4:$S$214,MATCH("Urban Area /Monitoring Zone",'2007-2020 Metadata'!$A$4:$S$4,0),FALSE)</f>
        <v xml:space="preserve">Auckland - Southern </v>
      </c>
      <c r="AD23" s="87" t="str">
        <f>VLOOKUP(B23,'2007-2020 Metadata'!$A$6:$A$214,1,FALSE)</f>
        <v>AUC026</v>
      </c>
      <c r="AE23" s="230" t="str">
        <f>VLOOKUP($AD23,'2007-2020 Metadata'!$A$6:$S$214,9,FALSE)</f>
        <v>Manukau</v>
      </c>
      <c r="AF23" s="248">
        <f>IF(ISBLANK(VLOOKUP($AD23,'2007-2020 Metadata'!$A$6:$S$214,19,FALSE)),"",VLOOKUP($AD23,'2007-2020 Metadata'!$A$6:$S$214,19,FALSE))</f>
        <v>3</v>
      </c>
      <c r="AG23" s="88" t="str">
        <f>VLOOKUP($B23,'2007-2020 Metadata'!$A$4:$S$214,MATCH("Site type",'2007-2020 Metadata'!$A$4:$S$4,0),FALSE)</f>
        <v>SH</v>
      </c>
      <c r="AH23" s="143">
        <f t="shared" si="12"/>
        <v>6.3</v>
      </c>
      <c r="AI23" s="143">
        <f t="shared" si="13"/>
        <v>28</v>
      </c>
      <c r="AJ23" s="144">
        <f t="shared" si="14"/>
        <v>24.634722222222219</v>
      </c>
    </row>
    <row r="24" spans="2:36" ht="12" customHeight="1" x14ac:dyDescent="0.15">
      <c r="B24" s="123" t="s">
        <v>998</v>
      </c>
      <c r="C24" s="104">
        <f>IF(ISBLANK(VLOOKUP($B24,'Monthly Summary 2013'!$B$7:$Q$152,14,FALSE)),"",IF(ISERROR(VLOOKUP($B24,'Monthly Summary 2013'!$B$7:$Q$152,14,FALSE)=0),"",VLOOKUP($B24,'Monthly Summary 2013'!$B$7:$Q$152,14,FALSE)))</f>
        <v>17.5</v>
      </c>
      <c r="D24" s="119">
        <v>15.4</v>
      </c>
      <c r="E24" s="119"/>
      <c r="F24" s="119">
        <v>29.8</v>
      </c>
      <c r="G24" s="119">
        <v>28.6</v>
      </c>
      <c r="H24" s="119">
        <v>38.799999999999997</v>
      </c>
      <c r="I24" s="119">
        <v>26.6</v>
      </c>
      <c r="J24" s="119">
        <v>26.6</v>
      </c>
      <c r="K24" s="124">
        <v>27.2</v>
      </c>
      <c r="L24" s="124">
        <v>26.2</v>
      </c>
      <c r="M24" s="124">
        <v>28.3</v>
      </c>
      <c r="N24" s="124">
        <v>20.8</v>
      </c>
      <c r="O24" s="124">
        <v>12.2</v>
      </c>
      <c r="P24" s="121">
        <f t="shared" si="5"/>
        <v>25.5</v>
      </c>
      <c r="Q24" s="121">
        <f t="shared" si="6"/>
        <v>28.268498993951063</v>
      </c>
      <c r="R24" s="122">
        <f t="shared" si="7"/>
        <v>0.91666666666666663</v>
      </c>
      <c r="S24" s="140">
        <f t="shared" si="8"/>
        <v>22.6</v>
      </c>
      <c r="T24" s="24">
        <f t="shared" si="9"/>
        <v>0.66666666666666663</v>
      </c>
      <c r="U24" s="140">
        <f t="shared" si="10"/>
        <v>26.666666666666668</v>
      </c>
      <c r="V24" s="9">
        <f t="shared" si="11"/>
        <v>1</v>
      </c>
      <c r="W24" s="172">
        <f t="shared" si="0"/>
        <v>25.5</v>
      </c>
      <c r="X24" s="142">
        <f t="shared" si="1"/>
        <v>0.91666666666666663</v>
      </c>
      <c r="Y24" s="144">
        <f t="shared" si="2"/>
        <v>22.6</v>
      </c>
      <c r="Z24" s="144">
        <f t="shared" si="3"/>
        <v>26.666666666666668</v>
      </c>
      <c r="AA24" s="144">
        <f t="shared" si="4"/>
        <v>25.5</v>
      </c>
      <c r="AB24" s="10"/>
      <c r="AC24" s="357">
        <f>VLOOKUP($B24,'2007-2020 Metadata'!$A$4:$S$214,MATCH("Urban Area /Monitoring Zone",'2007-2020 Metadata'!$A$4:$S$4,0),FALSE)</f>
        <v>0</v>
      </c>
      <c r="AD24" s="87" t="str">
        <f>VLOOKUP(B24,'2007-2020 Metadata'!$A$6:$A$214,1,FALSE)</f>
        <v>AUC027a</v>
      </c>
      <c r="AE24" s="230">
        <f>VLOOKUP($AD24,'2007-2020 Metadata'!$A$6:$S$214,9,FALSE)</f>
        <v>0</v>
      </c>
      <c r="AF24" s="248" t="str">
        <f>IF(ISBLANK(VLOOKUP($AD24,'2007-2020 Metadata'!$A$6:$S$214,19,FALSE)),"",VLOOKUP($AD24,'2007-2020 Metadata'!$A$6:$S$214,19,FALSE))</f>
        <v/>
      </c>
      <c r="AG24" s="88" t="str">
        <f>VLOOKUP($B24,'2007-2020 Metadata'!$A$4:$S$214,MATCH("Site type",'2007-2020 Metadata'!$A$4:$S$4,0),FALSE)</f>
        <v>SH</v>
      </c>
      <c r="AH24" s="143">
        <f t="shared" si="12"/>
        <v>12.2</v>
      </c>
      <c r="AI24" s="143">
        <f t="shared" si="13"/>
        <v>38.799999999999997</v>
      </c>
      <c r="AJ24" s="144">
        <f t="shared" si="14"/>
        <v>25.5</v>
      </c>
    </row>
    <row r="25" spans="2:36" ht="12" customHeight="1" x14ac:dyDescent="0.15">
      <c r="B25" s="123" t="s">
        <v>1013</v>
      </c>
      <c r="C25" s="104">
        <f>IF(ISBLANK(VLOOKUP($B25,'Monthly Summary 2013'!$B$7:$Q$152,14,FALSE)),"",IF(ISERROR(VLOOKUP($B25,'Monthly Summary 2013'!$B$7:$Q$152,14,FALSE)=0),"",VLOOKUP($B25,'Monthly Summary 2013'!$B$7:$Q$152,14,FALSE)))</f>
        <v>8.4</v>
      </c>
      <c r="D25" s="119">
        <v>11</v>
      </c>
      <c r="E25" s="119">
        <v>11</v>
      </c>
      <c r="F25" s="119">
        <v>18</v>
      </c>
      <c r="G25" s="119">
        <v>15.7</v>
      </c>
      <c r="H25" s="119">
        <v>20.9</v>
      </c>
      <c r="I25" s="119">
        <v>16.600000000000001</v>
      </c>
      <c r="J25" s="119">
        <v>16.600000000000001</v>
      </c>
      <c r="K25" s="124">
        <v>15.7</v>
      </c>
      <c r="L25" s="124">
        <v>14.3</v>
      </c>
      <c r="M25" s="124">
        <v>16.600000000000001</v>
      </c>
      <c r="N25" s="124">
        <v>11.3</v>
      </c>
      <c r="O25" s="124">
        <v>11.9</v>
      </c>
      <c r="P25" s="121">
        <f t="shared" si="5"/>
        <v>14.966666666666667</v>
      </c>
      <c r="Q25" s="121">
        <f t="shared" si="6"/>
        <v>20.959737389642459</v>
      </c>
      <c r="R25" s="122">
        <f t="shared" si="7"/>
        <v>1</v>
      </c>
      <c r="S25" s="140">
        <f t="shared" si="8"/>
        <v>13.333333333333334</v>
      </c>
      <c r="T25" s="24">
        <f t="shared" si="9"/>
        <v>1</v>
      </c>
      <c r="U25" s="140">
        <f t="shared" si="10"/>
        <v>15.533333333333331</v>
      </c>
      <c r="V25" s="9">
        <f t="shared" si="11"/>
        <v>1</v>
      </c>
      <c r="W25" s="172">
        <f t="shared" si="0"/>
        <v>14.966666666666667</v>
      </c>
      <c r="X25" s="142">
        <f t="shared" si="1"/>
        <v>1</v>
      </c>
      <c r="Y25" s="144">
        <f t="shared" si="2"/>
        <v>13.333333333333334</v>
      </c>
      <c r="Z25" s="144">
        <f t="shared" si="3"/>
        <v>15.533333333333331</v>
      </c>
      <c r="AA25" s="144">
        <f t="shared" si="4"/>
        <v>14.966666666666667</v>
      </c>
      <c r="AB25" s="10"/>
      <c r="AC25" s="357">
        <f>VLOOKUP($B25,'2007-2020 Metadata'!$A$4:$S$214,MATCH("Urban Area /Monitoring Zone",'2007-2020 Metadata'!$A$4:$S$4,0),FALSE)</f>
        <v>0</v>
      </c>
      <c r="AD25" s="87" t="str">
        <f>VLOOKUP(B25,'2007-2020 Metadata'!$A$6:$A$214,1,FALSE)</f>
        <v>AUC039a</v>
      </c>
      <c r="AE25" s="230">
        <f>VLOOKUP($AD25,'2007-2020 Metadata'!$A$6:$S$214,9,FALSE)</f>
        <v>0</v>
      </c>
      <c r="AF25" s="248" t="str">
        <f>IF(ISBLANK(VLOOKUP($AD25,'2007-2020 Metadata'!$A$6:$S$214,19,FALSE)),"",VLOOKUP($AD25,'2007-2020 Metadata'!$A$6:$S$214,19,FALSE))</f>
        <v/>
      </c>
      <c r="AG25" s="88" t="str">
        <f>VLOOKUP($B25,'2007-2020 Metadata'!$A$4:$S$214,MATCH("Site type",'2007-2020 Metadata'!$A$4:$S$4,0),FALSE)</f>
        <v>SH</v>
      </c>
      <c r="AH25" s="143">
        <f t="shared" si="12"/>
        <v>11</v>
      </c>
      <c r="AI25" s="143">
        <f t="shared" si="13"/>
        <v>20.9</v>
      </c>
      <c r="AJ25" s="144">
        <f t="shared" si="14"/>
        <v>14.966666666666667</v>
      </c>
    </row>
    <row r="26" spans="2:36" ht="12" customHeight="1" x14ac:dyDescent="0.15">
      <c r="B26" s="123" t="s">
        <v>61</v>
      </c>
      <c r="C26" s="104">
        <f>IF(ISBLANK(VLOOKUP($B26,'Monthly Summary 2013'!$B$7:$Q$152,14,FALSE)),"",IF(ISERROR(VLOOKUP($B26,'Monthly Summary 2013'!$B$7:$Q$152,14,FALSE)=0),"",VLOOKUP($B26,'Monthly Summary 2013'!$B$7:$Q$152,14,FALSE)))</f>
        <v>14.1</v>
      </c>
      <c r="D26" s="119">
        <v>12.8</v>
      </c>
      <c r="E26" s="119">
        <v>14.8</v>
      </c>
      <c r="F26" s="119">
        <v>17.100000000000001</v>
      </c>
      <c r="G26" s="119">
        <v>19.5</v>
      </c>
      <c r="H26" s="119">
        <v>24.1</v>
      </c>
      <c r="I26" s="119">
        <v>19.7</v>
      </c>
      <c r="J26" s="119">
        <v>19.7</v>
      </c>
      <c r="K26" s="124">
        <v>18.2</v>
      </c>
      <c r="L26" s="124">
        <v>16.600000000000001</v>
      </c>
      <c r="M26" s="124">
        <v>18.399999999999999</v>
      </c>
      <c r="N26" s="124">
        <v>16.600000000000001</v>
      </c>
      <c r="O26" s="124">
        <v>13.1</v>
      </c>
      <c r="P26" s="121">
        <f t="shared" si="5"/>
        <v>17.55</v>
      </c>
      <c r="Q26" s="121">
        <f t="shared" si="6"/>
        <v>17.939054226435942</v>
      </c>
      <c r="R26" s="122">
        <f t="shared" si="7"/>
        <v>1</v>
      </c>
      <c r="S26" s="140">
        <f t="shared" si="8"/>
        <v>14.9</v>
      </c>
      <c r="T26" s="24">
        <f t="shared" si="9"/>
        <v>1</v>
      </c>
      <c r="U26" s="140">
        <f t="shared" si="10"/>
        <v>18.166666666666668</v>
      </c>
      <c r="V26" s="9">
        <f t="shared" si="11"/>
        <v>1</v>
      </c>
      <c r="W26" s="172">
        <f t="shared" si="0"/>
        <v>17.55</v>
      </c>
      <c r="X26" s="142">
        <f t="shared" si="1"/>
        <v>1</v>
      </c>
      <c r="Y26" s="144">
        <f t="shared" si="2"/>
        <v>21.266666666666666</v>
      </c>
      <c r="Z26" s="144">
        <f t="shared" si="3"/>
        <v>25.651515151515149</v>
      </c>
      <c r="AA26" s="144">
        <f t="shared" si="4"/>
        <v>24.289325068870525</v>
      </c>
      <c r="AB26" s="10"/>
      <c r="AC26" s="357" t="str">
        <f>VLOOKUP($B26,'2007-2020 Metadata'!$A$4:$S$214,MATCH("Urban Area /Monitoring Zone",'2007-2020 Metadata'!$A$4:$S$4,0),FALSE)</f>
        <v>Auckland - Northern</v>
      </c>
      <c r="AD26" s="87" t="str">
        <f>VLOOKUP(B26,'2007-2020 Metadata'!$A$6:$A$214,1,FALSE)</f>
        <v>AUC040</v>
      </c>
      <c r="AE26" s="230" t="str">
        <f>VLOOKUP($AD26,'2007-2020 Metadata'!$A$6:$S$214,9,FALSE)</f>
        <v xml:space="preserve">North Shore </v>
      </c>
      <c r="AF26" s="248">
        <f>IF(ISBLANK(VLOOKUP($AD26,'2007-2020 Metadata'!$A$6:$S$214,19,FALSE)),"",VLOOKUP($AD26,'2007-2020 Metadata'!$A$6:$S$214,19,FALSE))</f>
        <v>2.5</v>
      </c>
      <c r="AG26" s="88" t="str">
        <f>VLOOKUP($B26,'2007-2020 Metadata'!$A$4:$S$214,MATCH("Site type",'2007-2020 Metadata'!$A$4:$S$4,0),FALSE)</f>
        <v>SH</v>
      </c>
      <c r="AH26" s="143">
        <f t="shared" si="12"/>
        <v>12.8</v>
      </c>
      <c r="AI26" s="143">
        <f t="shared" si="13"/>
        <v>24.1</v>
      </c>
      <c r="AJ26" s="144">
        <f t="shared" si="14"/>
        <v>24.289325068870525</v>
      </c>
    </row>
    <row r="27" spans="2:36" ht="12" customHeight="1" x14ac:dyDescent="0.15">
      <c r="B27" s="123" t="s">
        <v>62</v>
      </c>
      <c r="C27" s="104">
        <f>IF(ISBLANK(VLOOKUP($B27,'Monthly Summary 2013'!$B$7:$Q$152,14,FALSE)),"",IF(ISERROR(VLOOKUP($B27,'Monthly Summary 2013'!$B$7:$Q$152,14,FALSE)=0),"",VLOOKUP($B27,'Monthly Summary 2013'!$B$7:$Q$152,14,FALSE)))</f>
        <v>8.8000000000000007</v>
      </c>
      <c r="D27" s="119">
        <v>8.9</v>
      </c>
      <c r="E27" s="119">
        <v>16.5</v>
      </c>
      <c r="F27" s="119">
        <v>20.2</v>
      </c>
      <c r="G27" s="119">
        <v>20.3</v>
      </c>
      <c r="H27" s="119">
        <v>19.8</v>
      </c>
      <c r="I27" s="119">
        <v>21.7</v>
      </c>
      <c r="J27" s="119">
        <v>21.7</v>
      </c>
      <c r="K27" s="124">
        <v>20.6</v>
      </c>
      <c r="L27" s="124">
        <v>18</v>
      </c>
      <c r="M27" s="124">
        <v>17</v>
      </c>
      <c r="N27" s="124">
        <v>5.3</v>
      </c>
      <c r="O27" s="124">
        <v>15</v>
      </c>
      <c r="P27" s="121">
        <f t="shared" si="5"/>
        <v>17.083333333333332</v>
      </c>
      <c r="Q27" s="121">
        <f t="shared" si="6"/>
        <v>30.250996950601927</v>
      </c>
      <c r="R27" s="122">
        <f t="shared" si="7"/>
        <v>1</v>
      </c>
      <c r="S27" s="140">
        <f t="shared" si="8"/>
        <v>15.199999999999998</v>
      </c>
      <c r="T27" s="24">
        <f t="shared" si="9"/>
        <v>1</v>
      </c>
      <c r="U27" s="140">
        <f t="shared" si="10"/>
        <v>20.099999999999998</v>
      </c>
      <c r="V27" s="9">
        <f t="shared" si="11"/>
        <v>1</v>
      </c>
      <c r="W27" s="172">
        <f t="shared" si="0"/>
        <v>17.083333333333332</v>
      </c>
      <c r="X27" s="142">
        <f t="shared" si="1"/>
        <v>1</v>
      </c>
      <c r="Y27" s="144">
        <f t="shared" si="2"/>
        <v>21.266666666666666</v>
      </c>
      <c r="Z27" s="144">
        <f t="shared" si="3"/>
        <v>25.651515151515149</v>
      </c>
      <c r="AA27" s="144">
        <f t="shared" si="4"/>
        <v>24.289325068870525</v>
      </c>
      <c r="AB27" s="10"/>
      <c r="AC27" s="357" t="str">
        <f>VLOOKUP($B27,'2007-2020 Metadata'!$A$4:$S$214,MATCH("Urban Area /Monitoring Zone",'2007-2020 Metadata'!$A$4:$S$4,0),FALSE)</f>
        <v>Auckland - Northern</v>
      </c>
      <c r="AD27" s="87" t="str">
        <f>VLOOKUP(B27,'2007-2020 Metadata'!$A$6:$A$214,1,FALSE)</f>
        <v>AUC041</v>
      </c>
      <c r="AE27" s="230" t="str">
        <f>VLOOKUP($AD27,'2007-2020 Metadata'!$A$6:$S$214,9,FALSE)</f>
        <v xml:space="preserve">North Shore </v>
      </c>
      <c r="AF27" s="248">
        <f>IF(ISBLANK(VLOOKUP($AD27,'2007-2020 Metadata'!$A$6:$S$214,19,FALSE)),"",VLOOKUP($AD27,'2007-2020 Metadata'!$A$6:$S$214,19,FALSE))</f>
        <v>3</v>
      </c>
      <c r="AG27" s="88" t="str">
        <f>VLOOKUP($B27,'2007-2020 Metadata'!$A$4:$S$214,MATCH("Site type",'2007-2020 Metadata'!$A$4:$S$4,0),FALSE)</f>
        <v>Local</v>
      </c>
      <c r="AH27" s="143">
        <f t="shared" si="12"/>
        <v>5.3</v>
      </c>
      <c r="AI27" s="143">
        <f t="shared" si="13"/>
        <v>21.7</v>
      </c>
      <c r="AJ27" s="144">
        <f t="shared" si="14"/>
        <v>24.289325068870525</v>
      </c>
    </row>
    <row r="28" spans="2:36" ht="12" customHeight="1" x14ac:dyDescent="0.15">
      <c r="B28" s="123" t="s">
        <v>63</v>
      </c>
      <c r="C28" s="104">
        <f>IF(ISBLANK(VLOOKUP($B28,'Monthly Summary 2013'!$B$7:$Q$152,14,FALSE)),"",IF(ISERROR(VLOOKUP($B28,'Monthly Summary 2013'!$B$7:$Q$152,14,FALSE)=0),"",VLOOKUP($B28,'Monthly Summary 2013'!$B$7:$Q$152,14,FALSE)))</f>
        <v>23.1</v>
      </c>
      <c r="D28" s="119">
        <v>20.9</v>
      </c>
      <c r="E28" s="119">
        <v>20.100000000000001</v>
      </c>
      <c r="F28" s="119">
        <v>30.6</v>
      </c>
      <c r="G28" s="119">
        <v>29.2</v>
      </c>
      <c r="H28" s="119">
        <v>42.9</v>
      </c>
      <c r="I28" s="119">
        <v>31.5</v>
      </c>
      <c r="J28" s="119">
        <v>34.1</v>
      </c>
      <c r="K28" s="124">
        <v>30.6</v>
      </c>
      <c r="L28" s="124">
        <v>29.7</v>
      </c>
      <c r="M28" s="124">
        <v>27.5</v>
      </c>
      <c r="N28" s="124">
        <v>20.3</v>
      </c>
      <c r="O28" s="124">
        <v>15.2</v>
      </c>
      <c r="P28" s="121">
        <f t="shared" si="5"/>
        <v>27.716666666666665</v>
      </c>
      <c r="Q28" s="121">
        <f t="shared" si="6"/>
        <v>27.186204712943823</v>
      </c>
      <c r="R28" s="122">
        <f t="shared" si="7"/>
        <v>1</v>
      </c>
      <c r="S28" s="140">
        <f t="shared" si="8"/>
        <v>23.866666666666664</v>
      </c>
      <c r="T28" s="24">
        <f t="shared" si="9"/>
        <v>1</v>
      </c>
      <c r="U28" s="140">
        <f t="shared" si="10"/>
        <v>31.466666666666669</v>
      </c>
      <c r="V28" s="9">
        <f t="shared" si="11"/>
        <v>1</v>
      </c>
      <c r="W28" s="172">
        <f t="shared" si="0"/>
        <v>27.716666666666665</v>
      </c>
      <c r="X28" s="142">
        <f t="shared" si="1"/>
        <v>1</v>
      </c>
      <c r="Y28" s="144">
        <f t="shared" si="2"/>
        <v>21.266666666666666</v>
      </c>
      <c r="Z28" s="144">
        <f t="shared" si="3"/>
        <v>25.651515151515149</v>
      </c>
      <c r="AA28" s="144">
        <f t="shared" si="4"/>
        <v>24.289325068870525</v>
      </c>
      <c r="AB28" s="10"/>
      <c r="AC28" s="357" t="str">
        <f>VLOOKUP($B28,'2007-2020 Metadata'!$A$4:$S$214,MATCH("Urban Area /Monitoring Zone",'2007-2020 Metadata'!$A$4:$S$4,0),FALSE)</f>
        <v>Auckland - Northern</v>
      </c>
      <c r="AD28" s="87" t="str">
        <f>VLOOKUP(B28,'2007-2020 Metadata'!$A$6:$A$214,1,FALSE)</f>
        <v>AUC042</v>
      </c>
      <c r="AE28" s="230" t="str">
        <f>VLOOKUP($AD28,'2007-2020 Metadata'!$A$6:$S$214,9,FALSE)</f>
        <v xml:space="preserve">North Shore </v>
      </c>
      <c r="AF28" s="248">
        <f>IF(ISBLANK(VLOOKUP($AD28,'2007-2020 Metadata'!$A$6:$S$214,19,FALSE)),"",VLOOKUP($AD28,'2007-2020 Metadata'!$A$6:$S$214,19,FALSE))</f>
        <v>3</v>
      </c>
      <c r="AG28" s="88" t="str">
        <f>VLOOKUP($B28,'2007-2020 Metadata'!$A$4:$S$214,MATCH("Site type",'2007-2020 Metadata'!$A$4:$S$4,0),FALSE)</f>
        <v>Local</v>
      </c>
      <c r="AH28" s="143">
        <f t="shared" si="12"/>
        <v>15.2</v>
      </c>
      <c r="AI28" s="143">
        <f t="shared" si="13"/>
        <v>42.9</v>
      </c>
      <c r="AJ28" s="144">
        <f t="shared" si="14"/>
        <v>24.289325068870525</v>
      </c>
    </row>
    <row r="29" spans="2:36" ht="12" customHeight="1" x14ac:dyDescent="0.15">
      <c r="B29" s="123" t="s">
        <v>64</v>
      </c>
      <c r="C29" s="104">
        <f>IF(ISBLANK(VLOOKUP($B29,'Monthly Summary 2013'!$B$7:$Q$152,14,FALSE)),"",IF(ISERROR(VLOOKUP($B29,'Monthly Summary 2013'!$B$7:$Q$152,14,FALSE)=0),"",VLOOKUP($B29,'Monthly Summary 2013'!$B$7:$Q$152,14,FALSE)))</f>
        <v>20.6</v>
      </c>
      <c r="D29" s="119">
        <v>19.100000000000001</v>
      </c>
      <c r="E29" s="119">
        <v>22.3</v>
      </c>
      <c r="F29" s="119">
        <v>26.9</v>
      </c>
      <c r="G29" s="119">
        <v>27.5</v>
      </c>
      <c r="H29" s="119">
        <v>42.5</v>
      </c>
      <c r="I29" s="119">
        <v>31.4</v>
      </c>
      <c r="J29" s="119">
        <v>22.2</v>
      </c>
      <c r="K29" s="124">
        <v>27.4</v>
      </c>
      <c r="L29" s="124">
        <v>28.1</v>
      </c>
      <c r="M29" s="124">
        <v>29.9</v>
      </c>
      <c r="N29" s="124">
        <v>26.3</v>
      </c>
      <c r="O29" s="124">
        <v>11.1</v>
      </c>
      <c r="P29" s="121">
        <f t="shared" si="5"/>
        <v>26.225000000000005</v>
      </c>
      <c r="Q29" s="121">
        <f t="shared" si="6"/>
        <v>28.703220494811593</v>
      </c>
      <c r="R29" s="122">
        <f t="shared" si="7"/>
        <v>1</v>
      </c>
      <c r="S29" s="260">
        <f t="shared" si="8"/>
        <v>22.766666666666669</v>
      </c>
      <c r="T29" s="264">
        <f t="shared" si="9"/>
        <v>1</v>
      </c>
      <c r="U29" s="260">
        <f t="shared" si="10"/>
        <v>25.899999999999995</v>
      </c>
      <c r="V29" s="265">
        <f t="shared" si="11"/>
        <v>1</v>
      </c>
      <c r="W29" s="266">
        <f t="shared" si="0"/>
        <v>26.225000000000005</v>
      </c>
      <c r="X29" s="261">
        <f t="shared" si="1"/>
        <v>1</v>
      </c>
      <c r="Y29" s="177">
        <f t="shared" si="2"/>
        <v>21.266666666666666</v>
      </c>
      <c r="Z29" s="177">
        <f t="shared" si="3"/>
        <v>25.651515151515149</v>
      </c>
      <c r="AA29" s="177">
        <f t="shared" si="4"/>
        <v>24.289325068870525</v>
      </c>
      <c r="AB29" s="10"/>
      <c r="AC29" s="357" t="str">
        <f>VLOOKUP($B29,'2007-2020 Metadata'!$A$4:$S$214,MATCH("Urban Area /Monitoring Zone",'2007-2020 Metadata'!$A$4:$S$4,0),FALSE)</f>
        <v>Auckland - Northern</v>
      </c>
      <c r="AD29" s="259" t="str">
        <f>VLOOKUP(B29,'2007-2020 Metadata'!$A$6:$A$214,1,FALSE)</f>
        <v>AUC043</v>
      </c>
      <c r="AE29" s="256" t="str">
        <f>VLOOKUP($AD29,'2007-2020 Metadata'!$A$6:$S$214,9,FALSE)</f>
        <v xml:space="preserve">North Shore </v>
      </c>
      <c r="AF29" s="263">
        <f>IF(ISBLANK(VLOOKUP($AD29,'2007-2020 Metadata'!$A$6:$S$214,19,FALSE)),"",VLOOKUP($AD29,'2007-2020 Metadata'!$A$6:$S$214,19,FALSE))</f>
        <v>3</v>
      </c>
      <c r="AG29" s="257" t="str">
        <f>VLOOKUP($B29,'2007-2020 Metadata'!$A$4:$S$214,MATCH("Site type",'2007-2020 Metadata'!$A$4:$S$4,0),FALSE)</f>
        <v>SH</v>
      </c>
      <c r="AH29" s="365">
        <v>10.5</v>
      </c>
      <c r="AI29" s="365">
        <v>28.5</v>
      </c>
      <c r="AJ29" s="359">
        <v>23.5</v>
      </c>
    </row>
    <row r="30" spans="2:36" ht="12" customHeight="1" x14ac:dyDescent="0.15">
      <c r="B30" s="123" t="s">
        <v>65</v>
      </c>
      <c r="C30" s="104">
        <f>IF(ISBLANK(VLOOKUP($B30,'Monthly Summary 2013'!$B$7:$Q$152,14,FALSE)),"",IF(ISERROR(VLOOKUP($B30,'Monthly Summary 2013'!$B$7:$Q$152,14,FALSE)=0),"",VLOOKUP($B30,'Monthly Summary 2013'!$B$7:$Q$152,14,FALSE)))</f>
        <v>20.100000000000001</v>
      </c>
      <c r="D30" s="119">
        <v>20.2</v>
      </c>
      <c r="E30" s="119">
        <v>21.4</v>
      </c>
      <c r="F30" s="119">
        <v>23</v>
      </c>
      <c r="G30" s="119">
        <v>33.1</v>
      </c>
      <c r="H30" s="119">
        <v>39.700000000000003</v>
      </c>
      <c r="I30" s="119">
        <v>31</v>
      </c>
      <c r="J30" s="119">
        <v>33.200000000000003</v>
      </c>
      <c r="K30" s="124">
        <v>21.4</v>
      </c>
      <c r="L30" s="124">
        <v>27.3</v>
      </c>
      <c r="M30" s="124">
        <v>29.4</v>
      </c>
      <c r="N30" s="124">
        <v>25.5</v>
      </c>
      <c r="O30" s="124">
        <v>16.2</v>
      </c>
      <c r="P30" s="121">
        <f t="shared" si="5"/>
        <v>26.783333333333331</v>
      </c>
      <c r="Q30" s="121">
        <f t="shared" si="6"/>
        <v>25.224586189060911</v>
      </c>
      <c r="R30" s="122">
        <f t="shared" si="7"/>
        <v>1</v>
      </c>
      <c r="S30" s="260">
        <f t="shared" si="8"/>
        <v>21.533333333333331</v>
      </c>
      <c r="T30" s="264">
        <f t="shared" si="9"/>
        <v>1</v>
      </c>
      <c r="U30" s="260">
        <f t="shared" si="10"/>
        <v>27.3</v>
      </c>
      <c r="V30" s="265">
        <f t="shared" si="11"/>
        <v>1</v>
      </c>
      <c r="W30" s="266">
        <f t="shared" si="0"/>
        <v>26.783333333333331</v>
      </c>
      <c r="X30" s="261">
        <f t="shared" si="1"/>
        <v>1</v>
      </c>
      <c r="Y30" s="177">
        <f t="shared" si="2"/>
        <v>21.266666666666666</v>
      </c>
      <c r="Z30" s="177">
        <f t="shared" si="3"/>
        <v>25.651515151515149</v>
      </c>
      <c r="AA30" s="177">
        <f t="shared" si="4"/>
        <v>24.289325068870525</v>
      </c>
      <c r="AB30" s="10"/>
      <c r="AC30" s="357" t="str">
        <f>VLOOKUP($B30,'2007-2020 Metadata'!$A$4:$S$214,MATCH("Urban Area /Monitoring Zone",'2007-2020 Metadata'!$A$4:$S$4,0),FALSE)</f>
        <v>Auckland - Northern</v>
      </c>
      <c r="AD30" s="259" t="str">
        <f>VLOOKUP(B30,'2007-2020 Metadata'!$A$6:$A$214,1,FALSE)</f>
        <v>AUC044</v>
      </c>
      <c r="AE30" s="256" t="str">
        <f>VLOOKUP($AD30,'2007-2020 Metadata'!$A$6:$S$214,9,FALSE)</f>
        <v xml:space="preserve">North Shore </v>
      </c>
      <c r="AF30" s="263">
        <f>IF(ISBLANK(VLOOKUP($AD30,'2007-2020 Metadata'!$A$6:$S$214,19,FALSE)),"",VLOOKUP($AD30,'2007-2020 Metadata'!$A$6:$S$214,19,FALSE))</f>
        <v>3</v>
      </c>
      <c r="AG30" s="257" t="str">
        <f>VLOOKUP($B30,'2007-2020 Metadata'!$A$4:$S$214,MATCH("Site type",'2007-2020 Metadata'!$A$4:$S$4,0),FALSE)</f>
        <v>SH</v>
      </c>
      <c r="AH30" s="365">
        <v>10.5</v>
      </c>
      <c r="AI30" s="365">
        <v>28.5</v>
      </c>
      <c r="AJ30" s="359">
        <v>23.5</v>
      </c>
    </row>
    <row r="31" spans="2:36" ht="12" customHeight="1" x14ac:dyDescent="0.15">
      <c r="B31" s="123" t="s">
        <v>66</v>
      </c>
      <c r="C31" s="104">
        <f>IF(ISBLANK(VLOOKUP($B31,'Monthly Summary 2013'!$B$7:$Q$152,14,FALSE)),"",IF(ISERROR(VLOOKUP($B31,'Monthly Summary 2013'!$B$7:$Q$152,14,FALSE)=0),"",VLOOKUP($B31,'Monthly Summary 2013'!$B$7:$Q$152,14,FALSE)))</f>
        <v>12.8</v>
      </c>
      <c r="D31" s="119">
        <v>17.2</v>
      </c>
      <c r="E31" s="119">
        <v>19.399999999999999</v>
      </c>
      <c r="F31" s="119">
        <v>28.9</v>
      </c>
      <c r="G31" s="119">
        <v>27.8</v>
      </c>
      <c r="H31" s="119">
        <v>37.9</v>
      </c>
      <c r="I31" s="119">
        <v>33.5</v>
      </c>
      <c r="J31" s="119">
        <v>34.6</v>
      </c>
      <c r="K31" s="124">
        <v>31</v>
      </c>
      <c r="L31" s="124">
        <v>24.7</v>
      </c>
      <c r="M31" s="124">
        <v>27</v>
      </c>
      <c r="N31" s="124">
        <v>25.5</v>
      </c>
      <c r="O31" s="124">
        <v>16.7</v>
      </c>
      <c r="P31" s="121">
        <f t="shared" si="5"/>
        <v>27.016666666666666</v>
      </c>
      <c r="Q31" s="121">
        <f t="shared" si="6"/>
        <v>25.116561803505526</v>
      </c>
      <c r="R31" s="122">
        <f t="shared" si="7"/>
        <v>1</v>
      </c>
      <c r="S31" s="260">
        <f t="shared" si="8"/>
        <v>21.833333333333332</v>
      </c>
      <c r="T31" s="264">
        <f t="shared" si="9"/>
        <v>1</v>
      </c>
      <c r="U31" s="260">
        <f t="shared" si="10"/>
        <v>30.099999999999998</v>
      </c>
      <c r="V31" s="265">
        <f t="shared" si="11"/>
        <v>1</v>
      </c>
      <c r="W31" s="266">
        <f t="shared" si="0"/>
        <v>27.016666666666666</v>
      </c>
      <c r="X31" s="261">
        <f t="shared" si="1"/>
        <v>1</v>
      </c>
      <c r="Y31" s="177">
        <f t="shared" si="2"/>
        <v>21.266666666666666</v>
      </c>
      <c r="Z31" s="177">
        <f t="shared" si="3"/>
        <v>25.651515151515149</v>
      </c>
      <c r="AA31" s="177">
        <f t="shared" si="4"/>
        <v>24.289325068870525</v>
      </c>
      <c r="AB31" s="10"/>
      <c r="AC31" s="357" t="str">
        <f>VLOOKUP($B31,'2007-2020 Metadata'!$A$4:$S$214,MATCH("Urban Area /Monitoring Zone",'2007-2020 Metadata'!$A$4:$S$4,0),FALSE)</f>
        <v>Auckland - Northern</v>
      </c>
      <c r="AD31" s="259" t="str">
        <f>VLOOKUP(B31,'2007-2020 Metadata'!$A$6:$A$214,1,FALSE)</f>
        <v>AUC045</v>
      </c>
      <c r="AE31" s="256" t="str">
        <f>VLOOKUP($AD31,'2007-2020 Metadata'!$A$6:$S$214,9,FALSE)</f>
        <v xml:space="preserve">North Shore </v>
      </c>
      <c r="AF31" s="263">
        <f>IF(ISBLANK(VLOOKUP($AD31,'2007-2020 Metadata'!$A$6:$S$214,19,FALSE)),"",VLOOKUP($AD31,'2007-2020 Metadata'!$A$6:$S$214,19,FALSE))</f>
        <v>3</v>
      </c>
      <c r="AG31" s="257" t="str">
        <f>VLOOKUP($B31,'2007-2020 Metadata'!$A$4:$S$214,MATCH("Site type",'2007-2020 Metadata'!$A$4:$S$4,0),FALSE)</f>
        <v>SH</v>
      </c>
      <c r="AH31" s="365">
        <v>10.5</v>
      </c>
      <c r="AI31" s="365">
        <v>28.5</v>
      </c>
      <c r="AJ31" s="359">
        <v>23.5</v>
      </c>
    </row>
    <row r="32" spans="2:36" ht="12" customHeight="1" x14ac:dyDescent="0.15">
      <c r="B32" s="123" t="s">
        <v>67</v>
      </c>
      <c r="C32" s="104">
        <f>IF(ISBLANK(VLOOKUP($B32,'Monthly Summary 2013'!$B$7:$Q$152,14,FALSE)),"",IF(ISERROR(VLOOKUP($B32,'Monthly Summary 2013'!$B$7:$Q$152,14,FALSE)=0),"",VLOOKUP($B32,'Monthly Summary 2013'!$B$7:$Q$152,14,FALSE)))</f>
        <v>24.9</v>
      </c>
      <c r="D32" s="119"/>
      <c r="E32" s="119">
        <v>19.7</v>
      </c>
      <c r="F32" s="119">
        <v>34.9</v>
      </c>
      <c r="G32" s="119">
        <v>28</v>
      </c>
      <c r="H32" s="119">
        <v>42.4</v>
      </c>
      <c r="I32" s="119">
        <v>33</v>
      </c>
      <c r="J32" s="119">
        <v>22.5</v>
      </c>
      <c r="K32" s="124">
        <v>33</v>
      </c>
      <c r="L32" s="124">
        <v>31.6</v>
      </c>
      <c r="M32" s="124">
        <v>35.700000000000003</v>
      </c>
      <c r="N32" s="124">
        <v>36.5</v>
      </c>
      <c r="O32" s="124">
        <v>18.100000000000001</v>
      </c>
      <c r="P32" s="121">
        <f t="shared" si="5"/>
        <v>30.490909090909096</v>
      </c>
      <c r="Q32" s="121">
        <f t="shared" si="6"/>
        <v>24.942051097060823</v>
      </c>
      <c r="R32" s="122">
        <f t="shared" si="7"/>
        <v>0.91666666666666663</v>
      </c>
      <c r="S32" s="140">
        <f t="shared" si="8"/>
        <v>27.299999999999997</v>
      </c>
      <c r="T32" s="24">
        <f t="shared" si="9"/>
        <v>0.66666666666666663</v>
      </c>
      <c r="U32" s="140">
        <f t="shared" si="10"/>
        <v>29.033333333333331</v>
      </c>
      <c r="V32" s="9">
        <f t="shared" si="11"/>
        <v>1</v>
      </c>
      <c r="W32" s="172">
        <f t="shared" si="0"/>
        <v>30.490909090909096</v>
      </c>
      <c r="X32" s="142">
        <f t="shared" si="1"/>
        <v>0.91666666666666663</v>
      </c>
      <c r="Y32" s="144">
        <f t="shared" si="2"/>
        <v>21.266666666666666</v>
      </c>
      <c r="Z32" s="144">
        <f t="shared" si="3"/>
        <v>25.651515151515149</v>
      </c>
      <c r="AA32" s="144">
        <f t="shared" si="4"/>
        <v>24.289325068870525</v>
      </c>
      <c r="AB32" s="10"/>
      <c r="AC32" s="357" t="str">
        <f>VLOOKUP($B32,'2007-2020 Metadata'!$A$4:$S$214,MATCH("Urban Area /Monitoring Zone",'2007-2020 Metadata'!$A$4:$S$4,0),FALSE)</f>
        <v>Auckland - Northern</v>
      </c>
      <c r="AD32" s="87" t="str">
        <f>VLOOKUP(B32,'2007-2020 Metadata'!$A$6:$A$214,1,FALSE)</f>
        <v>AUC046</v>
      </c>
      <c r="AE32" s="230" t="str">
        <f>VLOOKUP($AD32,'2007-2020 Metadata'!$A$6:$S$214,9,FALSE)</f>
        <v xml:space="preserve">North Shore </v>
      </c>
      <c r="AF32" s="248">
        <f>IF(ISBLANK(VLOOKUP($AD32,'2007-2020 Metadata'!$A$6:$S$214,19,FALSE)),"",VLOOKUP($AD32,'2007-2020 Metadata'!$A$6:$S$214,19,FALSE))</f>
        <v>3</v>
      </c>
      <c r="AG32" s="88" t="str">
        <f>VLOOKUP($B32,'2007-2020 Metadata'!$A$4:$S$214,MATCH("Site type",'2007-2020 Metadata'!$A$4:$S$4,0),FALSE)</f>
        <v>Local</v>
      </c>
      <c r="AH32" s="143">
        <f t="shared" si="12"/>
        <v>18.100000000000001</v>
      </c>
      <c r="AI32" s="143">
        <f t="shared" si="13"/>
        <v>42.4</v>
      </c>
      <c r="AJ32" s="144">
        <f t="shared" si="14"/>
        <v>24.289325068870525</v>
      </c>
    </row>
    <row r="33" spans="2:36" ht="12" customHeight="1" x14ac:dyDescent="0.15">
      <c r="B33" s="123" t="s">
        <v>68</v>
      </c>
      <c r="C33" s="104">
        <f>IF(ISBLANK(VLOOKUP($B33,'Monthly Summary 2013'!$B$7:$Q$152,14,FALSE)),"",IF(ISERROR(VLOOKUP($B33,'Monthly Summary 2013'!$B$7:$Q$152,14,FALSE)=0),"",VLOOKUP($B33,'Monthly Summary 2013'!$B$7:$Q$152,14,FALSE)))</f>
        <v>8</v>
      </c>
      <c r="D33" s="119">
        <v>7.2</v>
      </c>
      <c r="E33" s="119">
        <v>7.3</v>
      </c>
      <c r="F33" s="119">
        <v>13.9</v>
      </c>
      <c r="G33" s="119">
        <v>12.8</v>
      </c>
      <c r="H33" s="119">
        <v>18.5</v>
      </c>
      <c r="I33" s="119">
        <v>14.6</v>
      </c>
      <c r="J33" s="119">
        <v>15.5</v>
      </c>
      <c r="K33" s="124">
        <v>12.5</v>
      </c>
      <c r="L33" s="124">
        <v>9.4</v>
      </c>
      <c r="M33" s="124">
        <v>11</v>
      </c>
      <c r="N33" s="124">
        <v>8</v>
      </c>
      <c r="O33" s="124">
        <v>5.9</v>
      </c>
      <c r="P33" s="121">
        <f t="shared" si="5"/>
        <v>11.383333333333333</v>
      </c>
      <c r="Q33" s="121">
        <f t="shared" si="6"/>
        <v>34.259249751816363</v>
      </c>
      <c r="R33" s="122">
        <f t="shared" si="7"/>
        <v>1</v>
      </c>
      <c r="S33" s="140">
        <f t="shared" si="8"/>
        <v>9.4666666666666668</v>
      </c>
      <c r="T33" s="24">
        <f t="shared" si="9"/>
        <v>1</v>
      </c>
      <c r="U33" s="140">
        <f t="shared" si="10"/>
        <v>12.466666666666667</v>
      </c>
      <c r="V33" s="9">
        <f t="shared" si="11"/>
        <v>1</v>
      </c>
      <c r="W33" s="172">
        <f t="shared" si="0"/>
        <v>11.383333333333333</v>
      </c>
      <c r="X33" s="142">
        <f t="shared" si="1"/>
        <v>1</v>
      </c>
      <c r="Y33" s="144">
        <f t="shared" si="2"/>
        <v>21.266666666666666</v>
      </c>
      <c r="Z33" s="144">
        <f t="shared" si="3"/>
        <v>25.651515151515149</v>
      </c>
      <c r="AA33" s="144">
        <f t="shared" si="4"/>
        <v>24.289325068870525</v>
      </c>
      <c r="AB33" s="10"/>
      <c r="AC33" s="357" t="str">
        <f>VLOOKUP($B33,'2007-2020 Metadata'!$A$4:$S$214,MATCH("Urban Area /Monitoring Zone",'2007-2020 Metadata'!$A$4:$S$4,0),FALSE)</f>
        <v>Auckland - Northern</v>
      </c>
      <c r="AD33" s="87" t="str">
        <f>VLOOKUP(B33,'2007-2020 Metadata'!$A$6:$A$214,1,FALSE)</f>
        <v>AUC047</v>
      </c>
      <c r="AE33" s="230" t="str">
        <f>VLOOKUP($AD33,'2007-2020 Metadata'!$A$6:$S$214,9,FALSE)</f>
        <v xml:space="preserve">North Shore </v>
      </c>
      <c r="AF33" s="248">
        <f>IF(ISBLANK(VLOOKUP($AD33,'2007-2020 Metadata'!$A$6:$S$214,19,FALSE)),"",VLOOKUP($AD33,'2007-2020 Metadata'!$A$6:$S$214,19,FALSE))</f>
        <v>3</v>
      </c>
      <c r="AG33" s="88" t="str">
        <f>VLOOKUP($B33,'2007-2020 Metadata'!$A$4:$S$214,MATCH("Site type",'2007-2020 Metadata'!$A$4:$S$4,0),FALSE)</f>
        <v>Background</v>
      </c>
      <c r="AH33" s="143">
        <f t="shared" si="12"/>
        <v>5.9</v>
      </c>
      <c r="AI33" s="143">
        <f t="shared" si="13"/>
        <v>18.5</v>
      </c>
      <c r="AJ33" s="144">
        <f t="shared" si="14"/>
        <v>24.289325068870525</v>
      </c>
    </row>
    <row r="34" spans="2:36" ht="12" customHeight="1" x14ac:dyDescent="0.15">
      <c r="B34" s="123" t="s">
        <v>69</v>
      </c>
      <c r="C34" s="104">
        <f>IF(ISBLANK(VLOOKUP($B34,'Monthly Summary 2013'!$B$7:$Q$152,14,FALSE)),"",IF(ISERROR(VLOOKUP($B34,'Monthly Summary 2013'!$B$7:$Q$152,14,FALSE)=0),"",VLOOKUP($B34,'Monthly Summary 2013'!$B$7:$Q$152,14,FALSE)))</f>
        <v>13.9</v>
      </c>
      <c r="D34" s="119">
        <v>16.3</v>
      </c>
      <c r="E34" s="119">
        <v>23.4</v>
      </c>
      <c r="F34" s="119">
        <v>23</v>
      </c>
      <c r="G34" s="119">
        <v>24.1</v>
      </c>
      <c r="H34" s="119">
        <v>36.6</v>
      </c>
      <c r="I34" s="119">
        <v>30.6</v>
      </c>
      <c r="J34" s="119">
        <v>30.2</v>
      </c>
      <c r="K34" s="124">
        <v>29.2</v>
      </c>
      <c r="L34" s="124">
        <v>26.2</v>
      </c>
      <c r="M34" s="124">
        <v>26.5</v>
      </c>
      <c r="N34" s="124">
        <v>26.5</v>
      </c>
      <c r="O34" s="124">
        <v>11</v>
      </c>
      <c r="P34" s="121">
        <f t="shared" si="5"/>
        <v>25.299999999999997</v>
      </c>
      <c r="Q34" s="121">
        <f t="shared" si="6"/>
        <v>26.50178134833347</v>
      </c>
      <c r="R34" s="122">
        <f t="shared" si="7"/>
        <v>1</v>
      </c>
      <c r="S34" s="140">
        <f t="shared" si="8"/>
        <v>20.900000000000002</v>
      </c>
      <c r="T34" s="24">
        <f t="shared" si="9"/>
        <v>1</v>
      </c>
      <c r="U34" s="140">
        <f t="shared" si="10"/>
        <v>28.533333333333331</v>
      </c>
      <c r="V34" s="9">
        <f t="shared" si="11"/>
        <v>1</v>
      </c>
      <c r="W34" s="172">
        <f t="shared" si="0"/>
        <v>25.299999999999997</v>
      </c>
      <c r="X34" s="142">
        <f t="shared" si="1"/>
        <v>1</v>
      </c>
      <c r="Y34" s="144">
        <f t="shared" si="2"/>
        <v>14.431944444444445</v>
      </c>
      <c r="Z34" s="144">
        <f t="shared" si="3"/>
        <v>17.154545454545453</v>
      </c>
      <c r="AA34" s="144">
        <f t="shared" si="4"/>
        <v>17.229116161616158</v>
      </c>
      <c r="AB34" s="10"/>
      <c r="AC34" s="357" t="str">
        <f>VLOOKUP($B34,'2007-2020 Metadata'!$A$4:$S$214,MATCH("Urban Area /Monitoring Zone",'2007-2020 Metadata'!$A$4:$S$4,0),FALSE)</f>
        <v>Auckland - Western</v>
      </c>
      <c r="AD34" s="87" t="str">
        <f>VLOOKUP(B34,'2007-2020 Metadata'!$A$6:$A$214,1,FALSE)</f>
        <v>AUC048</v>
      </c>
      <c r="AE34" s="230" t="str">
        <f>VLOOKUP($AD34,'2007-2020 Metadata'!$A$6:$S$214,9,FALSE)</f>
        <v>Waitakere</v>
      </c>
      <c r="AF34" s="248">
        <f>IF(ISBLANK(VLOOKUP($AD34,'2007-2020 Metadata'!$A$6:$S$214,19,FALSE)),"",VLOOKUP($AD34,'2007-2020 Metadata'!$A$6:$S$214,19,FALSE))</f>
        <v>3</v>
      </c>
      <c r="AG34" s="88" t="str">
        <f>VLOOKUP($B34,'2007-2020 Metadata'!$A$4:$S$214,MATCH("Site type",'2007-2020 Metadata'!$A$4:$S$4,0),FALSE)</f>
        <v>SH</v>
      </c>
      <c r="AH34" s="143">
        <f t="shared" si="12"/>
        <v>11</v>
      </c>
      <c r="AI34" s="143">
        <f t="shared" si="13"/>
        <v>36.6</v>
      </c>
      <c r="AJ34" s="144">
        <f t="shared" si="14"/>
        <v>17.229116161616158</v>
      </c>
    </row>
    <row r="35" spans="2:36" ht="12" customHeight="1" x14ac:dyDescent="0.15">
      <c r="B35" s="123" t="s">
        <v>70</v>
      </c>
      <c r="C35" s="104" t="str">
        <f>IF(ISBLANK(VLOOKUP($B35,'Monthly Summary 2013'!$B$7:$Q$152,14,FALSE)),"",IF(ISERROR(VLOOKUP($B35,'Monthly Summary 2013'!$B$7:$Q$152,14,FALSE)=0),"",VLOOKUP($B35,'Monthly Summary 2013'!$B$7:$Q$152,14,FALSE)))</f>
        <v/>
      </c>
      <c r="D35" s="119">
        <v>9</v>
      </c>
      <c r="E35" s="119">
        <v>10.7</v>
      </c>
      <c r="F35" s="119">
        <v>14.7</v>
      </c>
      <c r="G35" s="119">
        <v>15</v>
      </c>
      <c r="H35" s="119">
        <v>18.2</v>
      </c>
      <c r="I35" s="119">
        <v>16.2</v>
      </c>
      <c r="J35" s="119">
        <v>16.2</v>
      </c>
      <c r="K35" s="124">
        <v>13.8</v>
      </c>
      <c r="L35" s="124">
        <v>11.4</v>
      </c>
      <c r="M35" s="124"/>
      <c r="N35" s="124">
        <v>8.9</v>
      </c>
      <c r="O35" s="124"/>
      <c r="P35" s="121">
        <f t="shared" si="5"/>
        <v>13.41</v>
      </c>
      <c r="Q35" s="121">
        <f t="shared" si="6"/>
        <v>24.103542531216608</v>
      </c>
      <c r="R35" s="122">
        <f t="shared" si="7"/>
        <v>0.83333333333333337</v>
      </c>
      <c r="S35" s="140">
        <f t="shared" si="8"/>
        <v>11.466666666666667</v>
      </c>
      <c r="T35" s="24">
        <f t="shared" si="9"/>
        <v>1</v>
      </c>
      <c r="U35" s="140">
        <f t="shared" si="10"/>
        <v>13.799999999999999</v>
      </c>
      <c r="V35" s="9">
        <f t="shared" si="11"/>
        <v>1</v>
      </c>
      <c r="W35" s="172">
        <f t="shared" si="0"/>
        <v>13.41</v>
      </c>
      <c r="X35" s="142">
        <f t="shared" si="1"/>
        <v>0.83333333333333337</v>
      </c>
      <c r="Y35" s="144">
        <f t="shared" si="2"/>
        <v>14.431944444444445</v>
      </c>
      <c r="Z35" s="144">
        <f t="shared" si="3"/>
        <v>17.154545454545453</v>
      </c>
      <c r="AA35" s="144">
        <f t="shared" si="4"/>
        <v>17.229116161616158</v>
      </c>
      <c r="AB35" s="10"/>
      <c r="AC35" s="357" t="str">
        <f>VLOOKUP($B35,'2007-2020 Metadata'!$A$4:$S$214,MATCH("Urban Area /Monitoring Zone",'2007-2020 Metadata'!$A$4:$S$4,0),FALSE)</f>
        <v>Auckland - Western</v>
      </c>
      <c r="AD35" s="87" t="str">
        <f>VLOOKUP(B35,'2007-2020 Metadata'!$A$6:$A$214,1,FALSE)</f>
        <v>AUC049</v>
      </c>
      <c r="AE35" s="230" t="str">
        <f>VLOOKUP($AD35,'2007-2020 Metadata'!$A$6:$S$214,9,FALSE)</f>
        <v>Waitakere</v>
      </c>
      <c r="AF35" s="248">
        <f>IF(ISBLANK(VLOOKUP($AD35,'2007-2020 Metadata'!$A$6:$S$214,19,FALSE)),"",VLOOKUP($AD35,'2007-2020 Metadata'!$A$6:$S$214,19,FALSE))</f>
        <v>3</v>
      </c>
      <c r="AG35" s="88" t="str">
        <f>VLOOKUP($B35,'2007-2020 Metadata'!$A$4:$S$214,MATCH("Site type",'2007-2020 Metadata'!$A$4:$S$4,0),FALSE)</f>
        <v>Local (ex SH)</v>
      </c>
      <c r="AH35" s="143">
        <f t="shared" si="12"/>
        <v>8.9</v>
      </c>
      <c r="AI35" s="143">
        <f t="shared" si="13"/>
        <v>18.2</v>
      </c>
      <c r="AJ35" s="144">
        <f t="shared" si="14"/>
        <v>17.229116161616158</v>
      </c>
    </row>
    <row r="36" spans="2:36" ht="12" customHeight="1" x14ac:dyDescent="0.15">
      <c r="B36" s="123" t="s">
        <v>71</v>
      </c>
      <c r="C36" s="104">
        <f>IF(ISBLANK(VLOOKUP($B36,'Monthly Summary 2013'!$B$7:$Q$152,14,FALSE)),"",IF(ISERROR(VLOOKUP($B36,'Monthly Summary 2013'!$B$7:$Q$152,14,FALSE)=0),"",VLOOKUP($B36,'Monthly Summary 2013'!$B$7:$Q$152,14,FALSE)))</f>
        <v>7.3</v>
      </c>
      <c r="D36" s="119">
        <v>7.6</v>
      </c>
      <c r="E36" s="119">
        <v>12.9</v>
      </c>
      <c r="F36" s="119">
        <v>13.6</v>
      </c>
      <c r="G36" s="119">
        <v>15.4</v>
      </c>
      <c r="H36" s="119">
        <v>17.2</v>
      </c>
      <c r="I36" s="119">
        <v>20.9</v>
      </c>
      <c r="J36" s="119">
        <v>18</v>
      </c>
      <c r="K36" s="124">
        <v>15.6</v>
      </c>
      <c r="L36" s="124">
        <v>12.8</v>
      </c>
      <c r="M36" s="124">
        <v>10.8</v>
      </c>
      <c r="N36" s="124">
        <v>6.2</v>
      </c>
      <c r="O36" s="124">
        <v>10.7</v>
      </c>
      <c r="P36" s="121">
        <f t="shared" si="5"/>
        <v>13.475</v>
      </c>
      <c r="Q36" s="121">
        <f t="shared" si="6"/>
        <v>31.707313110332201</v>
      </c>
      <c r="R36" s="122">
        <f t="shared" si="7"/>
        <v>1</v>
      </c>
      <c r="S36" s="140">
        <f t="shared" si="8"/>
        <v>11.366666666666667</v>
      </c>
      <c r="T36" s="24">
        <f t="shared" si="9"/>
        <v>1</v>
      </c>
      <c r="U36" s="140">
        <f t="shared" si="10"/>
        <v>15.466666666666669</v>
      </c>
      <c r="V36" s="9">
        <f t="shared" si="11"/>
        <v>1</v>
      </c>
      <c r="W36" s="172">
        <f t="shared" si="0"/>
        <v>13.475</v>
      </c>
      <c r="X36" s="142">
        <f t="shared" si="1"/>
        <v>1</v>
      </c>
      <c r="Y36" s="144">
        <f t="shared" si="2"/>
        <v>14.431944444444445</v>
      </c>
      <c r="Z36" s="144">
        <f t="shared" si="3"/>
        <v>17.154545454545453</v>
      </c>
      <c r="AA36" s="144">
        <f t="shared" si="4"/>
        <v>17.229116161616158</v>
      </c>
      <c r="AB36" s="10"/>
      <c r="AC36" s="357" t="str">
        <f>VLOOKUP($B36,'2007-2020 Metadata'!$A$4:$S$214,MATCH("Urban Area /Monitoring Zone",'2007-2020 Metadata'!$A$4:$S$4,0),FALSE)</f>
        <v>Auckland - Western</v>
      </c>
      <c r="AD36" s="87" t="str">
        <f>VLOOKUP(B36,'2007-2020 Metadata'!$A$6:$A$214,1,FALSE)</f>
        <v>AUC050</v>
      </c>
      <c r="AE36" s="230" t="str">
        <f>VLOOKUP($AD36,'2007-2020 Metadata'!$A$6:$S$214,9,FALSE)</f>
        <v>Waitakere</v>
      </c>
      <c r="AF36" s="248">
        <f>IF(ISBLANK(VLOOKUP($AD36,'2007-2020 Metadata'!$A$6:$S$214,19,FALSE)),"",VLOOKUP($AD36,'2007-2020 Metadata'!$A$6:$S$214,19,FALSE))</f>
        <v>3</v>
      </c>
      <c r="AG36" s="88" t="str">
        <f>VLOOKUP($B36,'2007-2020 Metadata'!$A$4:$S$214,MATCH("Site type",'2007-2020 Metadata'!$A$4:$S$4,0),FALSE)</f>
        <v>SH</v>
      </c>
      <c r="AH36" s="143">
        <f t="shared" si="12"/>
        <v>6.2</v>
      </c>
      <c r="AI36" s="143">
        <f t="shared" si="13"/>
        <v>20.9</v>
      </c>
      <c r="AJ36" s="144">
        <f t="shared" si="14"/>
        <v>17.229116161616158</v>
      </c>
    </row>
    <row r="37" spans="2:36" ht="12" customHeight="1" x14ac:dyDescent="0.15">
      <c r="B37" s="123" t="s">
        <v>1024</v>
      </c>
      <c r="C37" s="104">
        <f>IF(ISBLANK(VLOOKUP($B37,'Monthly Summary 2013'!$B$7:$Q$152,14,FALSE)),"",IF(ISERROR(VLOOKUP($B37,'Monthly Summary 2013'!$B$7:$Q$152,14,FALSE)=0),"",VLOOKUP($B37,'Monthly Summary 2013'!$B$7:$Q$152,14,FALSE)))</f>
        <v>13.9</v>
      </c>
      <c r="D37" s="119">
        <v>14.3</v>
      </c>
      <c r="E37" s="119">
        <v>15.4</v>
      </c>
      <c r="F37" s="119">
        <v>20.9</v>
      </c>
      <c r="G37" s="119">
        <v>18.600000000000001</v>
      </c>
      <c r="H37" s="119">
        <v>26</v>
      </c>
      <c r="I37" s="119">
        <v>21.6</v>
      </c>
      <c r="J37" s="119">
        <v>21.6</v>
      </c>
      <c r="K37" s="124">
        <v>20.7</v>
      </c>
      <c r="L37" s="124">
        <v>18.2</v>
      </c>
      <c r="M37" s="124">
        <v>19.7</v>
      </c>
      <c r="N37" s="124">
        <v>14.6</v>
      </c>
      <c r="O37" s="124">
        <v>11</v>
      </c>
      <c r="P37" s="121">
        <f t="shared" si="5"/>
        <v>18.549999999999997</v>
      </c>
      <c r="Q37" s="121">
        <f t="shared" si="6"/>
        <v>22.184748764182135</v>
      </c>
      <c r="R37" s="122">
        <f t="shared" si="7"/>
        <v>1</v>
      </c>
      <c r="S37" s="140">
        <f t="shared" si="8"/>
        <v>16.866666666666667</v>
      </c>
      <c r="T37" s="24">
        <f t="shared" si="9"/>
        <v>1</v>
      </c>
      <c r="U37" s="140">
        <f t="shared" si="10"/>
        <v>20.166666666666668</v>
      </c>
      <c r="V37" s="9">
        <f t="shared" si="11"/>
        <v>1</v>
      </c>
      <c r="W37" s="172">
        <f t="shared" si="0"/>
        <v>18.549999999999997</v>
      </c>
      <c r="X37" s="142">
        <f t="shared" si="1"/>
        <v>1</v>
      </c>
      <c r="Y37" s="144">
        <f t="shared" si="2"/>
        <v>16.866666666666667</v>
      </c>
      <c r="Z37" s="144">
        <f t="shared" si="3"/>
        <v>20.166666666666668</v>
      </c>
      <c r="AA37" s="144">
        <f t="shared" si="4"/>
        <v>18.549999999999997</v>
      </c>
      <c r="AB37" s="10"/>
      <c r="AC37" s="357">
        <f>VLOOKUP($B37,'2007-2020 Metadata'!$A$4:$S$214,MATCH("Urban Area /Monitoring Zone",'2007-2020 Metadata'!$A$4:$S$4,0),FALSE)</f>
        <v>0</v>
      </c>
      <c r="AD37" s="87" t="str">
        <f>VLOOKUP(B37,'2007-2020 Metadata'!$A$6:$A$214,1,FALSE)</f>
        <v>AUC051a</v>
      </c>
      <c r="AE37" s="230">
        <f>VLOOKUP($AD37,'2007-2020 Metadata'!$A$6:$S$214,9,FALSE)</f>
        <v>0</v>
      </c>
      <c r="AF37" s="248" t="str">
        <f>IF(ISBLANK(VLOOKUP($AD37,'2007-2020 Metadata'!$A$6:$S$214,19,FALSE)),"",VLOOKUP($AD37,'2007-2020 Metadata'!$A$6:$S$214,19,FALSE))</f>
        <v/>
      </c>
      <c r="AG37" s="88" t="str">
        <f>VLOOKUP($B37,'2007-2020 Metadata'!$A$4:$S$214,MATCH("Site type",'2007-2020 Metadata'!$A$4:$S$4,0),FALSE)</f>
        <v>SH</v>
      </c>
      <c r="AH37" s="143">
        <f t="shared" si="12"/>
        <v>11</v>
      </c>
      <c r="AI37" s="143">
        <f t="shared" si="13"/>
        <v>26</v>
      </c>
      <c r="AJ37" s="144">
        <f t="shared" si="14"/>
        <v>18.549999999999997</v>
      </c>
    </row>
    <row r="38" spans="2:36" ht="12" customHeight="1" x14ac:dyDescent="0.15">
      <c r="B38" s="123" t="s">
        <v>73</v>
      </c>
      <c r="C38" s="104" t="str">
        <f>IF(ISBLANK(VLOOKUP($B38,'Monthly Summary 2013'!$B$7:$Q$152,14,FALSE)),"",IF(ISERROR(VLOOKUP($B38,'Monthly Summary 2013'!$B$7:$Q$152,14,FALSE)=0),"",VLOOKUP($B38,'Monthly Summary 2013'!$B$7:$Q$152,14,FALSE)))</f>
        <v/>
      </c>
      <c r="D38" s="119">
        <v>21.2</v>
      </c>
      <c r="E38" s="119">
        <v>15.2</v>
      </c>
      <c r="F38" s="119">
        <v>14.6</v>
      </c>
      <c r="G38" s="119">
        <v>20</v>
      </c>
      <c r="H38" s="119">
        <v>21.2</v>
      </c>
      <c r="I38" s="119">
        <v>22</v>
      </c>
      <c r="J38" s="119">
        <v>22.4</v>
      </c>
      <c r="K38" s="124">
        <v>21.4</v>
      </c>
      <c r="L38" s="124">
        <v>15</v>
      </c>
      <c r="M38" s="124">
        <v>14.5</v>
      </c>
      <c r="N38" s="124">
        <v>10.9</v>
      </c>
      <c r="O38" s="124">
        <v>8.4</v>
      </c>
      <c r="P38" s="121">
        <f t="shared" si="5"/>
        <v>17.233333333333334</v>
      </c>
      <c r="Q38" s="121">
        <f t="shared" si="6"/>
        <v>27.528367260407975</v>
      </c>
      <c r="R38" s="122">
        <f t="shared" si="7"/>
        <v>1</v>
      </c>
      <c r="S38" s="140">
        <f t="shared" si="8"/>
        <v>17</v>
      </c>
      <c r="T38" s="24">
        <f t="shared" si="9"/>
        <v>1</v>
      </c>
      <c r="U38" s="140">
        <f t="shared" si="10"/>
        <v>19.599999999999998</v>
      </c>
      <c r="V38" s="9">
        <f t="shared" si="11"/>
        <v>1</v>
      </c>
      <c r="W38" s="172">
        <f t="shared" si="0"/>
        <v>17.233333333333334</v>
      </c>
      <c r="X38" s="142">
        <f t="shared" si="1"/>
        <v>1</v>
      </c>
      <c r="Y38" s="144">
        <f t="shared" si="2"/>
        <v>14.431944444444445</v>
      </c>
      <c r="Z38" s="144">
        <f t="shared" si="3"/>
        <v>17.154545454545453</v>
      </c>
      <c r="AA38" s="144">
        <f t="shared" si="4"/>
        <v>17.229116161616158</v>
      </c>
      <c r="AB38" s="10"/>
      <c r="AC38" s="357" t="str">
        <f>VLOOKUP($B38,'2007-2020 Metadata'!$A$4:$S$214,MATCH("Urban Area /Monitoring Zone",'2007-2020 Metadata'!$A$4:$S$4,0),FALSE)</f>
        <v>Auckland - Western</v>
      </c>
      <c r="AD38" s="87" t="str">
        <f>VLOOKUP(B38,'2007-2020 Metadata'!$A$6:$A$214,1,FALSE)</f>
        <v>AUC052</v>
      </c>
      <c r="AE38" s="230" t="str">
        <f>VLOOKUP($AD38,'2007-2020 Metadata'!$A$6:$S$214,9,FALSE)</f>
        <v>Waitakere</v>
      </c>
      <c r="AF38" s="248">
        <f>IF(ISBLANK(VLOOKUP($AD38,'2007-2020 Metadata'!$A$6:$S$214,19,FALSE)),"",VLOOKUP($AD38,'2007-2020 Metadata'!$A$6:$S$214,19,FALSE))</f>
        <v>3</v>
      </c>
      <c r="AG38" s="88" t="str">
        <f>VLOOKUP($B38,'2007-2020 Metadata'!$A$4:$S$214,MATCH("Site type",'2007-2020 Metadata'!$A$4:$S$4,0),FALSE)</f>
        <v>Local</v>
      </c>
      <c r="AH38" s="143">
        <f t="shared" si="12"/>
        <v>8.4</v>
      </c>
      <c r="AI38" s="143">
        <f t="shared" si="13"/>
        <v>22.4</v>
      </c>
      <c r="AJ38" s="144">
        <f t="shared" si="14"/>
        <v>17.229116161616158</v>
      </c>
    </row>
    <row r="39" spans="2:36" ht="12" customHeight="1" x14ac:dyDescent="0.15">
      <c r="B39" s="123" t="s">
        <v>74</v>
      </c>
      <c r="C39" s="104" t="str">
        <f>IF(ISBLANK(VLOOKUP($B39,'Monthly Summary 2013'!$B$7:$Q$152,14,FALSE)),"",IF(ISERROR(VLOOKUP($B39,'Monthly Summary 2013'!$B$7:$Q$152,14,FALSE)=0),"",VLOOKUP($B39,'Monthly Summary 2013'!$B$7:$Q$152,14,FALSE)))</f>
        <v/>
      </c>
      <c r="D39" s="119">
        <v>17.7</v>
      </c>
      <c r="E39" s="119">
        <v>10.8</v>
      </c>
      <c r="F39" s="119">
        <v>31.8</v>
      </c>
      <c r="G39" s="119">
        <v>40</v>
      </c>
      <c r="H39" s="119">
        <v>42.2</v>
      </c>
      <c r="I39" s="119">
        <v>35.4</v>
      </c>
      <c r="J39" s="119">
        <v>34.9</v>
      </c>
      <c r="K39" s="124">
        <v>31.5</v>
      </c>
      <c r="L39" s="124">
        <v>31.2</v>
      </c>
      <c r="M39" s="124">
        <v>39.6</v>
      </c>
      <c r="N39" s="124">
        <v>41.2</v>
      </c>
      <c r="O39" s="124">
        <v>19.7</v>
      </c>
      <c r="P39" s="121">
        <f t="shared" si="5"/>
        <v>31.333333333333332</v>
      </c>
      <c r="Q39" s="121">
        <f t="shared" si="6"/>
        <v>32.364721607653856</v>
      </c>
      <c r="R39" s="122">
        <f t="shared" si="7"/>
        <v>1</v>
      </c>
      <c r="S39" s="140">
        <f t="shared" si="8"/>
        <v>20.099999999999998</v>
      </c>
      <c r="T39" s="24">
        <f t="shared" si="9"/>
        <v>1</v>
      </c>
      <c r="U39" s="140">
        <f t="shared" si="10"/>
        <v>32.533333333333339</v>
      </c>
      <c r="V39" s="9">
        <f t="shared" si="11"/>
        <v>1</v>
      </c>
      <c r="W39" s="172">
        <f t="shared" ref="W39:W70" si="15">IF(AND(($T39&gt;33%),($V39&gt;33%),($X39&gt;=75%)),AVERAGE($D39:$O39),"-")</f>
        <v>31.333333333333332</v>
      </c>
      <c r="X39" s="142">
        <f t="shared" ref="X39:X70" si="16">R39</f>
        <v>1</v>
      </c>
      <c r="Y39" s="144">
        <f t="shared" ref="Y39:Y70" si="17">IF(VLOOKUP($B39,$AD$6:$AJ$158,3,FALSE)="",$S39,IF(ISERROR(AVERAGEIF($AE$6:$AE$158,VLOOKUP($B39,$AD$6:$AJ$158,2,FALSE),$S$6:$S$158)),"",AVERAGEIF($AE$6:$AE$158,VLOOKUP($B39,$AD$6:$AJ$158,2,FALSE),$S$6:$S$158)))</f>
        <v>14.431944444444445</v>
      </c>
      <c r="Z39" s="144">
        <f t="shared" ref="Z39:Z70" si="18">IF(VLOOKUP($B39,$AD$6:$AJ$158,3,FALSE)="",$U39,IF(ISERROR(AVERAGEIF($AE$6:$AE$158,VLOOKUP($B39,$AD$6:$AJ$158,2,FALSE),$U$6:$U$158)),"",AVERAGEIF($AE$6:$AE$158,VLOOKUP($B39,$AD$6:$AJ$158,2,FALSE),$U$6:$U$158)))</f>
        <v>17.154545454545453</v>
      </c>
      <c r="AA39" s="144">
        <f t="shared" ref="AA39:AA70" si="19">IF(VLOOKUP($B39,$AD$6:$AJ$158,3,FALSE)="",$W39,IF(ISERROR(AVERAGEIF($AE$6:$AE$158,VLOOKUP($B39,$AD$6:$AJ$158,2,FALSE),$W$6:$W$158)),"",AVERAGEIF($AE$6:$AE$158,VLOOKUP($B39,$AD$6:$AJ$158,2,FALSE),$W$6:$W$158)))</f>
        <v>17.229116161616158</v>
      </c>
      <c r="AB39" s="10"/>
      <c r="AC39" s="357" t="str">
        <f>VLOOKUP($B39,'2007-2020 Metadata'!$A$4:$S$214,MATCH("Urban Area /Monitoring Zone",'2007-2020 Metadata'!$A$4:$S$4,0),FALSE)</f>
        <v>Auckland - Western</v>
      </c>
      <c r="AD39" s="87" t="str">
        <f>VLOOKUP(B39,'2007-2020 Metadata'!$A$6:$A$214,1,FALSE)</f>
        <v>AUC053</v>
      </c>
      <c r="AE39" s="230" t="str">
        <f>VLOOKUP($AD39,'2007-2020 Metadata'!$A$6:$S$214,9,FALSE)</f>
        <v>Waitakere</v>
      </c>
      <c r="AF39" s="248">
        <f>IF(ISBLANK(VLOOKUP($AD39,'2007-2020 Metadata'!$A$6:$S$214,19,FALSE)),"",VLOOKUP($AD39,'2007-2020 Metadata'!$A$6:$S$214,19,FALSE))</f>
        <v>3</v>
      </c>
      <c r="AG39" s="88" t="str">
        <f>VLOOKUP($B39,'2007-2020 Metadata'!$A$4:$S$214,MATCH("Site type",'2007-2020 Metadata'!$A$4:$S$4,0),FALSE)</f>
        <v>Local</v>
      </c>
      <c r="AH39" s="143">
        <f t="shared" si="12"/>
        <v>10.8</v>
      </c>
      <c r="AI39" s="143">
        <f t="shared" si="13"/>
        <v>42.2</v>
      </c>
      <c r="AJ39" s="144">
        <f t="shared" si="14"/>
        <v>17.229116161616158</v>
      </c>
    </row>
    <row r="40" spans="2:36" ht="12" customHeight="1" x14ac:dyDescent="0.15">
      <c r="B40" s="123" t="s">
        <v>75</v>
      </c>
      <c r="C40" s="104">
        <f>IF(ISBLANK(VLOOKUP($B40,'Monthly Summary 2013'!$B$7:$Q$152,14,FALSE)),"",IF(ISERROR(VLOOKUP($B40,'Monthly Summary 2013'!$B$7:$Q$152,14,FALSE)=0),"",VLOOKUP($B40,'Monthly Summary 2013'!$B$7:$Q$152,14,FALSE)))</f>
        <v>10</v>
      </c>
      <c r="D40" s="119">
        <v>8.8000000000000007</v>
      </c>
      <c r="E40" s="119">
        <v>16.7</v>
      </c>
      <c r="F40" s="119">
        <v>12.2</v>
      </c>
      <c r="G40" s="119">
        <v>19.7</v>
      </c>
      <c r="H40" s="119">
        <v>21</v>
      </c>
      <c r="I40" s="119">
        <v>20.8</v>
      </c>
      <c r="J40" s="119">
        <v>19.8</v>
      </c>
      <c r="K40" s="124">
        <v>19.899999999999999</v>
      </c>
      <c r="L40" s="124">
        <v>14.6</v>
      </c>
      <c r="M40" s="124">
        <v>14.2</v>
      </c>
      <c r="N40" s="124">
        <v>8.3000000000000007</v>
      </c>
      <c r="O40" s="124">
        <v>12.4</v>
      </c>
      <c r="P40" s="121">
        <f t="shared" si="5"/>
        <v>15.700000000000001</v>
      </c>
      <c r="Q40" s="121">
        <f t="shared" si="6"/>
        <v>29.409927084369862</v>
      </c>
      <c r="R40" s="122">
        <f t="shared" si="7"/>
        <v>1</v>
      </c>
      <c r="S40" s="260">
        <f t="shared" si="8"/>
        <v>12.566666666666668</v>
      </c>
      <c r="T40" s="264">
        <f t="shared" si="9"/>
        <v>1</v>
      </c>
      <c r="U40" s="260">
        <f t="shared" si="10"/>
        <v>18.100000000000001</v>
      </c>
      <c r="V40" s="265">
        <f t="shared" si="11"/>
        <v>1</v>
      </c>
      <c r="W40" s="266">
        <f t="shared" si="15"/>
        <v>15.700000000000001</v>
      </c>
      <c r="X40" s="261">
        <f t="shared" si="16"/>
        <v>1</v>
      </c>
      <c r="Y40" s="177">
        <f t="shared" si="17"/>
        <v>14.431944444444445</v>
      </c>
      <c r="Z40" s="177">
        <f t="shared" si="18"/>
        <v>17.154545454545453</v>
      </c>
      <c r="AA40" s="177">
        <f t="shared" si="19"/>
        <v>17.229116161616158</v>
      </c>
      <c r="AB40" s="10"/>
      <c r="AC40" s="357" t="str">
        <f>VLOOKUP($B40,'2007-2020 Metadata'!$A$4:$S$214,MATCH("Urban Area /Monitoring Zone",'2007-2020 Metadata'!$A$4:$S$4,0),FALSE)</f>
        <v>Auckland - Western</v>
      </c>
      <c r="AD40" s="259" t="str">
        <f>VLOOKUP(B40,'2007-2020 Metadata'!$A$6:$A$214,1,FALSE)</f>
        <v>AUC054</v>
      </c>
      <c r="AE40" s="256" t="str">
        <f>VLOOKUP($AD40,'2007-2020 Metadata'!$A$6:$S$214,9,FALSE)</f>
        <v>Waitakere</v>
      </c>
      <c r="AF40" s="263">
        <f>IF(ISBLANK(VLOOKUP($AD40,'2007-2020 Metadata'!$A$6:$S$214,19,FALSE)),"",VLOOKUP($AD40,'2007-2020 Metadata'!$A$6:$S$214,19,FALSE))</f>
        <v>3</v>
      </c>
      <c r="AG40" s="257" t="str">
        <f>VLOOKUP($B40,'2007-2020 Metadata'!$A$4:$S$214,MATCH("Site type",'2007-2020 Metadata'!$A$4:$S$4,0),FALSE)</f>
        <v>Local</v>
      </c>
      <c r="AH40" s="258">
        <f>MIN(AVERAGE($D$40:$D$42),AVERAGE($E$40:$E$42),AVERAGE($F$40:$F$42),AVERAGE($G$40:$G$42),AVERAGE($H$40:$H$42),AVERAGE($I$40:$I$42),AVERAGE($J$40:$J$42),AVERAGE($K$40:$K$42),AVERAGE($L$40:$L$42),AVERAGE($M$40:$M$42),AVERAGE($N$40:$N$42),AVERAGE($O$40:$O$42))</f>
        <v>7.5333333333333341</v>
      </c>
      <c r="AI40" s="258">
        <f>MAX(AVERAGE($D$40:$D$42),AVERAGE($E$40:$E$42),AVERAGE($F$40:$F$42),AVERAGE($G$40:$G$42),AVERAGE($H$40:$H$42),AVERAGE($I$40:$I$42),AVERAGE($J$40:$J$42),AVERAGE($K$40:$K$42),AVERAGE($L$40:$L$42),AVERAGE($M$40:$M$42),AVERAGE($N$40:$N$42),AVERAGE($O$40:$O$42))</f>
        <v>21.2</v>
      </c>
      <c r="AJ40" s="177">
        <f t="shared" si="14"/>
        <v>17.229116161616158</v>
      </c>
    </row>
    <row r="41" spans="2:36" ht="12" customHeight="1" x14ac:dyDescent="0.15">
      <c r="B41" s="123" t="s">
        <v>76</v>
      </c>
      <c r="C41" s="104">
        <f>IF(ISBLANK(VLOOKUP($B41,'Monthly Summary 2013'!$B$7:$Q$152,14,FALSE)),"",IF(ISERROR(VLOOKUP($B41,'Monthly Summary 2013'!$B$7:$Q$152,14,FALSE)=0),"",VLOOKUP($B41,'Monthly Summary 2013'!$B$7:$Q$152,14,FALSE)))</f>
        <v>10.5</v>
      </c>
      <c r="D41" s="119">
        <v>7.4</v>
      </c>
      <c r="E41" s="119">
        <v>16</v>
      </c>
      <c r="F41" s="119">
        <v>17.600000000000001</v>
      </c>
      <c r="G41" s="119">
        <v>17.399999999999999</v>
      </c>
      <c r="H41" s="119">
        <v>21.3</v>
      </c>
      <c r="I41" s="119">
        <v>21.2</v>
      </c>
      <c r="J41" s="119">
        <v>19.100000000000001</v>
      </c>
      <c r="K41" s="124">
        <v>11.8</v>
      </c>
      <c r="L41" s="124">
        <v>14.1</v>
      </c>
      <c r="M41" s="124">
        <v>12.7</v>
      </c>
      <c r="N41" s="124">
        <v>8.1</v>
      </c>
      <c r="O41" s="124">
        <v>11.8</v>
      </c>
      <c r="P41" s="121">
        <f t="shared" si="5"/>
        <v>14.875</v>
      </c>
      <c r="Q41" s="121">
        <f t="shared" si="6"/>
        <v>31.41619067939374</v>
      </c>
      <c r="R41" s="122">
        <f t="shared" si="7"/>
        <v>1</v>
      </c>
      <c r="S41" s="260">
        <f t="shared" si="8"/>
        <v>13.666666666666666</v>
      </c>
      <c r="T41" s="264">
        <f t="shared" si="9"/>
        <v>1</v>
      </c>
      <c r="U41" s="260">
        <f t="shared" si="10"/>
        <v>15</v>
      </c>
      <c r="V41" s="265">
        <f t="shared" si="11"/>
        <v>1</v>
      </c>
      <c r="W41" s="266">
        <f t="shared" si="15"/>
        <v>14.875</v>
      </c>
      <c r="X41" s="261">
        <f t="shared" si="16"/>
        <v>1</v>
      </c>
      <c r="Y41" s="177">
        <f t="shared" si="17"/>
        <v>14.431944444444445</v>
      </c>
      <c r="Z41" s="177">
        <f t="shared" si="18"/>
        <v>17.154545454545453</v>
      </c>
      <c r="AA41" s="177">
        <f t="shared" si="19"/>
        <v>17.229116161616158</v>
      </c>
      <c r="AB41" s="10"/>
      <c r="AC41" s="357" t="str">
        <f>VLOOKUP($B41,'2007-2020 Metadata'!$A$4:$S$214,MATCH("Urban Area /Monitoring Zone",'2007-2020 Metadata'!$A$4:$S$4,0),FALSE)</f>
        <v>Auckland - Western</v>
      </c>
      <c r="AD41" s="259" t="str">
        <f>VLOOKUP(B41,'2007-2020 Metadata'!$A$6:$A$214,1,FALSE)</f>
        <v>AUC055</v>
      </c>
      <c r="AE41" s="256" t="str">
        <f>VLOOKUP($AD41,'2007-2020 Metadata'!$A$6:$S$214,9,FALSE)</f>
        <v>Waitakere</v>
      </c>
      <c r="AF41" s="263">
        <f>IF(ISBLANK(VLOOKUP($AD41,'2007-2020 Metadata'!$A$6:$S$214,19,FALSE)),"",VLOOKUP($AD41,'2007-2020 Metadata'!$A$6:$S$214,19,FALSE))</f>
        <v>3</v>
      </c>
      <c r="AG41" s="257" t="str">
        <f>VLOOKUP($B41,'2007-2020 Metadata'!$A$4:$S$214,MATCH("Site type",'2007-2020 Metadata'!$A$4:$S$4,0),FALSE)</f>
        <v>Local</v>
      </c>
      <c r="AH41" s="258">
        <f>MIN(AVERAGE($D$40:$D$42),AVERAGE($E$40:$E$42),AVERAGE($F$40:$F$42),AVERAGE($G$40:$G$42),AVERAGE($H$40:$H$42),AVERAGE($I$40:$I$42),AVERAGE($J$40:$J$42),AVERAGE($K$40:$K$42),AVERAGE($L$40:$L$42),AVERAGE($M$40:$M$42),AVERAGE($N$40:$N$42),AVERAGE($O$40:$O$42))</f>
        <v>7.5333333333333341</v>
      </c>
      <c r="AI41" s="258">
        <f>MAX(AVERAGE($D$40:$D$42),AVERAGE($E$40:$E$42),AVERAGE($F$40:$F$42),AVERAGE($G$40:$G$42),AVERAGE($H$40:$H$42),AVERAGE($I$40:$I$42),AVERAGE($J$40:$J$42),AVERAGE($K$40:$K$42),AVERAGE($L$40:$L$42),AVERAGE($M$40:$M$42),AVERAGE($N$40:$N$42),AVERAGE($O$40:$O$42))</f>
        <v>21.2</v>
      </c>
      <c r="AJ41" s="177">
        <f t="shared" si="14"/>
        <v>17.229116161616158</v>
      </c>
    </row>
    <row r="42" spans="2:36" ht="12" customHeight="1" x14ac:dyDescent="0.15">
      <c r="B42" s="123" t="s">
        <v>77</v>
      </c>
      <c r="C42" s="104" t="str">
        <f>IF(ISBLANK(VLOOKUP($B42,'Monthly Summary 2013'!$B$7:$Q$152,14,FALSE)),"",IF(ISERROR(VLOOKUP($B42,'Monthly Summary 2013'!$B$7:$Q$152,14,FALSE)=0),"",VLOOKUP($B42,'Monthly Summary 2013'!$B$7:$Q$152,14,FALSE)))</f>
        <v/>
      </c>
      <c r="D42" s="119">
        <v>6.4</v>
      </c>
      <c r="E42" s="119">
        <v>16.5</v>
      </c>
      <c r="F42" s="119">
        <v>12.5</v>
      </c>
      <c r="G42" s="119">
        <v>15.4</v>
      </c>
      <c r="H42" s="119">
        <v>21.3</v>
      </c>
      <c r="I42" s="119">
        <v>21.5</v>
      </c>
      <c r="J42" s="119">
        <v>19.5</v>
      </c>
      <c r="K42" s="124">
        <v>18.899999999999999</v>
      </c>
      <c r="L42" s="124">
        <v>12.9</v>
      </c>
      <c r="M42" s="124">
        <v>14.5</v>
      </c>
      <c r="N42" s="124">
        <v>7.8</v>
      </c>
      <c r="O42" s="124">
        <v>11.8</v>
      </c>
      <c r="P42" s="121">
        <f t="shared" si="5"/>
        <v>14.91666666666667</v>
      </c>
      <c r="Q42" s="121">
        <f t="shared" si="6"/>
        <v>33.008393007325573</v>
      </c>
      <c r="R42" s="122">
        <f t="shared" si="7"/>
        <v>1</v>
      </c>
      <c r="S42" s="260">
        <f t="shared" si="8"/>
        <v>11.799999999999999</v>
      </c>
      <c r="T42" s="264">
        <f t="shared" si="9"/>
        <v>1</v>
      </c>
      <c r="U42" s="260">
        <f t="shared" si="10"/>
        <v>17.099999999999998</v>
      </c>
      <c r="V42" s="265">
        <f t="shared" si="11"/>
        <v>1</v>
      </c>
      <c r="W42" s="266">
        <f t="shared" si="15"/>
        <v>14.91666666666667</v>
      </c>
      <c r="X42" s="261">
        <f t="shared" si="16"/>
        <v>1</v>
      </c>
      <c r="Y42" s="177">
        <f t="shared" si="17"/>
        <v>14.431944444444445</v>
      </c>
      <c r="Z42" s="177">
        <f t="shared" si="18"/>
        <v>17.154545454545453</v>
      </c>
      <c r="AA42" s="177">
        <f t="shared" si="19"/>
        <v>17.229116161616158</v>
      </c>
      <c r="AB42" s="10"/>
      <c r="AC42" s="357" t="str">
        <f>VLOOKUP($B42,'2007-2020 Metadata'!$A$4:$S$214,MATCH("Urban Area /Monitoring Zone",'2007-2020 Metadata'!$A$4:$S$4,0),FALSE)</f>
        <v>Auckland - Western</v>
      </c>
      <c r="AD42" s="259" t="str">
        <f>VLOOKUP(B42,'2007-2020 Metadata'!$A$6:$A$214,1,FALSE)</f>
        <v>AUC056</v>
      </c>
      <c r="AE42" s="256" t="str">
        <f>VLOOKUP($AD42,'2007-2020 Metadata'!$A$6:$S$214,9,FALSE)</f>
        <v>Waitakere</v>
      </c>
      <c r="AF42" s="263">
        <f>IF(ISBLANK(VLOOKUP($AD42,'2007-2020 Metadata'!$A$6:$S$214,19,FALSE)),"",VLOOKUP($AD42,'2007-2020 Metadata'!$A$6:$S$214,19,FALSE))</f>
        <v>3</v>
      </c>
      <c r="AG42" s="257" t="str">
        <f>VLOOKUP($B42,'2007-2020 Metadata'!$A$4:$S$214,MATCH("Site type",'2007-2020 Metadata'!$A$4:$S$4,0),FALSE)</f>
        <v>Local</v>
      </c>
      <c r="AH42" s="258">
        <f>MIN(AVERAGE($D$40:$D$42),AVERAGE($E$40:$E$42),AVERAGE($F$40:$F$42),AVERAGE($G$40:$G$42),AVERAGE($H$40:$H$42),AVERAGE($I$40:$I$42),AVERAGE($J$40:$J$42),AVERAGE($K$40:$K$42),AVERAGE($L$40:$L$42),AVERAGE($M$40:$M$42),AVERAGE($N$40:$N$42),AVERAGE($O$40:$O$42))</f>
        <v>7.5333333333333341</v>
      </c>
      <c r="AI42" s="258">
        <f>MAX(AVERAGE($D$40:$D$42),AVERAGE($E$40:$E$42),AVERAGE($F$40:$F$42),AVERAGE($G$40:$G$42),AVERAGE($H$40:$H$42),AVERAGE($I$40:$I$42),AVERAGE($J$40:$J$42),AVERAGE($K$40:$K$42),AVERAGE($L$40:$L$42),AVERAGE($M$40:$M$42),AVERAGE($N$40:$N$42),AVERAGE($O$40:$O$42))</f>
        <v>21.2</v>
      </c>
      <c r="AJ42" s="177">
        <f t="shared" si="14"/>
        <v>17.229116161616158</v>
      </c>
    </row>
    <row r="43" spans="2:36" ht="12" customHeight="1" x14ac:dyDescent="0.15">
      <c r="B43" s="118" t="s">
        <v>78</v>
      </c>
      <c r="C43" s="104">
        <f>IF(ISBLANK(VLOOKUP($B43,'Monthly Summary 2013'!$B$7:$Q$152,14,FALSE)),"",IF(ISERROR(VLOOKUP($B43,'Monthly Summary 2013'!$B$7:$Q$152,14,FALSE)=0),"",VLOOKUP($B43,'Monthly Summary 2013'!$B$7:$Q$152,14,FALSE)))</f>
        <v>4.2</v>
      </c>
      <c r="D43" s="119">
        <v>3.3</v>
      </c>
      <c r="E43" s="119">
        <v>8.3000000000000007</v>
      </c>
      <c r="F43" s="119">
        <v>9.8000000000000007</v>
      </c>
      <c r="G43" s="119">
        <v>9.4</v>
      </c>
      <c r="H43" s="119">
        <v>12.2</v>
      </c>
      <c r="I43" s="119">
        <v>12.4</v>
      </c>
      <c r="J43" s="119">
        <v>10.7</v>
      </c>
      <c r="K43" s="124">
        <v>11.4</v>
      </c>
      <c r="L43" s="124">
        <v>7.8</v>
      </c>
      <c r="M43" s="124">
        <v>7.5</v>
      </c>
      <c r="N43" s="124">
        <v>4.5999999999999996</v>
      </c>
      <c r="O43" s="124">
        <v>6.2</v>
      </c>
      <c r="P43" s="121">
        <f t="shared" si="5"/>
        <v>8.6333333333333329</v>
      </c>
      <c r="Q43" s="121">
        <f t="shared" si="6"/>
        <v>33.77119556880038</v>
      </c>
      <c r="R43" s="122">
        <f t="shared" si="7"/>
        <v>1</v>
      </c>
      <c r="S43" s="260">
        <f t="shared" si="8"/>
        <v>7.1333333333333337</v>
      </c>
      <c r="T43" s="264">
        <f t="shared" si="9"/>
        <v>1</v>
      </c>
      <c r="U43" s="260">
        <f t="shared" si="10"/>
        <v>9.9666666666666668</v>
      </c>
      <c r="V43" s="265">
        <f t="shared" si="11"/>
        <v>1</v>
      </c>
      <c r="W43" s="266">
        <f t="shared" si="15"/>
        <v>8.6333333333333329</v>
      </c>
      <c r="X43" s="261">
        <f t="shared" si="16"/>
        <v>1</v>
      </c>
      <c r="Y43" s="177">
        <f t="shared" si="17"/>
        <v>14.431944444444445</v>
      </c>
      <c r="Z43" s="177">
        <f t="shared" si="18"/>
        <v>17.154545454545453</v>
      </c>
      <c r="AA43" s="177">
        <f t="shared" si="19"/>
        <v>17.229116161616158</v>
      </c>
      <c r="AB43" s="10"/>
      <c r="AC43" s="357" t="str">
        <f>VLOOKUP($B43,'2007-2020 Metadata'!$A$4:$S$214,MATCH("Urban Area /Monitoring Zone",'2007-2020 Metadata'!$A$4:$S$4,0),FALSE)</f>
        <v>Auckland - Western</v>
      </c>
      <c r="AD43" s="259" t="str">
        <f>VLOOKUP(B43,'2007-2020 Metadata'!$A$6:$A$214,1,FALSE)</f>
        <v>AUC057</v>
      </c>
      <c r="AE43" s="256" t="str">
        <f>VLOOKUP($AD43,'2007-2020 Metadata'!$A$6:$S$214,9,FALSE)</f>
        <v>Waitakere</v>
      </c>
      <c r="AF43" s="263">
        <f>IF(ISBLANK(VLOOKUP($AD43,'2007-2020 Metadata'!$A$6:$S$214,19,FALSE)),"",VLOOKUP($AD43,'2007-2020 Metadata'!$A$6:$S$214,19,FALSE))</f>
        <v>3</v>
      </c>
      <c r="AG43" s="257" t="str">
        <f>VLOOKUP($B43,'2007-2020 Metadata'!$A$4:$S$214,MATCH("Site type",'2007-2020 Metadata'!$A$4:$S$4,0),FALSE)</f>
        <v>Background</v>
      </c>
      <c r="AH43" s="258">
        <f>MIN(AVERAGE($D$43:$D$45),AVERAGE($E$43:$E$45),AVERAGE($F$43:$F$45),AVERAGE($G$43:$G$45),AVERAGE($H$43:$H$45),AVERAGE($I$43:$I$45),AVERAGE($J$43:$J$45),AVERAGE($K$43:$K$45),AVERAGE($L$43:$L$45),AVERAGE($M$43:$M$45),AVERAGE($N$43:$N$45),AVERAGE($O$43:$O$45))</f>
        <v>4.0999999999999996</v>
      </c>
      <c r="AI43" s="258">
        <f>MAX(AVERAGE($D$43:$D$45),AVERAGE($E$43:$E$45),AVERAGE($F$43:$F$45),AVERAGE($G$43:$G$45),AVERAGE($H$43:$H$45),AVERAGE($I$43:$I$45),AVERAGE($J$43:$J$45),AVERAGE($K$43:$K$45),AVERAGE($L$43:$L$45),AVERAGE($M$43:$M$45),AVERAGE($N$43:$N$45),AVERAGE($O$43:$O$45))</f>
        <v>12.600000000000001</v>
      </c>
      <c r="AJ43" s="177">
        <f t="shared" si="14"/>
        <v>17.229116161616158</v>
      </c>
    </row>
    <row r="44" spans="2:36" ht="12" customHeight="1" x14ac:dyDescent="0.15">
      <c r="B44" s="123" t="s">
        <v>79</v>
      </c>
      <c r="C44" s="104" t="str">
        <f>IF(ISBLANK(VLOOKUP($B44,'Monthly Summary 2013'!$B$7:$Q$152,14,FALSE)),"",IF(ISERROR(VLOOKUP($B44,'Monthly Summary 2013'!$B$7:$Q$152,14,FALSE)=0),"",VLOOKUP($B44,'Monthly Summary 2013'!$B$7:$Q$152,14,FALSE)))</f>
        <v/>
      </c>
      <c r="D44" s="119"/>
      <c r="E44" s="119">
        <v>7.1</v>
      </c>
      <c r="F44" s="119">
        <v>7.1</v>
      </c>
      <c r="G44" s="119">
        <v>9.4</v>
      </c>
      <c r="H44" s="119">
        <v>11.5</v>
      </c>
      <c r="I44" s="119">
        <v>12.8</v>
      </c>
      <c r="J44" s="119">
        <v>11.5</v>
      </c>
      <c r="K44" s="124">
        <v>10</v>
      </c>
      <c r="L44" s="124">
        <v>7</v>
      </c>
      <c r="M44" s="124">
        <v>7.6</v>
      </c>
      <c r="N44" s="124">
        <v>5.5</v>
      </c>
      <c r="O44" s="124">
        <v>6.1</v>
      </c>
      <c r="P44" s="121">
        <f t="shared" si="5"/>
        <v>8.6909090909090896</v>
      </c>
      <c r="Q44" s="121">
        <f t="shared" si="6"/>
        <v>28.392559061475058</v>
      </c>
      <c r="R44" s="122">
        <f t="shared" si="7"/>
        <v>0.91666666666666663</v>
      </c>
      <c r="S44" s="260">
        <f t="shared" si="8"/>
        <v>7.1</v>
      </c>
      <c r="T44" s="264">
        <f t="shared" si="9"/>
        <v>0.66666666666666663</v>
      </c>
      <c r="U44" s="260">
        <f t="shared" si="10"/>
        <v>9.5</v>
      </c>
      <c r="V44" s="265">
        <f t="shared" si="11"/>
        <v>1</v>
      </c>
      <c r="W44" s="266">
        <f t="shared" si="15"/>
        <v>8.6909090909090896</v>
      </c>
      <c r="X44" s="261">
        <f t="shared" si="16"/>
        <v>0.91666666666666663</v>
      </c>
      <c r="Y44" s="177">
        <f t="shared" si="17"/>
        <v>14.431944444444445</v>
      </c>
      <c r="Z44" s="177">
        <f t="shared" si="18"/>
        <v>17.154545454545453</v>
      </c>
      <c r="AA44" s="177">
        <f t="shared" si="19"/>
        <v>17.229116161616158</v>
      </c>
      <c r="AB44" s="10"/>
      <c r="AC44" s="357" t="str">
        <f>VLOOKUP($B44,'2007-2020 Metadata'!$A$4:$S$214,MATCH("Urban Area /Monitoring Zone",'2007-2020 Metadata'!$A$4:$S$4,0),FALSE)</f>
        <v>Auckland - Western</v>
      </c>
      <c r="AD44" s="259" t="str">
        <f>VLOOKUP(B44,'2007-2020 Metadata'!$A$6:$A$214,1,FALSE)</f>
        <v>AUC058</v>
      </c>
      <c r="AE44" s="256" t="str">
        <f>VLOOKUP($AD44,'2007-2020 Metadata'!$A$6:$S$214,9,FALSE)</f>
        <v>Waitakere</v>
      </c>
      <c r="AF44" s="263">
        <f>IF(ISBLANK(VLOOKUP($AD44,'2007-2020 Metadata'!$A$6:$S$214,19,FALSE)),"",VLOOKUP($AD44,'2007-2020 Metadata'!$A$6:$S$214,19,FALSE))</f>
        <v>3</v>
      </c>
      <c r="AG44" s="257" t="str">
        <f>VLOOKUP($B44,'2007-2020 Metadata'!$A$4:$S$214,MATCH("Site type",'2007-2020 Metadata'!$A$4:$S$4,0),FALSE)</f>
        <v>Background</v>
      </c>
      <c r="AH44" s="258">
        <f>MIN(AVERAGE($D$43:$D$45),AVERAGE($E$43:$E$45),AVERAGE($F$43:$F$45),AVERAGE($G$43:$G$45),AVERAGE($H$43:$H$45),AVERAGE($I$43:$I$45),AVERAGE($J$43:$J$45),AVERAGE($K$43:$K$45),AVERAGE($L$43:$L$45),AVERAGE($M$43:$M$45),AVERAGE($N$43:$N$45),AVERAGE($O$43:$O$45))</f>
        <v>4.0999999999999996</v>
      </c>
      <c r="AI44" s="258">
        <f>MAX(AVERAGE($D$43:$D$45),AVERAGE($E$43:$E$45),AVERAGE($F$43:$F$45),AVERAGE($G$43:$G$45),AVERAGE($H$43:$H$45),AVERAGE($I$43:$I$45),AVERAGE($J$43:$J$45),AVERAGE($K$43:$K$45),AVERAGE($L$43:$L$45),AVERAGE($M$43:$M$45),AVERAGE($N$43:$N$45),AVERAGE($O$43:$O$45))</f>
        <v>12.600000000000001</v>
      </c>
      <c r="AJ44" s="177">
        <f t="shared" si="14"/>
        <v>17.229116161616158</v>
      </c>
    </row>
    <row r="45" spans="2:36" ht="12" customHeight="1" x14ac:dyDescent="0.15">
      <c r="B45" s="123" t="s">
        <v>80</v>
      </c>
      <c r="C45" s="104">
        <f>IF(ISBLANK(VLOOKUP($B45,'Monthly Summary 2013'!$B$7:$Q$152,14,FALSE)),"",IF(ISERROR(VLOOKUP($B45,'Monthly Summary 2013'!$B$7:$Q$152,14,FALSE)=0),"",VLOOKUP($B45,'Monthly Summary 2013'!$B$7:$Q$152,14,FALSE)))</f>
        <v>5.7</v>
      </c>
      <c r="D45" s="119">
        <v>4.9000000000000004</v>
      </c>
      <c r="E45" s="119">
        <v>6.6</v>
      </c>
      <c r="F45" s="119"/>
      <c r="G45" s="119">
        <v>11</v>
      </c>
      <c r="H45" s="119">
        <v>12.4</v>
      </c>
      <c r="I45" s="119">
        <v>12.6</v>
      </c>
      <c r="J45" s="119">
        <v>10.4</v>
      </c>
      <c r="K45" s="124">
        <v>10</v>
      </c>
      <c r="L45" s="124">
        <v>6.9</v>
      </c>
      <c r="M45" s="124">
        <v>7.4</v>
      </c>
      <c r="N45" s="124">
        <v>5.3</v>
      </c>
      <c r="O45" s="124">
        <v>6.9</v>
      </c>
      <c r="P45" s="121">
        <f t="shared" si="5"/>
        <v>8.5818181818181838</v>
      </c>
      <c r="Q45" s="121">
        <f t="shared" si="6"/>
        <v>32.375695924324319</v>
      </c>
      <c r="R45" s="122">
        <f t="shared" si="7"/>
        <v>0.91666666666666663</v>
      </c>
      <c r="S45" s="260">
        <f t="shared" si="8"/>
        <v>5.75</v>
      </c>
      <c r="T45" s="264">
        <f t="shared" si="9"/>
        <v>0.66666666666666663</v>
      </c>
      <c r="U45" s="260">
        <f t="shared" si="10"/>
        <v>9.1</v>
      </c>
      <c r="V45" s="265">
        <f t="shared" si="11"/>
        <v>1</v>
      </c>
      <c r="W45" s="266">
        <f t="shared" si="15"/>
        <v>8.5818181818181838</v>
      </c>
      <c r="X45" s="261">
        <f t="shared" si="16"/>
        <v>0.91666666666666663</v>
      </c>
      <c r="Y45" s="177">
        <f t="shared" si="17"/>
        <v>14.431944444444445</v>
      </c>
      <c r="Z45" s="177">
        <f t="shared" si="18"/>
        <v>17.154545454545453</v>
      </c>
      <c r="AA45" s="177">
        <f t="shared" si="19"/>
        <v>17.229116161616158</v>
      </c>
      <c r="AB45" s="10"/>
      <c r="AC45" s="357" t="str">
        <f>VLOOKUP($B45,'2007-2020 Metadata'!$A$4:$S$214,MATCH("Urban Area /Monitoring Zone",'2007-2020 Metadata'!$A$4:$S$4,0),FALSE)</f>
        <v>Auckland - Western</v>
      </c>
      <c r="AD45" s="259" t="str">
        <f>VLOOKUP(B45,'2007-2020 Metadata'!$A$6:$A$214,1,FALSE)</f>
        <v>AUC059</v>
      </c>
      <c r="AE45" s="256" t="str">
        <f>VLOOKUP($AD45,'2007-2020 Metadata'!$A$6:$S$214,9,FALSE)</f>
        <v>Waitakere</v>
      </c>
      <c r="AF45" s="263">
        <f>IF(ISBLANK(VLOOKUP($AD45,'2007-2020 Metadata'!$A$6:$S$214,19,FALSE)),"",VLOOKUP($AD45,'2007-2020 Metadata'!$A$6:$S$214,19,FALSE))</f>
        <v>3</v>
      </c>
      <c r="AG45" s="257" t="str">
        <f>VLOOKUP($B45,'2007-2020 Metadata'!$A$4:$S$214,MATCH("Site type",'2007-2020 Metadata'!$A$4:$S$4,0),FALSE)</f>
        <v>Background</v>
      </c>
      <c r="AH45" s="258">
        <f>MIN(AVERAGE($D$43:$D$45),AVERAGE($E$43:$E$45),AVERAGE($F$43:$F$45),AVERAGE($G$43:$G$45),AVERAGE($H$43:$H$45),AVERAGE($I$43:$I$45),AVERAGE($J$43:$J$45),AVERAGE($K$43:$K$45),AVERAGE($L$43:$L$45),AVERAGE($M$43:$M$45),AVERAGE($N$43:$N$45),AVERAGE($O$43:$O$45))</f>
        <v>4.0999999999999996</v>
      </c>
      <c r="AI45" s="258">
        <f>MAX(AVERAGE($D$43:$D$45),AVERAGE($E$43:$E$45),AVERAGE($F$43:$F$45),AVERAGE($G$43:$G$45),AVERAGE($H$43:$H$45),AVERAGE($I$43:$I$45),AVERAGE($J$43:$J$45),AVERAGE($K$43:$K$45),AVERAGE($L$43:$L$45),AVERAGE($M$43:$M$45),AVERAGE($N$43:$N$45),AVERAGE($O$43:$O$45))</f>
        <v>12.600000000000001</v>
      </c>
      <c r="AJ45" s="177">
        <f t="shared" si="14"/>
        <v>17.229116161616158</v>
      </c>
    </row>
    <row r="46" spans="2:36" ht="12" customHeight="1" x14ac:dyDescent="0.15">
      <c r="B46" s="123" t="s">
        <v>81</v>
      </c>
      <c r="C46" s="104">
        <f>IF(ISBLANK(VLOOKUP($B46,'Monthly Summary 2013'!$B$7:$Q$152,14,FALSE)),"",IF(ISERROR(VLOOKUP($B46,'Monthly Summary 2013'!$B$7:$Q$152,14,FALSE)=0),"",VLOOKUP($B46,'Monthly Summary 2013'!$B$7:$Q$152,14,FALSE)))</f>
        <v>26.1</v>
      </c>
      <c r="D46" s="119">
        <v>25.9</v>
      </c>
      <c r="E46" s="119">
        <v>33.799999999999997</v>
      </c>
      <c r="F46" s="119">
        <v>35.700000000000003</v>
      </c>
      <c r="G46" s="119">
        <v>40.700000000000003</v>
      </c>
      <c r="H46" s="119">
        <v>44.2</v>
      </c>
      <c r="I46" s="119">
        <v>31.7</v>
      </c>
      <c r="J46" s="119">
        <v>31.7</v>
      </c>
      <c r="K46" s="124">
        <v>38.700000000000003</v>
      </c>
      <c r="L46" s="124">
        <v>36.4</v>
      </c>
      <c r="M46" s="124">
        <v>34.299999999999997</v>
      </c>
      <c r="N46" s="124">
        <v>36.200000000000003</v>
      </c>
      <c r="O46" s="124">
        <v>29.9</v>
      </c>
      <c r="P46" s="121">
        <f t="shared" si="5"/>
        <v>34.93333333333333</v>
      </c>
      <c r="Q46" s="121">
        <f t="shared" si="6"/>
        <v>14.108180923636136</v>
      </c>
      <c r="R46" s="122">
        <f t="shared" si="7"/>
        <v>1</v>
      </c>
      <c r="S46" s="140">
        <f t="shared" si="8"/>
        <v>31.8</v>
      </c>
      <c r="T46" s="24">
        <f t="shared" si="9"/>
        <v>1</v>
      </c>
      <c r="U46" s="140">
        <f t="shared" si="10"/>
        <v>35.6</v>
      </c>
      <c r="V46" s="9">
        <f t="shared" si="11"/>
        <v>1</v>
      </c>
      <c r="W46" s="172">
        <f t="shared" si="15"/>
        <v>34.93333333333333</v>
      </c>
      <c r="X46" s="142">
        <f t="shared" si="16"/>
        <v>1</v>
      </c>
      <c r="Y46" s="144">
        <f t="shared" si="17"/>
        <v>25.528205128205133</v>
      </c>
      <c r="Z46" s="144">
        <f t="shared" si="18"/>
        <v>30.112820512820516</v>
      </c>
      <c r="AA46" s="144">
        <f t="shared" si="19"/>
        <v>28.421689976689979</v>
      </c>
      <c r="AB46" s="10"/>
      <c r="AC46" s="357" t="str">
        <f>VLOOKUP($B46,'2007-2020 Metadata'!$A$4:$S$214,MATCH("Urban Area /Monitoring Zone",'2007-2020 Metadata'!$A$4:$S$4,0),FALSE)</f>
        <v>Auckland - Central</v>
      </c>
      <c r="AD46" s="87" t="str">
        <f>VLOOKUP(B46,'2007-2020 Metadata'!$A$6:$A$214,1,FALSE)</f>
        <v>AUC060</v>
      </c>
      <c r="AE46" s="230" t="str">
        <f>VLOOKUP($AD46,'2007-2020 Metadata'!$A$6:$S$214,9,FALSE)</f>
        <v>Auckland</v>
      </c>
      <c r="AF46" s="248">
        <f>IF(ISBLANK(VLOOKUP($AD46,'2007-2020 Metadata'!$A$6:$S$214,19,FALSE)),"",VLOOKUP($AD46,'2007-2020 Metadata'!$A$6:$S$214,19,FALSE))</f>
        <v>3</v>
      </c>
      <c r="AG46" s="88" t="str">
        <f>VLOOKUP($B46,'2007-2020 Metadata'!$A$4:$S$214,MATCH("Site type",'2007-2020 Metadata'!$A$4:$S$4,0),FALSE)</f>
        <v>Local</v>
      </c>
      <c r="AH46" s="143">
        <f t="shared" si="12"/>
        <v>25.9</v>
      </c>
      <c r="AI46" s="143">
        <f t="shared" si="13"/>
        <v>44.2</v>
      </c>
      <c r="AJ46" s="144">
        <f t="shared" si="14"/>
        <v>28.421689976689979</v>
      </c>
    </row>
    <row r="47" spans="2:36" ht="12" customHeight="1" x14ac:dyDescent="0.15">
      <c r="B47" s="123" t="s">
        <v>82</v>
      </c>
      <c r="C47" s="104">
        <f>IF(ISBLANK(VLOOKUP($B47,'Monthly Summary 2013'!$B$7:$Q$152,14,FALSE)),"",IF(ISERROR(VLOOKUP($B47,'Monthly Summary 2013'!$B$7:$Q$152,14,FALSE)=0),"",VLOOKUP($B47,'Monthly Summary 2013'!$B$7:$Q$152,14,FALSE)))</f>
        <v>17.2</v>
      </c>
      <c r="D47" s="119">
        <v>14.3</v>
      </c>
      <c r="E47" s="119">
        <v>22.7</v>
      </c>
      <c r="F47" s="119">
        <v>27.6</v>
      </c>
      <c r="G47" s="119">
        <v>32.700000000000003</v>
      </c>
      <c r="H47" s="119">
        <v>35.5</v>
      </c>
      <c r="I47" s="119">
        <v>30.5</v>
      </c>
      <c r="J47" s="119">
        <v>30.5</v>
      </c>
      <c r="K47" s="124"/>
      <c r="L47" s="124">
        <v>23.3</v>
      </c>
      <c r="M47" s="124">
        <v>30</v>
      </c>
      <c r="N47" s="124">
        <v>20.5</v>
      </c>
      <c r="O47" s="124">
        <v>15</v>
      </c>
      <c r="P47" s="121">
        <f t="shared" si="5"/>
        <v>25.690909090909091</v>
      </c>
      <c r="Q47" s="121">
        <f t="shared" si="6"/>
        <v>27.509002097211681</v>
      </c>
      <c r="R47" s="122">
        <f t="shared" si="7"/>
        <v>0.91666666666666663</v>
      </c>
      <c r="S47" s="140">
        <f t="shared" si="8"/>
        <v>21.533333333333331</v>
      </c>
      <c r="T47" s="24">
        <f t="shared" si="9"/>
        <v>1</v>
      </c>
      <c r="U47" s="140">
        <f t="shared" si="10"/>
        <v>26.9</v>
      </c>
      <c r="V47" s="9">
        <f t="shared" si="11"/>
        <v>0.66666666666666663</v>
      </c>
      <c r="W47" s="172">
        <f t="shared" si="15"/>
        <v>25.690909090909091</v>
      </c>
      <c r="X47" s="142">
        <f t="shared" si="16"/>
        <v>0.91666666666666663</v>
      </c>
      <c r="Y47" s="144">
        <f t="shared" si="17"/>
        <v>25.528205128205133</v>
      </c>
      <c r="Z47" s="144">
        <f t="shared" si="18"/>
        <v>30.112820512820516</v>
      </c>
      <c r="AA47" s="144">
        <f t="shared" si="19"/>
        <v>28.421689976689979</v>
      </c>
      <c r="AB47" s="10"/>
      <c r="AC47" s="357" t="str">
        <f>VLOOKUP($B47,'2007-2020 Metadata'!$A$4:$S$214,MATCH("Urban Area /Monitoring Zone",'2007-2020 Metadata'!$A$4:$S$4,0),FALSE)</f>
        <v>Auckland - Central</v>
      </c>
      <c r="AD47" s="87" t="str">
        <f>VLOOKUP(B47,'2007-2020 Metadata'!$A$6:$A$214,1,FALSE)</f>
        <v>AUC061</v>
      </c>
      <c r="AE47" s="230" t="str">
        <f>VLOOKUP($AD47,'2007-2020 Metadata'!$A$6:$S$214,9,FALSE)</f>
        <v>Auckland</v>
      </c>
      <c r="AF47" s="248">
        <f>IF(ISBLANK(VLOOKUP($AD47,'2007-2020 Metadata'!$A$6:$S$214,19,FALSE)),"",VLOOKUP($AD47,'2007-2020 Metadata'!$A$6:$S$214,19,FALSE))</f>
        <v>3</v>
      </c>
      <c r="AG47" s="88" t="str">
        <f>VLOOKUP($B47,'2007-2020 Metadata'!$A$4:$S$214,MATCH("Site type",'2007-2020 Metadata'!$A$4:$S$4,0),FALSE)</f>
        <v>Local</v>
      </c>
      <c r="AH47" s="143">
        <f t="shared" si="12"/>
        <v>14.3</v>
      </c>
      <c r="AI47" s="143">
        <f t="shared" si="13"/>
        <v>35.5</v>
      </c>
      <c r="AJ47" s="144">
        <f t="shared" si="14"/>
        <v>28.421689976689979</v>
      </c>
    </row>
    <row r="48" spans="2:36" ht="12" customHeight="1" x14ac:dyDescent="0.15">
      <c r="B48" s="123" t="s">
        <v>83</v>
      </c>
      <c r="C48" s="104">
        <f>IF(ISBLANK(VLOOKUP($B48,'Monthly Summary 2013'!$B$7:$Q$152,14,FALSE)),"",IF(ISERROR(VLOOKUP($B48,'Monthly Summary 2013'!$B$7:$Q$152,14,FALSE)=0),"",VLOOKUP($B48,'Monthly Summary 2013'!$B$7:$Q$152,14,FALSE)))</f>
        <v>16.899999999999999</v>
      </c>
      <c r="D48" s="119">
        <v>20.2</v>
      </c>
      <c r="E48" s="119">
        <v>20.9</v>
      </c>
      <c r="F48" s="119">
        <v>36.1</v>
      </c>
      <c r="G48" s="119">
        <v>26.4</v>
      </c>
      <c r="H48" s="119">
        <v>37.6</v>
      </c>
      <c r="I48" s="119">
        <v>27</v>
      </c>
      <c r="J48" s="119">
        <v>26.4</v>
      </c>
      <c r="K48" s="124">
        <v>28.4</v>
      </c>
      <c r="L48" s="124">
        <v>20.7</v>
      </c>
      <c r="M48" s="124">
        <v>22.8</v>
      </c>
      <c r="N48" s="124">
        <v>24.4</v>
      </c>
      <c r="O48" s="124">
        <v>17</v>
      </c>
      <c r="P48" s="121">
        <f t="shared" si="5"/>
        <v>25.658333333333331</v>
      </c>
      <c r="Q48" s="121">
        <f t="shared" si="6"/>
        <v>24.190794930137599</v>
      </c>
      <c r="R48" s="122">
        <f t="shared" si="7"/>
        <v>1</v>
      </c>
      <c r="S48" s="140">
        <f t="shared" si="8"/>
        <v>25.733333333333331</v>
      </c>
      <c r="T48" s="24">
        <f t="shared" si="9"/>
        <v>1</v>
      </c>
      <c r="U48" s="140">
        <f t="shared" si="10"/>
        <v>25.166666666666668</v>
      </c>
      <c r="V48" s="9">
        <f t="shared" si="11"/>
        <v>1</v>
      </c>
      <c r="W48" s="172">
        <f t="shared" si="15"/>
        <v>25.658333333333331</v>
      </c>
      <c r="X48" s="142">
        <f t="shared" si="16"/>
        <v>1</v>
      </c>
      <c r="Y48" s="144">
        <f t="shared" si="17"/>
        <v>25.528205128205133</v>
      </c>
      <c r="Z48" s="144">
        <f t="shared" si="18"/>
        <v>30.112820512820516</v>
      </c>
      <c r="AA48" s="144">
        <f t="shared" si="19"/>
        <v>28.421689976689979</v>
      </c>
      <c r="AB48" s="10"/>
      <c r="AC48" s="357" t="str">
        <f>VLOOKUP($B48,'2007-2020 Metadata'!$A$4:$S$214,MATCH("Urban Area /Monitoring Zone",'2007-2020 Metadata'!$A$4:$S$4,0),FALSE)</f>
        <v>Auckland - Central</v>
      </c>
      <c r="AD48" s="87" t="str">
        <f>VLOOKUP(B48,'2007-2020 Metadata'!$A$6:$A$214,1,FALSE)</f>
        <v>AUC062</v>
      </c>
      <c r="AE48" s="230" t="str">
        <f>VLOOKUP($AD48,'2007-2020 Metadata'!$A$6:$S$214,9,FALSE)</f>
        <v>Auckland</v>
      </c>
      <c r="AF48" s="248">
        <f>IF(ISBLANK(VLOOKUP($AD48,'2007-2020 Metadata'!$A$6:$S$214,19,FALSE)),"",VLOOKUP($AD48,'2007-2020 Metadata'!$A$6:$S$214,19,FALSE))</f>
        <v>2.5</v>
      </c>
      <c r="AG48" s="88" t="str">
        <f>VLOOKUP($B48,'2007-2020 Metadata'!$A$4:$S$214,MATCH("Site type",'2007-2020 Metadata'!$A$4:$S$4,0),FALSE)</f>
        <v>Local</v>
      </c>
      <c r="AH48" s="143">
        <f t="shared" si="12"/>
        <v>17</v>
      </c>
      <c r="AI48" s="143">
        <f t="shared" si="13"/>
        <v>37.6</v>
      </c>
      <c r="AJ48" s="144">
        <f t="shared" si="14"/>
        <v>28.421689976689979</v>
      </c>
    </row>
    <row r="49" spans="2:36" ht="12" customHeight="1" x14ac:dyDescent="0.15">
      <c r="B49" s="123" t="s">
        <v>84</v>
      </c>
      <c r="C49" s="104">
        <f>IF(ISBLANK(VLOOKUP($B49,'Monthly Summary 2013'!$B$7:$Q$152,14,FALSE)),"",IF(ISERROR(VLOOKUP($B49,'Monthly Summary 2013'!$B$7:$Q$152,14,FALSE)=0),"",VLOOKUP($B49,'Monthly Summary 2013'!$B$7:$Q$152,14,FALSE)))</f>
        <v>27.9</v>
      </c>
      <c r="D49" s="119">
        <v>24.9</v>
      </c>
      <c r="E49" s="119">
        <v>35.6</v>
      </c>
      <c r="F49" s="119">
        <v>42.5</v>
      </c>
      <c r="G49" s="119">
        <v>36.9</v>
      </c>
      <c r="H49" s="119">
        <v>40.799999999999997</v>
      </c>
      <c r="I49" s="119">
        <v>40.4</v>
      </c>
      <c r="J49" s="119">
        <v>35.1</v>
      </c>
      <c r="K49" s="124"/>
      <c r="L49" s="124"/>
      <c r="M49" s="124">
        <v>35.4</v>
      </c>
      <c r="N49" s="124">
        <v>26.3</v>
      </c>
      <c r="O49" s="124">
        <v>28.1</v>
      </c>
      <c r="P49" s="121">
        <f t="shared" si="5"/>
        <v>34.6</v>
      </c>
      <c r="Q49" s="121">
        <f t="shared" si="6"/>
        <v>17.943402385502804</v>
      </c>
      <c r="R49" s="122">
        <f t="shared" si="7"/>
        <v>0.83333333333333337</v>
      </c>
      <c r="S49" s="140">
        <f t="shared" si="8"/>
        <v>34.333333333333336</v>
      </c>
      <c r="T49" s="24">
        <f t="shared" si="9"/>
        <v>1</v>
      </c>
      <c r="U49" s="140" t="str">
        <f t="shared" si="10"/>
        <v>-</v>
      </c>
      <c r="V49" s="9">
        <f t="shared" si="11"/>
        <v>0.33333333333333331</v>
      </c>
      <c r="W49" s="172">
        <f t="shared" si="15"/>
        <v>34.6</v>
      </c>
      <c r="X49" s="142">
        <f t="shared" si="16"/>
        <v>0.83333333333333337</v>
      </c>
      <c r="Y49" s="144">
        <f t="shared" si="17"/>
        <v>14.431944444444445</v>
      </c>
      <c r="Z49" s="144">
        <f t="shared" si="18"/>
        <v>17.154545454545453</v>
      </c>
      <c r="AA49" s="144">
        <f t="shared" si="19"/>
        <v>17.229116161616158</v>
      </c>
      <c r="AB49" s="10"/>
      <c r="AC49" s="357" t="str">
        <f>VLOOKUP($B49,'2007-2020 Metadata'!$A$4:$S$214,MATCH("Urban Area /Monitoring Zone",'2007-2020 Metadata'!$A$4:$S$4,0),FALSE)</f>
        <v>Auckland - Western</v>
      </c>
      <c r="AD49" s="87" t="str">
        <f>VLOOKUP(B49,'2007-2020 Metadata'!$A$6:$A$214,1,FALSE)</f>
        <v>AUC063</v>
      </c>
      <c r="AE49" s="230" t="str">
        <f>VLOOKUP($AD49,'2007-2020 Metadata'!$A$6:$S$214,9,FALSE)</f>
        <v>Waitakere</v>
      </c>
      <c r="AF49" s="248">
        <f>IF(ISBLANK(VLOOKUP($AD49,'2007-2020 Metadata'!$A$6:$S$214,19,FALSE)),"",VLOOKUP($AD49,'2007-2020 Metadata'!$A$6:$S$214,19,FALSE))</f>
        <v>3</v>
      </c>
      <c r="AG49" s="88" t="str">
        <f>VLOOKUP($B49,'2007-2020 Metadata'!$A$4:$S$214,MATCH("Site type",'2007-2020 Metadata'!$A$4:$S$4,0),FALSE)</f>
        <v>Local</v>
      </c>
      <c r="AH49" s="143">
        <f t="shared" si="12"/>
        <v>24.9</v>
      </c>
      <c r="AI49" s="143">
        <f t="shared" si="13"/>
        <v>42.5</v>
      </c>
      <c r="AJ49" s="144">
        <f t="shared" si="14"/>
        <v>17.229116161616158</v>
      </c>
    </row>
    <row r="50" spans="2:36" ht="12" customHeight="1" x14ac:dyDescent="0.15">
      <c r="B50" s="123" t="s">
        <v>85</v>
      </c>
      <c r="C50" s="104">
        <f>IF(ISBLANK(VLOOKUP($B50,'Monthly Summary 2013'!$B$7:$Q$152,14,FALSE)),"",IF(ISERROR(VLOOKUP($B50,'Monthly Summary 2013'!$B$7:$Q$152,14,FALSE)=0),"",VLOOKUP($B50,'Monthly Summary 2013'!$B$7:$Q$152,14,FALSE)))</f>
        <v>16.600000000000001</v>
      </c>
      <c r="D50" s="119">
        <v>11.1</v>
      </c>
      <c r="E50" s="119">
        <v>16.600000000000001</v>
      </c>
      <c r="F50" s="119">
        <v>20.100000000000001</v>
      </c>
      <c r="G50" s="119">
        <v>29.8</v>
      </c>
      <c r="H50" s="119">
        <v>28.3</v>
      </c>
      <c r="I50" s="119">
        <v>35.6</v>
      </c>
      <c r="J50" s="119">
        <v>25</v>
      </c>
      <c r="K50" s="124">
        <v>22</v>
      </c>
      <c r="L50" s="124">
        <v>21.5</v>
      </c>
      <c r="M50" s="124">
        <v>22.6</v>
      </c>
      <c r="N50" s="124">
        <v>18.2</v>
      </c>
      <c r="O50" s="124">
        <v>16.899999999999999</v>
      </c>
      <c r="P50" s="121">
        <f t="shared" si="5"/>
        <v>22.308333333333334</v>
      </c>
      <c r="Q50" s="121">
        <f t="shared" si="6"/>
        <v>29.795441597143036</v>
      </c>
      <c r="R50" s="122">
        <f t="shared" si="7"/>
        <v>1</v>
      </c>
      <c r="S50" s="140">
        <f t="shared" si="8"/>
        <v>15.933333333333335</v>
      </c>
      <c r="T50" s="24">
        <f t="shared" si="9"/>
        <v>1</v>
      </c>
      <c r="U50" s="140">
        <f t="shared" si="10"/>
        <v>22.833333333333332</v>
      </c>
      <c r="V50" s="9">
        <f t="shared" si="11"/>
        <v>1</v>
      </c>
      <c r="W50" s="172">
        <f t="shared" si="15"/>
        <v>22.308333333333334</v>
      </c>
      <c r="X50" s="142">
        <f t="shared" si="16"/>
        <v>1</v>
      </c>
      <c r="Y50" s="144">
        <f t="shared" si="17"/>
        <v>25.528205128205133</v>
      </c>
      <c r="Z50" s="144">
        <f t="shared" si="18"/>
        <v>30.112820512820516</v>
      </c>
      <c r="AA50" s="144">
        <f t="shared" si="19"/>
        <v>28.421689976689979</v>
      </c>
      <c r="AB50" s="10"/>
      <c r="AC50" s="357" t="str">
        <f>VLOOKUP($B50,'2007-2020 Metadata'!$A$4:$S$214,MATCH("Urban Area /Monitoring Zone",'2007-2020 Metadata'!$A$4:$S$4,0),FALSE)</f>
        <v>Auckland - Central</v>
      </c>
      <c r="AD50" s="87" t="str">
        <f>VLOOKUP(B50,'2007-2020 Metadata'!$A$6:$A$214,1,FALSE)</f>
        <v>AUC064</v>
      </c>
      <c r="AE50" s="230" t="str">
        <f>VLOOKUP($AD50,'2007-2020 Metadata'!$A$6:$S$214,9,FALSE)</f>
        <v>Auckland</v>
      </c>
      <c r="AF50" s="248">
        <f>IF(ISBLANK(VLOOKUP($AD50,'2007-2020 Metadata'!$A$6:$S$214,19,FALSE)),"",VLOOKUP($AD50,'2007-2020 Metadata'!$A$6:$S$214,19,FALSE))</f>
        <v>3</v>
      </c>
      <c r="AG50" s="88" t="str">
        <f>VLOOKUP($B50,'2007-2020 Metadata'!$A$4:$S$214,MATCH("Site type",'2007-2020 Metadata'!$A$4:$S$4,0),FALSE)</f>
        <v>Local</v>
      </c>
      <c r="AH50" s="143">
        <f t="shared" si="12"/>
        <v>11.1</v>
      </c>
      <c r="AI50" s="143">
        <f t="shared" si="13"/>
        <v>35.6</v>
      </c>
      <c r="AJ50" s="144">
        <f t="shared" si="14"/>
        <v>28.421689976689979</v>
      </c>
    </row>
    <row r="51" spans="2:36" ht="12" customHeight="1" x14ac:dyDescent="0.15">
      <c r="B51" s="123" t="s">
        <v>86</v>
      </c>
      <c r="C51" s="104">
        <f>IF(ISBLANK(VLOOKUP($B51,'Monthly Summary 2013'!$B$7:$Q$152,14,FALSE)),"",IF(ISERROR(VLOOKUP($B51,'Monthly Summary 2013'!$B$7:$Q$152,14,FALSE)=0),"",VLOOKUP($B51,'Monthly Summary 2013'!$B$7:$Q$152,14,FALSE)))</f>
        <v>22</v>
      </c>
      <c r="D51" s="119">
        <v>20.5</v>
      </c>
      <c r="E51" s="119">
        <v>18.600000000000001</v>
      </c>
      <c r="F51" s="119">
        <v>27.8</v>
      </c>
      <c r="G51" s="119">
        <v>30.9</v>
      </c>
      <c r="H51" s="119">
        <v>36.299999999999997</v>
      </c>
      <c r="I51" s="119">
        <v>28.3</v>
      </c>
      <c r="J51" s="119">
        <v>28.3</v>
      </c>
      <c r="K51" s="124">
        <v>31.1</v>
      </c>
      <c r="L51" s="124">
        <v>29.7</v>
      </c>
      <c r="M51" s="124">
        <v>31.3</v>
      </c>
      <c r="N51" s="124">
        <v>24.6</v>
      </c>
      <c r="O51" s="124">
        <v>20.399999999999999</v>
      </c>
      <c r="P51" s="121">
        <f t="shared" si="5"/>
        <v>27.316666666666666</v>
      </c>
      <c r="Q51" s="121">
        <f t="shared" si="6"/>
        <v>19.409817227103211</v>
      </c>
      <c r="R51" s="122">
        <f t="shared" si="7"/>
        <v>1</v>
      </c>
      <c r="S51" s="140">
        <f t="shared" si="8"/>
        <v>22.3</v>
      </c>
      <c r="T51" s="24">
        <f t="shared" si="9"/>
        <v>1</v>
      </c>
      <c r="U51" s="140">
        <f t="shared" si="10"/>
        <v>29.700000000000003</v>
      </c>
      <c r="V51" s="9">
        <f t="shared" si="11"/>
        <v>1</v>
      </c>
      <c r="W51" s="172">
        <f t="shared" si="15"/>
        <v>27.316666666666666</v>
      </c>
      <c r="X51" s="142">
        <f t="shared" si="16"/>
        <v>1</v>
      </c>
      <c r="Y51" s="144">
        <f t="shared" si="17"/>
        <v>20.435185185185187</v>
      </c>
      <c r="Z51" s="144">
        <f t="shared" si="18"/>
        <v>26.950000000000003</v>
      </c>
      <c r="AA51" s="144">
        <f t="shared" si="19"/>
        <v>24.634722222222219</v>
      </c>
      <c r="AB51" s="10"/>
      <c r="AC51" s="357" t="str">
        <f>VLOOKUP($B51,'2007-2020 Metadata'!$A$4:$S$214,MATCH("Urban Area /Monitoring Zone",'2007-2020 Metadata'!$A$4:$S$4,0),FALSE)</f>
        <v xml:space="preserve">Auckland - Southern </v>
      </c>
      <c r="AD51" s="87" t="str">
        <f>VLOOKUP(B51,'2007-2020 Metadata'!$A$6:$A$214,1,FALSE)</f>
        <v>AUC067</v>
      </c>
      <c r="AE51" s="230" t="str">
        <f>VLOOKUP($AD51,'2007-2020 Metadata'!$A$6:$S$214,9,FALSE)</f>
        <v>Manukau</v>
      </c>
      <c r="AF51" s="248">
        <f>IF(ISBLANK(VLOOKUP($AD51,'2007-2020 Metadata'!$A$6:$S$214,19,FALSE)),"",VLOOKUP($AD51,'2007-2020 Metadata'!$A$6:$S$214,19,FALSE))</f>
        <v>3</v>
      </c>
      <c r="AG51" s="88" t="str">
        <f>VLOOKUP($B51,'2007-2020 Metadata'!$A$4:$S$214,MATCH("Site type",'2007-2020 Metadata'!$A$4:$S$4,0),FALSE)</f>
        <v>SH</v>
      </c>
      <c r="AH51" s="143">
        <f t="shared" si="12"/>
        <v>18.600000000000001</v>
      </c>
      <c r="AI51" s="143">
        <f t="shared" si="13"/>
        <v>36.299999999999997</v>
      </c>
      <c r="AJ51" s="144">
        <f t="shared" si="14"/>
        <v>24.634722222222219</v>
      </c>
    </row>
    <row r="52" spans="2:36" ht="12" customHeight="1" x14ac:dyDescent="0.15">
      <c r="B52" s="123" t="s">
        <v>87</v>
      </c>
      <c r="C52" s="104">
        <f>IF(ISBLANK(VLOOKUP($B52,'Monthly Summary 2013'!$B$7:$Q$152,14,FALSE)),"",IF(ISERROR(VLOOKUP($B52,'Monthly Summary 2013'!$B$7:$Q$152,14,FALSE)=0),"",VLOOKUP($B52,'Monthly Summary 2013'!$B$7:$Q$152,14,FALSE)))</f>
        <v>30.4</v>
      </c>
      <c r="D52" s="119">
        <v>25.1</v>
      </c>
      <c r="E52" s="119">
        <v>40.1</v>
      </c>
      <c r="F52" s="119">
        <v>49.6</v>
      </c>
      <c r="G52" s="119">
        <v>39.5</v>
      </c>
      <c r="H52" s="119">
        <v>53.6</v>
      </c>
      <c r="I52" s="119">
        <v>39.799999999999997</v>
      </c>
      <c r="J52" s="119">
        <v>39.799999999999997</v>
      </c>
      <c r="K52" s="124">
        <v>41.3</v>
      </c>
      <c r="L52" s="124">
        <v>42</v>
      </c>
      <c r="M52" s="124">
        <v>49.9</v>
      </c>
      <c r="N52" s="124">
        <v>34.4</v>
      </c>
      <c r="O52" s="124">
        <v>35.799999999999997</v>
      </c>
      <c r="P52" s="121">
        <f t="shared" si="5"/>
        <v>40.908333333333331</v>
      </c>
      <c r="Q52" s="121">
        <f t="shared" si="6"/>
        <v>18.67886176485392</v>
      </c>
      <c r="R52" s="122">
        <f t="shared" si="7"/>
        <v>1</v>
      </c>
      <c r="S52" s="140">
        <f t="shared" si="8"/>
        <v>38.266666666666673</v>
      </c>
      <c r="T52" s="24">
        <f t="shared" si="9"/>
        <v>1</v>
      </c>
      <c r="U52" s="140">
        <f t="shared" si="10"/>
        <v>41.033333333333331</v>
      </c>
      <c r="V52" s="9">
        <f t="shared" si="11"/>
        <v>1</v>
      </c>
      <c r="W52" s="172">
        <f t="shared" si="15"/>
        <v>40.908333333333331</v>
      </c>
      <c r="X52" s="142">
        <f t="shared" si="16"/>
        <v>1</v>
      </c>
      <c r="Y52" s="144">
        <f t="shared" si="17"/>
        <v>20.435185185185187</v>
      </c>
      <c r="Z52" s="144">
        <f t="shared" si="18"/>
        <v>26.950000000000003</v>
      </c>
      <c r="AA52" s="144">
        <f t="shared" si="19"/>
        <v>24.634722222222219</v>
      </c>
      <c r="AB52" s="10"/>
      <c r="AC52" s="357" t="str">
        <f>VLOOKUP($B52,'2007-2020 Metadata'!$A$4:$S$214,MATCH("Urban Area /Monitoring Zone",'2007-2020 Metadata'!$A$4:$S$4,0),FALSE)</f>
        <v xml:space="preserve">Auckland - Southern </v>
      </c>
      <c r="AD52" s="87" t="str">
        <f>VLOOKUP(B52,'2007-2020 Metadata'!$A$6:$A$214,1,FALSE)</f>
        <v>AUC068</v>
      </c>
      <c r="AE52" s="230" t="str">
        <f>VLOOKUP($AD52,'2007-2020 Metadata'!$A$6:$S$214,9,FALSE)</f>
        <v>Manukau</v>
      </c>
      <c r="AF52" s="248">
        <f>IF(ISBLANK(VLOOKUP($AD52,'2007-2020 Metadata'!$A$6:$S$214,19,FALSE)),"",VLOOKUP($AD52,'2007-2020 Metadata'!$A$6:$S$214,19,FALSE))</f>
        <v>3</v>
      </c>
      <c r="AG52" s="88" t="str">
        <f>VLOOKUP($B52,'2007-2020 Metadata'!$A$4:$S$214,MATCH("Site type",'2007-2020 Metadata'!$A$4:$S$4,0),FALSE)</f>
        <v>SH</v>
      </c>
      <c r="AH52" s="143">
        <f t="shared" si="12"/>
        <v>25.1</v>
      </c>
      <c r="AI52" s="143">
        <f t="shared" si="13"/>
        <v>53.6</v>
      </c>
      <c r="AJ52" s="144">
        <f t="shared" si="14"/>
        <v>24.634722222222219</v>
      </c>
    </row>
    <row r="53" spans="2:36" ht="12" customHeight="1" x14ac:dyDescent="0.15">
      <c r="B53" s="123" t="s">
        <v>88</v>
      </c>
      <c r="C53" s="104">
        <f>IF(ISBLANK(VLOOKUP($B53,'Monthly Summary 2013'!$B$7:$Q$152,14,FALSE)),"",IF(ISERROR(VLOOKUP($B53,'Monthly Summary 2013'!$B$7:$Q$152,14,FALSE)=0),"",VLOOKUP($B53,'Monthly Summary 2013'!$B$7:$Q$152,14,FALSE)))</f>
        <v>14</v>
      </c>
      <c r="D53" s="119">
        <v>15</v>
      </c>
      <c r="E53" s="119">
        <v>22.7</v>
      </c>
      <c r="F53" s="119">
        <v>25</v>
      </c>
      <c r="G53" s="119">
        <v>27.2</v>
      </c>
      <c r="H53" s="119">
        <v>35.200000000000003</v>
      </c>
      <c r="I53" s="119">
        <v>26.8</v>
      </c>
      <c r="J53" s="119">
        <v>26.8</v>
      </c>
      <c r="K53" s="124">
        <v>29.8</v>
      </c>
      <c r="L53" s="124">
        <v>24.8</v>
      </c>
      <c r="M53" s="124">
        <v>22.9</v>
      </c>
      <c r="N53" s="124">
        <v>14.7</v>
      </c>
      <c r="O53" s="124">
        <v>19.600000000000001</v>
      </c>
      <c r="P53" s="121">
        <f t="shared" si="5"/>
        <v>24.208333333333339</v>
      </c>
      <c r="Q53" s="121">
        <f t="shared" si="6"/>
        <v>24.146662794992615</v>
      </c>
      <c r="R53" s="122">
        <f t="shared" si="7"/>
        <v>1</v>
      </c>
      <c r="S53" s="140">
        <f t="shared" si="8"/>
        <v>20.900000000000002</v>
      </c>
      <c r="T53" s="24">
        <f t="shared" si="9"/>
        <v>1</v>
      </c>
      <c r="U53" s="140">
        <f t="shared" si="10"/>
        <v>27.133333333333336</v>
      </c>
      <c r="V53" s="9">
        <f t="shared" si="11"/>
        <v>1</v>
      </c>
      <c r="W53" s="172">
        <f t="shared" si="15"/>
        <v>24.208333333333339</v>
      </c>
      <c r="X53" s="142">
        <f t="shared" si="16"/>
        <v>1</v>
      </c>
      <c r="Y53" s="144">
        <f t="shared" si="17"/>
        <v>20.435185185185187</v>
      </c>
      <c r="Z53" s="144">
        <f t="shared" si="18"/>
        <v>26.950000000000003</v>
      </c>
      <c r="AA53" s="144">
        <f t="shared" si="19"/>
        <v>24.634722222222219</v>
      </c>
      <c r="AB53" s="10"/>
      <c r="AC53" s="357" t="str">
        <f>VLOOKUP($B53,'2007-2020 Metadata'!$A$4:$S$214,MATCH("Urban Area /Monitoring Zone",'2007-2020 Metadata'!$A$4:$S$4,0),FALSE)</f>
        <v xml:space="preserve">Auckland - Southern </v>
      </c>
      <c r="AD53" s="87" t="str">
        <f>VLOOKUP(B53,'2007-2020 Metadata'!$A$6:$A$214,1,FALSE)</f>
        <v>AUC069</v>
      </c>
      <c r="AE53" s="230" t="str">
        <f>VLOOKUP($AD53,'2007-2020 Metadata'!$A$6:$S$214,9,FALSE)</f>
        <v>Manukau</v>
      </c>
      <c r="AF53" s="248">
        <f>IF(ISBLANK(VLOOKUP($AD53,'2007-2020 Metadata'!$A$6:$S$214,19,FALSE)),"",VLOOKUP($AD53,'2007-2020 Metadata'!$A$6:$S$214,19,FALSE))</f>
        <v>3</v>
      </c>
      <c r="AG53" s="88" t="str">
        <f>VLOOKUP($B53,'2007-2020 Metadata'!$A$4:$S$214,MATCH("Site type",'2007-2020 Metadata'!$A$4:$S$4,0),FALSE)</f>
        <v>Local</v>
      </c>
      <c r="AH53" s="143">
        <f t="shared" si="12"/>
        <v>14.7</v>
      </c>
      <c r="AI53" s="143">
        <f t="shared" si="13"/>
        <v>35.200000000000003</v>
      </c>
      <c r="AJ53" s="144">
        <f t="shared" si="14"/>
        <v>24.634722222222219</v>
      </c>
    </row>
    <row r="54" spans="2:36" ht="12" customHeight="1" x14ac:dyDescent="0.15">
      <c r="B54" s="123" t="s">
        <v>89</v>
      </c>
      <c r="C54" s="104">
        <f>IF(ISBLANK(VLOOKUP($B54,'Monthly Summary 2013'!$B$7:$Q$152,14,FALSE)),"",IF(ISERROR(VLOOKUP($B54,'Monthly Summary 2013'!$B$7:$Q$152,14,FALSE)=0),"",VLOOKUP($B54,'Monthly Summary 2013'!$B$7:$Q$152,14,FALSE)))</f>
        <v>13.2</v>
      </c>
      <c r="D54" s="119">
        <v>11.2</v>
      </c>
      <c r="E54" s="119">
        <v>17.3</v>
      </c>
      <c r="F54" s="119">
        <v>21.4</v>
      </c>
      <c r="G54" s="119">
        <v>20.3</v>
      </c>
      <c r="H54" s="119">
        <v>25.2</v>
      </c>
      <c r="I54" s="119"/>
      <c r="J54" s="119"/>
      <c r="K54" s="124"/>
      <c r="L54" s="124"/>
      <c r="M54" s="124">
        <v>16.8</v>
      </c>
      <c r="N54" s="124">
        <v>16.899999999999999</v>
      </c>
      <c r="O54" s="124">
        <v>13.1</v>
      </c>
      <c r="P54" s="121">
        <f t="shared" si="5"/>
        <v>17.774999999999999</v>
      </c>
      <c r="Q54" s="121">
        <f t="shared" si="6"/>
        <v>25.309757335006843</v>
      </c>
      <c r="R54" s="122">
        <f t="shared" si="7"/>
        <v>0.66666666666666663</v>
      </c>
      <c r="S54" s="140">
        <f t="shared" si="8"/>
        <v>16.633333333333333</v>
      </c>
      <c r="T54" s="24">
        <f t="shared" si="9"/>
        <v>1</v>
      </c>
      <c r="U54" s="140" t="str">
        <f t="shared" si="10"/>
        <v/>
      </c>
      <c r="V54" s="9">
        <f t="shared" si="11"/>
        <v>0</v>
      </c>
      <c r="W54" s="172" t="str">
        <f t="shared" si="15"/>
        <v>-</v>
      </c>
      <c r="X54" s="142">
        <f t="shared" si="16"/>
        <v>0.66666666666666663</v>
      </c>
      <c r="Y54" s="144">
        <f t="shared" si="17"/>
        <v>20.435185185185187</v>
      </c>
      <c r="Z54" s="144">
        <f t="shared" si="18"/>
        <v>26.950000000000003</v>
      </c>
      <c r="AA54" s="144">
        <f t="shared" si="19"/>
        <v>24.634722222222219</v>
      </c>
      <c r="AB54" s="10"/>
      <c r="AC54" s="357" t="str">
        <f>VLOOKUP($B54,'2007-2020 Metadata'!$A$4:$S$214,MATCH("Urban Area /Monitoring Zone",'2007-2020 Metadata'!$A$4:$S$4,0),FALSE)</f>
        <v xml:space="preserve">Auckland - Southern </v>
      </c>
      <c r="AD54" s="87" t="str">
        <f>VLOOKUP(B54,'2007-2020 Metadata'!$A$6:$A$214,1,FALSE)</f>
        <v>AUC070</v>
      </c>
      <c r="AE54" s="230" t="str">
        <f>VLOOKUP($AD54,'2007-2020 Metadata'!$A$6:$S$214,9,FALSE)</f>
        <v>Manukau</v>
      </c>
      <c r="AF54" s="248">
        <f>IF(ISBLANK(VLOOKUP($AD54,'2007-2020 Metadata'!$A$6:$S$214,19,FALSE)),"",VLOOKUP($AD54,'2007-2020 Metadata'!$A$6:$S$214,19,FALSE))</f>
        <v>2.5</v>
      </c>
      <c r="AG54" s="88" t="str">
        <f>VLOOKUP($B54,'2007-2020 Metadata'!$A$4:$S$214,MATCH("Site type",'2007-2020 Metadata'!$A$4:$S$4,0),FALSE)</f>
        <v>Local</v>
      </c>
      <c r="AH54" s="143">
        <f t="shared" si="12"/>
        <v>11.2</v>
      </c>
      <c r="AI54" s="143">
        <f t="shared" si="13"/>
        <v>25.2</v>
      </c>
      <c r="AJ54" s="144" t="str">
        <f t="shared" si="14"/>
        <v xml:space="preserve"> </v>
      </c>
    </row>
    <row r="55" spans="2:36" ht="12" customHeight="1" x14ac:dyDescent="0.15">
      <c r="B55" s="123" t="s">
        <v>90</v>
      </c>
      <c r="C55" s="104">
        <f>IF(ISBLANK(VLOOKUP($B55,'Monthly Summary 2013'!$B$7:$Q$152,14,FALSE)),"",IF(ISERROR(VLOOKUP($B55,'Monthly Summary 2013'!$B$7:$Q$152,14,FALSE)=0),"",VLOOKUP($B55,'Monthly Summary 2013'!$B$7:$Q$152,14,FALSE)))</f>
        <v>17.5</v>
      </c>
      <c r="D55" s="119">
        <v>22.7</v>
      </c>
      <c r="E55" s="119">
        <v>25</v>
      </c>
      <c r="F55" s="119">
        <v>35.9</v>
      </c>
      <c r="G55" s="119">
        <v>27.2</v>
      </c>
      <c r="H55" s="119">
        <v>42.5</v>
      </c>
      <c r="I55" s="119">
        <v>29</v>
      </c>
      <c r="J55" s="119">
        <v>29</v>
      </c>
      <c r="K55" s="124">
        <v>30.8</v>
      </c>
      <c r="L55" s="124">
        <v>27.1</v>
      </c>
      <c r="M55" s="124">
        <v>28.5</v>
      </c>
      <c r="N55" s="124">
        <v>24.8</v>
      </c>
      <c r="O55" s="124">
        <v>20.5</v>
      </c>
      <c r="P55" s="121">
        <f t="shared" si="5"/>
        <v>28.583333333333339</v>
      </c>
      <c r="Q55" s="121">
        <f t="shared" si="6"/>
        <v>20.662591824356802</v>
      </c>
      <c r="R55" s="122">
        <f t="shared" si="7"/>
        <v>1</v>
      </c>
      <c r="S55" s="140">
        <f t="shared" si="8"/>
        <v>27.866666666666664</v>
      </c>
      <c r="T55" s="24">
        <f t="shared" si="9"/>
        <v>1</v>
      </c>
      <c r="U55" s="140">
        <f t="shared" si="10"/>
        <v>28.966666666666669</v>
      </c>
      <c r="V55" s="9">
        <f t="shared" si="11"/>
        <v>1</v>
      </c>
      <c r="W55" s="172">
        <f t="shared" si="15"/>
        <v>28.583333333333339</v>
      </c>
      <c r="X55" s="142">
        <f t="shared" si="16"/>
        <v>1</v>
      </c>
      <c r="Y55" s="144">
        <f t="shared" si="17"/>
        <v>25.528205128205133</v>
      </c>
      <c r="Z55" s="144">
        <f t="shared" si="18"/>
        <v>30.112820512820516</v>
      </c>
      <c r="AA55" s="144">
        <f t="shared" si="19"/>
        <v>28.421689976689979</v>
      </c>
      <c r="AB55" s="10"/>
      <c r="AC55" s="357" t="str">
        <f>VLOOKUP($B55,'2007-2020 Metadata'!$A$4:$S$214,MATCH("Urban Area /Monitoring Zone",'2007-2020 Metadata'!$A$4:$S$4,0),FALSE)</f>
        <v>Auckland - Central</v>
      </c>
      <c r="AD55" s="87" t="str">
        <f>VLOOKUP(B55,'2007-2020 Metadata'!$A$6:$A$214,1,FALSE)</f>
        <v>AUC071</v>
      </c>
      <c r="AE55" s="230" t="str">
        <f>VLOOKUP($AD55,'2007-2020 Metadata'!$A$6:$S$214,9,FALSE)</f>
        <v>Auckland</v>
      </c>
      <c r="AF55" s="248">
        <f>IF(ISBLANK(VLOOKUP($AD55,'2007-2020 Metadata'!$A$6:$S$214,19,FALSE)),"",VLOOKUP($AD55,'2007-2020 Metadata'!$A$6:$S$214,19,FALSE))</f>
        <v>3</v>
      </c>
      <c r="AG55" s="88" t="str">
        <f>VLOOKUP($B55,'2007-2020 Metadata'!$A$4:$S$214,MATCH("Site type",'2007-2020 Metadata'!$A$4:$S$4,0),FALSE)</f>
        <v>Local</v>
      </c>
      <c r="AH55" s="143">
        <f t="shared" si="12"/>
        <v>20.5</v>
      </c>
      <c r="AI55" s="143">
        <f t="shared" si="13"/>
        <v>42.5</v>
      </c>
      <c r="AJ55" s="144">
        <f t="shared" si="14"/>
        <v>28.421689976689979</v>
      </c>
    </row>
    <row r="56" spans="2:36" ht="12" customHeight="1" x14ac:dyDescent="0.15">
      <c r="B56" s="123" t="s">
        <v>91</v>
      </c>
      <c r="C56" s="104">
        <f>IF(ISBLANK(VLOOKUP($B56,'Monthly Summary 2013'!$B$7:$Q$152,14,FALSE)),"",IF(ISERROR(VLOOKUP($B56,'Monthly Summary 2013'!$B$7:$Q$152,14,FALSE)=0),"",VLOOKUP($B56,'Monthly Summary 2013'!$B$7:$Q$152,14,FALSE)))</f>
        <v>11.5</v>
      </c>
      <c r="D56" s="119">
        <v>17.399999999999999</v>
      </c>
      <c r="E56" s="119">
        <v>17.399999999999999</v>
      </c>
      <c r="F56" s="119">
        <v>26.7</v>
      </c>
      <c r="G56" s="119">
        <v>21.6</v>
      </c>
      <c r="H56" s="119">
        <v>29</v>
      </c>
      <c r="I56" s="119">
        <v>24.3</v>
      </c>
      <c r="J56" s="119">
        <v>26.5</v>
      </c>
      <c r="K56" s="124">
        <v>27.4</v>
      </c>
      <c r="L56" s="124">
        <v>19.600000000000001</v>
      </c>
      <c r="M56" s="124">
        <v>20.3</v>
      </c>
      <c r="N56" s="124">
        <v>21.9</v>
      </c>
      <c r="O56" s="124">
        <v>10.9</v>
      </c>
      <c r="P56" s="121">
        <f t="shared" si="5"/>
        <v>21.916666666666668</v>
      </c>
      <c r="Q56" s="121">
        <f t="shared" si="6"/>
        <v>23.830370534178261</v>
      </c>
      <c r="R56" s="122">
        <f t="shared" si="7"/>
        <v>1</v>
      </c>
      <c r="S56" s="140">
        <f t="shared" si="8"/>
        <v>20.5</v>
      </c>
      <c r="T56" s="24">
        <f t="shared" si="9"/>
        <v>1</v>
      </c>
      <c r="U56" s="140">
        <f t="shared" si="10"/>
        <v>24.5</v>
      </c>
      <c r="V56" s="9">
        <f t="shared" si="11"/>
        <v>1</v>
      </c>
      <c r="W56" s="172">
        <f t="shared" si="15"/>
        <v>21.916666666666668</v>
      </c>
      <c r="X56" s="142">
        <f t="shared" si="16"/>
        <v>1</v>
      </c>
      <c r="Y56" s="144">
        <f t="shared" si="17"/>
        <v>20.435185185185187</v>
      </c>
      <c r="Z56" s="144">
        <f t="shared" si="18"/>
        <v>26.950000000000003</v>
      </c>
      <c r="AA56" s="144">
        <f t="shared" si="19"/>
        <v>24.634722222222219</v>
      </c>
      <c r="AB56" s="10"/>
      <c r="AC56" s="357" t="str">
        <f>VLOOKUP($B56,'2007-2020 Metadata'!$A$4:$S$214,MATCH("Urban Area /Monitoring Zone",'2007-2020 Metadata'!$A$4:$S$4,0),FALSE)</f>
        <v xml:space="preserve">Auckland - Southern </v>
      </c>
      <c r="AD56" s="87" t="str">
        <f>VLOOKUP(B56,'2007-2020 Metadata'!$A$6:$A$214,1,FALSE)</f>
        <v>AUC072</v>
      </c>
      <c r="AE56" s="230" t="str">
        <f>VLOOKUP($AD56,'2007-2020 Metadata'!$A$6:$S$214,9,FALSE)</f>
        <v>Manukau</v>
      </c>
      <c r="AF56" s="248">
        <f>IF(ISBLANK(VLOOKUP($AD56,'2007-2020 Metadata'!$A$6:$S$214,19,FALSE)),"",VLOOKUP($AD56,'2007-2020 Metadata'!$A$6:$S$214,19,FALSE))</f>
        <v>3</v>
      </c>
      <c r="AG56" s="88" t="str">
        <f>VLOOKUP($B56,'2007-2020 Metadata'!$A$4:$S$214,MATCH("Site type",'2007-2020 Metadata'!$A$4:$S$4,0),FALSE)</f>
        <v>Local</v>
      </c>
      <c r="AH56" s="143">
        <f t="shared" si="12"/>
        <v>10.9</v>
      </c>
      <c r="AI56" s="143">
        <f t="shared" si="13"/>
        <v>29</v>
      </c>
      <c r="AJ56" s="144">
        <f t="shared" si="14"/>
        <v>24.634722222222219</v>
      </c>
    </row>
    <row r="57" spans="2:36" ht="12" customHeight="1" x14ac:dyDescent="0.15">
      <c r="B57" s="123" t="s">
        <v>92</v>
      </c>
      <c r="C57" s="104">
        <f>IF(ISBLANK(VLOOKUP($B57,'Monthly Summary 2013'!$B$7:$Q$152,14,FALSE)),"",IF(ISERROR(VLOOKUP($B57,'Monthly Summary 2013'!$B$7:$Q$152,14,FALSE)=0),"",VLOOKUP($B57,'Monthly Summary 2013'!$B$7:$Q$152,14,FALSE)))</f>
        <v>5.9</v>
      </c>
      <c r="D57" s="119">
        <v>6.7</v>
      </c>
      <c r="E57" s="119">
        <v>8.8000000000000007</v>
      </c>
      <c r="F57" s="119">
        <v>13.9</v>
      </c>
      <c r="G57" s="119">
        <v>15.3</v>
      </c>
      <c r="H57" s="119">
        <v>23.5</v>
      </c>
      <c r="I57" s="119">
        <v>16.5</v>
      </c>
      <c r="J57" s="119">
        <v>19.5</v>
      </c>
      <c r="K57" s="124">
        <v>13.2</v>
      </c>
      <c r="L57" s="124">
        <v>11.7</v>
      </c>
      <c r="M57" s="124">
        <v>10.5</v>
      </c>
      <c r="N57" s="124">
        <v>11.6</v>
      </c>
      <c r="O57" s="124">
        <v>7.9</v>
      </c>
      <c r="P57" s="121">
        <f t="shared" si="5"/>
        <v>13.258333333333333</v>
      </c>
      <c r="Q57" s="121">
        <f t="shared" si="6"/>
        <v>36.903215234418902</v>
      </c>
      <c r="R57" s="122">
        <f t="shared" si="7"/>
        <v>1</v>
      </c>
      <c r="S57" s="140">
        <f t="shared" si="8"/>
        <v>9.7999999999999989</v>
      </c>
      <c r="T57" s="24">
        <f t="shared" si="9"/>
        <v>1</v>
      </c>
      <c r="U57" s="140">
        <f t="shared" si="10"/>
        <v>14.800000000000002</v>
      </c>
      <c r="V57" s="9">
        <f t="shared" si="11"/>
        <v>1</v>
      </c>
      <c r="W57" s="172">
        <f t="shared" si="15"/>
        <v>13.258333333333333</v>
      </c>
      <c r="X57" s="142">
        <f t="shared" si="16"/>
        <v>1</v>
      </c>
      <c r="Y57" s="144">
        <f t="shared" si="17"/>
        <v>20.435185185185187</v>
      </c>
      <c r="Z57" s="144">
        <f t="shared" si="18"/>
        <v>26.950000000000003</v>
      </c>
      <c r="AA57" s="144">
        <f t="shared" si="19"/>
        <v>24.634722222222219</v>
      </c>
      <c r="AB57" s="10"/>
      <c r="AC57" s="357" t="str">
        <f>VLOOKUP($B57,'2007-2020 Metadata'!$A$4:$S$214,MATCH("Urban Area /Monitoring Zone",'2007-2020 Metadata'!$A$4:$S$4,0),FALSE)</f>
        <v xml:space="preserve">Auckland - Southern </v>
      </c>
      <c r="AD57" s="87" t="str">
        <f>VLOOKUP(B57,'2007-2020 Metadata'!$A$6:$A$214,1,FALSE)</f>
        <v>AUC073</v>
      </c>
      <c r="AE57" s="230" t="str">
        <f>VLOOKUP($AD57,'2007-2020 Metadata'!$A$6:$S$214,9,FALSE)</f>
        <v>Manukau</v>
      </c>
      <c r="AF57" s="248">
        <f>IF(ISBLANK(VLOOKUP($AD57,'2007-2020 Metadata'!$A$6:$S$214,19,FALSE)),"",VLOOKUP($AD57,'2007-2020 Metadata'!$A$6:$S$214,19,FALSE))</f>
        <v>3</v>
      </c>
      <c r="AG57" s="88" t="str">
        <f>VLOOKUP($B57,'2007-2020 Metadata'!$A$4:$S$214,MATCH("Site type",'2007-2020 Metadata'!$A$4:$S$4,0),FALSE)</f>
        <v>Background</v>
      </c>
      <c r="AH57" s="143">
        <f t="shared" si="12"/>
        <v>6.7</v>
      </c>
      <c r="AI57" s="143">
        <f t="shared" si="13"/>
        <v>23.5</v>
      </c>
      <c r="AJ57" s="144">
        <f t="shared" si="14"/>
        <v>24.634722222222219</v>
      </c>
    </row>
    <row r="58" spans="2:36" ht="12" customHeight="1" x14ac:dyDescent="0.15">
      <c r="B58" s="123" t="s">
        <v>93</v>
      </c>
      <c r="C58" s="104">
        <f>IF(ISBLANK(VLOOKUP($B58,'Monthly Summary 2013'!$B$7:$Q$152,14,FALSE)),"",IF(ISERROR(VLOOKUP($B58,'Monthly Summary 2013'!$B$7:$Q$152,14,FALSE)=0),"",VLOOKUP($B58,'Monthly Summary 2013'!$B$7:$Q$152,14,FALSE)))</f>
        <v>20.5</v>
      </c>
      <c r="D58" s="119">
        <v>24.1</v>
      </c>
      <c r="E58" s="119">
        <v>29.8</v>
      </c>
      <c r="F58" s="119">
        <v>36.299999999999997</v>
      </c>
      <c r="G58" s="119">
        <v>38.9</v>
      </c>
      <c r="H58" s="119">
        <v>40.799999999999997</v>
      </c>
      <c r="I58" s="119">
        <v>33</v>
      </c>
      <c r="J58" s="119">
        <v>33</v>
      </c>
      <c r="K58" s="124">
        <v>38.799999999999997</v>
      </c>
      <c r="L58" s="124">
        <v>33.200000000000003</v>
      </c>
      <c r="M58" s="124">
        <v>36.200000000000003</v>
      </c>
      <c r="N58" s="124">
        <v>24.9</v>
      </c>
      <c r="O58" s="124">
        <v>29</v>
      </c>
      <c r="P58" s="121">
        <f t="shared" si="5"/>
        <v>33.166666666666664</v>
      </c>
      <c r="Q58" s="121">
        <f t="shared" si="6"/>
        <v>16.292231990145549</v>
      </c>
      <c r="R58" s="122">
        <f t="shared" si="7"/>
        <v>1</v>
      </c>
      <c r="S58" s="140">
        <f t="shared" si="8"/>
        <v>30.066666666666666</v>
      </c>
      <c r="T58" s="24">
        <f t="shared" si="9"/>
        <v>1</v>
      </c>
      <c r="U58" s="140">
        <f t="shared" si="10"/>
        <v>35</v>
      </c>
      <c r="V58" s="9">
        <f t="shared" si="11"/>
        <v>1</v>
      </c>
      <c r="W58" s="172">
        <f t="shared" si="15"/>
        <v>33.166666666666664</v>
      </c>
      <c r="X58" s="142">
        <f t="shared" si="16"/>
        <v>1</v>
      </c>
      <c r="Y58" s="144">
        <f t="shared" si="17"/>
        <v>21.266666666666666</v>
      </c>
      <c r="Z58" s="144">
        <f t="shared" si="18"/>
        <v>25.651515151515149</v>
      </c>
      <c r="AA58" s="144">
        <f t="shared" si="19"/>
        <v>24.289325068870525</v>
      </c>
      <c r="AB58" s="10"/>
      <c r="AC58" s="357" t="str">
        <f>VLOOKUP($B58,'2007-2020 Metadata'!$A$4:$S$214,MATCH("Urban Area /Monitoring Zone",'2007-2020 Metadata'!$A$4:$S$4,0),FALSE)</f>
        <v>Auckland - Northern</v>
      </c>
      <c r="AD58" s="87" t="str">
        <f>VLOOKUP(B58,'2007-2020 Metadata'!$A$6:$A$214,1,FALSE)</f>
        <v>AUC170</v>
      </c>
      <c r="AE58" s="230" t="str">
        <f>VLOOKUP($AD58,'2007-2020 Metadata'!$A$6:$S$214,9,FALSE)</f>
        <v xml:space="preserve">North Shore </v>
      </c>
      <c r="AF58" s="248">
        <f>IF(ISBLANK(VLOOKUP($AD58,'2007-2020 Metadata'!$A$6:$S$214,19,FALSE)),"",VLOOKUP($AD58,'2007-2020 Metadata'!$A$6:$S$214,19,FALSE))</f>
        <v>3</v>
      </c>
      <c r="AG58" s="88" t="str">
        <f>VLOOKUP($B58,'2007-2020 Metadata'!$A$4:$S$214,MATCH("Site type",'2007-2020 Metadata'!$A$4:$S$4,0),FALSE)</f>
        <v>SH</v>
      </c>
      <c r="AH58" s="143">
        <f t="shared" si="12"/>
        <v>24.1</v>
      </c>
      <c r="AI58" s="143">
        <f t="shared" si="13"/>
        <v>40.799999999999997</v>
      </c>
      <c r="AJ58" s="144">
        <f t="shared" si="14"/>
        <v>24.289325068870525</v>
      </c>
    </row>
    <row r="59" spans="2:36" ht="12" customHeight="1" x14ac:dyDescent="0.15">
      <c r="B59" s="123" t="s">
        <v>94</v>
      </c>
      <c r="C59" s="104">
        <f>IF(ISBLANK(VLOOKUP($B59,'Monthly Summary 2013'!$B$7:$Q$152,14,FALSE)),"",IF(ISERROR(VLOOKUP($B59,'Monthly Summary 2013'!$B$7:$Q$152,14,FALSE)=0),"",VLOOKUP($B59,'Monthly Summary 2013'!$B$7:$Q$152,14,FALSE)))</f>
        <v>4.8</v>
      </c>
      <c r="D59" s="119">
        <v>5.4</v>
      </c>
      <c r="E59" s="119">
        <v>7.1</v>
      </c>
      <c r="F59" s="119">
        <v>10.4</v>
      </c>
      <c r="G59" s="119">
        <v>11.3</v>
      </c>
      <c r="H59" s="119">
        <v>14</v>
      </c>
      <c r="I59" s="119">
        <v>11.3</v>
      </c>
      <c r="J59" s="119">
        <v>10.9</v>
      </c>
      <c r="K59" s="124">
        <v>9.1999999999999993</v>
      </c>
      <c r="L59" s="124">
        <v>7</v>
      </c>
      <c r="M59" s="124"/>
      <c r="N59" s="124">
        <v>8.5</v>
      </c>
      <c r="O59" s="124">
        <v>5.7</v>
      </c>
      <c r="P59" s="121">
        <f>(AVERAGE(D59:O59))</f>
        <v>9.163636363636364</v>
      </c>
      <c r="Q59" s="121">
        <f>IFERROR((STDEV(D59:O59)/P59)*100,"")</f>
        <v>29.404701657929365</v>
      </c>
      <c r="R59" s="122">
        <f>COUNT(D59:O59)/COUNT($D$6:$O$6)</f>
        <v>0.91666666666666663</v>
      </c>
      <c r="S59" s="140">
        <f t="shared" si="8"/>
        <v>7.6333333333333329</v>
      </c>
      <c r="T59" s="24">
        <f t="shared" si="9"/>
        <v>1</v>
      </c>
      <c r="U59" s="140">
        <f t="shared" si="10"/>
        <v>9.0333333333333332</v>
      </c>
      <c r="V59" s="9">
        <f t="shared" si="11"/>
        <v>1</v>
      </c>
      <c r="W59" s="172">
        <f t="shared" si="15"/>
        <v>9.163636363636364</v>
      </c>
      <c r="X59" s="142">
        <f t="shared" si="16"/>
        <v>0.91666666666666663</v>
      </c>
      <c r="Y59" s="144">
        <f t="shared" si="17"/>
        <v>15.616666666666665</v>
      </c>
      <c r="Z59" s="144">
        <f t="shared" si="18"/>
        <v>18.633333333333333</v>
      </c>
      <c r="AA59" s="144">
        <f t="shared" si="19"/>
        <v>9.163636363636364</v>
      </c>
      <c r="AB59" s="10"/>
      <c r="AC59" s="357" t="str">
        <f>VLOOKUP($B59,'2007-2020 Metadata'!$A$4:$S$214,MATCH("Urban Area /Monitoring Zone",'2007-2020 Metadata'!$A$4:$S$4,0),FALSE)</f>
        <v>Whangarei</v>
      </c>
      <c r="AD59" s="87" t="str">
        <f>VLOOKUP(B59,'2007-2020 Metadata'!$A$6:$A$214,1,FALSE)</f>
        <v>AUC171</v>
      </c>
      <c r="AE59" s="230" t="str">
        <f>VLOOKUP($AD59,'2007-2020 Metadata'!$A$6:$S$214,9,FALSE)</f>
        <v>Whangarei</v>
      </c>
      <c r="AF59" s="248">
        <f>IF(ISBLANK(VLOOKUP($AD59,'2007-2020 Metadata'!$A$6:$S$214,19,FALSE)),"",VLOOKUP($AD59,'2007-2020 Metadata'!$A$6:$S$214,19,FALSE))</f>
        <v>3</v>
      </c>
      <c r="AG59" s="88" t="str">
        <f>VLOOKUP($B59,'2007-2020 Metadata'!$A$4:$S$214,MATCH("Site type",'2007-2020 Metadata'!$A$4:$S$4,0),FALSE)</f>
        <v>Background</v>
      </c>
      <c r="AH59" s="143">
        <f t="shared" si="12"/>
        <v>5.4</v>
      </c>
      <c r="AI59" s="143">
        <f t="shared" si="13"/>
        <v>14</v>
      </c>
      <c r="AJ59" s="144">
        <f t="shared" si="14"/>
        <v>9.163636363636364</v>
      </c>
    </row>
    <row r="60" spans="2:36" ht="12" customHeight="1" x14ac:dyDescent="0.15">
      <c r="B60" s="123" t="s">
        <v>485</v>
      </c>
      <c r="C60" s="104" t="str">
        <f>IF(ISBLANK(VLOOKUP($B60,'Monthly Summary 2013'!$B$7:$Q$152,14,FALSE)),"",IF(ISERROR(VLOOKUP($B60,'Monthly Summary 2013'!$B$7:$Q$152,14,FALSE)=0),"",VLOOKUP($B60,'Monthly Summary 2013'!$B$7:$Q$152,14,FALSE)))</f>
        <v/>
      </c>
      <c r="D60" s="125"/>
      <c r="E60" s="125"/>
      <c r="F60" s="125"/>
      <c r="G60" s="125"/>
      <c r="H60" s="119">
        <v>34.799999999999997</v>
      </c>
      <c r="I60" s="119">
        <v>28.7</v>
      </c>
      <c r="J60" s="119">
        <v>28.1</v>
      </c>
      <c r="K60" s="124">
        <v>30</v>
      </c>
      <c r="L60" s="124">
        <v>26.6</v>
      </c>
      <c r="M60" s="124">
        <v>25.7</v>
      </c>
      <c r="N60" s="124">
        <v>25.9</v>
      </c>
      <c r="O60" s="124">
        <v>21</v>
      </c>
      <c r="P60" s="121">
        <f>(AVERAGE(D60:O60))</f>
        <v>27.599999999999998</v>
      </c>
      <c r="Q60" s="121">
        <f>IFERROR((STDEV(D60:O60)/P60)*100,"")</f>
        <v>14.370603247782043</v>
      </c>
      <c r="R60" s="122">
        <f>COUNT(D60:O60)/COUNT($D$6:$O$6)</f>
        <v>0.66666666666666663</v>
      </c>
      <c r="S60" s="140" t="str">
        <f t="shared" si="8"/>
        <v/>
      </c>
      <c r="T60" s="24">
        <f t="shared" si="9"/>
        <v>0</v>
      </c>
      <c r="U60" s="140">
        <f t="shared" si="10"/>
        <v>28.233333333333334</v>
      </c>
      <c r="V60" s="9">
        <f t="shared" si="11"/>
        <v>1</v>
      </c>
      <c r="W60" s="172" t="str">
        <f t="shared" si="15"/>
        <v>-</v>
      </c>
      <c r="X60" s="142">
        <f t="shared" si="16"/>
        <v>0.66666666666666663</v>
      </c>
      <c r="Y60" s="144">
        <f t="shared" si="17"/>
        <v>15.616666666666665</v>
      </c>
      <c r="Z60" s="144">
        <f t="shared" si="18"/>
        <v>18.633333333333333</v>
      </c>
      <c r="AA60" s="144">
        <f t="shared" si="19"/>
        <v>9.163636363636364</v>
      </c>
      <c r="AB60" s="10"/>
      <c r="AC60" s="357" t="str">
        <f>VLOOKUP($B60,'2007-2020 Metadata'!$A$4:$S$214,MATCH("Urban Area /Monitoring Zone",'2007-2020 Metadata'!$A$4:$S$4,0),FALSE)</f>
        <v>Whangarei</v>
      </c>
      <c r="AD60" s="87" t="str">
        <f>VLOOKUP(B60,'2007-2020 Metadata'!$A$6:$A$214,1,FALSE)</f>
        <v>AUC187</v>
      </c>
      <c r="AE60" s="230" t="str">
        <f>VLOOKUP($AD60,'2007-2020 Metadata'!$A$6:$S$214,9,FALSE)</f>
        <v>Whangarei</v>
      </c>
      <c r="AF60" s="248">
        <f>IF(ISBLANK(VLOOKUP($AD60,'2007-2020 Metadata'!$A$6:$S$214,19,FALSE)),"",VLOOKUP($AD60,'2007-2020 Metadata'!$A$6:$S$214,19,FALSE))</f>
        <v>3</v>
      </c>
      <c r="AG60" s="88" t="str">
        <f>VLOOKUP($B60,'2007-2020 Metadata'!$A$4:$S$214,MATCH("Site type",'2007-2020 Metadata'!$A$4:$S$4,0),FALSE)</f>
        <v>SH</v>
      </c>
      <c r="AH60" s="143">
        <f t="shared" si="12"/>
        <v>21</v>
      </c>
      <c r="AI60" s="143">
        <f t="shared" si="13"/>
        <v>34.799999999999997</v>
      </c>
      <c r="AJ60" s="144" t="str">
        <f t="shared" si="14"/>
        <v xml:space="preserve"> </v>
      </c>
    </row>
    <row r="61" spans="2:36" ht="12" customHeight="1" x14ac:dyDescent="0.15">
      <c r="B61" s="123" t="s">
        <v>32</v>
      </c>
      <c r="C61" s="104">
        <f>IF(ISBLANK(VLOOKUP($B61,'Monthly Summary 2013'!$B$7:$Q$152,14,FALSE)),"",IF(ISERROR(VLOOKUP($B61,'Monthly Summary 2013'!$B$7:$Q$152,14,FALSE)=0),"",VLOOKUP($B61,'Monthly Summary 2013'!$B$7:$Q$152,14,FALSE)))</f>
        <v>23.8</v>
      </c>
      <c r="D61" s="119">
        <v>23.7</v>
      </c>
      <c r="E61" s="119">
        <v>29.4</v>
      </c>
      <c r="F61" s="119">
        <v>31.5</v>
      </c>
      <c r="G61" s="119">
        <v>33.5</v>
      </c>
      <c r="H61" s="119">
        <v>32.9</v>
      </c>
      <c r="I61" s="119">
        <v>35.799999999999997</v>
      </c>
      <c r="J61" s="119">
        <v>27.9</v>
      </c>
      <c r="K61" s="124">
        <v>29.7</v>
      </c>
      <c r="L61" s="124">
        <v>31.7</v>
      </c>
      <c r="M61" s="124">
        <v>34.799999999999997</v>
      </c>
      <c r="N61" s="124">
        <v>31.1</v>
      </c>
      <c r="O61" s="124">
        <v>28.3</v>
      </c>
      <c r="P61" s="121">
        <f>(AVERAGE(D61:O61))</f>
        <v>30.858333333333338</v>
      </c>
      <c r="Q61" s="121">
        <f>IFERROR((STDEV(D61:O61)/P61)*100,"")</f>
        <v>10.805010274328463</v>
      </c>
      <c r="R61" s="122">
        <f>COUNT(D61:O61)/COUNT($D$6:$O$6)</f>
        <v>1</v>
      </c>
      <c r="S61" s="140">
        <f t="shared" si="8"/>
        <v>28.2</v>
      </c>
      <c r="T61" s="24">
        <f t="shared" si="9"/>
        <v>1</v>
      </c>
      <c r="U61" s="140">
        <f t="shared" si="10"/>
        <v>29.766666666666666</v>
      </c>
      <c r="V61" s="9">
        <f t="shared" si="11"/>
        <v>1</v>
      </c>
      <c r="W61" s="172">
        <f t="shared" si="15"/>
        <v>30.858333333333338</v>
      </c>
      <c r="X61" s="142">
        <f t="shared" si="16"/>
        <v>1</v>
      </c>
      <c r="Y61" s="144">
        <f t="shared" si="17"/>
        <v>25.249999999999996</v>
      </c>
      <c r="Z61" s="144">
        <f t="shared" si="18"/>
        <v>29.233333333333338</v>
      </c>
      <c r="AA61" s="144">
        <f t="shared" si="19"/>
        <v>27.455606060606062</v>
      </c>
      <c r="AB61" s="10"/>
      <c r="AC61" s="357" t="str">
        <f>VLOOKUP($B61,'2007-2020 Metadata'!$A$4:$S$214,MATCH("Urban Area /Monitoring Zone",'2007-2020 Metadata'!$A$4:$S$4,0),FALSE)</f>
        <v>Hamilton</v>
      </c>
      <c r="AD61" s="87" t="str">
        <f>VLOOKUP(B61,'2007-2020 Metadata'!$A$6:$A$214,1,FALSE)</f>
        <v>HAM001</v>
      </c>
      <c r="AE61" s="230" t="str">
        <f>VLOOKUP($AD61,'2007-2020 Metadata'!$A$6:$S$214,9,FALSE)</f>
        <v>Hamilton</v>
      </c>
      <c r="AF61" s="248">
        <f>IF(ISBLANK(VLOOKUP($AD61,'2007-2020 Metadata'!$A$6:$S$214,19,FALSE)),"",VLOOKUP($AD61,'2007-2020 Metadata'!$A$6:$S$214,19,FALSE))</f>
        <v>3.8</v>
      </c>
      <c r="AG61" s="88" t="str">
        <f>VLOOKUP($B61,'2007-2020 Metadata'!$A$4:$S$214,MATCH("Site type",'2007-2020 Metadata'!$A$4:$S$4,0),FALSE)</f>
        <v>SH</v>
      </c>
      <c r="AH61" s="143">
        <f t="shared" si="12"/>
        <v>23.7</v>
      </c>
      <c r="AI61" s="143">
        <f t="shared" si="13"/>
        <v>35.799999999999997</v>
      </c>
      <c r="AJ61" s="144">
        <f t="shared" si="14"/>
        <v>27.455606060606062</v>
      </c>
    </row>
    <row r="62" spans="2:36" ht="12" customHeight="1" x14ac:dyDescent="0.15">
      <c r="B62" s="123" t="s">
        <v>33</v>
      </c>
      <c r="C62" s="104">
        <f>IF(ISBLANK(VLOOKUP($B62,'Monthly Summary 2013'!$B$7:$Q$152,14,FALSE)),"",IF(ISERROR(VLOOKUP($B62,'Monthly Summary 2013'!$B$7:$Q$152,14,FALSE)=0),"",VLOOKUP($B62,'Monthly Summary 2013'!$B$7:$Q$152,14,FALSE)))</f>
        <v>18.600000000000001</v>
      </c>
      <c r="D62" s="119">
        <v>20.100000000000001</v>
      </c>
      <c r="E62" s="119">
        <v>22.2</v>
      </c>
      <c r="F62" s="119">
        <v>28.4</v>
      </c>
      <c r="G62" s="119">
        <v>27.5</v>
      </c>
      <c r="H62" s="119">
        <v>32.6</v>
      </c>
      <c r="I62" s="119">
        <v>28.7</v>
      </c>
      <c r="J62" s="119">
        <v>31.2</v>
      </c>
      <c r="K62" s="124">
        <v>26.7</v>
      </c>
      <c r="L62" s="124">
        <v>23</v>
      </c>
      <c r="M62" s="124">
        <v>25</v>
      </c>
      <c r="N62" s="124">
        <v>20.399999999999999</v>
      </c>
      <c r="O62" s="124">
        <v>14</v>
      </c>
      <c r="P62" s="121">
        <f>(AVERAGE(D62:O62))</f>
        <v>24.983333333333331</v>
      </c>
      <c r="Q62" s="121">
        <f>IFERROR((STDEV(D62:O62)/P62)*100,"")</f>
        <v>21.200636035644589</v>
      </c>
      <c r="R62" s="122">
        <f>COUNT(D62:O62)/COUNT($D$6:$O$6)</f>
        <v>1</v>
      </c>
      <c r="S62" s="140">
        <f t="shared" si="8"/>
        <v>23.566666666666663</v>
      </c>
      <c r="T62" s="24">
        <f t="shared" si="9"/>
        <v>1</v>
      </c>
      <c r="U62" s="140">
        <f t="shared" si="10"/>
        <v>26.966666666666669</v>
      </c>
      <c r="V62" s="9">
        <f t="shared" si="11"/>
        <v>1</v>
      </c>
      <c r="W62" s="172">
        <f t="shared" si="15"/>
        <v>24.983333333333331</v>
      </c>
      <c r="X62" s="142">
        <f t="shared" si="16"/>
        <v>1</v>
      </c>
      <c r="Y62" s="144">
        <f t="shared" si="17"/>
        <v>25.249999999999996</v>
      </c>
      <c r="Z62" s="144">
        <f t="shared" si="18"/>
        <v>29.233333333333338</v>
      </c>
      <c r="AA62" s="144">
        <f t="shared" si="19"/>
        <v>27.455606060606062</v>
      </c>
      <c r="AB62" s="10"/>
      <c r="AC62" s="357" t="str">
        <f>VLOOKUP($B62,'2007-2020 Metadata'!$A$4:$S$214,MATCH("Urban Area /Monitoring Zone",'2007-2020 Metadata'!$A$4:$S$4,0),FALSE)</f>
        <v>Hamilton</v>
      </c>
      <c r="AD62" s="87" t="str">
        <f>VLOOKUP(B62,'2007-2020 Metadata'!$A$6:$A$214,1,FALSE)</f>
        <v>HAM002</v>
      </c>
      <c r="AE62" s="230" t="str">
        <f>VLOOKUP($AD62,'2007-2020 Metadata'!$A$6:$S$214,9,FALSE)</f>
        <v>Hamilton</v>
      </c>
      <c r="AF62" s="248">
        <f>IF(ISBLANK(VLOOKUP($AD62,'2007-2020 Metadata'!$A$6:$S$214,19,FALSE)),"",VLOOKUP($AD62,'2007-2020 Metadata'!$A$6:$S$214,19,FALSE))</f>
        <v>2.6</v>
      </c>
      <c r="AG62" s="88" t="str">
        <f>VLOOKUP($B62,'2007-2020 Metadata'!$A$4:$S$214,MATCH("Site type",'2007-2020 Metadata'!$A$4:$S$4,0),FALSE)</f>
        <v>Local (ex SH)</v>
      </c>
      <c r="AH62" s="143">
        <f t="shared" si="12"/>
        <v>14</v>
      </c>
      <c r="AI62" s="143">
        <f t="shared" si="13"/>
        <v>32.6</v>
      </c>
      <c r="AJ62" s="144">
        <f t="shared" si="14"/>
        <v>27.455606060606062</v>
      </c>
    </row>
    <row r="63" spans="2:36" ht="12" customHeight="1" x14ac:dyDescent="0.15">
      <c r="B63" s="123" t="s">
        <v>34</v>
      </c>
      <c r="C63" s="104">
        <f>IF(ISBLANK(VLOOKUP($B63,'Monthly Summary 2013'!$B$7:$Q$152,14,FALSE)),"",IF(ISERROR(VLOOKUP($B63,'Monthly Summary 2013'!$B$7:$Q$152,14,FALSE)=0),"",VLOOKUP($B63,'Monthly Summary 2013'!$B$7:$Q$152,14,FALSE)))</f>
        <v>21.7</v>
      </c>
      <c r="D63" s="119">
        <v>35.200000000000003</v>
      </c>
      <c r="E63" s="119">
        <v>36.5</v>
      </c>
      <c r="F63" s="119">
        <v>37.9</v>
      </c>
      <c r="G63" s="119">
        <v>38.5</v>
      </c>
      <c r="H63" s="119">
        <v>46.1</v>
      </c>
      <c r="I63" s="119">
        <v>38.9</v>
      </c>
      <c r="J63" s="119">
        <v>38.1</v>
      </c>
      <c r="K63" s="124">
        <v>38.5</v>
      </c>
      <c r="L63" s="124">
        <v>40.4</v>
      </c>
      <c r="M63" s="124">
        <v>45.7</v>
      </c>
      <c r="N63" s="124">
        <v>42.3</v>
      </c>
      <c r="O63" s="124">
        <v>26.5</v>
      </c>
      <c r="P63" s="121">
        <f>(AVERAGE(D63:O63))</f>
        <v>38.716666666666661</v>
      </c>
      <c r="Q63" s="121">
        <f>IFERROR((STDEV(D63:O63)/P63)*100,"")</f>
        <v>13.185199983163182</v>
      </c>
      <c r="R63" s="122">
        <f>COUNT(D63:O63)/COUNT($D$6:$O$6)</f>
        <v>1</v>
      </c>
      <c r="S63" s="140">
        <f t="shared" si="8"/>
        <v>36.533333333333331</v>
      </c>
      <c r="T63" s="24">
        <f t="shared" si="9"/>
        <v>1</v>
      </c>
      <c r="U63" s="140">
        <f t="shared" si="10"/>
        <v>39</v>
      </c>
      <c r="V63" s="9">
        <f t="shared" si="11"/>
        <v>1</v>
      </c>
      <c r="W63" s="172">
        <f t="shared" si="15"/>
        <v>38.716666666666661</v>
      </c>
      <c r="X63" s="142">
        <f t="shared" si="16"/>
        <v>1</v>
      </c>
      <c r="Y63" s="144">
        <f t="shared" si="17"/>
        <v>25.249999999999996</v>
      </c>
      <c r="Z63" s="144">
        <f t="shared" si="18"/>
        <v>29.233333333333338</v>
      </c>
      <c r="AA63" s="144">
        <f t="shared" si="19"/>
        <v>27.455606060606062</v>
      </c>
      <c r="AB63" s="10"/>
      <c r="AC63" s="357" t="str">
        <f>VLOOKUP($B63,'2007-2020 Metadata'!$A$4:$S$214,MATCH("Urban Area /Monitoring Zone",'2007-2020 Metadata'!$A$4:$S$4,0),FALSE)</f>
        <v>Hamilton</v>
      </c>
      <c r="AD63" s="87" t="str">
        <f>VLOOKUP(B63,'2007-2020 Metadata'!$A$6:$A$214,1,FALSE)</f>
        <v>HAM003</v>
      </c>
      <c r="AE63" s="230" t="str">
        <f>VLOOKUP($AD63,'2007-2020 Metadata'!$A$6:$S$214,9,FALSE)</f>
        <v>Hamilton</v>
      </c>
      <c r="AF63" s="248">
        <f>IF(ISBLANK(VLOOKUP($AD63,'2007-2020 Metadata'!$A$6:$S$214,19,FALSE)),"",VLOOKUP($AD63,'2007-2020 Metadata'!$A$6:$S$214,19,FALSE))</f>
        <v>2.9</v>
      </c>
      <c r="AG63" s="88" t="str">
        <f>VLOOKUP($B63,'2007-2020 Metadata'!$A$4:$S$214,MATCH("Site type",'2007-2020 Metadata'!$A$4:$S$4,0),FALSE)</f>
        <v>SH</v>
      </c>
      <c r="AH63" s="143">
        <f t="shared" si="12"/>
        <v>26.5</v>
      </c>
      <c r="AI63" s="143">
        <f t="shared" si="13"/>
        <v>46.1</v>
      </c>
      <c r="AJ63" s="144">
        <f t="shared" si="14"/>
        <v>27.455606060606062</v>
      </c>
    </row>
    <row r="64" spans="2:36" ht="12" customHeight="1" x14ac:dyDescent="0.15">
      <c r="B64" s="123" t="s">
        <v>35</v>
      </c>
      <c r="C64" s="104">
        <f>IF(ISBLANK(VLOOKUP($B64,'Monthly Summary 2013'!$B$7:$Q$152,14,FALSE)),"",IF(ISERROR(VLOOKUP($B64,'Monthly Summary 2013'!$B$7:$Q$152,14,FALSE)=0),"",VLOOKUP($B64,'Monthly Summary 2013'!$B$7:$Q$152,14,FALSE)))</f>
        <v>19.7</v>
      </c>
      <c r="D64" s="119">
        <v>26.8</v>
      </c>
      <c r="E64" s="119">
        <v>30.6</v>
      </c>
      <c r="F64" s="119">
        <v>34.9</v>
      </c>
      <c r="G64" s="119">
        <v>25.7</v>
      </c>
      <c r="H64" s="119">
        <v>35</v>
      </c>
      <c r="I64" s="119">
        <v>31.3</v>
      </c>
      <c r="J64" s="119">
        <v>33.200000000000003</v>
      </c>
      <c r="K64" s="124">
        <v>31.7</v>
      </c>
      <c r="L64" s="124">
        <v>30.5</v>
      </c>
      <c r="M64" s="124">
        <v>30.7</v>
      </c>
      <c r="N64" s="124">
        <v>27.5</v>
      </c>
      <c r="O64" s="124">
        <v>23.8</v>
      </c>
      <c r="P64" s="121">
        <f t="shared" si="5"/>
        <v>30.141666666666666</v>
      </c>
      <c r="Q64" s="121">
        <f t="shared" si="6"/>
        <v>11.755677060992365</v>
      </c>
      <c r="R64" s="122">
        <f t="shared" si="7"/>
        <v>1</v>
      </c>
      <c r="S64" s="140">
        <f t="shared" si="8"/>
        <v>30.766666666666669</v>
      </c>
      <c r="T64" s="24">
        <f t="shared" si="9"/>
        <v>1</v>
      </c>
      <c r="U64" s="140">
        <f t="shared" si="10"/>
        <v>31.8</v>
      </c>
      <c r="V64" s="9">
        <f t="shared" si="11"/>
        <v>1</v>
      </c>
      <c r="W64" s="172">
        <f t="shared" si="15"/>
        <v>30.141666666666666</v>
      </c>
      <c r="X64" s="142">
        <f t="shared" si="16"/>
        <v>1</v>
      </c>
      <c r="Y64" s="144">
        <f t="shared" si="17"/>
        <v>25.249999999999996</v>
      </c>
      <c r="Z64" s="144">
        <f t="shared" si="18"/>
        <v>29.233333333333338</v>
      </c>
      <c r="AA64" s="144">
        <f t="shared" si="19"/>
        <v>27.455606060606062</v>
      </c>
      <c r="AB64" s="10"/>
      <c r="AC64" s="357" t="str">
        <f>VLOOKUP($B64,'2007-2020 Metadata'!$A$4:$S$214,MATCH("Urban Area /Monitoring Zone",'2007-2020 Metadata'!$A$4:$S$4,0),FALSE)</f>
        <v>Cambridge</v>
      </c>
      <c r="AD64" s="87" t="str">
        <f>VLOOKUP(B64,'2007-2020 Metadata'!$A$6:$A$214,1,FALSE)</f>
        <v>HAM004</v>
      </c>
      <c r="AE64" s="230" t="str">
        <f>VLOOKUP($AD64,'2007-2020 Metadata'!$A$6:$S$214,9,FALSE)</f>
        <v>Hamilton</v>
      </c>
      <c r="AF64" s="248">
        <f>IF(ISBLANK(VLOOKUP($AD64,'2007-2020 Metadata'!$A$6:$S$214,19,FALSE)),"",VLOOKUP($AD64,'2007-2020 Metadata'!$A$6:$S$214,19,FALSE))</f>
        <v>3</v>
      </c>
      <c r="AG64" s="88" t="str">
        <f>VLOOKUP($B64,'2007-2020 Metadata'!$A$4:$S$214,MATCH("Site type",'2007-2020 Metadata'!$A$4:$S$4,0),FALSE)</f>
        <v>Local (ex SH)</v>
      </c>
      <c r="AH64" s="143">
        <f t="shared" si="12"/>
        <v>23.8</v>
      </c>
      <c r="AI64" s="143">
        <f t="shared" si="13"/>
        <v>35</v>
      </c>
      <c r="AJ64" s="144">
        <f t="shared" si="14"/>
        <v>27.455606060606062</v>
      </c>
    </row>
    <row r="65" spans="2:36" ht="12" customHeight="1" x14ac:dyDescent="0.15">
      <c r="B65" s="123" t="s">
        <v>36</v>
      </c>
      <c r="C65" s="104">
        <f>IF(ISBLANK(VLOOKUP($B65,'Monthly Summary 2013'!$B$7:$Q$152,14,FALSE)),"",IF(ISERROR(VLOOKUP($B65,'Monthly Summary 2013'!$B$7:$Q$152,14,FALSE)=0),"",VLOOKUP($B65,'Monthly Summary 2013'!$B$7:$Q$152,14,FALSE)))</f>
        <v>12.3</v>
      </c>
      <c r="D65" s="119">
        <v>10.8</v>
      </c>
      <c r="E65" s="119">
        <v>14.8</v>
      </c>
      <c r="F65" s="119">
        <v>19.8</v>
      </c>
      <c r="G65" s="119">
        <v>16.3</v>
      </c>
      <c r="H65" s="119">
        <v>20.7</v>
      </c>
      <c r="I65" s="119">
        <v>17.2</v>
      </c>
      <c r="J65" s="119">
        <v>17.899999999999999</v>
      </c>
      <c r="K65" s="124">
        <v>15.5</v>
      </c>
      <c r="L65" s="124">
        <v>14</v>
      </c>
      <c r="M65" s="124">
        <v>15.2</v>
      </c>
      <c r="N65" s="124">
        <v>11</v>
      </c>
      <c r="O65" s="124">
        <v>13.8</v>
      </c>
      <c r="P65" s="121">
        <f t="shared" si="5"/>
        <v>15.583333333333334</v>
      </c>
      <c r="Q65" s="121">
        <f t="shared" si="6"/>
        <v>19.617009981367158</v>
      </c>
      <c r="R65" s="122">
        <f t="shared" si="7"/>
        <v>1</v>
      </c>
      <c r="S65" s="140">
        <f t="shared" si="8"/>
        <v>15.133333333333335</v>
      </c>
      <c r="T65" s="24">
        <f t="shared" si="9"/>
        <v>1</v>
      </c>
      <c r="U65" s="140">
        <f t="shared" si="10"/>
        <v>15.799999999999999</v>
      </c>
      <c r="V65" s="9">
        <f t="shared" si="11"/>
        <v>1</v>
      </c>
      <c r="W65" s="172">
        <f t="shared" si="15"/>
        <v>15.583333333333334</v>
      </c>
      <c r="X65" s="142">
        <f t="shared" si="16"/>
        <v>1</v>
      </c>
      <c r="Y65" s="144">
        <f t="shared" si="17"/>
        <v>15.133333333333335</v>
      </c>
      <c r="Z65" s="144">
        <f t="shared" si="18"/>
        <v>15.799999999999999</v>
      </c>
      <c r="AA65" s="144">
        <f t="shared" si="19"/>
        <v>15.583333333333334</v>
      </c>
      <c r="AB65" s="10"/>
      <c r="AC65" s="357" t="str">
        <f>VLOOKUP($B65,'2007-2020 Metadata'!$A$4:$S$214,MATCH("Urban Area /Monitoring Zone",'2007-2020 Metadata'!$A$4:$S$4,0),FALSE)</f>
        <v>Taupo</v>
      </c>
      <c r="AD65" s="87" t="str">
        <f>VLOOKUP(B65,'2007-2020 Metadata'!$A$6:$A$214,1,FALSE)</f>
        <v>HAM005</v>
      </c>
      <c r="AE65" s="230" t="str">
        <f>VLOOKUP($AD65,'2007-2020 Metadata'!$A$6:$S$214,9,FALSE)</f>
        <v>Taupo</v>
      </c>
      <c r="AF65" s="248">
        <f>IF(ISBLANK(VLOOKUP($AD65,'2007-2020 Metadata'!$A$6:$S$214,19,FALSE)),"",VLOOKUP($AD65,'2007-2020 Metadata'!$A$6:$S$214,19,FALSE))</f>
        <v>3.5</v>
      </c>
      <c r="AG65" s="88" t="str">
        <f>VLOOKUP($B65,'2007-2020 Metadata'!$A$4:$S$214,MATCH("Site type",'2007-2020 Metadata'!$A$4:$S$4,0),FALSE)</f>
        <v>Local (ex SH)</v>
      </c>
      <c r="AH65" s="143">
        <f t="shared" si="12"/>
        <v>10.8</v>
      </c>
      <c r="AI65" s="143">
        <f t="shared" si="13"/>
        <v>20.7</v>
      </c>
      <c r="AJ65" s="144">
        <f t="shared" si="14"/>
        <v>15.583333333333334</v>
      </c>
    </row>
    <row r="66" spans="2:36" ht="12" customHeight="1" x14ac:dyDescent="0.15">
      <c r="B66" s="123" t="s">
        <v>37</v>
      </c>
      <c r="C66" s="104" t="str">
        <f>IF(ISBLANK(VLOOKUP($B66,'Monthly Summary 2013'!$B$7:$Q$152,14,FALSE)),"",IF(ISERROR(VLOOKUP($B66,'Monthly Summary 2013'!$B$7:$Q$152,14,FALSE)=0),"",VLOOKUP($B66,'Monthly Summary 2013'!$B$7:$Q$152,14,FALSE)))</f>
        <v/>
      </c>
      <c r="D66" s="119">
        <v>12.9</v>
      </c>
      <c r="E66" s="119">
        <v>14.3</v>
      </c>
      <c r="F66" s="119">
        <v>22.4</v>
      </c>
      <c r="G66" s="119">
        <v>20.8</v>
      </c>
      <c r="H66" s="119">
        <v>23</v>
      </c>
      <c r="I66" s="119">
        <v>20.5</v>
      </c>
      <c r="J66" s="119">
        <v>20.5</v>
      </c>
      <c r="K66" s="124">
        <v>18.100000000000001</v>
      </c>
      <c r="L66" s="124">
        <v>22</v>
      </c>
      <c r="M66" s="124">
        <v>18.600000000000001</v>
      </c>
      <c r="N66" s="124">
        <v>14.8</v>
      </c>
      <c r="O66" s="124">
        <v>13.6</v>
      </c>
      <c r="P66" s="121">
        <f t="shared" si="5"/>
        <v>18.458333333333332</v>
      </c>
      <c r="Q66" s="121">
        <f t="shared" si="6"/>
        <v>19.861891879119387</v>
      </c>
      <c r="R66" s="122">
        <f t="shared" si="7"/>
        <v>1</v>
      </c>
      <c r="S66" s="140">
        <f t="shared" si="8"/>
        <v>16.533333333333335</v>
      </c>
      <c r="T66" s="24">
        <f t="shared" si="9"/>
        <v>1</v>
      </c>
      <c r="U66" s="140">
        <f t="shared" si="10"/>
        <v>20.2</v>
      </c>
      <c r="V66" s="9">
        <f t="shared" si="11"/>
        <v>1</v>
      </c>
      <c r="W66" s="172">
        <f t="shared" si="15"/>
        <v>18.458333333333332</v>
      </c>
      <c r="X66" s="142">
        <f t="shared" si="16"/>
        <v>1</v>
      </c>
      <c r="Y66" s="144">
        <f t="shared" si="17"/>
        <v>12.583333333333334</v>
      </c>
      <c r="Z66" s="144">
        <f t="shared" si="18"/>
        <v>14.1</v>
      </c>
      <c r="AA66" s="144">
        <f t="shared" si="19"/>
        <v>13.116666666666665</v>
      </c>
      <c r="AB66" s="10"/>
      <c r="AC66" s="357" t="str">
        <f>VLOOKUP($B66,'2007-2020 Metadata'!$A$4:$S$214,MATCH("Urban Area /Monitoring Zone",'2007-2020 Metadata'!$A$4:$S$4,0),FALSE)</f>
        <v>Rotorua</v>
      </c>
      <c r="AD66" s="87" t="str">
        <f>VLOOKUP(B66,'2007-2020 Metadata'!$A$6:$A$214,1,FALSE)</f>
        <v>HAM006</v>
      </c>
      <c r="AE66" s="230" t="str">
        <f>VLOOKUP($AD66,'2007-2020 Metadata'!$A$6:$S$214,9,FALSE)</f>
        <v>Rotorua</v>
      </c>
      <c r="AF66" s="248">
        <f>IF(ISBLANK(VLOOKUP($AD66,'2007-2020 Metadata'!$A$6:$S$214,19,FALSE)),"",VLOOKUP($AD66,'2007-2020 Metadata'!$A$6:$S$214,19,FALSE))</f>
        <v>3</v>
      </c>
      <c r="AG66" s="88" t="str">
        <f>VLOOKUP($B66,'2007-2020 Metadata'!$A$4:$S$214,MATCH("Site type",'2007-2020 Metadata'!$A$4:$S$4,0),FALSE)</f>
        <v>SH</v>
      </c>
      <c r="AH66" s="143">
        <f t="shared" si="12"/>
        <v>12.9</v>
      </c>
      <c r="AI66" s="143">
        <f t="shared" si="13"/>
        <v>23</v>
      </c>
      <c r="AJ66" s="144">
        <f t="shared" si="14"/>
        <v>13.116666666666665</v>
      </c>
    </row>
    <row r="67" spans="2:36" ht="12" customHeight="1" x14ac:dyDescent="0.15">
      <c r="B67" s="123" t="s">
        <v>39</v>
      </c>
      <c r="C67" s="104">
        <f>IF(ISBLANK(VLOOKUP($B67,'Monthly Summary 2013'!$B$7:$Q$152,14,FALSE)),"",IF(ISERROR(VLOOKUP($B67,'Monthly Summary 2013'!$B$7:$Q$152,14,FALSE)=0),"",VLOOKUP($B67,'Monthly Summary 2013'!$B$7:$Q$152,14,FALSE)))</f>
        <v>22.1</v>
      </c>
      <c r="D67" s="119">
        <v>22.7</v>
      </c>
      <c r="E67" s="119">
        <v>23.6</v>
      </c>
      <c r="F67" s="119">
        <v>32.799999999999997</v>
      </c>
      <c r="G67" s="119">
        <v>30.5</v>
      </c>
      <c r="H67" s="119">
        <v>39.1</v>
      </c>
      <c r="I67" s="119">
        <v>30.9</v>
      </c>
      <c r="J67" s="119">
        <v>33</v>
      </c>
      <c r="K67" s="124">
        <v>28.9</v>
      </c>
      <c r="L67" s="124">
        <v>29.6</v>
      </c>
      <c r="M67" s="124">
        <v>26</v>
      </c>
      <c r="N67" s="124">
        <v>29.2</v>
      </c>
      <c r="O67" s="124">
        <v>22.1</v>
      </c>
      <c r="P67" s="121">
        <f t="shared" si="5"/>
        <v>29.033333333333335</v>
      </c>
      <c r="Q67" s="121">
        <f t="shared" si="6"/>
        <v>16.87896315712327</v>
      </c>
      <c r="R67" s="122">
        <f t="shared" si="7"/>
        <v>1</v>
      </c>
      <c r="S67" s="140">
        <f t="shared" si="8"/>
        <v>26.366666666666664</v>
      </c>
      <c r="T67" s="24">
        <f t="shared" si="9"/>
        <v>1</v>
      </c>
      <c r="U67" s="140">
        <f t="shared" si="10"/>
        <v>30.5</v>
      </c>
      <c r="V67" s="9">
        <f t="shared" si="11"/>
        <v>1</v>
      </c>
      <c r="W67" s="172">
        <f t="shared" si="15"/>
        <v>29.033333333333335</v>
      </c>
      <c r="X67" s="142">
        <f t="shared" si="16"/>
        <v>1</v>
      </c>
      <c r="Y67" s="144">
        <f t="shared" si="17"/>
        <v>19.316666666666666</v>
      </c>
      <c r="Z67" s="144">
        <f t="shared" si="18"/>
        <v>23.93333333333333</v>
      </c>
      <c r="AA67" s="144">
        <f t="shared" si="19"/>
        <v>22.423376623376623</v>
      </c>
      <c r="AB67" s="10"/>
      <c r="AC67" s="357" t="str">
        <f>VLOOKUP($B67,'2007-2020 Metadata'!$A$4:$S$214,MATCH("Urban Area /Monitoring Zone",'2007-2020 Metadata'!$A$4:$S$4,0),FALSE)</f>
        <v>Tauranga</v>
      </c>
      <c r="AD67" s="87" t="str">
        <f>VLOOKUP(B67,'2007-2020 Metadata'!$A$6:$A$214,1,FALSE)</f>
        <v>HAM007</v>
      </c>
      <c r="AE67" s="230" t="str">
        <f>VLOOKUP($AD67,'2007-2020 Metadata'!$A$6:$S$214,9,FALSE)</f>
        <v>Tauranga</v>
      </c>
      <c r="AF67" s="248">
        <f>IF(ISBLANK(VLOOKUP($AD67,'2007-2020 Metadata'!$A$6:$S$214,19,FALSE)),"",VLOOKUP($AD67,'2007-2020 Metadata'!$A$6:$S$214,19,FALSE))</f>
        <v>2.9</v>
      </c>
      <c r="AG67" s="88" t="str">
        <f>VLOOKUP($B67,'2007-2020 Metadata'!$A$4:$S$214,MATCH("Site type",'2007-2020 Metadata'!$A$4:$S$4,0),FALSE)</f>
        <v>SH</v>
      </c>
      <c r="AH67" s="143">
        <f t="shared" si="12"/>
        <v>22.1</v>
      </c>
      <c r="AI67" s="143">
        <f t="shared" si="13"/>
        <v>39.1</v>
      </c>
      <c r="AJ67" s="144">
        <f t="shared" si="14"/>
        <v>22.423376623376623</v>
      </c>
    </row>
    <row r="68" spans="2:36" ht="12" customHeight="1" x14ac:dyDescent="0.15">
      <c r="B68" s="123" t="s">
        <v>40</v>
      </c>
      <c r="C68" s="104">
        <f>IF(ISBLANK(VLOOKUP($B68,'Monthly Summary 2013'!$B$7:$Q$152,14,FALSE)),"",IF(ISERROR(VLOOKUP($B68,'Monthly Summary 2013'!$B$7:$Q$152,14,FALSE)=0),"",VLOOKUP($B68,'Monthly Summary 2013'!$B$7:$Q$152,14,FALSE)))</f>
        <v>14.9</v>
      </c>
      <c r="D68" s="119">
        <v>19.8</v>
      </c>
      <c r="E68" s="119">
        <v>27.8</v>
      </c>
      <c r="F68" s="119">
        <v>32.200000000000003</v>
      </c>
      <c r="G68" s="119">
        <v>32.9</v>
      </c>
      <c r="H68" s="119">
        <v>45</v>
      </c>
      <c r="I68" s="119">
        <v>35.5</v>
      </c>
      <c r="J68" s="119">
        <v>38.299999999999997</v>
      </c>
      <c r="K68" s="124">
        <v>31.9</v>
      </c>
      <c r="L68" s="124">
        <v>28.3</v>
      </c>
      <c r="M68" s="124">
        <v>29</v>
      </c>
      <c r="N68" s="124">
        <v>31.7</v>
      </c>
      <c r="O68" s="124">
        <v>20.8</v>
      </c>
      <c r="P68" s="121">
        <f t="shared" si="5"/>
        <v>31.099999999999998</v>
      </c>
      <c r="Q68" s="121">
        <f t="shared" si="6"/>
        <v>22.251429026097306</v>
      </c>
      <c r="R68" s="122">
        <f t="shared" si="7"/>
        <v>1</v>
      </c>
      <c r="S68" s="140">
        <f t="shared" si="8"/>
        <v>26.600000000000005</v>
      </c>
      <c r="T68" s="24">
        <f t="shared" si="9"/>
        <v>1</v>
      </c>
      <c r="U68" s="140">
        <f t="shared" si="10"/>
        <v>32.833333333333329</v>
      </c>
      <c r="V68" s="9">
        <f t="shared" si="11"/>
        <v>1</v>
      </c>
      <c r="W68" s="172">
        <f t="shared" si="15"/>
        <v>31.099999999999998</v>
      </c>
      <c r="X68" s="142">
        <f t="shared" si="16"/>
        <v>1</v>
      </c>
      <c r="Y68" s="144">
        <f t="shared" si="17"/>
        <v>19.316666666666666</v>
      </c>
      <c r="Z68" s="144">
        <f t="shared" si="18"/>
        <v>23.93333333333333</v>
      </c>
      <c r="AA68" s="144">
        <f t="shared" si="19"/>
        <v>22.423376623376623</v>
      </c>
      <c r="AB68" s="10"/>
      <c r="AC68" s="357" t="str">
        <f>VLOOKUP($B68,'2007-2020 Metadata'!$A$4:$S$214,MATCH("Urban Area /Monitoring Zone",'2007-2020 Metadata'!$A$4:$S$4,0),FALSE)</f>
        <v>Tauranga</v>
      </c>
      <c r="AD68" s="87" t="str">
        <f>VLOOKUP(B68,'2007-2020 Metadata'!$A$6:$A$214,1,FALSE)</f>
        <v>HAM008</v>
      </c>
      <c r="AE68" s="230" t="str">
        <f>VLOOKUP($AD68,'2007-2020 Metadata'!$A$6:$S$214,9,FALSE)</f>
        <v>Tauranga</v>
      </c>
      <c r="AF68" s="248">
        <f>IF(ISBLANK(VLOOKUP($AD68,'2007-2020 Metadata'!$A$6:$S$214,19,FALSE)),"",VLOOKUP($AD68,'2007-2020 Metadata'!$A$6:$S$214,19,FALSE))</f>
        <v>2.9</v>
      </c>
      <c r="AG68" s="88" t="str">
        <f>VLOOKUP($B68,'2007-2020 Metadata'!$A$4:$S$214,MATCH("Site type",'2007-2020 Metadata'!$A$4:$S$4,0),FALSE)</f>
        <v>SH</v>
      </c>
      <c r="AH68" s="143">
        <f t="shared" si="12"/>
        <v>19.8</v>
      </c>
      <c r="AI68" s="143">
        <f t="shared" si="13"/>
        <v>45</v>
      </c>
      <c r="AJ68" s="144">
        <f t="shared" si="14"/>
        <v>22.423376623376623</v>
      </c>
    </row>
    <row r="69" spans="2:36" ht="12" customHeight="1" x14ac:dyDescent="0.15">
      <c r="B69" s="123" t="s">
        <v>41</v>
      </c>
      <c r="C69" s="104">
        <f>IF(ISBLANK(VLOOKUP($B69,'Monthly Summary 2013'!$B$7:$Q$152,14,FALSE)),"",IF(ISERROR(VLOOKUP($B69,'Monthly Summary 2013'!$B$7:$Q$152,14,FALSE)=0),"",VLOOKUP($B69,'Monthly Summary 2013'!$B$7:$Q$152,14,FALSE)))</f>
        <v>17.7</v>
      </c>
      <c r="D69" s="119">
        <v>20.7</v>
      </c>
      <c r="E69" s="119">
        <v>19.100000000000001</v>
      </c>
      <c r="F69" s="119">
        <v>26.7</v>
      </c>
      <c r="G69" s="119">
        <v>30.1</v>
      </c>
      <c r="H69" s="119">
        <v>31.3</v>
      </c>
      <c r="I69" s="119">
        <v>29.8</v>
      </c>
      <c r="J69" s="119">
        <v>30.8</v>
      </c>
      <c r="K69" s="124">
        <v>27.3</v>
      </c>
      <c r="L69" s="124">
        <v>27.4</v>
      </c>
      <c r="M69" s="124">
        <v>23.4</v>
      </c>
      <c r="N69" s="124">
        <v>30.6</v>
      </c>
      <c r="O69" s="124">
        <v>17.399999999999999</v>
      </c>
      <c r="P69" s="121">
        <f t="shared" si="5"/>
        <v>26.216666666666669</v>
      </c>
      <c r="Q69" s="121">
        <f t="shared" si="6"/>
        <v>18.67010280788875</v>
      </c>
      <c r="R69" s="122">
        <f t="shared" si="7"/>
        <v>1</v>
      </c>
      <c r="S69" s="140">
        <f t="shared" si="8"/>
        <v>22.166666666666668</v>
      </c>
      <c r="T69" s="24">
        <f t="shared" si="9"/>
        <v>1</v>
      </c>
      <c r="U69" s="140">
        <f t="shared" si="10"/>
        <v>28.5</v>
      </c>
      <c r="V69" s="9">
        <f t="shared" si="11"/>
        <v>1</v>
      </c>
      <c r="W69" s="172">
        <f t="shared" si="15"/>
        <v>26.216666666666669</v>
      </c>
      <c r="X69" s="142">
        <f t="shared" si="16"/>
        <v>1</v>
      </c>
      <c r="Y69" s="144">
        <f t="shared" si="17"/>
        <v>19.316666666666666</v>
      </c>
      <c r="Z69" s="144">
        <f t="shared" si="18"/>
        <v>23.93333333333333</v>
      </c>
      <c r="AA69" s="144">
        <f t="shared" si="19"/>
        <v>22.423376623376623</v>
      </c>
      <c r="AB69" s="10"/>
      <c r="AC69" s="357" t="str">
        <f>VLOOKUP($B69,'2007-2020 Metadata'!$A$4:$S$214,MATCH("Urban Area /Monitoring Zone",'2007-2020 Metadata'!$A$4:$S$4,0),FALSE)</f>
        <v>Tauranga</v>
      </c>
      <c r="AD69" s="87" t="str">
        <f>VLOOKUP(B69,'2007-2020 Metadata'!$A$6:$A$214,1,FALSE)</f>
        <v>HAM010</v>
      </c>
      <c r="AE69" s="230" t="str">
        <f>VLOOKUP($AD69,'2007-2020 Metadata'!$A$6:$S$214,9,FALSE)</f>
        <v>Tauranga</v>
      </c>
      <c r="AF69" s="248">
        <f>IF(ISBLANK(VLOOKUP($AD69,'2007-2020 Metadata'!$A$6:$S$214,19,FALSE)),"",VLOOKUP($AD69,'2007-2020 Metadata'!$A$6:$S$214,19,FALSE))</f>
        <v>2.7</v>
      </c>
      <c r="AG69" s="88" t="str">
        <f>VLOOKUP($B69,'2007-2020 Metadata'!$A$4:$S$214,MATCH("Site type",'2007-2020 Metadata'!$A$4:$S$4,0),FALSE)</f>
        <v>SH</v>
      </c>
      <c r="AH69" s="143">
        <f t="shared" si="12"/>
        <v>17.399999999999999</v>
      </c>
      <c r="AI69" s="143">
        <f t="shared" si="13"/>
        <v>31.3</v>
      </c>
      <c r="AJ69" s="144">
        <f t="shared" si="14"/>
        <v>22.423376623376623</v>
      </c>
    </row>
    <row r="70" spans="2:36" ht="12" customHeight="1" x14ac:dyDescent="0.15">
      <c r="B70" s="123" t="s">
        <v>95</v>
      </c>
      <c r="C70" s="104">
        <f>IF(ISBLANK(VLOOKUP($B70,'Monthly Summary 2013'!$B$7:$Q$152,14,FALSE)),"",IF(ISERROR(VLOOKUP($B70,'Monthly Summary 2013'!$B$7:$Q$152,14,FALSE)=0),"",VLOOKUP($B70,'Monthly Summary 2013'!$B$7:$Q$152,14,FALSE)))</f>
        <v>10.8</v>
      </c>
      <c r="D70" s="119">
        <v>9.1</v>
      </c>
      <c r="E70" s="119">
        <v>12.8</v>
      </c>
      <c r="F70" s="119">
        <v>18.8</v>
      </c>
      <c r="G70" s="119">
        <v>18.7</v>
      </c>
      <c r="H70" s="119">
        <v>24.3</v>
      </c>
      <c r="I70" s="119">
        <v>24.8</v>
      </c>
      <c r="J70" s="119">
        <v>24.6</v>
      </c>
      <c r="K70" s="124">
        <v>20.3</v>
      </c>
      <c r="L70" s="124">
        <v>17.100000000000001</v>
      </c>
      <c r="M70" s="124">
        <v>17.5</v>
      </c>
      <c r="N70" s="124">
        <v>11</v>
      </c>
      <c r="O70" s="124">
        <v>13.8</v>
      </c>
      <c r="P70" s="121">
        <f t="shared" si="5"/>
        <v>17.733333333333334</v>
      </c>
      <c r="Q70" s="121">
        <f t="shared" si="6"/>
        <v>29.888024080233468</v>
      </c>
      <c r="R70" s="122">
        <f t="shared" si="7"/>
        <v>1</v>
      </c>
      <c r="S70" s="140">
        <f t="shared" si="8"/>
        <v>13.566666666666668</v>
      </c>
      <c r="T70" s="24">
        <f t="shared" si="9"/>
        <v>1</v>
      </c>
      <c r="U70" s="140">
        <f t="shared" si="10"/>
        <v>20.666666666666668</v>
      </c>
      <c r="V70" s="9">
        <f t="shared" si="11"/>
        <v>1</v>
      </c>
      <c r="W70" s="172">
        <f t="shared" si="15"/>
        <v>17.733333333333334</v>
      </c>
      <c r="X70" s="142">
        <f t="shared" si="16"/>
        <v>1</v>
      </c>
      <c r="Y70" s="144">
        <f t="shared" si="17"/>
        <v>25.249999999999996</v>
      </c>
      <c r="Z70" s="144">
        <f t="shared" si="18"/>
        <v>29.233333333333338</v>
      </c>
      <c r="AA70" s="144">
        <f t="shared" si="19"/>
        <v>27.455606060606062</v>
      </c>
      <c r="AB70" s="10"/>
      <c r="AC70" s="357" t="str">
        <f>VLOOKUP($B70,'2007-2020 Metadata'!$A$4:$S$214,MATCH("Urban Area /Monitoring Zone",'2007-2020 Metadata'!$A$4:$S$4,0),FALSE)</f>
        <v>Hamilton</v>
      </c>
      <c r="AD70" s="87" t="str">
        <f>VLOOKUP(B70,'2007-2020 Metadata'!$A$6:$A$214,1,FALSE)</f>
        <v>HAM012</v>
      </c>
      <c r="AE70" s="230" t="str">
        <f>VLOOKUP($AD70,'2007-2020 Metadata'!$A$6:$S$214,9,FALSE)</f>
        <v>Hamilton</v>
      </c>
      <c r="AF70" s="248">
        <f>IF(ISBLANK(VLOOKUP($AD70,'2007-2020 Metadata'!$A$6:$S$214,19,FALSE)),"",VLOOKUP($AD70,'2007-2020 Metadata'!$A$6:$S$214,19,FALSE))</f>
        <v>2.8</v>
      </c>
      <c r="AG70" s="88" t="str">
        <f>VLOOKUP($B70,'2007-2020 Metadata'!$A$4:$S$214,MATCH("Site type",'2007-2020 Metadata'!$A$4:$S$4,0),FALSE)</f>
        <v>Local (ex SH)</v>
      </c>
      <c r="AH70" s="143">
        <f t="shared" si="12"/>
        <v>9.1</v>
      </c>
      <c r="AI70" s="143">
        <f t="shared" si="13"/>
        <v>24.8</v>
      </c>
      <c r="AJ70" s="144">
        <f t="shared" si="14"/>
        <v>27.455606060606062</v>
      </c>
    </row>
    <row r="71" spans="2:36" ht="12" customHeight="1" x14ac:dyDescent="0.15">
      <c r="B71" s="123" t="s">
        <v>96</v>
      </c>
      <c r="C71" s="104">
        <f>IF(ISBLANK(VLOOKUP($B71,'Monthly Summary 2013'!$B$7:$Q$152,14,FALSE)),"",IF(ISERROR(VLOOKUP($B71,'Monthly Summary 2013'!$B$7:$Q$152,14,FALSE)=0),"",VLOOKUP($B71,'Monthly Summary 2013'!$B$7:$Q$152,14,FALSE)))</f>
        <v>26.2</v>
      </c>
      <c r="D71" s="119">
        <v>38.5</v>
      </c>
      <c r="E71" s="119">
        <v>36.9</v>
      </c>
      <c r="F71" s="119">
        <v>40.6</v>
      </c>
      <c r="G71" s="119">
        <v>36.200000000000003</v>
      </c>
      <c r="H71" s="119">
        <v>50.7</v>
      </c>
      <c r="I71" s="119">
        <v>39.200000000000003</v>
      </c>
      <c r="J71" s="119">
        <v>39.9</v>
      </c>
      <c r="K71" s="124">
        <v>46.6</v>
      </c>
      <c r="L71" s="124">
        <v>40.5</v>
      </c>
      <c r="M71" s="124">
        <v>44.7</v>
      </c>
      <c r="N71" s="124">
        <v>44.2</v>
      </c>
      <c r="O71" s="124">
        <v>21.1</v>
      </c>
      <c r="P71" s="121">
        <f t="shared" si="5"/>
        <v>39.924999999999997</v>
      </c>
      <c r="Q71" s="121">
        <f t="shared" si="6"/>
        <v>18.226369635210702</v>
      </c>
      <c r="R71" s="122">
        <f t="shared" si="7"/>
        <v>1</v>
      </c>
      <c r="S71" s="140">
        <f t="shared" si="8"/>
        <v>38.666666666666664</v>
      </c>
      <c r="T71" s="24">
        <f t="shared" si="9"/>
        <v>1</v>
      </c>
      <c r="U71" s="140">
        <f t="shared" si="10"/>
        <v>42.333333333333336</v>
      </c>
      <c r="V71" s="9">
        <f t="shared" si="11"/>
        <v>1</v>
      </c>
      <c r="W71" s="172">
        <f t="shared" ref="W71:W102" si="20">IF(AND(($T71&gt;33%),($V71&gt;33%),($X71&gt;=75%)),AVERAGE($D71:$O71),"-")</f>
        <v>39.924999999999997</v>
      </c>
      <c r="X71" s="142">
        <f t="shared" ref="X71:X102" si="21">R71</f>
        <v>1</v>
      </c>
      <c r="Y71" s="144">
        <f t="shared" ref="Y71:Y102" si="22">IF(VLOOKUP($B71,$AD$6:$AJ$158,3,FALSE)="",$S71,IF(ISERROR(AVERAGEIF($AE$6:$AE$158,VLOOKUP($B71,$AD$6:$AJ$158,2,FALSE),$S$6:$S$158)),"",AVERAGEIF($AE$6:$AE$158,VLOOKUP($B71,$AD$6:$AJ$158,2,FALSE),$S$6:$S$158)))</f>
        <v>25.249999999999996</v>
      </c>
      <c r="Z71" s="144">
        <f t="shared" ref="Z71:Z102" si="23">IF(VLOOKUP($B71,$AD$6:$AJ$158,3,FALSE)="",$U71,IF(ISERROR(AVERAGEIF($AE$6:$AE$158,VLOOKUP($B71,$AD$6:$AJ$158,2,FALSE),$U$6:$U$158)),"",AVERAGEIF($AE$6:$AE$158,VLOOKUP($B71,$AD$6:$AJ$158,2,FALSE),$U$6:$U$158)))</f>
        <v>29.233333333333338</v>
      </c>
      <c r="AA71" s="144">
        <f t="shared" ref="AA71:AA102" si="24">IF(VLOOKUP($B71,$AD$6:$AJ$158,3,FALSE)="",$W71,IF(ISERROR(AVERAGEIF($AE$6:$AE$158,VLOOKUP($B71,$AD$6:$AJ$158,2,FALSE),$W$6:$W$158)),"",AVERAGEIF($AE$6:$AE$158,VLOOKUP($B71,$AD$6:$AJ$158,2,FALSE),$W$6:$W$158)))</f>
        <v>27.455606060606062</v>
      </c>
      <c r="AB71" s="10"/>
      <c r="AC71" s="357" t="str">
        <f>VLOOKUP($B71,'2007-2020 Metadata'!$A$4:$S$214,MATCH("Urban Area /Monitoring Zone",'2007-2020 Metadata'!$A$4:$S$4,0),FALSE)</f>
        <v>Hamilton</v>
      </c>
      <c r="AD71" s="87" t="str">
        <f>VLOOKUP(B71,'2007-2020 Metadata'!$A$6:$A$214,1,FALSE)</f>
        <v>HAM013</v>
      </c>
      <c r="AE71" s="230" t="str">
        <f>VLOOKUP($AD71,'2007-2020 Metadata'!$A$6:$S$214,9,FALSE)</f>
        <v>Hamilton</v>
      </c>
      <c r="AF71" s="248">
        <f>IF(ISBLANK(VLOOKUP($AD71,'2007-2020 Metadata'!$A$6:$S$214,19,FALSE)),"",VLOOKUP($AD71,'2007-2020 Metadata'!$A$6:$S$214,19,FALSE))</f>
        <v>2.8</v>
      </c>
      <c r="AG71" s="88" t="str">
        <f>VLOOKUP($B71,'2007-2020 Metadata'!$A$4:$S$214,MATCH("Site type",'2007-2020 Metadata'!$A$4:$S$4,0),FALSE)</f>
        <v>SH</v>
      </c>
      <c r="AH71" s="143">
        <f t="shared" si="12"/>
        <v>21.1</v>
      </c>
      <c r="AI71" s="143">
        <f t="shared" si="13"/>
        <v>50.7</v>
      </c>
      <c r="AJ71" s="144">
        <f t="shared" si="14"/>
        <v>27.455606060606062</v>
      </c>
    </row>
    <row r="72" spans="2:36" ht="12" customHeight="1" x14ac:dyDescent="0.15">
      <c r="B72" s="123" t="s">
        <v>97</v>
      </c>
      <c r="C72" s="104">
        <f>IF(ISBLANK(VLOOKUP($B72,'Monthly Summary 2013'!$B$7:$Q$152,14,FALSE)),"",IF(ISERROR(VLOOKUP($B72,'Monthly Summary 2013'!$B$7:$Q$152,14,FALSE)=0),"",VLOOKUP($B72,'Monthly Summary 2013'!$B$7:$Q$152,14,FALSE)))</f>
        <v>11.8</v>
      </c>
      <c r="D72" s="119">
        <v>26.1</v>
      </c>
      <c r="E72" s="119">
        <v>28.5</v>
      </c>
      <c r="F72" s="119">
        <v>35.799999999999997</v>
      </c>
      <c r="G72" s="119">
        <v>34.799999999999997</v>
      </c>
      <c r="H72" s="119">
        <v>40.4</v>
      </c>
      <c r="I72" s="119">
        <v>40.5</v>
      </c>
      <c r="J72" s="119">
        <v>43.2</v>
      </c>
      <c r="K72" s="124">
        <v>32.299999999999997</v>
      </c>
      <c r="L72" s="124">
        <v>31.5</v>
      </c>
      <c r="M72" s="124">
        <v>35.700000000000003</v>
      </c>
      <c r="N72" s="124">
        <v>22.1</v>
      </c>
      <c r="O72" s="124">
        <v>28.4</v>
      </c>
      <c r="P72" s="121">
        <f t="shared" ref="P72:P136" si="25">(AVERAGE(D72:O72))</f>
        <v>33.274999999999999</v>
      </c>
      <c r="Q72" s="121">
        <f t="shared" si="6"/>
        <v>19.073390130585789</v>
      </c>
      <c r="R72" s="122">
        <f t="shared" si="7"/>
        <v>1</v>
      </c>
      <c r="S72" s="140">
        <f t="shared" ref="S72:S135" si="26">IF($T72=0%,"",IF($T72&gt;66%,AVERAGE($D72:$F72),"-"))</f>
        <v>30.133333333333336</v>
      </c>
      <c r="T72" s="24">
        <f t="shared" ref="T72:T135" si="27">COUNT(D72:F72)/3</f>
        <v>1</v>
      </c>
      <c r="U72" s="140">
        <f t="shared" ref="U72:U135" si="28">IF($V72=0%,"",IF($V72&gt;66%,AVERAGE($J72:$L72),"-"))</f>
        <v>35.666666666666664</v>
      </c>
      <c r="V72" s="9">
        <f t="shared" ref="V72:V135" si="29">COUNT(J72:L72)/3</f>
        <v>1</v>
      </c>
      <c r="W72" s="172">
        <f t="shared" si="20"/>
        <v>33.274999999999999</v>
      </c>
      <c r="X72" s="142">
        <f t="shared" si="21"/>
        <v>1</v>
      </c>
      <c r="Y72" s="144">
        <f t="shared" si="22"/>
        <v>25.249999999999996</v>
      </c>
      <c r="Z72" s="144">
        <f t="shared" si="23"/>
        <v>29.233333333333338</v>
      </c>
      <c r="AA72" s="144">
        <f t="shared" si="24"/>
        <v>27.455606060606062</v>
      </c>
      <c r="AB72" s="10"/>
      <c r="AC72" s="357" t="str">
        <f>VLOOKUP($B72,'2007-2020 Metadata'!$A$4:$S$214,MATCH("Urban Area /Monitoring Zone",'2007-2020 Metadata'!$A$4:$S$4,0),FALSE)</f>
        <v>Hamilton</v>
      </c>
      <c r="AD72" s="87" t="str">
        <f>VLOOKUP(B72,'2007-2020 Metadata'!$A$6:$A$214,1,FALSE)</f>
        <v>HAM014</v>
      </c>
      <c r="AE72" s="230" t="str">
        <f>VLOOKUP($AD72,'2007-2020 Metadata'!$A$6:$S$214,9,FALSE)</f>
        <v>Hamilton</v>
      </c>
      <c r="AF72" s="248">
        <f>IF(ISBLANK(VLOOKUP($AD72,'2007-2020 Metadata'!$A$6:$S$214,19,FALSE)),"",VLOOKUP($AD72,'2007-2020 Metadata'!$A$6:$S$214,19,FALSE))</f>
        <v>2.2000000000000002</v>
      </c>
      <c r="AG72" s="88" t="str">
        <f>VLOOKUP($B72,'2007-2020 Metadata'!$A$4:$S$214,MATCH("Site type",'2007-2020 Metadata'!$A$4:$S$4,0),FALSE)</f>
        <v>Local</v>
      </c>
      <c r="AH72" s="143">
        <f t="shared" ref="AH72:AH133" si="30">MIN($D72:$O72)</f>
        <v>22.1</v>
      </c>
      <c r="AI72" s="143">
        <f t="shared" ref="AI72:AI133" si="31">MAX($D72:$O72)</f>
        <v>43.2</v>
      </c>
      <c r="AJ72" s="144">
        <f t="shared" ref="AJ72:AJ135" si="32">IF($X72&gt;=75%,$AA72," ")</f>
        <v>27.455606060606062</v>
      </c>
    </row>
    <row r="73" spans="2:36" ht="12" customHeight="1" x14ac:dyDescent="0.15">
      <c r="B73" s="123" t="s">
        <v>98</v>
      </c>
      <c r="C73" s="104">
        <f>IF(ISBLANK(VLOOKUP($B73,'Monthly Summary 2013'!$B$7:$Q$152,14,FALSE)),"",IF(ISERROR(VLOOKUP($B73,'Monthly Summary 2013'!$B$7:$Q$152,14,FALSE)=0),"",VLOOKUP($B73,'Monthly Summary 2013'!$B$7:$Q$152,14,FALSE)))</f>
        <v>16.3</v>
      </c>
      <c r="D73" s="119">
        <v>11.9</v>
      </c>
      <c r="E73" s="119">
        <v>18.600000000000001</v>
      </c>
      <c r="F73" s="119">
        <v>29.3</v>
      </c>
      <c r="G73" s="119">
        <v>29.3</v>
      </c>
      <c r="H73" s="119">
        <v>29.7</v>
      </c>
      <c r="I73" s="119"/>
      <c r="J73" s="119">
        <v>31.7</v>
      </c>
      <c r="K73" s="124">
        <v>27</v>
      </c>
      <c r="L73" s="124">
        <v>26.4</v>
      </c>
      <c r="M73" s="124">
        <v>27</v>
      </c>
      <c r="N73" s="124">
        <v>20.7</v>
      </c>
      <c r="O73" s="124">
        <v>20.9</v>
      </c>
      <c r="P73" s="121">
        <f t="shared" si="25"/>
        <v>24.772727272727273</v>
      </c>
      <c r="Q73" s="121">
        <f t="shared" ref="Q73:Q137" si="33">IFERROR((STDEV(D73:O73)/P73)*100,"")</f>
        <v>24.261249589218096</v>
      </c>
      <c r="R73" s="122">
        <f t="shared" ref="R73:R136" si="34">COUNT(D73:O73)/COUNT($D$6:$O$6)</f>
        <v>0.91666666666666663</v>
      </c>
      <c r="S73" s="140">
        <f t="shared" si="26"/>
        <v>19.933333333333334</v>
      </c>
      <c r="T73" s="24">
        <f t="shared" si="27"/>
        <v>1</v>
      </c>
      <c r="U73" s="140">
        <f t="shared" si="28"/>
        <v>28.366666666666664</v>
      </c>
      <c r="V73" s="9">
        <f t="shared" si="29"/>
        <v>1</v>
      </c>
      <c r="W73" s="172">
        <f t="shared" si="20"/>
        <v>24.772727272727273</v>
      </c>
      <c r="X73" s="142">
        <f t="shared" si="21"/>
        <v>0.91666666666666663</v>
      </c>
      <c r="Y73" s="144">
        <f t="shared" si="22"/>
        <v>25.249999999999996</v>
      </c>
      <c r="Z73" s="144">
        <f t="shared" si="23"/>
        <v>29.233333333333338</v>
      </c>
      <c r="AA73" s="144">
        <f t="shared" si="24"/>
        <v>27.455606060606062</v>
      </c>
      <c r="AB73" s="10"/>
      <c r="AC73" s="357" t="str">
        <f>VLOOKUP($B73,'2007-2020 Metadata'!$A$4:$S$214,MATCH("Urban Area /Monitoring Zone",'2007-2020 Metadata'!$A$4:$S$4,0),FALSE)</f>
        <v>Hamilton</v>
      </c>
      <c r="AD73" s="87" t="str">
        <f>VLOOKUP(B73,'2007-2020 Metadata'!$A$6:$A$214,1,FALSE)</f>
        <v>HAM015</v>
      </c>
      <c r="AE73" s="230" t="str">
        <f>VLOOKUP($AD73,'2007-2020 Metadata'!$A$6:$S$214,9,FALSE)</f>
        <v>Hamilton</v>
      </c>
      <c r="AF73" s="248">
        <f>IF(ISBLANK(VLOOKUP($AD73,'2007-2020 Metadata'!$A$6:$S$214,19,FALSE)),"",VLOOKUP($AD73,'2007-2020 Metadata'!$A$6:$S$214,19,FALSE))</f>
        <v>2.7</v>
      </c>
      <c r="AG73" s="88" t="str">
        <f>VLOOKUP($B73,'2007-2020 Metadata'!$A$4:$S$214,MATCH("Site type",'2007-2020 Metadata'!$A$4:$S$4,0),FALSE)</f>
        <v>Local</v>
      </c>
      <c r="AH73" s="143">
        <f t="shared" si="30"/>
        <v>11.9</v>
      </c>
      <c r="AI73" s="143">
        <f t="shared" si="31"/>
        <v>31.7</v>
      </c>
      <c r="AJ73" s="144">
        <f t="shared" si="32"/>
        <v>27.455606060606062</v>
      </c>
    </row>
    <row r="74" spans="2:36" ht="12" customHeight="1" x14ac:dyDescent="0.15">
      <c r="B74" s="123" t="s">
        <v>99</v>
      </c>
      <c r="C74" s="104">
        <f>IF(ISBLANK(VLOOKUP($B74,'Monthly Summary 2013'!$B$7:$Q$152,14,FALSE)),"",IF(ISERROR(VLOOKUP($B74,'Monthly Summary 2013'!$B$7:$Q$152,14,FALSE)=0),"",VLOOKUP($B74,'Monthly Summary 2013'!$B$7:$Q$152,14,FALSE)))</f>
        <v>11.1</v>
      </c>
      <c r="D74" s="119">
        <v>16</v>
      </c>
      <c r="E74" s="119">
        <v>22</v>
      </c>
      <c r="F74" s="119">
        <v>28.3</v>
      </c>
      <c r="G74" s="119">
        <v>24.9</v>
      </c>
      <c r="H74" s="119">
        <v>30</v>
      </c>
      <c r="I74" s="119">
        <v>31.1</v>
      </c>
      <c r="J74" s="119">
        <v>30.1</v>
      </c>
      <c r="K74" s="124">
        <v>26</v>
      </c>
      <c r="L74" s="124">
        <v>21.3</v>
      </c>
      <c r="M74" s="124">
        <v>15.7</v>
      </c>
      <c r="N74" s="124">
        <v>13.5</v>
      </c>
      <c r="O74" s="124">
        <v>16.3</v>
      </c>
      <c r="P74" s="121">
        <f t="shared" si="25"/>
        <v>22.933333333333334</v>
      </c>
      <c r="Q74" s="121">
        <f t="shared" si="33"/>
        <v>27.796093136404444</v>
      </c>
      <c r="R74" s="122">
        <f t="shared" si="34"/>
        <v>1</v>
      </c>
      <c r="S74" s="140">
        <f t="shared" si="26"/>
        <v>22.099999999999998</v>
      </c>
      <c r="T74" s="24">
        <f t="shared" si="27"/>
        <v>1</v>
      </c>
      <c r="U74" s="140">
        <f t="shared" si="28"/>
        <v>25.8</v>
      </c>
      <c r="V74" s="9">
        <f t="shared" si="29"/>
        <v>1</v>
      </c>
      <c r="W74" s="172">
        <f t="shared" si="20"/>
        <v>22.933333333333334</v>
      </c>
      <c r="X74" s="142">
        <f t="shared" si="21"/>
        <v>1</v>
      </c>
      <c r="Y74" s="144">
        <f t="shared" si="22"/>
        <v>25.249999999999996</v>
      </c>
      <c r="Z74" s="144">
        <f t="shared" si="23"/>
        <v>29.233333333333338</v>
      </c>
      <c r="AA74" s="144">
        <f t="shared" si="24"/>
        <v>27.455606060606062</v>
      </c>
      <c r="AB74" s="10"/>
      <c r="AC74" s="357" t="str">
        <f>VLOOKUP($B74,'2007-2020 Metadata'!$A$4:$S$214,MATCH("Urban Area /Monitoring Zone",'2007-2020 Metadata'!$A$4:$S$4,0),FALSE)</f>
        <v>Hamilton</v>
      </c>
      <c r="AD74" s="87" t="str">
        <f>VLOOKUP(B74,'2007-2020 Metadata'!$A$6:$A$214,1,FALSE)</f>
        <v>HAM016</v>
      </c>
      <c r="AE74" s="230" t="str">
        <f>VLOOKUP($AD74,'2007-2020 Metadata'!$A$6:$S$214,9,FALSE)</f>
        <v>Hamilton</v>
      </c>
      <c r="AF74" s="248">
        <f>IF(ISBLANK(VLOOKUP($AD74,'2007-2020 Metadata'!$A$6:$S$214,19,FALSE)),"",VLOOKUP($AD74,'2007-2020 Metadata'!$A$6:$S$214,19,FALSE))</f>
        <v>2.6</v>
      </c>
      <c r="AG74" s="88" t="str">
        <f>VLOOKUP($B74,'2007-2020 Metadata'!$A$4:$S$214,MATCH("Site type",'2007-2020 Metadata'!$A$4:$S$4,0),FALSE)</f>
        <v>Local</v>
      </c>
      <c r="AH74" s="143">
        <f t="shared" si="30"/>
        <v>13.5</v>
      </c>
      <c r="AI74" s="143">
        <f t="shared" si="31"/>
        <v>31.1</v>
      </c>
      <c r="AJ74" s="144">
        <f t="shared" si="32"/>
        <v>27.455606060606062</v>
      </c>
    </row>
    <row r="75" spans="2:36" ht="12" customHeight="1" x14ac:dyDescent="0.15">
      <c r="B75" s="123" t="s">
        <v>100</v>
      </c>
      <c r="C75" s="104">
        <f>IF(ISBLANK(VLOOKUP($B75,'Monthly Summary 2013'!$B$7:$Q$152,14,FALSE)),"",IF(ISERROR(VLOOKUP($B75,'Monthly Summary 2013'!$B$7:$Q$152,14,FALSE)=0),"",VLOOKUP($B75,'Monthly Summary 2013'!$B$7:$Q$152,14,FALSE)))</f>
        <v>5.9</v>
      </c>
      <c r="D75" s="119">
        <v>8.9</v>
      </c>
      <c r="E75" s="119">
        <v>7.1</v>
      </c>
      <c r="F75" s="119">
        <v>11.1</v>
      </c>
      <c r="G75" s="119">
        <v>12.6</v>
      </c>
      <c r="H75" s="119">
        <v>17.5</v>
      </c>
      <c r="I75" s="119">
        <v>16.899999999999999</v>
      </c>
      <c r="J75" s="119">
        <v>13.9</v>
      </c>
      <c r="K75" s="124">
        <v>12.8</v>
      </c>
      <c r="L75" s="124">
        <v>9.1999999999999993</v>
      </c>
      <c r="M75" s="124">
        <v>10.4</v>
      </c>
      <c r="N75" s="124">
        <v>7.1</v>
      </c>
      <c r="O75" s="124">
        <v>7.1</v>
      </c>
      <c r="P75" s="121">
        <f t="shared" si="25"/>
        <v>11.216666666666667</v>
      </c>
      <c r="Q75" s="121">
        <f t="shared" si="33"/>
        <v>32.296708684025283</v>
      </c>
      <c r="R75" s="122">
        <f t="shared" si="34"/>
        <v>1</v>
      </c>
      <c r="S75" s="140">
        <f t="shared" si="26"/>
        <v>9.0333333333333332</v>
      </c>
      <c r="T75" s="24">
        <f t="shared" si="27"/>
        <v>1</v>
      </c>
      <c r="U75" s="140">
        <f t="shared" si="28"/>
        <v>11.966666666666669</v>
      </c>
      <c r="V75" s="9">
        <f t="shared" si="29"/>
        <v>1</v>
      </c>
      <c r="W75" s="172">
        <f t="shared" si="20"/>
        <v>11.216666666666667</v>
      </c>
      <c r="X75" s="142">
        <f t="shared" si="21"/>
        <v>1</v>
      </c>
      <c r="Y75" s="144">
        <f t="shared" si="22"/>
        <v>25.249999999999996</v>
      </c>
      <c r="Z75" s="144">
        <f t="shared" si="23"/>
        <v>29.233333333333338</v>
      </c>
      <c r="AA75" s="144">
        <f t="shared" si="24"/>
        <v>27.455606060606062</v>
      </c>
      <c r="AB75" s="10"/>
      <c r="AC75" s="357" t="str">
        <f>VLOOKUP($B75,'2007-2020 Metadata'!$A$4:$S$214,MATCH("Urban Area /Monitoring Zone",'2007-2020 Metadata'!$A$4:$S$4,0),FALSE)</f>
        <v>Hamilton</v>
      </c>
      <c r="AD75" s="87" t="str">
        <f>VLOOKUP(B75,'2007-2020 Metadata'!$A$6:$A$214,1,FALSE)</f>
        <v>HAM017</v>
      </c>
      <c r="AE75" s="230" t="str">
        <f>VLOOKUP($AD75,'2007-2020 Metadata'!$A$6:$S$214,9,FALSE)</f>
        <v>Hamilton</v>
      </c>
      <c r="AF75" s="248">
        <f>IF(ISBLANK(VLOOKUP($AD75,'2007-2020 Metadata'!$A$6:$S$214,19,FALSE)),"",VLOOKUP($AD75,'2007-2020 Metadata'!$A$6:$S$214,19,FALSE))</f>
        <v>5</v>
      </c>
      <c r="AG75" s="88" t="str">
        <f>VLOOKUP($B75,'2007-2020 Metadata'!$A$4:$S$214,MATCH("Site type",'2007-2020 Metadata'!$A$4:$S$4,0),FALSE)</f>
        <v>Background</v>
      </c>
      <c r="AH75" s="143">
        <f t="shared" si="30"/>
        <v>7.1</v>
      </c>
      <c r="AI75" s="143">
        <f t="shared" si="31"/>
        <v>17.5</v>
      </c>
      <c r="AJ75" s="144">
        <f t="shared" si="32"/>
        <v>27.455606060606062</v>
      </c>
    </row>
    <row r="76" spans="2:36" ht="12" customHeight="1" x14ac:dyDescent="0.15">
      <c r="B76" s="123" t="s">
        <v>101</v>
      </c>
      <c r="C76" s="104">
        <f>IF(ISBLANK(VLOOKUP($B76,'Monthly Summary 2013'!$B$7:$Q$152,14,FALSE)),"",IF(ISERROR(VLOOKUP($B76,'Monthly Summary 2013'!$B$7:$Q$152,14,FALSE)=0),"",VLOOKUP($B76,'Monthly Summary 2013'!$B$7:$Q$152,14,FALSE)))</f>
        <v>23.8</v>
      </c>
      <c r="D76" s="119">
        <v>15.8</v>
      </c>
      <c r="E76" s="119">
        <v>20.5</v>
      </c>
      <c r="F76" s="119">
        <v>26.5</v>
      </c>
      <c r="G76" s="119">
        <v>28.6</v>
      </c>
      <c r="H76" s="119">
        <v>31.2</v>
      </c>
      <c r="I76" s="119">
        <v>27</v>
      </c>
      <c r="J76" s="119">
        <v>27.5</v>
      </c>
      <c r="K76" s="124">
        <v>21.7</v>
      </c>
      <c r="L76" s="124">
        <v>22.3</v>
      </c>
      <c r="M76" s="124">
        <v>26</v>
      </c>
      <c r="N76" s="124">
        <v>20.2</v>
      </c>
      <c r="O76" s="124">
        <v>18</v>
      </c>
      <c r="P76" s="121">
        <f t="shared" si="25"/>
        <v>23.775000000000002</v>
      </c>
      <c r="Q76" s="121">
        <f t="shared" si="33"/>
        <v>19.728454204479437</v>
      </c>
      <c r="R76" s="122">
        <f t="shared" si="34"/>
        <v>1</v>
      </c>
      <c r="S76" s="140">
        <f t="shared" si="26"/>
        <v>20.933333333333334</v>
      </c>
      <c r="T76" s="24">
        <f t="shared" si="27"/>
        <v>1</v>
      </c>
      <c r="U76" s="140">
        <f t="shared" si="28"/>
        <v>23.833333333333332</v>
      </c>
      <c r="V76" s="9">
        <f t="shared" si="29"/>
        <v>1</v>
      </c>
      <c r="W76" s="172">
        <f t="shared" si="20"/>
        <v>23.775000000000002</v>
      </c>
      <c r="X76" s="142">
        <f t="shared" si="21"/>
        <v>1</v>
      </c>
      <c r="Y76" s="144">
        <f t="shared" si="22"/>
        <v>19.316666666666666</v>
      </c>
      <c r="Z76" s="144">
        <f t="shared" si="23"/>
        <v>23.93333333333333</v>
      </c>
      <c r="AA76" s="144">
        <f t="shared" si="24"/>
        <v>22.423376623376623</v>
      </c>
      <c r="AB76" s="10"/>
      <c r="AC76" s="357" t="str">
        <f>VLOOKUP($B76,'2007-2020 Metadata'!$A$4:$S$214,MATCH("Urban Area /Monitoring Zone",'2007-2020 Metadata'!$A$4:$S$4,0),FALSE)</f>
        <v>Tauranga</v>
      </c>
      <c r="AD76" s="87" t="str">
        <f>VLOOKUP(B76,'2007-2020 Metadata'!$A$6:$A$214,1,FALSE)</f>
        <v>HAM018</v>
      </c>
      <c r="AE76" s="230" t="str">
        <f>VLOOKUP($AD76,'2007-2020 Metadata'!$A$6:$S$214,9,FALSE)</f>
        <v>Tauranga</v>
      </c>
      <c r="AF76" s="248">
        <f>IF(ISBLANK(VLOOKUP($AD76,'2007-2020 Metadata'!$A$6:$S$214,19,FALSE)),"",VLOOKUP($AD76,'2007-2020 Metadata'!$A$6:$S$214,19,FALSE))</f>
        <v>2.5</v>
      </c>
      <c r="AG76" s="88" t="str">
        <f>VLOOKUP($B76,'2007-2020 Metadata'!$A$4:$S$214,MATCH("Site type",'2007-2020 Metadata'!$A$4:$S$4,0),FALSE)</f>
        <v>SH</v>
      </c>
      <c r="AH76" s="143">
        <f t="shared" si="30"/>
        <v>15.8</v>
      </c>
      <c r="AI76" s="143">
        <f t="shared" si="31"/>
        <v>31.2</v>
      </c>
      <c r="AJ76" s="144">
        <f t="shared" si="32"/>
        <v>22.423376623376623</v>
      </c>
    </row>
    <row r="77" spans="2:36" ht="12" customHeight="1" x14ac:dyDescent="0.15">
      <c r="B77" s="123" t="s">
        <v>102</v>
      </c>
      <c r="C77" s="104">
        <f>IF(ISBLANK(VLOOKUP($B77,'Monthly Summary 2013'!$B$7:$Q$152,14,FALSE)),"",IF(ISERROR(VLOOKUP($B77,'Monthly Summary 2013'!$B$7:$Q$152,14,FALSE)=0),"",VLOOKUP($B77,'Monthly Summary 2013'!$B$7:$Q$152,14,FALSE)))</f>
        <v>13.5</v>
      </c>
      <c r="D77" s="119">
        <v>11.7</v>
      </c>
      <c r="E77" s="119">
        <v>14.2</v>
      </c>
      <c r="F77" s="119"/>
      <c r="G77" s="119">
        <v>17.399999999999999</v>
      </c>
      <c r="H77" s="119">
        <v>23.5</v>
      </c>
      <c r="I77" s="119">
        <v>25.6</v>
      </c>
      <c r="J77" s="119">
        <v>24</v>
      </c>
      <c r="K77" s="124">
        <v>20.6</v>
      </c>
      <c r="L77" s="124">
        <v>18.899999999999999</v>
      </c>
      <c r="M77" s="124">
        <v>15.5</v>
      </c>
      <c r="N77" s="124">
        <v>12.6</v>
      </c>
      <c r="O77" s="124">
        <v>13.6</v>
      </c>
      <c r="P77" s="121">
        <f t="shared" si="25"/>
        <v>17.963636363636365</v>
      </c>
      <c r="Q77" s="121">
        <f t="shared" si="33"/>
        <v>27.318505645604318</v>
      </c>
      <c r="R77" s="122">
        <f t="shared" si="34"/>
        <v>0.91666666666666663</v>
      </c>
      <c r="S77" s="140">
        <f t="shared" si="26"/>
        <v>12.95</v>
      </c>
      <c r="T77" s="24">
        <f t="shared" si="27"/>
        <v>0.66666666666666663</v>
      </c>
      <c r="U77" s="140">
        <f t="shared" si="28"/>
        <v>21.166666666666668</v>
      </c>
      <c r="V77" s="9">
        <f t="shared" si="29"/>
        <v>1</v>
      </c>
      <c r="W77" s="172">
        <f t="shared" si="20"/>
        <v>17.963636363636365</v>
      </c>
      <c r="X77" s="142">
        <f t="shared" si="21"/>
        <v>0.91666666666666663</v>
      </c>
      <c r="Y77" s="144">
        <f t="shared" si="22"/>
        <v>19.316666666666666</v>
      </c>
      <c r="Z77" s="144">
        <f t="shared" si="23"/>
        <v>23.93333333333333</v>
      </c>
      <c r="AA77" s="144">
        <f t="shared" si="24"/>
        <v>22.423376623376623</v>
      </c>
      <c r="AB77" s="10"/>
      <c r="AC77" s="357" t="str">
        <f>VLOOKUP($B77,'2007-2020 Metadata'!$A$4:$S$214,MATCH("Urban Area /Monitoring Zone",'2007-2020 Metadata'!$A$4:$S$4,0),FALSE)</f>
        <v>Tauranga</v>
      </c>
      <c r="AD77" s="87" t="str">
        <f>VLOOKUP(B77,'2007-2020 Metadata'!$A$6:$A$214,1,FALSE)</f>
        <v>HAM019</v>
      </c>
      <c r="AE77" s="230" t="str">
        <f>VLOOKUP($AD77,'2007-2020 Metadata'!$A$6:$S$214,9,FALSE)</f>
        <v>Tauranga</v>
      </c>
      <c r="AF77" s="248">
        <f>IF(ISBLANK(VLOOKUP($AD77,'2007-2020 Metadata'!$A$6:$S$214,19,FALSE)),"",VLOOKUP($AD77,'2007-2020 Metadata'!$A$6:$S$214,19,FALSE))</f>
        <v>2.7</v>
      </c>
      <c r="AG77" s="88" t="str">
        <f>VLOOKUP($B77,'2007-2020 Metadata'!$A$4:$S$214,MATCH("Site type",'2007-2020 Metadata'!$A$4:$S$4,0),FALSE)</f>
        <v>Local</v>
      </c>
      <c r="AH77" s="143">
        <f t="shared" si="30"/>
        <v>11.7</v>
      </c>
      <c r="AI77" s="143">
        <f t="shared" si="31"/>
        <v>25.6</v>
      </c>
      <c r="AJ77" s="144">
        <f t="shared" si="32"/>
        <v>22.423376623376623</v>
      </c>
    </row>
    <row r="78" spans="2:36" ht="12" customHeight="1" x14ac:dyDescent="0.15">
      <c r="B78" s="123" t="s">
        <v>103</v>
      </c>
      <c r="C78" s="104">
        <f>IF(ISBLANK(VLOOKUP($B78,'Monthly Summary 2013'!$B$7:$Q$152,14,FALSE)),"",IF(ISERROR(VLOOKUP($B78,'Monthly Summary 2013'!$B$7:$Q$152,14,FALSE)=0),"",VLOOKUP($B78,'Monthly Summary 2013'!$B$7:$Q$152,14,FALSE)))</f>
        <v>13.7</v>
      </c>
      <c r="D78" s="119">
        <v>15.9</v>
      </c>
      <c r="E78" s="119">
        <v>12.3</v>
      </c>
      <c r="F78" s="119">
        <v>21.3</v>
      </c>
      <c r="G78" s="119">
        <v>24.6</v>
      </c>
      <c r="H78" s="119">
        <v>25.2</v>
      </c>
      <c r="I78" s="119">
        <v>22.3</v>
      </c>
      <c r="J78" s="119">
        <v>24.2</v>
      </c>
      <c r="K78" s="124">
        <v>21.5</v>
      </c>
      <c r="L78" s="124">
        <v>18.600000000000001</v>
      </c>
      <c r="M78" s="124">
        <v>14.4</v>
      </c>
      <c r="N78" s="124">
        <v>12.5</v>
      </c>
      <c r="O78" s="124">
        <v>13.3</v>
      </c>
      <c r="P78" s="121">
        <f t="shared" si="25"/>
        <v>18.841666666666665</v>
      </c>
      <c r="Q78" s="121">
        <f t="shared" si="33"/>
        <v>26.271642483169067</v>
      </c>
      <c r="R78" s="122">
        <f t="shared" si="34"/>
        <v>1</v>
      </c>
      <c r="S78" s="140">
        <f t="shared" si="26"/>
        <v>16.5</v>
      </c>
      <c r="T78" s="24">
        <f t="shared" si="27"/>
        <v>1</v>
      </c>
      <c r="U78" s="140">
        <f t="shared" si="28"/>
        <v>21.433333333333337</v>
      </c>
      <c r="V78" s="9">
        <f t="shared" si="29"/>
        <v>1</v>
      </c>
      <c r="W78" s="172">
        <f t="shared" si="20"/>
        <v>18.841666666666665</v>
      </c>
      <c r="X78" s="142">
        <f t="shared" si="21"/>
        <v>1</v>
      </c>
      <c r="Y78" s="144">
        <f t="shared" si="22"/>
        <v>19.316666666666666</v>
      </c>
      <c r="Z78" s="144">
        <f t="shared" si="23"/>
        <v>23.93333333333333</v>
      </c>
      <c r="AA78" s="144">
        <f t="shared" si="24"/>
        <v>22.423376623376623</v>
      </c>
      <c r="AB78" s="10"/>
      <c r="AC78" s="357" t="str">
        <f>VLOOKUP($B78,'2007-2020 Metadata'!$A$4:$S$214,MATCH("Urban Area /Monitoring Zone",'2007-2020 Metadata'!$A$4:$S$4,0),FALSE)</f>
        <v>Tauranga</v>
      </c>
      <c r="AD78" s="87" t="str">
        <f>VLOOKUP(B78,'2007-2020 Metadata'!$A$6:$A$214,1,FALSE)</f>
        <v>HAM020</v>
      </c>
      <c r="AE78" s="230" t="str">
        <f>VLOOKUP($AD78,'2007-2020 Metadata'!$A$6:$S$214,9,FALSE)</f>
        <v>Tauranga</v>
      </c>
      <c r="AF78" s="248">
        <f>IF(ISBLANK(VLOOKUP($AD78,'2007-2020 Metadata'!$A$6:$S$214,19,FALSE)),"",VLOOKUP($AD78,'2007-2020 Metadata'!$A$6:$S$214,19,FALSE))</f>
        <v>2.8</v>
      </c>
      <c r="AG78" s="88" t="str">
        <f>VLOOKUP($B78,'2007-2020 Metadata'!$A$4:$S$214,MATCH("Site type",'2007-2020 Metadata'!$A$4:$S$4,0),FALSE)</f>
        <v>Local</v>
      </c>
      <c r="AH78" s="143">
        <f t="shared" si="30"/>
        <v>12.3</v>
      </c>
      <c r="AI78" s="143">
        <f t="shared" si="31"/>
        <v>25.2</v>
      </c>
      <c r="AJ78" s="144">
        <f t="shared" si="32"/>
        <v>22.423376623376623</v>
      </c>
    </row>
    <row r="79" spans="2:36" ht="12" customHeight="1" x14ac:dyDescent="0.15">
      <c r="B79" s="123" t="s">
        <v>104</v>
      </c>
      <c r="C79" s="104">
        <f>IF(ISBLANK(VLOOKUP($B79,'Monthly Summary 2013'!$B$7:$Q$152,14,FALSE)),"",IF(ISERROR(VLOOKUP($B79,'Monthly Summary 2013'!$B$7:$Q$152,14,FALSE)=0),"",VLOOKUP($B79,'Monthly Summary 2013'!$B$7:$Q$152,14,FALSE)))</f>
        <v>6.5</v>
      </c>
      <c r="D79" s="119">
        <v>8.9</v>
      </c>
      <c r="E79" s="119">
        <v>8.9</v>
      </c>
      <c r="F79" s="119">
        <v>11.3</v>
      </c>
      <c r="G79" s="119">
        <v>14.2</v>
      </c>
      <c r="H79" s="119">
        <v>12</v>
      </c>
      <c r="I79" s="119">
        <v>11.9</v>
      </c>
      <c r="J79" s="119">
        <v>12.4</v>
      </c>
      <c r="K79" s="124">
        <v>7.3</v>
      </c>
      <c r="L79" s="124">
        <v>8.1</v>
      </c>
      <c r="M79" s="124">
        <v>8</v>
      </c>
      <c r="N79" s="124">
        <v>9</v>
      </c>
      <c r="O79" s="124">
        <v>8.4</v>
      </c>
      <c r="P79" s="121">
        <f t="shared" si="25"/>
        <v>10.033333333333333</v>
      </c>
      <c r="Q79" s="121">
        <f t="shared" si="33"/>
        <v>21.994076311639098</v>
      </c>
      <c r="R79" s="122">
        <f t="shared" si="34"/>
        <v>1</v>
      </c>
      <c r="S79" s="140">
        <f t="shared" si="26"/>
        <v>9.7000000000000011</v>
      </c>
      <c r="T79" s="24">
        <f t="shared" si="27"/>
        <v>1</v>
      </c>
      <c r="U79" s="140">
        <f t="shared" si="28"/>
        <v>9.2666666666666657</v>
      </c>
      <c r="V79" s="9">
        <f t="shared" si="29"/>
        <v>1</v>
      </c>
      <c r="W79" s="172">
        <f t="shared" si="20"/>
        <v>10.033333333333333</v>
      </c>
      <c r="X79" s="142">
        <f t="shared" si="21"/>
        <v>1</v>
      </c>
      <c r="Y79" s="144">
        <f t="shared" si="22"/>
        <v>19.316666666666666</v>
      </c>
      <c r="Z79" s="144">
        <f t="shared" si="23"/>
        <v>23.93333333333333</v>
      </c>
      <c r="AA79" s="144">
        <f t="shared" si="24"/>
        <v>22.423376623376623</v>
      </c>
      <c r="AB79" s="10"/>
      <c r="AC79" s="357" t="str">
        <f>VLOOKUP($B79,'2007-2020 Metadata'!$A$4:$S$214,MATCH("Urban Area /Monitoring Zone",'2007-2020 Metadata'!$A$4:$S$4,0),FALSE)</f>
        <v>Tauranga</v>
      </c>
      <c r="AD79" s="87" t="str">
        <f>VLOOKUP(B79,'2007-2020 Metadata'!$A$6:$A$214,1,FALSE)</f>
        <v>HAM021</v>
      </c>
      <c r="AE79" s="230" t="str">
        <f>VLOOKUP($AD79,'2007-2020 Metadata'!$A$6:$S$214,9,FALSE)</f>
        <v>Tauranga</v>
      </c>
      <c r="AF79" s="248">
        <f>IF(ISBLANK(VLOOKUP($AD79,'2007-2020 Metadata'!$A$6:$S$214,19,FALSE)),"",VLOOKUP($AD79,'2007-2020 Metadata'!$A$6:$S$214,19,FALSE))</f>
        <v>3</v>
      </c>
      <c r="AG79" s="88" t="str">
        <f>VLOOKUP($B79,'2007-2020 Metadata'!$A$4:$S$214,MATCH("Site type",'2007-2020 Metadata'!$A$4:$S$4,0),FALSE)</f>
        <v>Background</v>
      </c>
      <c r="AH79" s="143">
        <f t="shared" si="30"/>
        <v>7.3</v>
      </c>
      <c r="AI79" s="143">
        <f t="shared" si="31"/>
        <v>14.2</v>
      </c>
      <c r="AJ79" s="144">
        <f t="shared" si="32"/>
        <v>22.423376623376623</v>
      </c>
    </row>
    <row r="80" spans="2:36" ht="12" customHeight="1" x14ac:dyDescent="0.15">
      <c r="B80" s="123" t="s">
        <v>105</v>
      </c>
      <c r="C80" s="104" t="str">
        <f>IF(ISBLANK(VLOOKUP($B80,'Monthly Summary 2013'!$B$7:$Q$152,14,FALSE)),"",IF(ISERROR(VLOOKUP($B80,'Monthly Summary 2013'!$B$7:$Q$152,14,FALSE)=0),"",VLOOKUP($B80,'Monthly Summary 2013'!$B$7:$Q$152,14,FALSE)))</f>
        <v/>
      </c>
      <c r="D80" s="119">
        <v>10.8</v>
      </c>
      <c r="E80" s="119">
        <v>17.3</v>
      </c>
      <c r="F80" s="119">
        <v>18</v>
      </c>
      <c r="G80" s="119">
        <v>19.600000000000001</v>
      </c>
      <c r="H80" s="119">
        <v>23</v>
      </c>
      <c r="I80" s="119">
        <v>24.6</v>
      </c>
      <c r="J80" s="119">
        <v>18.100000000000001</v>
      </c>
      <c r="K80" s="124">
        <v>17.7</v>
      </c>
      <c r="L80" s="124">
        <v>16.5</v>
      </c>
      <c r="M80" s="124">
        <v>12.8</v>
      </c>
      <c r="N80" s="124">
        <v>12.7</v>
      </c>
      <c r="O80" s="124">
        <v>14.5</v>
      </c>
      <c r="P80" s="121">
        <f t="shared" si="25"/>
        <v>17.133333333333333</v>
      </c>
      <c r="Q80" s="121">
        <f t="shared" si="33"/>
        <v>23.881813746121274</v>
      </c>
      <c r="R80" s="122">
        <f t="shared" si="34"/>
        <v>1</v>
      </c>
      <c r="S80" s="140">
        <f t="shared" si="26"/>
        <v>15.366666666666667</v>
      </c>
      <c r="T80" s="24">
        <f t="shared" si="27"/>
        <v>1</v>
      </c>
      <c r="U80" s="140">
        <f t="shared" si="28"/>
        <v>17.433333333333334</v>
      </c>
      <c r="V80" s="9">
        <f t="shared" si="29"/>
        <v>1</v>
      </c>
      <c r="W80" s="172">
        <f t="shared" si="20"/>
        <v>17.133333333333333</v>
      </c>
      <c r="X80" s="142">
        <f t="shared" si="21"/>
        <v>1</v>
      </c>
      <c r="Y80" s="144">
        <f t="shared" si="22"/>
        <v>15.366666666666667</v>
      </c>
      <c r="Z80" s="144">
        <f t="shared" si="23"/>
        <v>17.433333333333334</v>
      </c>
      <c r="AA80" s="144">
        <f t="shared" si="24"/>
        <v>17.133333333333333</v>
      </c>
      <c r="AB80" s="10"/>
      <c r="AC80" s="357" t="str">
        <f>VLOOKUP($B80,'2007-2020 Metadata'!$A$4:$S$214,MATCH("Urban Area /Monitoring Zone",'2007-2020 Metadata'!$A$4:$S$4,0),FALSE)</f>
        <v>Te Awamutu</v>
      </c>
      <c r="AD80" s="87" t="str">
        <f>VLOOKUP(B80,'2007-2020 Metadata'!$A$6:$A$214,1,FALSE)</f>
        <v>HAM022</v>
      </c>
      <c r="AE80" s="230" t="str">
        <f>VLOOKUP($AD80,'2007-2020 Metadata'!$A$6:$S$214,9,FALSE)</f>
        <v>Te Awamutu</v>
      </c>
      <c r="AF80" s="248">
        <f>IF(ISBLANK(VLOOKUP($AD80,'2007-2020 Metadata'!$A$6:$S$214,19,FALSE)),"",VLOOKUP($AD80,'2007-2020 Metadata'!$A$6:$S$214,19,FALSE))</f>
        <v>3</v>
      </c>
      <c r="AG80" s="88" t="str">
        <f>VLOOKUP($B80,'2007-2020 Metadata'!$A$4:$S$214,MATCH("Site type",'2007-2020 Metadata'!$A$4:$S$4,0),FALSE)</f>
        <v>SH</v>
      </c>
      <c r="AH80" s="143">
        <f t="shared" si="30"/>
        <v>10.8</v>
      </c>
      <c r="AI80" s="143">
        <f t="shared" si="31"/>
        <v>24.6</v>
      </c>
      <c r="AJ80" s="144">
        <f t="shared" si="32"/>
        <v>17.133333333333333</v>
      </c>
    </row>
    <row r="81" spans="2:36" ht="12" customHeight="1" x14ac:dyDescent="0.15">
      <c r="B81" s="123" t="s">
        <v>106</v>
      </c>
      <c r="C81" s="104" t="str">
        <f>IF(ISBLANK(VLOOKUP($B81,'Monthly Summary 2013'!$B$7:$Q$152,14,FALSE)),"",IF(ISERROR(VLOOKUP($B81,'Monthly Summary 2013'!$B$7:$Q$152,14,FALSE)=0),"",VLOOKUP($B81,'Monthly Summary 2013'!$B$7:$Q$152,14,FALSE)))</f>
        <v/>
      </c>
      <c r="D81" s="119">
        <v>5.4</v>
      </c>
      <c r="E81" s="119">
        <v>8.6</v>
      </c>
      <c r="F81" s="119">
        <v>11.9</v>
      </c>
      <c r="G81" s="119">
        <v>9.9</v>
      </c>
      <c r="H81" s="119">
        <v>9.3000000000000007</v>
      </c>
      <c r="I81" s="119">
        <v>9.6</v>
      </c>
      <c r="J81" s="119">
        <v>9.6</v>
      </c>
      <c r="K81" s="124">
        <v>8.5</v>
      </c>
      <c r="L81" s="124">
        <v>5.9</v>
      </c>
      <c r="M81" s="124">
        <v>6.7</v>
      </c>
      <c r="N81" s="124">
        <v>3.6</v>
      </c>
      <c r="O81" s="124">
        <v>4.3</v>
      </c>
      <c r="P81" s="121">
        <f t="shared" si="25"/>
        <v>7.7749999999999995</v>
      </c>
      <c r="Q81" s="121">
        <f t="shared" si="33"/>
        <v>32.800866439390305</v>
      </c>
      <c r="R81" s="122">
        <f t="shared" si="34"/>
        <v>1</v>
      </c>
      <c r="S81" s="140">
        <f t="shared" si="26"/>
        <v>8.6333333333333329</v>
      </c>
      <c r="T81" s="24">
        <f t="shared" si="27"/>
        <v>1</v>
      </c>
      <c r="U81" s="140">
        <f t="shared" si="28"/>
        <v>8</v>
      </c>
      <c r="V81" s="9">
        <f t="shared" si="29"/>
        <v>1</v>
      </c>
      <c r="W81" s="172">
        <f t="shared" si="20"/>
        <v>7.7749999999999995</v>
      </c>
      <c r="X81" s="142">
        <f t="shared" si="21"/>
        <v>1</v>
      </c>
      <c r="Y81" s="144">
        <f t="shared" si="22"/>
        <v>12.583333333333334</v>
      </c>
      <c r="Z81" s="144">
        <f t="shared" si="23"/>
        <v>14.1</v>
      </c>
      <c r="AA81" s="144">
        <f t="shared" si="24"/>
        <v>13.116666666666665</v>
      </c>
      <c r="AB81" s="10"/>
      <c r="AC81" s="357" t="str">
        <f>VLOOKUP($B81,'2007-2020 Metadata'!$A$4:$S$214,MATCH("Urban Area /Monitoring Zone",'2007-2020 Metadata'!$A$4:$S$4,0),FALSE)</f>
        <v>Rotorua</v>
      </c>
      <c r="AD81" s="87" t="str">
        <f>VLOOKUP(B81,'2007-2020 Metadata'!$A$6:$A$214,1,FALSE)</f>
        <v>HAM023</v>
      </c>
      <c r="AE81" s="230" t="str">
        <f>VLOOKUP($AD81,'2007-2020 Metadata'!$A$6:$S$214,9,FALSE)</f>
        <v>Rotorua</v>
      </c>
      <c r="AF81" s="248">
        <f>IF(ISBLANK(VLOOKUP($AD81,'2007-2020 Metadata'!$A$6:$S$214,19,FALSE)),"",VLOOKUP($AD81,'2007-2020 Metadata'!$A$6:$S$214,19,FALSE))</f>
        <v>2.5</v>
      </c>
      <c r="AG81" s="88" t="str">
        <f>VLOOKUP($B81,'2007-2020 Metadata'!$A$4:$S$214,MATCH("Site type",'2007-2020 Metadata'!$A$4:$S$4,0),FALSE)</f>
        <v>Background</v>
      </c>
      <c r="AH81" s="143">
        <f t="shared" si="30"/>
        <v>3.6</v>
      </c>
      <c r="AI81" s="143">
        <f t="shared" si="31"/>
        <v>11.9</v>
      </c>
      <c r="AJ81" s="144">
        <f t="shared" si="32"/>
        <v>13.116666666666665</v>
      </c>
    </row>
    <row r="82" spans="2:36" ht="12" customHeight="1" x14ac:dyDescent="0.15">
      <c r="B82" s="123" t="s">
        <v>42</v>
      </c>
      <c r="C82" s="104">
        <f>IF(ISBLANK(VLOOKUP($B82,'Monthly Summary 2013'!$B$7:$Q$152,14,FALSE)),"",IF(ISERROR(VLOOKUP($B82,'Monthly Summary 2013'!$B$7:$Q$152,14,FALSE)=0),"",VLOOKUP($B82,'Monthly Summary 2013'!$B$7:$Q$152,14,FALSE)))</f>
        <v>13.2</v>
      </c>
      <c r="D82" s="119">
        <v>11.6</v>
      </c>
      <c r="E82" s="119">
        <v>13.8</v>
      </c>
      <c r="F82" s="119">
        <v>15.6</v>
      </c>
      <c r="G82" s="119">
        <v>14.8</v>
      </c>
      <c r="H82" s="119">
        <v>18.5</v>
      </c>
      <c r="I82" s="119">
        <v>21.2</v>
      </c>
      <c r="J82" s="119">
        <v>16.5</v>
      </c>
      <c r="K82" s="124">
        <v>14</v>
      </c>
      <c r="L82" s="124">
        <v>13.5</v>
      </c>
      <c r="M82" s="124">
        <v>17.399999999999999</v>
      </c>
      <c r="N82" s="124">
        <v>15.6</v>
      </c>
      <c r="O82" s="124">
        <v>12.9</v>
      </c>
      <c r="P82" s="121">
        <f t="shared" si="25"/>
        <v>15.450000000000001</v>
      </c>
      <c r="Q82" s="121">
        <f t="shared" si="33"/>
        <v>17.201159953910199</v>
      </c>
      <c r="R82" s="122">
        <f t="shared" si="34"/>
        <v>1</v>
      </c>
      <c r="S82" s="140">
        <f t="shared" si="26"/>
        <v>13.666666666666666</v>
      </c>
      <c r="T82" s="24">
        <f t="shared" si="27"/>
        <v>1</v>
      </c>
      <c r="U82" s="140">
        <f t="shared" si="28"/>
        <v>14.666666666666666</v>
      </c>
      <c r="V82" s="9">
        <f t="shared" si="29"/>
        <v>1</v>
      </c>
      <c r="W82" s="172">
        <f t="shared" si="20"/>
        <v>15.450000000000001</v>
      </c>
      <c r="X82" s="142">
        <f t="shared" si="21"/>
        <v>1</v>
      </c>
      <c r="Y82" s="144">
        <f t="shared" si="22"/>
        <v>13.666666666666666</v>
      </c>
      <c r="Z82" s="144">
        <f t="shared" si="23"/>
        <v>14.666666666666666</v>
      </c>
      <c r="AA82" s="144">
        <f t="shared" si="24"/>
        <v>15.450000000000001</v>
      </c>
      <c r="AB82" s="10"/>
      <c r="AC82" s="357" t="str">
        <f>VLOOKUP($B82,'2007-2020 Metadata'!$A$4:$S$214,MATCH("Urban Area /Monitoring Zone",'2007-2020 Metadata'!$A$4:$S$4,0),FALSE)</f>
        <v>Gisborne</v>
      </c>
      <c r="AD82" s="87" t="str">
        <f>VLOOKUP(B82,'2007-2020 Metadata'!$A$6:$A$214,1,FALSE)</f>
        <v>NAP001</v>
      </c>
      <c r="AE82" s="230" t="str">
        <f>VLOOKUP($AD82,'2007-2020 Metadata'!$A$6:$S$214,9,FALSE)</f>
        <v>Gisborne</v>
      </c>
      <c r="AF82" s="248">
        <f>IF(ISBLANK(VLOOKUP($AD82,'2007-2020 Metadata'!$A$6:$S$214,19,FALSE)),"",VLOOKUP($AD82,'2007-2020 Metadata'!$A$6:$S$214,19,FALSE))</f>
        <v>3</v>
      </c>
      <c r="AG82" s="88" t="str">
        <f>VLOOKUP($B82,'2007-2020 Metadata'!$A$4:$S$214,MATCH("Site type",'2007-2020 Metadata'!$A$4:$S$4,0),FALSE)</f>
        <v>SH</v>
      </c>
      <c r="AH82" s="143">
        <f t="shared" si="30"/>
        <v>11.6</v>
      </c>
      <c r="AI82" s="143">
        <f t="shared" si="31"/>
        <v>21.2</v>
      </c>
      <c r="AJ82" s="144">
        <f t="shared" si="32"/>
        <v>15.450000000000001</v>
      </c>
    </row>
    <row r="83" spans="2:36" ht="12" customHeight="1" x14ac:dyDescent="0.15">
      <c r="B83" s="123" t="s">
        <v>43</v>
      </c>
      <c r="C83" s="104">
        <f>IF(ISBLANK(VLOOKUP($B83,'Monthly Summary 2013'!$B$7:$Q$152,14,FALSE)),"",IF(ISERROR(VLOOKUP($B83,'Monthly Summary 2013'!$B$7:$Q$152,14,FALSE)=0),"",VLOOKUP($B83,'Monthly Summary 2013'!$B$7:$Q$152,14,FALSE)))</f>
        <v>10.5</v>
      </c>
      <c r="D83" s="119">
        <v>11</v>
      </c>
      <c r="E83" s="119">
        <v>13.1</v>
      </c>
      <c r="F83" s="119"/>
      <c r="G83" s="119"/>
      <c r="H83" s="119">
        <v>28.4</v>
      </c>
      <c r="I83" s="119">
        <v>22.7</v>
      </c>
      <c r="J83" s="119">
        <v>20.9</v>
      </c>
      <c r="K83" s="124">
        <v>22.6</v>
      </c>
      <c r="L83" s="124">
        <v>19.3</v>
      </c>
      <c r="M83" s="124">
        <v>15</v>
      </c>
      <c r="N83" s="124">
        <v>16</v>
      </c>
      <c r="O83" s="124">
        <v>13</v>
      </c>
      <c r="P83" s="121">
        <f t="shared" si="25"/>
        <v>18.2</v>
      </c>
      <c r="Q83" s="121">
        <f t="shared" si="33"/>
        <v>30.212564351063907</v>
      </c>
      <c r="R83" s="122">
        <f t="shared" si="34"/>
        <v>0.83333333333333337</v>
      </c>
      <c r="S83" s="140">
        <f t="shared" si="26"/>
        <v>12.05</v>
      </c>
      <c r="T83" s="24">
        <f t="shared" si="27"/>
        <v>0.66666666666666663</v>
      </c>
      <c r="U83" s="140">
        <f t="shared" si="28"/>
        <v>20.933333333333334</v>
      </c>
      <c r="V83" s="9">
        <f t="shared" si="29"/>
        <v>1</v>
      </c>
      <c r="W83" s="172">
        <f t="shared" si="20"/>
        <v>18.2</v>
      </c>
      <c r="X83" s="142">
        <f t="shared" si="21"/>
        <v>0.83333333333333337</v>
      </c>
      <c r="Y83" s="144">
        <f t="shared" si="22"/>
        <v>12.805555555555557</v>
      </c>
      <c r="Z83" s="144">
        <f t="shared" si="23"/>
        <v>17.933333333333334</v>
      </c>
      <c r="AA83" s="144">
        <f t="shared" si="24"/>
        <v>17.086111111111112</v>
      </c>
      <c r="AB83" s="10"/>
      <c r="AC83" s="357" t="str">
        <f>VLOOKUP($B83,'2007-2020 Metadata'!$A$4:$S$214,MATCH("Urban Area /Monitoring Zone",'2007-2020 Metadata'!$A$4:$S$4,0),FALSE)</f>
        <v>Napier</v>
      </c>
      <c r="AD83" s="87" t="str">
        <f>VLOOKUP(B83,'2007-2020 Metadata'!$A$6:$A$214,1,FALSE)</f>
        <v>NAP002</v>
      </c>
      <c r="AE83" s="230" t="str">
        <f>VLOOKUP($AD83,'2007-2020 Metadata'!$A$6:$S$214,9,FALSE)</f>
        <v>Napier</v>
      </c>
      <c r="AF83" s="248">
        <f>IF(ISBLANK(VLOOKUP($AD83,'2007-2020 Metadata'!$A$6:$S$214,19,FALSE)),"",VLOOKUP($AD83,'2007-2020 Metadata'!$A$6:$S$214,19,FALSE))</f>
        <v>3</v>
      </c>
      <c r="AG83" s="88" t="str">
        <f>VLOOKUP($B83,'2007-2020 Metadata'!$A$4:$S$214,MATCH("Site type",'2007-2020 Metadata'!$A$4:$S$4,0),FALSE)</f>
        <v>SH</v>
      </c>
      <c r="AH83" s="143">
        <f t="shared" si="30"/>
        <v>11</v>
      </c>
      <c r="AI83" s="143">
        <f t="shared" si="31"/>
        <v>28.4</v>
      </c>
      <c r="AJ83" s="144">
        <f t="shared" si="32"/>
        <v>17.086111111111112</v>
      </c>
    </row>
    <row r="84" spans="2:36" ht="12" customHeight="1" x14ac:dyDescent="0.15">
      <c r="B84" s="123" t="s">
        <v>44</v>
      </c>
      <c r="C84" s="104">
        <f>IF(ISBLANK(VLOOKUP($B84,'Monthly Summary 2013'!$B$7:$Q$152,14,FALSE)),"",IF(ISERROR(VLOOKUP($B84,'Monthly Summary 2013'!$B$7:$Q$152,14,FALSE)=0),"",VLOOKUP($B84,'Monthly Summary 2013'!$B$7:$Q$152,14,FALSE)))</f>
        <v>15.7</v>
      </c>
      <c r="D84" s="119">
        <v>15.9</v>
      </c>
      <c r="E84" s="119">
        <v>15.3</v>
      </c>
      <c r="F84" s="119">
        <v>25.6</v>
      </c>
      <c r="G84" s="119">
        <v>30.9</v>
      </c>
      <c r="H84" s="119">
        <v>27.5</v>
      </c>
      <c r="I84" s="119">
        <v>32.9</v>
      </c>
      <c r="J84" s="119">
        <v>23.2</v>
      </c>
      <c r="K84" s="124">
        <v>23</v>
      </c>
      <c r="L84" s="124">
        <v>26.1</v>
      </c>
      <c r="M84" s="124">
        <v>24.3</v>
      </c>
      <c r="N84" s="124">
        <v>19.600000000000001</v>
      </c>
      <c r="O84" s="124">
        <v>25.6</v>
      </c>
      <c r="P84" s="121">
        <f t="shared" si="25"/>
        <v>24.158333333333335</v>
      </c>
      <c r="Q84" s="121">
        <f t="shared" si="33"/>
        <v>21.998838083849463</v>
      </c>
      <c r="R84" s="122">
        <f t="shared" si="34"/>
        <v>1</v>
      </c>
      <c r="S84" s="140">
        <f t="shared" si="26"/>
        <v>18.933333333333334</v>
      </c>
      <c r="T84" s="24">
        <f t="shared" si="27"/>
        <v>1</v>
      </c>
      <c r="U84" s="140">
        <f t="shared" si="28"/>
        <v>24.100000000000005</v>
      </c>
      <c r="V84" s="9">
        <f t="shared" si="29"/>
        <v>1</v>
      </c>
      <c r="W84" s="172">
        <f t="shared" si="20"/>
        <v>24.158333333333335</v>
      </c>
      <c r="X84" s="142">
        <f t="shared" si="21"/>
        <v>1</v>
      </c>
      <c r="Y84" s="144">
        <f t="shared" si="22"/>
        <v>12.805555555555557</v>
      </c>
      <c r="Z84" s="144">
        <f t="shared" si="23"/>
        <v>17.933333333333334</v>
      </c>
      <c r="AA84" s="144">
        <f t="shared" si="24"/>
        <v>17.086111111111112</v>
      </c>
      <c r="AB84" s="10"/>
      <c r="AC84" s="357" t="str">
        <f>VLOOKUP($B84,'2007-2020 Metadata'!$A$4:$S$214,MATCH("Urban Area /Monitoring Zone",'2007-2020 Metadata'!$A$4:$S$4,0),FALSE)</f>
        <v>Napier</v>
      </c>
      <c r="AD84" s="87" t="str">
        <f>VLOOKUP(B84,'2007-2020 Metadata'!$A$6:$A$214,1,FALSE)</f>
        <v>NAP003</v>
      </c>
      <c r="AE84" s="230" t="str">
        <f>VLOOKUP($AD84,'2007-2020 Metadata'!$A$6:$S$214,9,FALSE)</f>
        <v>Napier</v>
      </c>
      <c r="AF84" s="248">
        <f>IF(ISBLANK(VLOOKUP($AD84,'2007-2020 Metadata'!$A$6:$S$214,19,FALSE)),"",VLOOKUP($AD84,'2007-2020 Metadata'!$A$6:$S$214,19,FALSE))</f>
        <v>3</v>
      </c>
      <c r="AG84" s="88" t="str">
        <f>VLOOKUP($B84,'2007-2020 Metadata'!$A$4:$S$214,MATCH("Site type",'2007-2020 Metadata'!$A$4:$S$4,0),FALSE)</f>
        <v>SH</v>
      </c>
      <c r="AH84" s="143">
        <f t="shared" si="30"/>
        <v>15.3</v>
      </c>
      <c r="AI84" s="143">
        <f t="shared" si="31"/>
        <v>32.9</v>
      </c>
      <c r="AJ84" s="144">
        <f t="shared" si="32"/>
        <v>17.086111111111112</v>
      </c>
    </row>
    <row r="85" spans="2:36" ht="12" customHeight="1" x14ac:dyDescent="0.15">
      <c r="B85" s="123" t="s">
        <v>45</v>
      </c>
      <c r="C85" s="104">
        <f>IF(ISBLANK(VLOOKUP($B85,'Monthly Summary 2013'!$B$7:$Q$152,14,FALSE)),"",IF(ISERROR(VLOOKUP($B85,'Monthly Summary 2013'!$B$7:$Q$152,14,FALSE)=0),"",VLOOKUP($B85,'Monthly Summary 2013'!$B$7:$Q$152,14,FALSE)))</f>
        <v>13.9</v>
      </c>
      <c r="D85" s="119">
        <v>11.2</v>
      </c>
      <c r="E85" s="119">
        <v>19.600000000000001</v>
      </c>
      <c r="F85" s="119">
        <v>27.9</v>
      </c>
      <c r="G85" s="119">
        <v>25.8</v>
      </c>
      <c r="H85" s="119">
        <v>25.1</v>
      </c>
      <c r="I85" s="119">
        <v>29</v>
      </c>
      <c r="J85" s="119">
        <v>21.4</v>
      </c>
      <c r="K85" s="124">
        <v>21.2</v>
      </c>
      <c r="L85" s="124">
        <v>22.3</v>
      </c>
      <c r="M85" s="124">
        <v>18.399999999999999</v>
      </c>
      <c r="N85" s="124">
        <v>15.3</v>
      </c>
      <c r="O85" s="124">
        <v>20.6</v>
      </c>
      <c r="P85" s="121">
        <f t="shared" si="25"/>
        <v>21.483333333333334</v>
      </c>
      <c r="Q85" s="121">
        <f t="shared" si="33"/>
        <v>23.815821096892151</v>
      </c>
      <c r="R85" s="122">
        <f t="shared" si="34"/>
        <v>1</v>
      </c>
      <c r="S85" s="140">
        <f t="shared" si="26"/>
        <v>19.566666666666666</v>
      </c>
      <c r="T85" s="24">
        <f t="shared" si="27"/>
        <v>1</v>
      </c>
      <c r="U85" s="140">
        <f t="shared" si="28"/>
        <v>21.633333333333329</v>
      </c>
      <c r="V85" s="9">
        <f t="shared" si="29"/>
        <v>1</v>
      </c>
      <c r="W85" s="172">
        <f t="shared" si="20"/>
        <v>21.483333333333334</v>
      </c>
      <c r="X85" s="142">
        <f t="shared" si="21"/>
        <v>1</v>
      </c>
      <c r="Y85" s="144">
        <f t="shared" si="22"/>
        <v>14.266666666666666</v>
      </c>
      <c r="Z85" s="144">
        <f t="shared" si="23"/>
        <v>16.133333333333333</v>
      </c>
      <c r="AA85" s="144">
        <f t="shared" si="24"/>
        <v>15.916666666666668</v>
      </c>
      <c r="AB85" s="10"/>
      <c r="AC85" s="357" t="str">
        <f>VLOOKUP($B85,'2007-2020 Metadata'!$A$4:$S$214,MATCH("Urban Area /Monitoring Zone",'2007-2020 Metadata'!$A$4:$S$4,0),FALSE)</f>
        <v>Hastings</v>
      </c>
      <c r="AD85" s="87" t="str">
        <f>VLOOKUP(B85,'2007-2020 Metadata'!$A$6:$A$214,1,FALSE)</f>
        <v>NAP004</v>
      </c>
      <c r="AE85" s="230" t="str">
        <f>VLOOKUP($AD85,'2007-2020 Metadata'!$A$6:$S$214,9,FALSE)</f>
        <v>Hastings</v>
      </c>
      <c r="AF85" s="248">
        <f>IF(ISBLANK(VLOOKUP($AD85,'2007-2020 Metadata'!$A$6:$S$214,19,FALSE)),"",VLOOKUP($AD85,'2007-2020 Metadata'!$A$6:$S$214,19,FALSE))</f>
        <v>3</v>
      </c>
      <c r="AG85" s="88" t="str">
        <f>VLOOKUP($B85,'2007-2020 Metadata'!$A$4:$S$214,MATCH("Site type",'2007-2020 Metadata'!$A$4:$S$4,0),FALSE)</f>
        <v>SH</v>
      </c>
      <c r="AH85" s="143">
        <f t="shared" si="30"/>
        <v>11.2</v>
      </c>
      <c r="AI85" s="143">
        <f t="shared" si="31"/>
        <v>29</v>
      </c>
      <c r="AJ85" s="144">
        <f t="shared" si="32"/>
        <v>15.916666666666668</v>
      </c>
    </row>
    <row r="86" spans="2:36" ht="12" customHeight="1" x14ac:dyDescent="0.15">
      <c r="B86" s="123" t="s">
        <v>107</v>
      </c>
      <c r="C86" s="104">
        <f>IF(ISBLANK(VLOOKUP($B86,'Monthly Summary 2013'!$B$7:$Q$152,14,FALSE)),"",IF(ISERROR(VLOOKUP($B86,'Monthly Summary 2013'!$B$7:$Q$152,14,FALSE)=0),"",VLOOKUP($B86,'Monthly Summary 2013'!$B$7:$Q$152,14,FALSE)))</f>
        <v>5.3</v>
      </c>
      <c r="D86" s="119">
        <v>5.3</v>
      </c>
      <c r="E86" s="119">
        <v>8.8000000000000007</v>
      </c>
      <c r="F86" s="119">
        <v>12.8</v>
      </c>
      <c r="G86" s="119">
        <v>13</v>
      </c>
      <c r="H86" s="119">
        <v>15.5</v>
      </c>
      <c r="I86" s="119">
        <v>16.5</v>
      </c>
      <c r="J86" s="119">
        <v>11.8</v>
      </c>
      <c r="K86" s="124">
        <v>10.9</v>
      </c>
      <c r="L86" s="124">
        <v>9.1999999999999993</v>
      </c>
      <c r="M86" s="124">
        <v>7.8</v>
      </c>
      <c r="N86" s="124">
        <v>6.3</v>
      </c>
      <c r="O86" s="124">
        <v>6.3</v>
      </c>
      <c r="P86" s="121">
        <f t="shared" si="25"/>
        <v>10.35</v>
      </c>
      <c r="Q86" s="121">
        <f t="shared" si="33"/>
        <v>35.477133733170767</v>
      </c>
      <c r="R86" s="122">
        <f t="shared" si="34"/>
        <v>1</v>
      </c>
      <c r="S86" s="140">
        <f t="shared" si="26"/>
        <v>8.9666666666666668</v>
      </c>
      <c r="T86" s="24">
        <f t="shared" si="27"/>
        <v>1</v>
      </c>
      <c r="U86" s="140">
        <f t="shared" si="28"/>
        <v>10.633333333333335</v>
      </c>
      <c r="V86" s="9">
        <f t="shared" si="29"/>
        <v>1</v>
      </c>
      <c r="W86" s="172">
        <f t="shared" si="20"/>
        <v>10.35</v>
      </c>
      <c r="X86" s="142">
        <f t="shared" si="21"/>
        <v>1</v>
      </c>
      <c r="Y86" s="144">
        <f t="shared" si="22"/>
        <v>14.266666666666666</v>
      </c>
      <c r="Z86" s="144">
        <f t="shared" si="23"/>
        <v>16.133333333333333</v>
      </c>
      <c r="AA86" s="144">
        <f t="shared" si="24"/>
        <v>15.916666666666668</v>
      </c>
      <c r="AB86" s="10"/>
      <c r="AC86" s="357" t="str">
        <f>VLOOKUP($B86,'2007-2020 Metadata'!$A$4:$S$214,MATCH("Urban Area /Monitoring Zone",'2007-2020 Metadata'!$A$4:$S$4,0),FALSE)</f>
        <v>Hastings</v>
      </c>
      <c r="AD86" s="87" t="str">
        <f>VLOOKUP(B86,'2007-2020 Metadata'!$A$6:$A$214,1,FALSE)</f>
        <v>NAP005</v>
      </c>
      <c r="AE86" s="230" t="str">
        <f>VLOOKUP($AD86,'2007-2020 Metadata'!$A$6:$S$214,9,FALSE)</f>
        <v>Hastings</v>
      </c>
      <c r="AF86" s="248">
        <f>IF(ISBLANK(VLOOKUP($AD86,'2007-2020 Metadata'!$A$6:$S$214,19,FALSE)),"",VLOOKUP($AD86,'2007-2020 Metadata'!$A$6:$S$214,19,FALSE))</f>
        <v>2.7</v>
      </c>
      <c r="AG86" s="88" t="str">
        <f>VLOOKUP($B86,'2007-2020 Metadata'!$A$4:$S$214,MATCH("Site type",'2007-2020 Metadata'!$A$4:$S$4,0),FALSE)</f>
        <v>Background</v>
      </c>
      <c r="AH86" s="143">
        <f t="shared" si="30"/>
        <v>5.3</v>
      </c>
      <c r="AI86" s="143">
        <f t="shared" si="31"/>
        <v>16.5</v>
      </c>
      <c r="AJ86" s="144">
        <f t="shared" si="32"/>
        <v>15.916666666666668</v>
      </c>
    </row>
    <row r="87" spans="2:36" ht="12" customHeight="1" x14ac:dyDescent="0.15">
      <c r="B87" s="123" t="s">
        <v>108</v>
      </c>
      <c r="C87" s="104">
        <f>IF(ISBLANK(VLOOKUP($B87,'Monthly Summary 2013'!$B$7:$Q$152,14,FALSE)),"",IF(ISERROR(VLOOKUP($B87,'Monthly Summary 2013'!$B$7:$Q$152,14,FALSE)=0),"",VLOOKUP($B87,'Monthly Summary 2013'!$B$7:$Q$152,14,FALSE)))</f>
        <v>5.2</v>
      </c>
      <c r="D87" s="119">
        <v>4.3</v>
      </c>
      <c r="E87" s="119">
        <v>8.1999999999999993</v>
      </c>
      <c r="F87" s="119">
        <v>9.8000000000000007</v>
      </c>
      <c r="G87" s="119">
        <v>12.4</v>
      </c>
      <c r="H87" s="119">
        <v>12.1</v>
      </c>
      <c r="I87" s="119">
        <v>13.5</v>
      </c>
      <c r="J87" s="119">
        <v>9.4</v>
      </c>
      <c r="K87" s="124">
        <v>9.1999999999999993</v>
      </c>
      <c r="L87" s="124">
        <v>7.7</v>
      </c>
      <c r="M87" s="124">
        <v>7.1</v>
      </c>
      <c r="N87" s="124">
        <v>6.5</v>
      </c>
      <c r="O87" s="124">
        <v>6.6</v>
      </c>
      <c r="P87" s="121">
        <f t="shared" si="25"/>
        <v>8.9</v>
      </c>
      <c r="Q87" s="121">
        <f t="shared" si="33"/>
        <v>30.711195260320341</v>
      </c>
      <c r="R87" s="122">
        <f t="shared" si="34"/>
        <v>1</v>
      </c>
      <c r="S87" s="140">
        <f t="shared" si="26"/>
        <v>7.4333333333333336</v>
      </c>
      <c r="T87" s="24">
        <f t="shared" si="27"/>
        <v>1</v>
      </c>
      <c r="U87" s="140">
        <f t="shared" si="28"/>
        <v>8.7666666666666675</v>
      </c>
      <c r="V87" s="9">
        <f t="shared" si="29"/>
        <v>1</v>
      </c>
      <c r="W87" s="172">
        <f t="shared" si="20"/>
        <v>8.9</v>
      </c>
      <c r="X87" s="142">
        <f t="shared" si="21"/>
        <v>1</v>
      </c>
      <c r="Y87" s="144">
        <f t="shared" si="22"/>
        <v>12.805555555555557</v>
      </c>
      <c r="Z87" s="144">
        <f t="shared" si="23"/>
        <v>17.933333333333334</v>
      </c>
      <c r="AA87" s="144">
        <f t="shared" si="24"/>
        <v>17.086111111111112</v>
      </c>
      <c r="AB87" s="10"/>
      <c r="AC87" s="357" t="str">
        <f>VLOOKUP($B87,'2007-2020 Metadata'!$A$4:$S$214,MATCH("Urban Area /Monitoring Zone",'2007-2020 Metadata'!$A$4:$S$4,0),FALSE)</f>
        <v>Napier</v>
      </c>
      <c r="AD87" s="87" t="str">
        <f>VLOOKUP(B87,'2007-2020 Metadata'!$A$6:$A$214,1,FALSE)</f>
        <v>NAP006</v>
      </c>
      <c r="AE87" s="230" t="str">
        <f>VLOOKUP($AD87,'2007-2020 Metadata'!$A$6:$S$214,9,FALSE)</f>
        <v>Napier</v>
      </c>
      <c r="AF87" s="248">
        <f>IF(ISBLANK(VLOOKUP($AD87,'2007-2020 Metadata'!$A$6:$S$214,19,FALSE)),"",VLOOKUP($AD87,'2007-2020 Metadata'!$A$6:$S$214,19,FALSE))</f>
        <v>3</v>
      </c>
      <c r="AG87" s="88" t="str">
        <f>VLOOKUP($B87,'2007-2020 Metadata'!$A$4:$S$214,MATCH("Site type",'2007-2020 Metadata'!$A$4:$S$4,0),FALSE)</f>
        <v>Background</v>
      </c>
      <c r="AH87" s="143">
        <f t="shared" si="30"/>
        <v>4.3</v>
      </c>
      <c r="AI87" s="143">
        <f t="shared" si="31"/>
        <v>13.5</v>
      </c>
      <c r="AJ87" s="144">
        <f t="shared" si="32"/>
        <v>17.086111111111112</v>
      </c>
    </row>
    <row r="88" spans="2:36" ht="12" customHeight="1" x14ac:dyDescent="0.15">
      <c r="B88" s="123" t="s">
        <v>46</v>
      </c>
      <c r="C88" s="104">
        <f>IF(ISBLANK(VLOOKUP($B88,'Monthly Summary 2013'!$B$7:$Q$152,14,FALSE)),"",IF(ISERROR(VLOOKUP($B88,'Monthly Summary 2013'!$B$7:$Q$152,14,FALSE)=0),"",VLOOKUP($B88,'Monthly Summary 2013'!$B$7:$Q$152,14,FALSE)))</f>
        <v>12.8</v>
      </c>
      <c r="D88" s="119">
        <v>14.2</v>
      </c>
      <c r="E88" s="119"/>
      <c r="F88" s="119">
        <v>22.7</v>
      </c>
      <c r="G88" s="119"/>
      <c r="H88" s="119">
        <v>20.399999999999999</v>
      </c>
      <c r="I88" s="119">
        <v>18.7</v>
      </c>
      <c r="J88" s="119">
        <v>18</v>
      </c>
      <c r="K88" s="124">
        <v>17.8</v>
      </c>
      <c r="L88" s="124">
        <v>19</v>
      </c>
      <c r="M88" s="124">
        <v>17.600000000000001</v>
      </c>
      <c r="N88" s="124">
        <v>21.5</v>
      </c>
      <c r="O88" s="125"/>
      <c r="P88" s="121">
        <f t="shared" si="25"/>
        <v>18.87777777777778</v>
      </c>
      <c r="Q88" s="121">
        <f t="shared" si="33"/>
        <v>13.149463072445647</v>
      </c>
      <c r="R88" s="122">
        <f t="shared" si="34"/>
        <v>0.75</v>
      </c>
      <c r="S88" s="140">
        <f t="shared" si="26"/>
        <v>18.45</v>
      </c>
      <c r="T88" s="24">
        <f t="shared" si="27"/>
        <v>0.66666666666666663</v>
      </c>
      <c r="U88" s="140">
        <f t="shared" si="28"/>
        <v>18.266666666666666</v>
      </c>
      <c r="V88" s="9">
        <f t="shared" si="29"/>
        <v>1</v>
      </c>
      <c r="W88" s="172">
        <f t="shared" si="20"/>
        <v>18.87777777777778</v>
      </c>
      <c r="X88" s="142">
        <f t="shared" si="21"/>
        <v>0.75</v>
      </c>
      <c r="Y88" s="144">
        <f t="shared" si="22"/>
        <v>18.45</v>
      </c>
      <c r="Z88" s="144">
        <f t="shared" si="23"/>
        <v>12.583333333333332</v>
      </c>
      <c r="AA88" s="144">
        <f t="shared" si="24"/>
        <v>12.916666666666668</v>
      </c>
      <c r="AB88" s="10"/>
      <c r="AC88" s="357" t="str">
        <f>VLOOKUP($B88,'2007-2020 Metadata'!$A$4:$S$214,MATCH("Urban Area /Monitoring Zone",'2007-2020 Metadata'!$A$4:$S$4,0),FALSE)</f>
        <v>New Plymouth</v>
      </c>
      <c r="AD88" s="87" t="str">
        <f>VLOOKUP(B88,'2007-2020 Metadata'!$A$6:$A$214,1,FALSE)</f>
        <v>WAN001</v>
      </c>
      <c r="AE88" s="230" t="str">
        <f>VLOOKUP($AD88,'2007-2020 Metadata'!$A$6:$S$214,9,FALSE)</f>
        <v>New Plymouth</v>
      </c>
      <c r="AF88" s="248">
        <f>IF(ISBLANK(VLOOKUP($AD88,'2007-2020 Metadata'!$A$6:$S$214,19,FALSE)),"",VLOOKUP($AD88,'2007-2020 Metadata'!$A$6:$S$214,19,FALSE))</f>
        <v>3</v>
      </c>
      <c r="AG88" s="88" t="str">
        <f>VLOOKUP($B88,'2007-2020 Metadata'!$A$4:$S$214,MATCH("Site type",'2007-2020 Metadata'!$A$4:$S$4,0),FALSE)</f>
        <v>SH</v>
      </c>
      <c r="AH88" s="143">
        <f t="shared" si="30"/>
        <v>14.2</v>
      </c>
      <c r="AI88" s="143">
        <f t="shared" si="31"/>
        <v>22.7</v>
      </c>
      <c r="AJ88" s="144">
        <f t="shared" si="32"/>
        <v>12.916666666666668</v>
      </c>
    </row>
    <row r="89" spans="2:36" ht="12" customHeight="1" x14ac:dyDescent="0.15">
      <c r="B89" s="123" t="s">
        <v>48</v>
      </c>
      <c r="C89" s="104">
        <f>IF(ISBLANK(VLOOKUP($B89,'Monthly Summary 2013'!$B$7:$Q$152,14,FALSE)),"",IF(ISERROR(VLOOKUP($B89,'Monthly Summary 2013'!$B$7:$Q$152,14,FALSE)=0),"",VLOOKUP($B89,'Monthly Summary 2013'!$B$7:$Q$152,14,FALSE)))</f>
        <v>14.8</v>
      </c>
      <c r="D89" s="119">
        <v>11.9</v>
      </c>
      <c r="E89" s="119">
        <v>17.899999999999999</v>
      </c>
      <c r="F89" s="119">
        <v>21.8</v>
      </c>
      <c r="G89" s="119">
        <v>24.8</v>
      </c>
      <c r="H89" s="119">
        <v>27.1</v>
      </c>
      <c r="I89" s="119">
        <v>28.2</v>
      </c>
      <c r="J89" s="119">
        <v>26.1</v>
      </c>
      <c r="K89" s="124">
        <v>25.9</v>
      </c>
      <c r="L89" s="124">
        <v>20.9</v>
      </c>
      <c r="M89" s="124">
        <v>17.899999999999999</v>
      </c>
      <c r="N89" s="124">
        <v>15.6</v>
      </c>
      <c r="O89" s="124">
        <v>16.600000000000001</v>
      </c>
      <c r="P89" s="121">
        <f t="shared" si="25"/>
        <v>21.224999999999998</v>
      </c>
      <c r="Q89" s="121">
        <f t="shared" si="33"/>
        <v>24.772278491620007</v>
      </c>
      <c r="R89" s="122">
        <f t="shared" si="34"/>
        <v>1</v>
      </c>
      <c r="S89" s="140">
        <f t="shared" si="26"/>
        <v>17.2</v>
      </c>
      <c r="T89" s="24">
        <f t="shared" si="27"/>
        <v>1</v>
      </c>
      <c r="U89" s="140">
        <f t="shared" si="28"/>
        <v>24.3</v>
      </c>
      <c r="V89" s="9">
        <f t="shared" si="29"/>
        <v>1</v>
      </c>
      <c r="W89" s="172">
        <f t="shared" si="20"/>
        <v>21.224999999999998</v>
      </c>
      <c r="X89" s="142">
        <f t="shared" si="21"/>
        <v>1</v>
      </c>
      <c r="Y89" s="144">
        <f t="shared" si="22"/>
        <v>13.333333333333334</v>
      </c>
      <c r="Z89" s="144">
        <f t="shared" si="23"/>
        <v>20</v>
      </c>
      <c r="AA89" s="144">
        <f t="shared" si="24"/>
        <v>17.046818181818178</v>
      </c>
      <c r="AB89" s="10"/>
      <c r="AC89" s="357" t="str">
        <f>VLOOKUP($B89,'2007-2020 Metadata'!$A$4:$S$214,MATCH("Urban Area /Monitoring Zone",'2007-2020 Metadata'!$A$4:$S$4,0),FALSE)</f>
        <v>Palmerston North</v>
      </c>
      <c r="AD89" s="87" t="str">
        <f>VLOOKUP(B89,'2007-2020 Metadata'!$A$6:$A$214,1,FALSE)</f>
        <v>WAN004</v>
      </c>
      <c r="AE89" s="230" t="str">
        <f>VLOOKUP($AD89,'2007-2020 Metadata'!$A$6:$S$214,9,FALSE)</f>
        <v>Palmerston North</v>
      </c>
      <c r="AF89" s="248">
        <f>IF(ISBLANK(VLOOKUP($AD89,'2007-2020 Metadata'!$A$6:$S$214,19,FALSE)),"",VLOOKUP($AD89,'2007-2020 Metadata'!$A$6:$S$214,19,FALSE))</f>
        <v>3</v>
      </c>
      <c r="AG89" s="88" t="str">
        <f>VLOOKUP($B89,'2007-2020 Metadata'!$A$4:$S$214,MATCH("Site type",'2007-2020 Metadata'!$A$4:$S$4,0),FALSE)</f>
        <v>SH</v>
      </c>
      <c r="AH89" s="143">
        <f t="shared" si="30"/>
        <v>11.9</v>
      </c>
      <c r="AI89" s="143">
        <f t="shared" si="31"/>
        <v>28.2</v>
      </c>
      <c r="AJ89" s="144">
        <f t="shared" si="32"/>
        <v>17.046818181818178</v>
      </c>
    </row>
    <row r="90" spans="2:36" ht="12" customHeight="1" x14ac:dyDescent="0.15">
      <c r="B90" s="123" t="s">
        <v>109</v>
      </c>
      <c r="C90" s="104">
        <f>IF(ISBLANK(VLOOKUP($B90,'Monthly Summary 2013'!$B$7:$Q$152,14,FALSE)),"",IF(ISERROR(VLOOKUP($B90,'Monthly Summary 2013'!$B$7:$Q$152,14,FALSE)=0),"",VLOOKUP($B90,'Monthly Summary 2013'!$B$7:$Q$152,14,FALSE)))</f>
        <v>7.1</v>
      </c>
      <c r="D90" s="119">
        <v>6.2</v>
      </c>
      <c r="E90" s="119">
        <v>8.9</v>
      </c>
      <c r="F90" s="119">
        <v>13.1</v>
      </c>
      <c r="G90" s="119">
        <v>13.3</v>
      </c>
      <c r="H90" s="119">
        <v>13.3</v>
      </c>
      <c r="I90" s="119">
        <v>14.9</v>
      </c>
      <c r="J90" s="119">
        <v>19.3</v>
      </c>
      <c r="K90" s="124">
        <v>15.5</v>
      </c>
      <c r="L90" s="124">
        <v>8.1999999999999993</v>
      </c>
      <c r="M90" s="124">
        <v>8.5</v>
      </c>
      <c r="N90" s="124">
        <v>6.6</v>
      </c>
      <c r="O90" s="124">
        <v>7.4</v>
      </c>
      <c r="P90" s="121">
        <f t="shared" si="25"/>
        <v>11.266666666666666</v>
      </c>
      <c r="Q90" s="121">
        <f t="shared" si="33"/>
        <v>37.115092229486152</v>
      </c>
      <c r="R90" s="122">
        <f t="shared" si="34"/>
        <v>1</v>
      </c>
      <c r="S90" s="140">
        <f t="shared" si="26"/>
        <v>9.4</v>
      </c>
      <c r="T90" s="24">
        <f t="shared" si="27"/>
        <v>1</v>
      </c>
      <c r="U90" s="140">
        <f t="shared" si="28"/>
        <v>14.333333333333334</v>
      </c>
      <c r="V90" s="9">
        <f t="shared" si="29"/>
        <v>1</v>
      </c>
      <c r="W90" s="172">
        <f t="shared" si="20"/>
        <v>11.266666666666666</v>
      </c>
      <c r="X90" s="142">
        <f t="shared" si="21"/>
        <v>1</v>
      </c>
      <c r="Y90" s="144">
        <f t="shared" si="22"/>
        <v>13.333333333333334</v>
      </c>
      <c r="Z90" s="144">
        <f t="shared" si="23"/>
        <v>20</v>
      </c>
      <c r="AA90" s="144">
        <f t="shared" si="24"/>
        <v>17.046818181818178</v>
      </c>
      <c r="AB90" s="10"/>
      <c r="AC90" s="357" t="str">
        <f>VLOOKUP($B90,'2007-2020 Metadata'!$A$4:$S$214,MATCH("Urban Area /Monitoring Zone",'2007-2020 Metadata'!$A$4:$S$4,0),FALSE)</f>
        <v>Palmerston North</v>
      </c>
      <c r="AD90" s="87" t="str">
        <f>VLOOKUP(B90,'2007-2020 Metadata'!$A$6:$A$214,1,FALSE)</f>
        <v>WAN005</v>
      </c>
      <c r="AE90" s="230" t="str">
        <f>VLOOKUP($AD90,'2007-2020 Metadata'!$A$6:$S$214,9,FALSE)</f>
        <v>Palmerston North</v>
      </c>
      <c r="AF90" s="248">
        <f>IF(ISBLANK(VLOOKUP($AD90,'2007-2020 Metadata'!$A$6:$S$214,19,FALSE)),"",VLOOKUP($AD90,'2007-2020 Metadata'!$A$6:$S$214,19,FALSE))</f>
        <v>2.5</v>
      </c>
      <c r="AG90" s="88" t="str">
        <f>VLOOKUP($B90,'2007-2020 Metadata'!$A$4:$S$214,MATCH("Site type",'2007-2020 Metadata'!$A$4:$S$4,0),FALSE)</f>
        <v>SH</v>
      </c>
      <c r="AH90" s="143">
        <f t="shared" si="30"/>
        <v>6.2</v>
      </c>
      <c r="AI90" s="143">
        <f t="shared" si="31"/>
        <v>19.3</v>
      </c>
      <c r="AJ90" s="144">
        <f t="shared" si="32"/>
        <v>17.046818181818178</v>
      </c>
    </row>
    <row r="91" spans="2:36" ht="12" customHeight="1" x14ac:dyDescent="0.15">
      <c r="B91" s="123" t="s">
        <v>110</v>
      </c>
      <c r="C91" s="104">
        <f>IF(ISBLANK(VLOOKUP($B91,'Monthly Summary 2013'!$B$7:$Q$152,14,FALSE)),"",IF(ISERROR(VLOOKUP($B91,'Monthly Summary 2013'!$B$7:$Q$152,14,FALSE)=0),"",VLOOKUP($B91,'Monthly Summary 2013'!$B$7:$Q$152,14,FALSE)))</f>
        <v>11.8</v>
      </c>
      <c r="D91" s="119">
        <v>11.7</v>
      </c>
      <c r="E91" s="119">
        <v>17.5</v>
      </c>
      <c r="F91" s="119"/>
      <c r="G91" s="119">
        <v>22.5</v>
      </c>
      <c r="H91" s="119">
        <v>29.5</v>
      </c>
      <c r="I91" s="119">
        <v>29</v>
      </c>
      <c r="J91" s="119">
        <v>28.9</v>
      </c>
      <c r="K91" s="124">
        <v>29.2</v>
      </c>
      <c r="L91" s="124">
        <v>21.9</v>
      </c>
      <c r="M91" s="124">
        <v>20.7</v>
      </c>
      <c r="N91" s="124">
        <v>18.5</v>
      </c>
      <c r="O91" s="124">
        <v>18.2</v>
      </c>
      <c r="P91" s="121">
        <f t="shared" si="25"/>
        <v>22.509090909090904</v>
      </c>
      <c r="Q91" s="121">
        <f t="shared" si="33"/>
        <v>26.538243313822374</v>
      </c>
      <c r="R91" s="122">
        <f t="shared" si="34"/>
        <v>0.91666666666666663</v>
      </c>
      <c r="S91" s="140">
        <f t="shared" si="26"/>
        <v>14.6</v>
      </c>
      <c r="T91" s="24">
        <f t="shared" si="27"/>
        <v>0.66666666666666663</v>
      </c>
      <c r="U91" s="140">
        <f t="shared" si="28"/>
        <v>26.666666666666668</v>
      </c>
      <c r="V91" s="9">
        <f t="shared" si="29"/>
        <v>1</v>
      </c>
      <c r="W91" s="172">
        <f t="shared" si="20"/>
        <v>22.509090909090904</v>
      </c>
      <c r="X91" s="142">
        <f t="shared" si="21"/>
        <v>0.91666666666666663</v>
      </c>
      <c r="Y91" s="144">
        <f t="shared" si="22"/>
        <v>13.333333333333334</v>
      </c>
      <c r="Z91" s="144">
        <f t="shared" si="23"/>
        <v>20</v>
      </c>
      <c r="AA91" s="144">
        <f t="shared" si="24"/>
        <v>17.046818181818178</v>
      </c>
      <c r="AB91" s="10"/>
      <c r="AC91" s="357" t="str">
        <f>VLOOKUP($B91,'2007-2020 Metadata'!$A$4:$S$214,MATCH("Urban Area /Monitoring Zone",'2007-2020 Metadata'!$A$4:$S$4,0),FALSE)</f>
        <v>Palmerston North</v>
      </c>
      <c r="AD91" s="87" t="str">
        <f>VLOOKUP(B91,'2007-2020 Metadata'!$A$6:$A$214,1,FALSE)</f>
        <v>WAN006</v>
      </c>
      <c r="AE91" s="230" t="str">
        <f>VLOOKUP($AD91,'2007-2020 Metadata'!$A$6:$S$214,9,FALSE)</f>
        <v>Palmerston North</v>
      </c>
      <c r="AF91" s="248">
        <f>IF(ISBLANK(VLOOKUP($AD91,'2007-2020 Metadata'!$A$6:$S$214,19,FALSE)),"",VLOOKUP($AD91,'2007-2020 Metadata'!$A$6:$S$214,19,FALSE))</f>
        <v>2.5</v>
      </c>
      <c r="AG91" s="88" t="str">
        <f>VLOOKUP($B91,'2007-2020 Metadata'!$A$4:$S$214,MATCH("Site type",'2007-2020 Metadata'!$A$4:$S$4,0),FALSE)</f>
        <v>SH</v>
      </c>
      <c r="AH91" s="143">
        <f t="shared" si="30"/>
        <v>11.7</v>
      </c>
      <c r="AI91" s="143">
        <f t="shared" si="31"/>
        <v>29.5</v>
      </c>
      <c r="AJ91" s="144">
        <f t="shared" si="32"/>
        <v>17.046818181818178</v>
      </c>
    </row>
    <row r="92" spans="2:36" ht="12" customHeight="1" x14ac:dyDescent="0.15">
      <c r="B92" s="123" t="s">
        <v>111</v>
      </c>
      <c r="C92" s="104">
        <f>IF(ISBLANK(VLOOKUP($B92,'Monthly Summary 2013'!$B$7:$Q$152,14,FALSE)),"",IF(ISERROR(VLOOKUP($B92,'Monthly Summary 2013'!$B$7:$Q$152,14,FALSE)=0),"",VLOOKUP($B92,'Monthly Summary 2013'!$B$7:$Q$152,14,FALSE)))</f>
        <v>10.6</v>
      </c>
      <c r="D92" s="119">
        <v>9.6</v>
      </c>
      <c r="E92" s="119">
        <v>14.1</v>
      </c>
      <c r="F92" s="119">
        <v>15.2</v>
      </c>
      <c r="G92" s="119">
        <v>15.4</v>
      </c>
      <c r="H92" s="119">
        <v>20.9</v>
      </c>
      <c r="I92" s="119">
        <v>19.899999999999999</v>
      </c>
      <c r="J92" s="119">
        <v>22.8</v>
      </c>
      <c r="K92" s="124">
        <v>18.5</v>
      </c>
      <c r="L92" s="124">
        <v>16.2</v>
      </c>
      <c r="M92" s="124">
        <v>14.2</v>
      </c>
      <c r="N92" s="124">
        <v>11.5</v>
      </c>
      <c r="O92" s="124">
        <v>7.9</v>
      </c>
      <c r="P92" s="121">
        <f t="shared" si="25"/>
        <v>15.516666666666664</v>
      </c>
      <c r="Q92" s="121">
        <f t="shared" si="33"/>
        <v>29.057437444569945</v>
      </c>
      <c r="R92" s="122">
        <f t="shared" si="34"/>
        <v>1</v>
      </c>
      <c r="S92" s="140">
        <f t="shared" si="26"/>
        <v>12.966666666666667</v>
      </c>
      <c r="T92" s="24">
        <f t="shared" si="27"/>
        <v>1</v>
      </c>
      <c r="U92" s="140">
        <f t="shared" si="28"/>
        <v>19.166666666666668</v>
      </c>
      <c r="V92" s="9">
        <f t="shared" si="29"/>
        <v>1</v>
      </c>
      <c r="W92" s="172">
        <f t="shared" si="20"/>
        <v>15.516666666666664</v>
      </c>
      <c r="X92" s="142">
        <f t="shared" si="21"/>
        <v>1</v>
      </c>
      <c r="Y92" s="144">
        <f t="shared" si="22"/>
        <v>13.333333333333334</v>
      </c>
      <c r="Z92" s="144">
        <f t="shared" si="23"/>
        <v>20</v>
      </c>
      <c r="AA92" s="144">
        <f t="shared" si="24"/>
        <v>17.046818181818178</v>
      </c>
      <c r="AB92" s="10"/>
      <c r="AC92" s="357" t="str">
        <f>VLOOKUP($B92,'2007-2020 Metadata'!$A$4:$S$214,MATCH("Urban Area /Monitoring Zone",'2007-2020 Metadata'!$A$4:$S$4,0),FALSE)</f>
        <v>Palmerston North</v>
      </c>
      <c r="AD92" s="87" t="str">
        <f>VLOOKUP(B92,'2007-2020 Metadata'!$A$6:$A$214,1,FALSE)</f>
        <v>WAN007</v>
      </c>
      <c r="AE92" s="230" t="str">
        <f>VLOOKUP($AD92,'2007-2020 Metadata'!$A$6:$S$214,9,FALSE)</f>
        <v>Palmerston North</v>
      </c>
      <c r="AF92" s="248">
        <f>IF(ISBLANK(VLOOKUP($AD92,'2007-2020 Metadata'!$A$6:$S$214,19,FALSE)),"",VLOOKUP($AD92,'2007-2020 Metadata'!$A$6:$S$214,19,FALSE))</f>
        <v>2.5</v>
      </c>
      <c r="AG92" s="88" t="str">
        <f>VLOOKUP($B92,'2007-2020 Metadata'!$A$4:$S$214,MATCH("Site type",'2007-2020 Metadata'!$A$4:$S$4,0),FALSE)</f>
        <v>Local</v>
      </c>
      <c r="AH92" s="143">
        <f t="shared" si="30"/>
        <v>7.9</v>
      </c>
      <c r="AI92" s="143">
        <f t="shared" si="31"/>
        <v>22.8</v>
      </c>
      <c r="AJ92" s="144">
        <f t="shared" si="32"/>
        <v>17.046818181818178</v>
      </c>
    </row>
    <row r="93" spans="2:36" ht="12" customHeight="1" x14ac:dyDescent="0.15">
      <c r="B93" s="123" t="s">
        <v>112</v>
      </c>
      <c r="C93" s="104">
        <f>IF(ISBLANK(VLOOKUP($B93,'Monthly Summary 2013'!$B$7:$Q$152,14,FALSE)),"",IF(ISERROR(VLOOKUP($B93,'Monthly Summary 2013'!$B$7:$Q$152,14,FALSE)=0),"",VLOOKUP($B93,'Monthly Summary 2013'!$B$7:$Q$152,14,FALSE)))</f>
        <v>11.8</v>
      </c>
      <c r="D93" s="119">
        <v>11.2</v>
      </c>
      <c r="E93" s="119">
        <v>13.1</v>
      </c>
      <c r="F93" s="119">
        <v>13.2</v>
      </c>
      <c r="G93" s="119">
        <v>13.3</v>
      </c>
      <c r="H93" s="119">
        <v>17.8</v>
      </c>
      <c r="I93" s="119">
        <v>19.3</v>
      </c>
      <c r="J93" s="119">
        <v>19.2</v>
      </c>
      <c r="K93" s="124">
        <v>12.7</v>
      </c>
      <c r="L93" s="124">
        <v>14.7</v>
      </c>
      <c r="M93" s="124">
        <v>16.100000000000001</v>
      </c>
      <c r="N93" s="124">
        <v>15.4</v>
      </c>
      <c r="O93" s="124">
        <v>10.6</v>
      </c>
      <c r="P93" s="121">
        <f t="shared" si="25"/>
        <v>14.716666666666667</v>
      </c>
      <c r="Q93" s="121">
        <f t="shared" si="33"/>
        <v>19.789155809802221</v>
      </c>
      <c r="R93" s="122">
        <f t="shared" si="34"/>
        <v>1</v>
      </c>
      <c r="S93" s="140">
        <f t="shared" si="26"/>
        <v>12.5</v>
      </c>
      <c r="T93" s="24">
        <f t="shared" si="27"/>
        <v>1</v>
      </c>
      <c r="U93" s="140">
        <f t="shared" si="28"/>
        <v>15.533333333333331</v>
      </c>
      <c r="V93" s="9">
        <f t="shared" si="29"/>
        <v>1</v>
      </c>
      <c r="W93" s="172">
        <f t="shared" si="20"/>
        <v>14.716666666666667</v>
      </c>
      <c r="X93" s="142">
        <f t="shared" si="21"/>
        <v>1</v>
      </c>
      <c r="Y93" s="144">
        <f t="shared" si="22"/>
        <v>13.333333333333334</v>
      </c>
      <c r="Z93" s="144">
        <f t="shared" si="23"/>
        <v>20</v>
      </c>
      <c r="AA93" s="144">
        <f t="shared" si="24"/>
        <v>17.046818181818178</v>
      </c>
      <c r="AB93" s="10"/>
      <c r="AC93" s="357" t="str">
        <f>VLOOKUP($B93,'2007-2020 Metadata'!$A$4:$S$214,MATCH("Urban Area /Monitoring Zone",'2007-2020 Metadata'!$A$4:$S$4,0),FALSE)</f>
        <v>Palmerston North</v>
      </c>
      <c r="AD93" s="87" t="str">
        <f>VLOOKUP(B93,'2007-2020 Metadata'!$A$6:$A$214,1,FALSE)</f>
        <v>WAN008</v>
      </c>
      <c r="AE93" s="230" t="str">
        <f>VLOOKUP($AD93,'2007-2020 Metadata'!$A$6:$S$214,9,FALSE)</f>
        <v>Palmerston North</v>
      </c>
      <c r="AF93" s="248">
        <f>IF(ISBLANK(VLOOKUP($AD93,'2007-2020 Metadata'!$A$6:$S$214,19,FALSE)),"",VLOOKUP($AD93,'2007-2020 Metadata'!$A$6:$S$214,19,FALSE))</f>
        <v>2.5</v>
      </c>
      <c r="AG93" s="88" t="str">
        <f>VLOOKUP($B93,'2007-2020 Metadata'!$A$4:$S$214,MATCH("Site type",'2007-2020 Metadata'!$A$4:$S$4,0),FALSE)</f>
        <v>Background</v>
      </c>
      <c r="AH93" s="143">
        <f t="shared" si="30"/>
        <v>10.6</v>
      </c>
      <c r="AI93" s="143">
        <f t="shared" si="31"/>
        <v>19.3</v>
      </c>
      <c r="AJ93" s="144">
        <f t="shared" si="32"/>
        <v>17.046818181818178</v>
      </c>
    </row>
    <row r="94" spans="2:36" ht="12" customHeight="1" x14ac:dyDescent="0.15">
      <c r="B94" s="123" t="s">
        <v>113</v>
      </c>
      <c r="C94" s="104" t="str">
        <f>IF(ISBLANK(VLOOKUP($B94,'Monthly Summary 2013'!$B$7:$Q$152,14,FALSE)),"",IF(ISERROR(VLOOKUP($B94,'Monthly Summary 2013'!$B$7:$Q$152,14,FALSE)=0),"",VLOOKUP($B94,'Monthly Summary 2013'!$B$7:$Q$152,14,FALSE)))</f>
        <v/>
      </c>
      <c r="D94" s="119">
        <v>5.0999999999999996</v>
      </c>
      <c r="E94" s="119"/>
      <c r="F94" s="119"/>
      <c r="G94" s="119"/>
      <c r="H94" s="119">
        <v>10.1</v>
      </c>
      <c r="I94" s="119">
        <v>8.6999999999999993</v>
      </c>
      <c r="J94" s="119">
        <v>6.8</v>
      </c>
      <c r="K94" s="124">
        <v>7.2</v>
      </c>
      <c r="L94" s="124">
        <v>6.7</v>
      </c>
      <c r="M94" s="124">
        <v>9.1</v>
      </c>
      <c r="N94" s="124">
        <v>4.8</v>
      </c>
      <c r="O94" s="124">
        <v>4.0999999999999996</v>
      </c>
      <c r="P94" s="121">
        <f t="shared" si="25"/>
        <v>6.9555555555555557</v>
      </c>
      <c r="Q94" s="121">
        <f t="shared" si="33"/>
        <v>29.605018047121902</v>
      </c>
      <c r="R94" s="122">
        <f t="shared" si="34"/>
        <v>0.75</v>
      </c>
      <c r="S94" s="140" t="str">
        <f t="shared" si="26"/>
        <v>-</v>
      </c>
      <c r="T94" s="24">
        <f t="shared" si="27"/>
        <v>0.33333333333333331</v>
      </c>
      <c r="U94" s="140">
        <f t="shared" si="28"/>
        <v>6.8999999999999995</v>
      </c>
      <c r="V94" s="9">
        <f t="shared" si="29"/>
        <v>1</v>
      </c>
      <c r="W94" s="172">
        <f t="shared" si="20"/>
        <v>6.9555555555555557</v>
      </c>
      <c r="X94" s="142">
        <f t="shared" si="21"/>
        <v>0.75</v>
      </c>
      <c r="Y94" s="144">
        <f t="shared" si="22"/>
        <v>18.45</v>
      </c>
      <c r="Z94" s="144">
        <f t="shared" si="23"/>
        <v>12.583333333333332</v>
      </c>
      <c r="AA94" s="144">
        <f t="shared" si="24"/>
        <v>12.916666666666668</v>
      </c>
      <c r="AB94" s="10"/>
      <c r="AC94" s="357" t="str">
        <f>VLOOKUP($B94,'2007-2020 Metadata'!$A$4:$S$214,MATCH("Urban Area /Monitoring Zone",'2007-2020 Metadata'!$A$4:$S$4,0),FALSE)</f>
        <v>New Plymouth</v>
      </c>
      <c r="AD94" s="87" t="str">
        <f>VLOOKUP(B94,'2007-2020 Metadata'!$A$6:$A$214,1,FALSE)</f>
        <v>WAN009</v>
      </c>
      <c r="AE94" s="230" t="str">
        <f>VLOOKUP($AD94,'2007-2020 Metadata'!$A$6:$S$214,9,FALSE)</f>
        <v>New Plymouth</v>
      </c>
      <c r="AF94" s="248">
        <f>IF(ISBLANK(VLOOKUP($AD94,'2007-2020 Metadata'!$A$6:$S$214,19,FALSE)),"",VLOOKUP($AD94,'2007-2020 Metadata'!$A$6:$S$214,19,FALSE))</f>
        <v>2.5</v>
      </c>
      <c r="AG94" s="88" t="str">
        <f>VLOOKUP($B94,'2007-2020 Metadata'!$A$4:$S$214,MATCH("Site type",'2007-2020 Metadata'!$A$4:$S$4,0),FALSE)</f>
        <v>Background</v>
      </c>
      <c r="AH94" s="143">
        <f t="shared" si="30"/>
        <v>4.0999999999999996</v>
      </c>
      <c r="AI94" s="143">
        <f t="shared" si="31"/>
        <v>10.1</v>
      </c>
      <c r="AJ94" s="144">
        <f t="shared" si="32"/>
        <v>12.916666666666668</v>
      </c>
    </row>
    <row r="95" spans="2:36" ht="12" customHeight="1" x14ac:dyDescent="0.15">
      <c r="B95" s="123" t="s">
        <v>114</v>
      </c>
      <c r="C95" s="104">
        <f>IF(ISBLANK(VLOOKUP($B95,'Monthly Summary 2013'!$B$7:$Q$152,14,FALSE)),"",IF(ISERROR(VLOOKUP($B95,'Monthly Summary 2013'!$B$7:$Q$152,14,FALSE)=0),"",VLOOKUP($B95,'Monthly Summary 2013'!$B$7:$Q$152,14,FALSE)))</f>
        <v>13.1</v>
      </c>
      <c r="D95" s="119">
        <v>18.8</v>
      </c>
      <c r="E95" s="119">
        <v>20.100000000000001</v>
      </c>
      <c r="F95" s="119">
        <v>27.8</v>
      </c>
      <c r="G95" s="119">
        <v>22.2</v>
      </c>
      <c r="H95" s="119">
        <v>22.3</v>
      </c>
      <c r="I95" s="119">
        <v>23.5</v>
      </c>
      <c r="J95" s="119"/>
      <c r="K95" s="124">
        <v>32.5</v>
      </c>
      <c r="L95" s="124">
        <v>20</v>
      </c>
      <c r="M95" s="124">
        <v>21.8</v>
      </c>
      <c r="N95" s="124">
        <v>18</v>
      </c>
      <c r="O95" s="124"/>
      <c r="P95" s="121">
        <f t="shared" si="25"/>
        <v>22.7</v>
      </c>
      <c r="Q95" s="121">
        <f t="shared" si="33"/>
        <v>19.439911871179508</v>
      </c>
      <c r="R95" s="122">
        <f>COUNT(D95:O95)/COUNT($D$6:$O$6)</f>
        <v>0.83333333333333337</v>
      </c>
      <c r="S95" s="140">
        <f t="shared" si="26"/>
        <v>22.233333333333334</v>
      </c>
      <c r="T95" s="24">
        <f t="shared" si="27"/>
        <v>1</v>
      </c>
      <c r="U95" s="140">
        <f t="shared" si="28"/>
        <v>26.25</v>
      </c>
      <c r="V95" s="9">
        <f t="shared" si="29"/>
        <v>0.66666666666666663</v>
      </c>
      <c r="W95" s="172">
        <f t="shared" si="20"/>
        <v>22.7</v>
      </c>
      <c r="X95" s="142">
        <f t="shared" si="21"/>
        <v>0.83333333333333337</v>
      </c>
      <c r="Y95" s="144">
        <f t="shared" si="22"/>
        <v>22.233333333333334</v>
      </c>
      <c r="Z95" s="144">
        <f t="shared" si="23"/>
        <v>26.25</v>
      </c>
      <c r="AA95" s="144">
        <f t="shared" si="24"/>
        <v>22.7</v>
      </c>
      <c r="AB95" s="10"/>
      <c r="AC95" s="357" t="str">
        <f>VLOOKUP($B95,'2007-2020 Metadata'!$A$4:$S$214,MATCH("Urban Area /Monitoring Zone",'2007-2020 Metadata'!$A$4:$S$4,0),FALSE)</f>
        <v>Whanganui</v>
      </c>
      <c r="AD95" s="87" t="str">
        <f>VLOOKUP(B95,'2007-2020 Metadata'!$A$6:$A$214,1,FALSE)</f>
        <v>WAN010</v>
      </c>
      <c r="AE95" s="230" t="str">
        <f>VLOOKUP($AD95,'2007-2020 Metadata'!$A$6:$S$214,9,FALSE)</f>
        <v>Whanganui</v>
      </c>
      <c r="AF95" s="248">
        <f>IF(ISBLANK(VLOOKUP($AD95,'2007-2020 Metadata'!$A$6:$S$214,19,FALSE)),"",VLOOKUP($AD95,'2007-2020 Metadata'!$A$6:$S$214,19,FALSE))</f>
        <v>3</v>
      </c>
      <c r="AG95" s="88" t="str">
        <f>VLOOKUP($B95,'2007-2020 Metadata'!$A$4:$S$214,MATCH("Site type",'2007-2020 Metadata'!$A$4:$S$4,0),FALSE)</f>
        <v>SH</v>
      </c>
      <c r="AH95" s="143">
        <f t="shared" si="30"/>
        <v>18</v>
      </c>
      <c r="AI95" s="143">
        <f t="shared" si="31"/>
        <v>32.5</v>
      </c>
      <c r="AJ95" s="144">
        <f t="shared" si="32"/>
        <v>22.7</v>
      </c>
    </row>
    <row r="96" spans="2:36" ht="12" customHeight="1" x14ac:dyDescent="0.15">
      <c r="B96" s="123" t="s">
        <v>486</v>
      </c>
      <c r="C96" s="104" t="str">
        <f>IF(ISBLANK(VLOOKUP($B96,'Monthly Summary 2013'!$B$7:$Q$152,14,FALSE)),"",IF(ISERROR(VLOOKUP($B96,'Monthly Summary 2013'!$B$7:$Q$152,14,FALSE)=0),"",VLOOKUP($B96,'Monthly Summary 2013'!$B$7:$Q$152,14,FALSE)))</f>
        <v/>
      </c>
      <c r="D96" s="125"/>
      <c r="E96" s="125"/>
      <c r="F96" s="125"/>
      <c r="G96" s="125"/>
      <c r="H96" s="125"/>
      <c r="I96" s="125"/>
      <c r="J96" s="125"/>
      <c r="K96" s="124"/>
      <c r="L96" s="124">
        <v>9.1999999999999993</v>
      </c>
      <c r="M96" s="124">
        <v>11.5</v>
      </c>
      <c r="N96" s="124">
        <v>11.2</v>
      </c>
      <c r="O96" s="124">
        <v>6.2</v>
      </c>
      <c r="P96" s="121">
        <f t="shared" si="25"/>
        <v>9.5250000000000004</v>
      </c>
      <c r="Q96" s="121">
        <f>IFERROR((STDEV(D96:O96)/P96)*100,"")</f>
        <v>25.621602177033729</v>
      </c>
      <c r="R96" s="122">
        <f>COUNT(D96:O96)/COUNT($D$6:$O$6)</f>
        <v>0.33333333333333331</v>
      </c>
      <c r="S96" s="140" t="str">
        <f t="shared" si="26"/>
        <v/>
      </c>
      <c r="T96" s="24">
        <f t="shared" si="27"/>
        <v>0</v>
      </c>
      <c r="U96" s="140" t="str">
        <f t="shared" si="28"/>
        <v>-</v>
      </c>
      <c r="V96" s="9">
        <f t="shared" si="29"/>
        <v>0.33333333333333331</v>
      </c>
      <c r="W96" s="172" t="str">
        <f t="shared" si="20"/>
        <v>-</v>
      </c>
      <c r="X96" s="142">
        <f t="shared" si="21"/>
        <v>0.33333333333333331</v>
      </c>
      <c r="Y96" s="144">
        <f t="shared" si="22"/>
        <v>18.45</v>
      </c>
      <c r="Z96" s="144">
        <f t="shared" si="23"/>
        <v>12.583333333333332</v>
      </c>
      <c r="AA96" s="144">
        <f t="shared" si="24"/>
        <v>12.916666666666668</v>
      </c>
      <c r="AB96" s="10"/>
      <c r="AC96" s="357" t="str">
        <f>VLOOKUP($B96,'2007-2020 Metadata'!$A$4:$S$214,MATCH("Urban Area /Monitoring Zone",'2007-2020 Metadata'!$A$4:$S$4,0),FALSE)</f>
        <v>New Plymouth</v>
      </c>
      <c r="AD96" s="87" t="str">
        <f>VLOOKUP(B96,'2007-2020 Metadata'!$A$6:$A$214,1,FALSE)</f>
        <v>WAN011</v>
      </c>
      <c r="AE96" s="230" t="str">
        <f>VLOOKUP($AD96,'2007-2020 Metadata'!$A$6:$S$214,9,FALSE)</f>
        <v>New Plymouth</v>
      </c>
      <c r="AF96" s="248">
        <f>IF(ISBLANK(VLOOKUP($AD96,'2007-2020 Metadata'!$A$6:$S$214,19,FALSE)),"",VLOOKUP($AD96,'2007-2020 Metadata'!$A$6:$S$214,19,FALSE))</f>
        <v>2</v>
      </c>
      <c r="AG96" s="88" t="str">
        <f>VLOOKUP($B96,'2007-2020 Metadata'!$A$4:$S$214,MATCH("Site type",'2007-2020 Metadata'!$A$4:$S$4,0),FALSE)</f>
        <v>SH</v>
      </c>
      <c r="AH96" s="143">
        <f t="shared" si="30"/>
        <v>6.2</v>
      </c>
      <c r="AI96" s="143">
        <f t="shared" si="31"/>
        <v>11.5</v>
      </c>
      <c r="AJ96" s="144" t="str">
        <f t="shared" si="32"/>
        <v xml:space="preserve"> </v>
      </c>
    </row>
    <row r="97" spans="1:37" ht="12" customHeight="1" x14ac:dyDescent="0.15">
      <c r="B97" s="123" t="s">
        <v>49</v>
      </c>
      <c r="C97" s="104">
        <f>IF(ISBLANK(VLOOKUP($B97,'Monthly Summary 2013'!$B$7:$Q$152,14,FALSE)),"",IF(ISERROR(VLOOKUP($B97,'Monthly Summary 2013'!$B$7:$Q$152,14,FALSE)=0),"",VLOOKUP($B97,'Monthly Summary 2013'!$B$7:$Q$152,14,FALSE)))</f>
        <v>11.9</v>
      </c>
      <c r="D97" s="119">
        <v>15.5</v>
      </c>
      <c r="E97" s="119">
        <v>19.399999999999999</v>
      </c>
      <c r="F97" s="119">
        <v>25.3</v>
      </c>
      <c r="G97" s="119">
        <v>27.2</v>
      </c>
      <c r="H97" s="119">
        <v>22.7</v>
      </c>
      <c r="I97" s="119">
        <v>32.200000000000003</v>
      </c>
      <c r="J97" s="119">
        <v>22.3</v>
      </c>
      <c r="K97" s="124">
        <v>21.9</v>
      </c>
      <c r="L97" s="124">
        <v>24.6</v>
      </c>
      <c r="M97" s="124">
        <v>19.7</v>
      </c>
      <c r="N97" s="124"/>
      <c r="O97" s="124">
        <v>13.3</v>
      </c>
      <c r="P97" s="121">
        <f t="shared" si="25"/>
        <v>22.190909090909091</v>
      </c>
      <c r="Q97" s="121">
        <f t="shared" si="33"/>
        <v>23.798864744644668</v>
      </c>
      <c r="R97" s="122">
        <f t="shared" si="34"/>
        <v>0.91666666666666663</v>
      </c>
      <c r="S97" s="140">
        <f t="shared" si="26"/>
        <v>20.066666666666666</v>
      </c>
      <c r="T97" s="24">
        <f t="shared" si="27"/>
        <v>1</v>
      </c>
      <c r="U97" s="140">
        <f t="shared" si="28"/>
        <v>22.933333333333337</v>
      </c>
      <c r="V97" s="9">
        <f t="shared" si="29"/>
        <v>1</v>
      </c>
      <c r="W97" s="172">
        <f t="shared" si="20"/>
        <v>22.190909090909091</v>
      </c>
      <c r="X97" s="142">
        <f t="shared" si="21"/>
        <v>0.91666666666666663</v>
      </c>
      <c r="Y97" s="144">
        <f t="shared" si="22"/>
        <v>14.966666666666669</v>
      </c>
      <c r="Z97" s="144">
        <f t="shared" si="23"/>
        <v>19.476666666666667</v>
      </c>
      <c r="AA97" s="144">
        <f t="shared" si="24"/>
        <v>17.085575757575761</v>
      </c>
      <c r="AB97" s="10"/>
      <c r="AC97" s="357" t="str">
        <f>VLOOKUP($B97,'2007-2020 Metadata'!$A$4:$S$214,MATCH("Urban Area /Monitoring Zone",'2007-2020 Metadata'!$A$4:$S$4,0),FALSE)</f>
        <v>Lower Hutt</v>
      </c>
      <c r="AD97" s="87" t="str">
        <f>VLOOKUP(B97,'2007-2020 Metadata'!$A$6:$A$214,1,FALSE)</f>
        <v>WEL002</v>
      </c>
      <c r="AE97" s="230" t="str">
        <f>VLOOKUP($AD97,'2007-2020 Metadata'!$A$6:$S$214,9,FALSE)</f>
        <v>Lower Hutt</v>
      </c>
      <c r="AF97" s="248">
        <f>IF(ISBLANK(VLOOKUP($AD97,'2007-2020 Metadata'!$A$6:$S$214,19,FALSE)),"",VLOOKUP($AD97,'2007-2020 Metadata'!$A$6:$S$214,19,FALSE))</f>
        <v>3.2</v>
      </c>
      <c r="AG97" s="88" t="str">
        <f>VLOOKUP($B97,'2007-2020 Metadata'!$A$4:$S$214,MATCH("Site type",'2007-2020 Metadata'!$A$4:$S$4,0),FALSE)</f>
        <v>SH</v>
      </c>
      <c r="AH97" s="143">
        <f t="shared" si="30"/>
        <v>13.3</v>
      </c>
      <c r="AI97" s="143">
        <f t="shared" si="31"/>
        <v>32.200000000000003</v>
      </c>
      <c r="AJ97" s="144">
        <f t="shared" si="32"/>
        <v>17.085575757575761</v>
      </c>
    </row>
    <row r="98" spans="1:37" ht="12" customHeight="1" x14ac:dyDescent="0.15">
      <c r="B98" s="123" t="s">
        <v>50</v>
      </c>
      <c r="C98" s="104">
        <f>IF(ISBLANK(VLOOKUP($B98,'Monthly Summary 2013'!$B$7:$Q$152,14,FALSE)),"",IF(ISERROR(VLOOKUP($B98,'Monthly Summary 2013'!$B$7:$Q$152,14,FALSE)=0),"",VLOOKUP($B98,'Monthly Summary 2013'!$B$7:$Q$152,14,FALSE)))</f>
        <v>6.4</v>
      </c>
      <c r="D98" s="119">
        <v>7.4</v>
      </c>
      <c r="E98" s="119">
        <v>9.3000000000000007</v>
      </c>
      <c r="F98" s="119">
        <v>10.5</v>
      </c>
      <c r="G98" s="119">
        <v>8.1999999999999993</v>
      </c>
      <c r="H98" s="119">
        <v>15.9</v>
      </c>
      <c r="I98" s="119">
        <v>19.100000000000001</v>
      </c>
      <c r="J98" s="119">
        <v>14.3</v>
      </c>
      <c r="K98" s="124"/>
      <c r="L98" s="124">
        <v>14</v>
      </c>
      <c r="M98" s="124">
        <v>6.3</v>
      </c>
      <c r="N98" s="124">
        <v>7.2</v>
      </c>
      <c r="O98" s="124">
        <v>8.4</v>
      </c>
      <c r="P98" s="121">
        <f t="shared" si="25"/>
        <v>10.963636363636365</v>
      </c>
      <c r="Q98" s="121">
        <f t="shared" si="33"/>
        <v>38.343780603569819</v>
      </c>
      <c r="R98" s="122">
        <f t="shared" si="34"/>
        <v>0.91666666666666663</v>
      </c>
      <c r="S98" s="140">
        <f t="shared" si="26"/>
        <v>9.0666666666666682</v>
      </c>
      <c r="T98" s="24">
        <f t="shared" si="27"/>
        <v>1</v>
      </c>
      <c r="U98" s="140">
        <f t="shared" si="28"/>
        <v>14.15</v>
      </c>
      <c r="V98" s="9">
        <f t="shared" si="29"/>
        <v>0.66666666666666663</v>
      </c>
      <c r="W98" s="172">
        <f t="shared" si="20"/>
        <v>10.963636363636365</v>
      </c>
      <c r="X98" s="142">
        <f t="shared" si="21"/>
        <v>0.91666666666666663</v>
      </c>
      <c r="Y98" s="144">
        <f t="shared" si="22"/>
        <v>14.966666666666669</v>
      </c>
      <c r="Z98" s="144">
        <f t="shared" si="23"/>
        <v>19.476666666666667</v>
      </c>
      <c r="AA98" s="144">
        <f t="shared" si="24"/>
        <v>17.085575757575761</v>
      </c>
      <c r="AB98" s="10"/>
      <c r="AC98" s="357" t="str">
        <f>VLOOKUP($B98,'2007-2020 Metadata'!$A$4:$S$214,MATCH("Urban Area /Monitoring Zone",'2007-2020 Metadata'!$A$4:$S$4,0),FALSE)</f>
        <v>Lower Hutt</v>
      </c>
      <c r="AD98" s="87" t="str">
        <f>VLOOKUP(B98,'2007-2020 Metadata'!$A$6:$A$214,1,FALSE)</f>
        <v>WEL003</v>
      </c>
      <c r="AE98" s="230" t="str">
        <f>VLOOKUP($AD98,'2007-2020 Metadata'!$A$6:$S$214,9,FALSE)</f>
        <v>Lower Hutt</v>
      </c>
      <c r="AF98" s="248">
        <f>IF(ISBLANK(VLOOKUP($AD98,'2007-2020 Metadata'!$A$6:$S$214,19,FALSE)),"",VLOOKUP($AD98,'2007-2020 Metadata'!$A$6:$S$214,19,FALSE))</f>
        <v>3.3</v>
      </c>
      <c r="AG98" s="88" t="str">
        <f>VLOOKUP($B98,'2007-2020 Metadata'!$A$4:$S$214,MATCH("Site type",'2007-2020 Metadata'!$A$4:$S$4,0),FALSE)</f>
        <v>SH</v>
      </c>
      <c r="AH98" s="143">
        <f t="shared" si="30"/>
        <v>6.3</v>
      </c>
      <c r="AI98" s="143">
        <f t="shared" si="31"/>
        <v>19.100000000000001</v>
      </c>
      <c r="AJ98" s="144">
        <f t="shared" si="32"/>
        <v>17.085575757575761</v>
      </c>
    </row>
    <row r="99" spans="1:37" ht="12" customHeight="1" x14ac:dyDescent="0.15">
      <c r="B99" s="123" t="s">
        <v>52</v>
      </c>
      <c r="C99" s="104">
        <f>IF(ISBLANK(VLOOKUP($B99,'Monthly Summary 2013'!$B$7:$Q$152,14,FALSE)),"",IF(ISERROR(VLOOKUP($B99,'Monthly Summary 2013'!$B$7:$Q$152,14,FALSE)=0),"",VLOOKUP($B99,'Monthly Summary 2013'!$B$7:$Q$152,14,FALSE)))</f>
        <v>12.1</v>
      </c>
      <c r="D99" s="119">
        <v>15.1</v>
      </c>
      <c r="E99" s="119">
        <v>16.600000000000001</v>
      </c>
      <c r="F99" s="119">
        <v>21</v>
      </c>
      <c r="G99" s="119">
        <v>19.8</v>
      </c>
      <c r="H99" s="119">
        <v>22.8</v>
      </c>
      <c r="I99" s="119">
        <v>25.4</v>
      </c>
      <c r="J99" s="119">
        <v>18.899999999999999</v>
      </c>
      <c r="K99" s="124">
        <v>20.399999999999999</v>
      </c>
      <c r="L99" s="124">
        <v>19</v>
      </c>
      <c r="M99" s="124">
        <v>17.100000000000001</v>
      </c>
      <c r="N99" s="124">
        <v>16</v>
      </c>
      <c r="O99" s="124">
        <v>13.8</v>
      </c>
      <c r="P99" s="121">
        <f t="shared" si="25"/>
        <v>18.824999999999999</v>
      </c>
      <c r="Q99" s="121">
        <f t="shared" si="33"/>
        <v>17.709867359973064</v>
      </c>
      <c r="R99" s="122">
        <f t="shared" si="34"/>
        <v>1</v>
      </c>
      <c r="S99" s="140">
        <f t="shared" si="26"/>
        <v>17.566666666666666</v>
      </c>
      <c r="T99" s="24">
        <f t="shared" si="27"/>
        <v>1</v>
      </c>
      <c r="U99" s="140">
        <f t="shared" si="28"/>
        <v>19.433333333333334</v>
      </c>
      <c r="V99" s="9">
        <f t="shared" si="29"/>
        <v>1</v>
      </c>
      <c r="W99" s="172">
        <f t="shared" si="20"/>
        <v>18.824999999999999</v>
      </c>
      <c r="X99" s="142">
        <f t="shared" si="21"/>
        <v>1</v>
      </c>
      <c r="Y99" s="144">
        <f t="shared" si="22"/>
        <v>11.483333333333333</v>
      </c>
      <c r="Z99" s="144">
        <f t="shared" si="23"/>
        <v>13.2</v>
      </c>
      <c r="AA99" s="144">
        <f t="shared" si="24"/>
        <v>12.6875</v>
      </c>
      <c r="AB99" s="10"/>
      <c r="AC99" s="357" t="str">
        <f>VLOOKUP($B99,'2007-2020 Metadata'!$A$4:$S$214,MATCH("Urban Area /Monitoring Zone",'2007-2020 Metadata'!$A$4:$S$4,0),FALSE)</f>
        <v>Porirua</v>
      </c>
      <c r="AD99" s="87" t="str">
        <f>VLOOKUP(B99,'2007-2020 Metadata'!$A$6:$A$214,1,FALSE)</f>
        <v>WEL005</v>
      </c>
      <c r="AE99" s="230" t="str">
        <f>VLOOKUP($AD99,'2007-2020 Metadata'!$A$6:$S$214,9,FALSE)</f>
        <v>Porirua</v>
      </c>
      <c r="AF99" s="248">
        <f>IF(ISBLANK(VLOOKUP($AD99,'2007-2020 Metadata'!$A$6:$S$214,19,FALSE)),"",VLOOKUP($AD99,'2007-2020 Metadata'!$A$6:$S$214,19,FALSE))</f>
        <v>3.2</v>
      </c>
      <c r="AG99" s="88" t="str">
        <f>VLOOKUP($B99,'2007-2020 Metadata'!$A$4:$S$214,MATCH("Site type",'2007-2020 Metadata'!$A$4:$S$4,0),FALSE)</f>
        <v>SH</v>
      </c>
      <c r="AH99" s="143">
        <f t="shared" si="30"/>
        <v>13.8</v>
      </c>
      <c r="AI99" s="143">
        <f t="shared" si="31"/>
        <v>25.4</v>
      </c>
      <c r="AJ99" s="144">
        <f t="shared" si="32"/>
        <v>12.6875</v>
      </c>
    </row>
    <row r="100" spans="1:37" ht="12" customHeight="1" x14ac:dyDescent="0.15">
      <c r="B100" s="123" t="s">
        <v>53</v>
      </c>
      <c r="C100" s="104">
        <f>IF(ISBLANK(VLOOKUP($B100,'Monthly Summary 2013'!$B$7:$Q$152,14,FALSE)),"",IF(ISERROR(VLOOKUP($B100,'Monthly Summary 2013'!$B$7:$Q$152,14,FALSE)=0),"",VLOOKUP($B100,'Monthly Summary 2013'!$B$7:$Q$152,14,FALSE)))</f>
        <v>9</v>
      </c>
      <c r="D100" s="119">
        <v>11.3</v>
      </c>
      <c r="E100" s="119">
        <v>15.6</v>
      </c>
      <c r="F100" s="119">
        <v>15.3</v>
      </c>
      <c r="G100" s="119">
        <v>9.1</v>
      </c>
      <c r="H100" s="119">
        <v>23.5</v>
      </c>
      <c r="I100" s="119"/>
      <c r="J100" s="119">
        <v>19</v>
      </c>
      <c r="K100" s="124">
        <v>22.3</v>
      </c>
      <c r="L100" s="124">
        <v>16.3</v>
      </c>
      <c r="M100" s="124">
        <v>13.6</v>
      </c>
      <c r="N100" s="124">
        <v>11.9</v>
      </c>
      <c r="O100" s="124">
        <v>14</v>
      </c>
      <c r="P100" s="121">
        <f t="shared" si="25"/>
        <v>15.627272727272727</v>
      </c>
      <c r="Q100" s="121">
        <f t="shared" si="33"/>
        <v>28.647670132443832</v>
      </c>
      <c r="R100" s="122">
        <f t="shared" si="34"/>
        <v>0.91666666666666663</v>
      </c>
      <c r="S100" s="140">
        <f t="shared" si="26"/>
        <v>14.066666666666668</v>
      </c>
      <c r="T100" s="24">
        <f t="shared" si="27"/>
        <v>1</v>
      </c>
      <c r="U100" s="140">
        <f t="shared" si="28"/>
        <v>19.2</v>
      </c>
      <c r="V100" s="9">
        <f t="shared" si="29"/>
        <v>1</v>
      </c>
      <c r="W100" s="172">
        <f t="shared" si="20"/>
        <v>15.627272727272727</v>
      </c>
      <c r="X100" s="142">
        <f t="shared" si="21"/>
        <v>0.91666666666666663</v>
      </c>
      <c r="Y100" s="144">
        <f t="shared" si="22"/>
        <v>17.96</v>
      </c>
      <c r="Z100" s="144">
        <f t="shared" si="23"/>
        <v>22.748484848484846</v>
      </c>
      <c r="AA100" s="144">
        <f t="shared" si="24"/>
        <v>21.141501377410467</v>
      </c>
      <c r="AB100" s="10"/>
      <c r="AC100" s="357" t="str">
        <f>VLOOKUP($B100,'2007-2020 Metadata'!$A$4:$S$214,MATCH("Urban Area /Monitoring Zone",'2007-2020 Metadata'!$A$4:$S$4,0),FALSE)</f>
        <v>Wellington</v>
      </c>
      <c r="AD100" s="87" t="str">
        <f>VLOOKUP(B100,'2007-2020 Metadata'!$A$6:$A$214,1,FALSE)</f>
        <v>WEL007</v>
      </c>
      <c r="AE100" s="230" t="str">
        <f>VLOOKUP($AD100,'2007-2020 Metadata'!$A$6:$S$214,9,FALSE)</f>
        <v>Wellington</v>
      </c>
      <c r="AF100" s="248">
        <f>IF(ISBLANK(VLOOKUP($AD100,'2007-2020 Metadata'!$A$6:$S$214,19,FALSE)),"",VLOOKUP($AD100,'2007-2020 Metadata'!$A$6:$S$214,19,FALSE))</f>
        <v>1</v>
      </c>
      <c r="AG100" s="88" t="str">
        <f>VLOOKUP($B100,'2007-2020 Metadata'!$A$4:$S$214,MATCH("Site type",'2007-2020 Metadata'!$A$4:$S$4,0),FALSE)</f>
        <v>SH</v>
      </c>
      <c r="AH100" s="143">
        <f t="shared" si="30"/>
        <v>9.1</v>
      </c>
      <c r="AI100" s="143">
        <f t="shared" si="31"/>
        <v>23.5</v>
      </c>
      <c r="AJ100" s="144">
        <f t="shared" si="32"/>
        <v>21.141501377410467</v>
      </c>
    </row>
    <row r="101" spans="1:37" ht="12" customHeight="1" x14ac:dyDescent="0.15">
      <c r="B101" s="123" t="s">
        <v>54</v>
      </c>
      <c r="C101" s="104">
        <f>IF(ISBLANK(VLOOKUP($B101,'Monthly Summary 2013'!$B$7:$Q$152,14,FALSE)),"",IF(ISERROR(VLOOKUP($B101,'Monthly Summary 2013'!$B$7:$Q$152,14,FALSE)=0),"",VLOOKUP($B101,'Monthly Summary 2013'!$B$7:$Q$152,14,FALSE)))</f>
        <v>26.4</v>
      </c>
      <c r="D101" s="119"/>
      <c r="E101" s="119"/>
      <c r="F101" s="119">
        <v>43</v>
      </c>
      <c r="G101" s="119">
        <v>33.4</v>
      </c>
      <c r="H101" s="119">
        <v>43.6</v>
      </c>
      <c r="I101" s="119">
        <v>45.4</v>
      </c>
      <c r="J101" s="119">
        <v>30.7</v>
      </c>
      <c r="K101" s="124">
        <v>34.1</v>
      </c>
      <c r="L101" s="124">
        <v>38.4</v>
      </c>
      <c r="M101" s="124">
        <v>35.200000000000003</v>
      </c>
      <c r="N101" s="124">
        <v>34.6</v>
      </c>
      <c r="O101" s="124">
        <v>25.4</v>
      </c>
      <c r="P101" s="121">
        <f t="shared" si="25"/>
        <v>36.379999999999995</v>
      </c>
      <c r="Q101" s="121">
        <f t="shared" si="33"/>
        <v>17.211344753374323</v>
      </c>
      <c r="R101" s="122">
        <f t="shared" si="34"/>
        <v>0.83333333333333337</v>
      </c>
      <c r="S101" s="140" t="str">
        <f t="shared" si="26"/>
        <v>-</v>
      </c>
      <c r="T101" s="24">
        <f t="shared" si="27"/>
        <v>0.33333333333333331</v>
      </c>
      <c r="U101" s="140">
        <f t="shared" si="28"/>
        <v>34.4</v>
      </c>
      <c r="V101" s="9">
        <f t="shared" si="29"/>
        <v>1</v>
      </c>
      <c r="W101" s="172">
        <f t="shared" si="20"/>
        <v>36.379999999999995</v>
      </c>
      <c r="X101" s="142">
        <f t="shared" si="21"/>
        <v>0.83333333333333337</v>
      </c>
      <c r="Y101" s="144">
        <f t="shared" si="22"/>
        <v>17.96</v>
      </c>
      <c r="Z101" s="144">
        <f t="shared" si="23"/>
        <v>22.748484848484846</v>
      </c>
      <c r="AA101" s="144">
        <f t="shared" si="24"/>
        <v>21.141501377410467</v>
      </c>
      <c r="AB101" s="10"/>
      <c r="AC101" s="357" t="str">
        <f>VLOOKUP($B101,'2007-2020 Metadata'!$A$4:$S$214,MATCH("Urban Area /Monitoring Zone",'2007-2020 Metadata'!$A$4:$S$4,0),FALSE)</f>
        <v>Wellington</v>
      </c>
      <c r="AD101" s="87" t="str">
        <f>VLOOKUP(B101,'2007-2020 Metadata'!$A$6:$A$214,1,FALSE)</f>
        <v>WEL008</v>
      </c>
      <c r="AE101" s="230" t="str">
        <f>VLOOKUP($AD101,'2007-2020 Metadata'!$A$6:$S$214,9,FALSE)</f>
        <v>Wellington</v>
      </c>
      <c r="AF101" s="248">
        <f>IF(ISBLANK(VLOOKUP($AD101,'2007-2020 Metadata'!$A$6:$S$214,19,FALSE)),"",VLOOKUP($AD101,'2007-2020 Metadata'!$A$6:$S$214,19,FALSE))</f>
        <v>3.1</v>
      </c>
      <c r="AG101" s="88" t="str">
        <f>VLOOKUP($B101,'2007-2020 Metadata'!$A$4:$S$214,MATCH("Site type",'2007-2020 Metadata'!$A$4:$S$4,0),FALSE)</f>
        <v>SH</v>
      </c>
      <c r="AH101" s="143">
        <f t="shared" si="30"/>
        <v>25.4</v>
      </c>
      <c r="AI101" s="143">
        <f t="shared" si="31"/>
        <v>45.4</v>
      </c>
      <c r="AJ101" s="144">
        <f t="shared" si="32"/>
        <v>21.141501377410467</v>
      </c>
    </row>
    <row r="102" spans="1:37" ht="12" customHeight="1" x14ac:dyDescent="0.15">
      <c r="B102" s="123" t="s">
        <v>55</v>
      </c>
      <c r="C102" s="104" t="str">
        <f>IF(ISBLANK(VLOOKUP($B102,'Monthly Summary 2013'!$B$7:$Q$152,14,FALSE)),"",IF(ISERROR(VLOOKUP($B102,'Monthly Summary 2013'!$B$7:$Q$152,14,FALSE)=0),"",VLOOKUP($B102,'Monthly Summary 2013'!$B$7:$Q$152,14,FALSE)))</f>
        <v/>
      </c>
      <c r="D102" s="119"/>
      <c r="E102" s="119">
        <v>23.1</v>
      </c>
      <c r="F102" s="119">
        <v>19.399999999999999</v>
      </c>
      <c r="G102" s="119">
        <v>21.2</v>
      </c>
      <c r="H102" s="119">
        <v>27.8</v>
      </c>
      <c r="I102" s="119">
        <v>27.4</v>
      </c>
      <c r="J102" s="119">
        <v>26.9</v>
      </c>
      <c r="K102" s="124"/>
      <c r="L102" s="124">
        <v>26.5</v>
      </c>
      <c r="M102" s="124">
        <v>11.9</v>
      </c>
      <c r="N102" s="124">
        <v>10.4</v>
      </c>
      <c r="O102" s="124">
        <v>15</v>
      </c>
      <c r="P102" s="121">
        <f t="shared" si="25"/>
        <v>20.96</v>
      </c>
      <c r="Q102" s="121">
        <f t="shared" si="33"/>
        <v>31.423584254579236</v>
      </c>
      <c r="R102" s="122">
        <f t="shared" si="34"/>
        <v>0.83333333333333337</v>
      </c>
      <c r="S102" s="140">
        <f t="shared" si="26"/>
        <v>21.25</v>
      </c>
      <c r="T102" s="24">
        <f t="shared" si="27"/>
        <v>0.66666666666666663</v>
      </c>
      <c r="U102" s="140">
        <f t="shared" si="28"/>
        <v>26.7</v>
      </c>
      <c r="V102" s="9">
        <f t="shared" si="29"/>
        <v>0.66666666666666663</v>
      </c>
      <c r="W102" s="172">
        <f t="shared" si="20"/>
        <v>20.96</v>
      </c>
      <c r="X102" s="142">
        <f t="shared" si="21"/>
        <v>0.83333333333333337</v>
      </c>
      <c r="Y102" s="144">
        <f t="shared" si="22"/>
        <v>17.333333333333332</v>
      </c>
      <c r="Z102" s="144">
        <f t="shared" si="23"/>
        <v>21.411111111111111</v>
      </c>
      <c r="AA102" s="144">
        <f t="shared" si="24"/>
        <v>17.792727272727273</v>
      </c>
      <c r="AB102" s="10"/>
      <c r="AC102" s="357" t="str">
        <f>VLOOKUP($B102,'2007-2020 Metadata'!$A$4:$S$214,MATCH("Urban Area /Monitoring Zone",'2007-2020 Metadata'!$A$4:$S$4,0),FALSE)</f>
        <v>Nelson</v>
      </c>
      <c r="AD102" s="87" t="str">
        <f>VLOOKUP(B102,'2007-2020 Metadata'!$A$6:$A$214,1,FALSE)</f>
        <v>WEL009</v>
      </c>
      <c r="AE102" s="230" t="str">
        <f>VLOOKUP($AD102,'2007-2020 Metadata'!$A$6:$S$214,9,FALSE)</f>
        <v>Nelson</v>
      </c>
      <c r="AF102" s="248">
        <f>IF(ISBLANK(VLOOKUP($AD102,'2007-2020 Metadata'!$A$6:$S$214,19,FALSE)),"",VLOOKUP($AD102,'2007-2020 Metadata'!$A$6:$S$214,19,FALSE))</f>
        <v>3</v>
      </c>
      <c r="AG102" s="88" t="str">
        <f>VLOOKUP($B102,'2007-2020 Metadata'!$A$4:$S$214,MATCH("Site type",'2007-2020 Metadata'!$A$4:$S$4,0),FALSE)</f>
        <v>SH</v>
      </c>
      <c r="AH102" s="143">
        <f t="shared" si="30"/>
        <v>10.4</v>
      </c>
      <c r="AI102" s="143">
        <f t="shared" si="31"/>
        <v>27.8</v>
      </c>
      <c r="AJ102" s="144">
        <f t="shared" si="32"/>
        <v>17.792727272727273</v>
      </c>
    </row>
    <row r="103" spans="1:37" ht="12" customHeight="1" x14ac:dyDescent="0.15">
      <c r="B103" s="123" t="s">
        <v>56</v>
      </c>
      <c r="C103" s="104" t="str">
        <f>IF(ISBLANK(VLOOKUP($B103,'Monthly Summary 2013'!$B$7:$Q$152,14,FALSE)),"",IF(ISERROR(VLOOKUP($B103,'Monthly Summary 2013'!$B$7:$Q$152,14,FALSE)=0),"",VLOOKUP($B103,'Monthly Summary 2013'!$B$7:$Q$152,14,FALSE)))</f>
        <v/>
      </c>
      <c r="D103" s="119"/>
      <c r="E103" s="119">
        <v>19.2</v>
      </c>
      <c r="F103" s="119">
        <v>20.8</v>
      </c>
      <c r="G103" s="119">
        <v>16.399999999999999</v>
      </c>
      <c r="H103" s="119">
        <v>28.1</v>
      </c>
      <c r="I103" s="119">
        <v>25.5</v>
      </c>
      <c r="J103" s="119">
        <v>23.9</v>
      </c>
      <c r="K103" s="124">
        <v>24.9</v>
      </c>
      <c r="L103" s="124">
        <v>22.6</v>
      </c>
      <c r="M103" s="124">
        <v>14.6</v>
      </c>
      <c r="N103" s="124">
        <v>17.399999999999999</v>
      </c>
      <c r="O103" s="124">
        <v>13.4</v>
      </c>
      <c r="P103" s="121">
        <f t="shared" si="25"/>
        <v>20.618181818181821</v>
      </c>
      <c r="Q103" s="121">
        <f t="shared" si="33"/>
        <v>23.328690410852655</v>
      </c>
      <c r="R103" s="122">
        <f t="shared" si="34"/>
        <v>0.91666666666666663</v>
      </c>
      <c r="S103" s="140">
        <f t="shared" si="26"/>
        <v>20</v>
      </c>
      <c r="T103" s="24">
        <f t="shared" si="27"/>
        <v>0.66666666666666663</v>
      </c>
      <c r="U103" s="140">
        <f t="shared" si="28"/>
        <v>23.8</v>
      </c>
      <c r="V103" s="9">
        <f t="shared" si="29"/>
        <v>1</v>
      </c>
      <c r="W103" s="172">
        <f t="shared" ref="W103:W134" si="35">IF(AND(($T103&gt;33%),($V103&gt;33%),($X103&gt;=75%)),AVERAGE($D103:$O103),"-")</f>
        <v>20.618181818181821</v>
      </c>
      <c r="X103" s="142">
        <f t="shared" ref="X103:X134" si="36">R103</f>
        <v>0.91666666666666663</v>
      </c>
      <c r="Y103" s="144">
        <f t="shared" ref="Y103:Y134" si="37">IF(VLOOKUP($B103,$AD$6:$AJ$158,3,FALSE)="",$S103,IF(ISERROR(AVERAGEIF($AE$6:$AE$158,VLOOKUP($B103,$AD$6:$AJ$158,2,FALSE),$S$6:$S$158)),"",AVERAGEIF($AE$6:$AE$158,VLOOKUP($B103,$AD$6:$AJ$158,2,FALSE),$S$6:$S$158)))</f>
        <v>17.333333333333332</v>
      </c>
      <c r="Z103" s="144">
        <f t="shared" ref="Z103:Z134" si="38">IF(VLOOKUP($B103,$AD$6:$AJ$158,3,FALSE)="",$U103,IF(ISERROR(AVERAGEIF($AE$6:$AE$158,VLOOKUP($B103,$AD$6:$AJ$158,2,FALSE),$U$6:$U$158)),"",AVERAGEIF($AE$6:$AE$158,VLOOKUP($B103,$AD$6:$AJ$158,2,FALSE),$U$6:$U$158)))</f>
        <v>21.411111111111111</v>
      </c>
      <c r="AA103" s="144">
        <f t="shared" ref="AA103:AA134" si="39">IF(VLOOKUP($B103,$AD$6:$AJ$158,3,FALSE)="",$W103,IF(ISERROR(AVERAGEIF($AE$6:$AE$158,VLOOKUP($B103,$AD$6:$AJ$158,2,FALSE),$W$6:$W$158)),"",AVERAGEIF($AE$6:$AE$158,VLOOKUP($B103,$AD$6:$AJ$158,2,FALSE),$W$6:$W$158)))</f>
        <v>17.792727272727273</v>
      </c>
      <c r="AB103" s="10"/>
      <c r="AC103" s="357" t="str">
        <f>VLOOKUP($B103,'2007-2020 Metadata'!$A$4:$S$214,MATCH("Urban Area /Monitoring Zone",'2007-2020 Metadata'!$A$4:$S$4,0),FALSE)</f>
        <v>Nelson</v>
      </c>
      <c r="AD103" s="87" t="str">
        <f>VLOOKUP(B103,'2007-2020 Metadata'!$A$6:$A$214,1,FALSE)</f>
        <v>WEL010</v>
      </c>
      <c r="AE103" s="230" t="str">
        <f>VLOOKUP($AD103,'2007-2020 Metadata'!$A$6:$S$214,9,FALSE)</f>
        <v>Nelson</v>
      </c>
      <c r="AF103" s="248">
        <f>IF(ISBLANK(VLOOKUP($AD103,'2007-2020 Metadata'!$A$6:$S$214,19,FALSE)),"",VLOOKUP($AD103,'2007-2020 Metadata'!$A$6:$S$214,19,FALSE))</f>
        <v>2.4</v>
      </c>
      <c r="AG103" s="88" t="str">
        <f>VLOOKUP($B103,'2007-2020 Metadata'!$A$4:$S$214,MATCH("Site type",'2007-2020 Metadata'!$A$4:$S$4,0),FALSE)</f>
        <v>SH</v>
      </c>
      <c r="AH103" s="143">
        <f t="shared" si="30"/>
        <v>13.4</v>
      </c>
      <c r="AI103" s="143">
        <f t="shared" si="31"/>
        <v>28.1</v>
      </c>
      <c r="AJ103" s="144">
        <f t="shared" si="32"/>
        <v>17.792727272727273</v>
      </c>
    </row>
    <row r="104" spans="1:37" ht="12" customHeight="1" x14ac:dyDescent="0.15">
      <c r="B104" s="123" t="s">
        <v>57</v>
      </c>
      <c r="C104" s="104" t="str">
        <f>IF(ISBLANK(VLOOKUP($B104,'Monthly Summary 2013'!$B$7:$Q$152,14,FALSE)),"",IF(ISERROR(VLOOKUP($B104,'Monthly Summary 2013'!$B$7:$Q$152,14,FALSE)=0),"",VLOOKUP($B104,'Monthly Summary 2013'!$B$7:$Q$152,14,FALSE)))</f>
        <v/>
      </c>
      <c r="D104" s="119"/>
      <c r="E104" s="119">
        <v>12.2</v>
      </c>
      <c r="F104" s="119">
        <v>16.3</v>
      </c>
      <c r="G104" s="119">
        <v>13.7</v>
      </c>
      <c r="H104" s="119">
        <v>19.8</v>
      </c>
      <c r="I104" s="119">
        <v>20</v>
      </c>
      <c r="J104" s="119">
        <v>20.2</v>
      </c>
      <c r="K104" s="124">
        <v>17.8</v>
      </c>
      <c r="L104" s="124">
        <v>15.4</v>
      </c>
      <c r="M104" s="124">
        <v>13.6</v>
      </c>
      <c r="N104" s="124">
        <v>10.6</v>
      </c>
      <c r="O104" s="124">
        <v>7.1</v>
      </c>
      <c r="P104" s="121">
        <f t="shared" si="25"/>
        <v>15.154545454545454</v>
      </c>
      <c r="Q104" s="121">
        <f t="shared" si="33"/>
        <v>27.82165687376898</v>
      </c>
      <c r="R104" s="122">
        <f t="shared" si="34"/>
        <v>0.91666666666666663</v>
      </c>
      <c r="S104" s="140">
        <f t="shared" si="26"/>
        <v>14.25</v>
      </c>
      <c r="T104" s="24">
        <f t="shared" si="27"/>
        <v>0.66666666666666663</v>
      </c>
      <c r="U104" s="140">
        <f t="shared" si="28"/>
        <v>17.8</v>
      </c>
      <c r="V104" s="9">
        <f t="shared" si="29"/>
        <v>1</v>
      </c>
      <c r="W104" s="172">
        <f t="shared" si="35"/>
        <v>15.154545454545454</v>
      </c>
      <c r="X104" s="142">
        <f t="shared" si="36"/>
        <v>0.91666666666666663</v>
      </c>
      <c r="Y104" s="144">
        <f t="shared" si="37"/>
        <v>14.25</v>
      </c>
      <c r="Z104" s="144">
        <f t="shared" si="38"/>
        <v>17.8</v>
      </c>
      <c r="AA104" s="144">
        <f t="shared" si="39"/>
        <v>15.154545454545454</v>
      </c>
      <c r="AB104" s="10"/>
      <c r="AC104" s="357" t="str">
        <f>VLOOKUP($B104,'2007-2020 Metadata'!$A$4:$S$214,MATCH("Urban Area /Monitoring Zone",'2007-2020 Metadata'!$A$4:$S$4,0),FALSE)</f>
        <v>Nelson</v>
      </c>
      <c r="AD104" s="87" t="str">
        <f>VLOOKUP(B104,'2007-2020 Metadata'!$A$6:$A$214,1,FALSE)</f>
        <v>WEL011</v>
      </c>
      <c r="AE104" s="230" t="str">
        <f>VLOOKUP($AD104,'2007-2020 Metadata'!$A$6:$S$214,9,FALSE)</f>
        <v>Tasman</v>
      </c>
      <c r="AF104" s="248">
        <f>IF(ISBLANK(VLOOKUP($AD104,'2007-2020 Metadata'!$A$6:$S$214,19,FALSE)),"",VLOOKUP($AD104,'2007-2020 Metadata'!$A$6:$S$214,19,FALSE))</f>
        <v>2.4</v>
      </c>
      <c r="AG104" s="88" t="str">
        <f>VLOOKUP($B104,'2007-2020 Metadata'!$A$4:$S$214,MATCH("Site type",'2007-2020 Metadata'!$A$4:$S$4,0),FALSE)</f>
        <v>SH</v>
      </c>
      <c r="AH104" s="143">
        <f t="shared" si="30"/>
        <v>7.1</v>
      </c>
      <c r="AI104" s="143">
        <f t="shared" si="31"/>
        <v>20.2</v>
      </c>
      <c r="AJ104" s="144">
        <f t="shared" si="32"/>
        <v>15.154545454545454</v>
      </c>
    </row>
    <row r="105" spans="1:37" ht="12" customHeight="1" x14ac:dyDescent="0.15">
      <c r="B105" s="123" t="s">
        <v>58</v>
      </c>
      <c r="C105" s="104">
        <f>IF(ISBLANK(VLOOKUP($B105,'Monthly Summary 2013'!$B$7:$Q$152,14,FALSE)),"",IF(ISERROR(VLOOKUP($B105,'Monthly Summary 2013'!$B$7:$Q$152,14,FALSE)=0),"",VLOOKUP($B105,'Monthly Summary 2013'!$B$7:$Q$152,14,FALSE)))</f>
        <v>9.9</v>
      </c>
      <c r="D105" s="119">
        <v>10.1</v>
      </c>
      <c r="E105" s="119">
        <v>12.7</v>
      </c>
      <c r="F105" s="119">
        <v>16.600000000000001</v>
      </c>
      <c r="G105" s="119">
        <v>16</v>
      </c>
      <c r="H105" s="119">
        <v>15.5</v>
      </c>
      <c r="I105" s="119">
        <v>16.8</v>
      </c>
      <c r="J105" s="119">
        <v>16.3</v>
      </c>
      <c r="K105" s="124">
        <v>16.100000000000001</v>
      </c>
      <c r="L105" s="124"/>
      <c r="M105" s="124">
        <v>8.5</v>
      </c>
      <c r="N105" s="124">
        <v>10.6</v>
      </c>
      <c r="O105" s="124">
        <v>11</v>
      </c>
      <c r="P105" s="121">
        <f t="shared" si="25"/>
        <v>13.654545454545454</v>
      </c>
      <c r="Q105" s="121">
        <f t="shared" si="33"/>
        <v>22.802924567729189</v>
      </c>
      <c r="R105" s="122">
        <f t="shared" si="34"/>
        <v>0.91666666666666663</v>
      </c>
      <c r="S105" s="140">
        <f t="shared" si="26"/>
        <v>13.133333333333333</v>
      </c>
      <c r="T105" s="24">
        <f t="shared" si="27"/>
        <v>1</v>
      </c>
      <c r="U105" s="140">
        <f t="shared" si="28"/>
        <v>16.200000000000003</v>
      </c>
      <c r="V105" s="9">
        <f t="shared" si="29"/>
        <v>0.66666666666666663</v>
      </c>
      <c r="W105" s="172">
        <f t="shared" si="35"/>
        <v>13.654545454545454</v>
      </c>
      <c r="X105" s="142">
        <f t="shared" si="36"/>
        <v>0.91666666666666663</v>
      </c>
      <c r="Y105" s="144">
        <f t="shared" si="37"/>
        <v>13.133333333333333</v>
      </c>
      <c r="Z105" s="144">
        <f t="shared" si="38"/>
        <v>16.200000000000003</v>
      </c>
      <c r="AA105" s="144">
        <f t="shared" si="39"/>
        <v>13.654545454545454</v>
      </c>
      <c r="AB105" s="10"/>
      <c r="AC105" s="357" t="str">
        <f>VLOOKUP($B105,'2007-2020 Metadata'!$A$4:$S$214,MATCH("Urban Area /Monitoring Zone",'2007-2020 Metadata'!$A$4:$S$4,0),FALSE)</f>
        <v>Blenheim</v>
      </c>
      <c r="AD105" s="87" t="str">
        <f>VLOOKUP(B105,'2007-2020 Metadata'!$A$6:$A$214,1,FALSE)</f>
        <v>WEL012</v>
      </c>
      <c r="AE105" s="230" t="str">
        <f>VLOOKUP($AD105,'2007-2020 Metadata'!$A$6:$S$214,9,FALSE)</f>
        <v>Blenheim</v>
      </c>
      <c r="AF105" s="248">
        <f>IF(ISBLANK(VLOOKUP($AD105,'2007-2020 Metadata'!$A$6:$S$214,19,FALSE)),"",VLOOKUP($AD105,'2007-2020 Metadata'!$A$6:$S$214,19,FALSE))</f>
        <v>4.2</v>
      </c>
      <c r="AG105" s="88" t="str">
        <f>VLOOKUP($B105,'2007-2020 Metadata'!$A$4:$S$214,MATCH("Site type",'2007-2020 Metadata'!$A$4:$S$4,0),FALSE)</f>
        <v>SH</v>
      </c>
      <c r="AH105" s="143">
        <f t="shared" si="30"/>
        <v>8.5</v>
      </c>
      <c r="AI105" s="143">
        <f t="shared" si="31"/>
        <v>16.8</v>
      </c>
      <c r="AJ105" s="144">
        <f t="shared" si="32"/>
        <v>13.654545454545454</v>
      </c>
    </row>
    <row r="106" spans="1:37" ht="12" customHeight="1" x14ac:dyDescent="0.15">
      <c r="B106" s="123" t="s">
        <v>119</v>
      </c>
      <c r="C106" s="104">
        <f>IF(ISBLANK(VLOOKUP($B106,'Monthly Summary 2013'!$B$7:$Q$152,14,FALSE)),"",IF(ISERROR(VLOOKUP($B106,'Monthly Summary 2013'!$B$7:$Q$152,14,FALSE)=0),"",VLOOKUP($B106,'Monthly Summary 2013'!$B$7:$Q$152,14,FALSE)))</f>
        <v>14.9</v>
      </c>
      <c r="D106" s="119">
        <v>17.7</v>
      </c>
      <c r="E106" s="119">
        <v>23.3</v>
      </c>
      <c r="F106" s="119">
        <v>22.2</v>
      </c>
      <c r="G106" s="119">
        <v>25.8</v>
      </c>
      <c r="H106" s="119">
        <v>27.4</v>
      </c>
      <c r="I106" s="119">
        <v>30.8</v>
      </c>
      <c r="J106" s="119">
        <v>23.8</v>
      </c>
      <c r="K106" s="124">
        <v>30.6</v>
      </c>
      <c r="L106" s="124">
        <v>26.7</v>
      </c>
      <c r="M106" s="124">
        <v>21.5</v>
      </c>
      <c r="N106" s="124">
        <v>20.2</v>
      </c>
      <c r="O106" s="125"/>
      <c r="P106" s="121">
        <f t="shared" si="25"/>
        <v>24.545454545454547</v>
      </c>
      <c r="Q106" s="121">
        <f t="shared" si="33"/>
        <v>16.934004069538968</v>
      </c>
      <c r="R106" s="122">
        <f t="shared" si="34"/>
        <v>0.91666666666666663</v>
      </c>
      <c r="S106" s="260">
        <f t="shared" si="26"/>
        <v>21.066666666666666</v>
      </c>
      <c r="T106" s="264">
        <f t="shared" si="27"/>
        <v>1</v>
      </c>
      <c r="U106" s="260">
        <f t="shared" si="28"/>
        <v>27.033333333333335</v>
      </c>
      <c r="V106" s="265">
        <f t="shared" si="29"/>
        <v>1</v>
      </c>
      <c r="W106" s="266">
        <f t="shared" si="35"/>
        <v>24.545454545454547</v>
      </c>
      <c r="X106" s="261">
        <f t="shared" si="36"/>
        <v>0.91666666666666663</v>
      </c>
      <c r="Y106" s="177">
        <f t="shared" si="37"/>
        <v>17.96</v>
      </c>
      <c r="Z106" s="177">
        <f t="shared" si="38"/>
        <v>22.748484848484846</v>
      </c>
      <c r="AA106" s="177">
        <f t="shared" si="39"/>
        <v>21.141501377410467</v>
      </c>
      <c r="AB106" s="10"/>
      <c r="AC106" s="357" t="str">
        <f>VLOOKUP($B106,'2007-2020 Metadata'!$A$4:$S$214,MATCH("Urban Area /Monitoring Zone",'2007-2020 Metadata'!$A$4:$S$4,0),FALSE)</f>
        <v>Wellington</v>
      </c>
      <c r="AD106" s="259" t="str">
        <f>VLOOKUP(B106,'2007-2020 Metadata'!$A$6:$A$214,1,FALSE)</f>
        <v>WEL031</v>
      </c>
      <c r="AE106" s="256" t="str">
        <f>VLOOKUP($AD106,'2007-2020 Metadata'!$A$6:$S$214,9,FALSE)</f>
        <v>Wellington</v>
      </c>
      <c r="AF106" s="263">
        <f>IF(ISBLANK(VLOOKUP($AD106,'2007-2020 Metadata'!$A$6:$S$214,19,FALSE)),"",VLOOKUP($AD106,'2007-2020 Metadata'!$A$6:$S$214,19,FALSE))</f>
        <v>5.3</v>
      </c>
      <c r="AG106" s="257" t="str">
        <f>VLOOKUP($B106,'2007-2020 Metadata'!$A$4:$S$214,MATCH("Site type",'2007-2020 Metadata'!$A$4:$S$4,0),FALSE)</f>
        <v>SH</v>
      </c>
      <c r="AH106" s="258">
        <f>MIN(AVERAGE($D$106:$D$108),AVERAGE($E$106:$E$108),AVERAGE($F$106:$F$108),AVERAGE($G$106:$G$108),AVERAGE($H$106:$H$108),AVERAGE($I$106:$I$108),AVERAGE($J$106:$J$108),AVERAGE($K$106:$K$108),AVERAGE($L$106:$L$108),AVERAGE($M$106:$M$108),AVERAGE($N$106:$N$108))</f>
        <v>17.899999999999999</v>
      </c>
      <c r="AI106" s="258">
        <f>MAX(AVERAGE($D$106:$D$108),AVERAGE($E$106:$E$108),AVERAGE($F$106:$F$108),AVERAGE($G$106:$G$108),AVERAGE($H$106:$H$108),AVERAGE($I$106:$I$108),AVERAGE($J$106:$J$108),AVERAGE($K$106:$K$108),AVERAGE($L$106:$L$108),AVERAGE($M$106:$M$108),AVERAGE($N$106:$N$108))</f>
        <v>30.566666666666666</v>
      </c>
      <c r="AJ106" s="177">
        <f t="shared" si="32"/>
        <v>21.141501377410467</v>
      </c>
      <c r="AK106" s="110" t="s">
        <v>542</v>
      </c>
    </row>
    <row r="107" spans="1:37" ht="12" customHeight="1" x14ac:dyDescent="0.15">
      <c r="B107" s="123" t="s">
        <v>120</v>
      </c>
      <c r="C107" s="104">
        <f>IF(ISBLANK(VLOOKUP($B107,'Monthly Summary 2013'!$B$7:$Q$152,14,FALSE)),"",IF(ISERROR(VLOOKUP($B107,'Monthly Summary 2013'!$B$7:$Q$152,14,FALSE)=0),"",VLOOKUP($B107,'Monthly Summary 2013'!$B$7:$Q$152,14,FALSE)))</f>
        <v>15.5</v>
      </c>
      <c r="D107" s="119">
        <v>17.899999999999999</v>
      </c>
      <c r="E107" s="119">
        <v>24</v>
      </c>
      <c r="F107" s="119">
        <v>31.4</v>
      </c>
      <c r="G107" s="119">
        <v>25.3</v>
      </c>
      <c r="H107" s="119">
        <v>20.399999999999999</v>
      </c>
      <c r="I107" s="119">
        <v>29.9</v>
      </c>
      <c r="J107" s="119">
        <v>21</v>
      </c>
      <c r="K107" s="124">
        <v>31.1</v>
      </c>
      <c r="L107" s="124">
        <v>23</v>
      </c>
      <c r="M107" s="124">
        <v>14.5</v>
      </c>
      <c r="N107" s="124">
        <v>18.7</v>
      </c>
      <c r="O107" s="125"/>
      <c r="P107" s="121">
        <f t="shared" si="25"/>
        <v>23.381818181818179</v>
      </c>
      <c r="Q107" s="121">
        <f t="shared" si="33"/>
        <v>24.04080574641478</v>
      </c>
      <c r="R107" s="122">
        <f t="shared" si="34"/>
        <v>0.91666666666666663</v>
      </c>
      <c r="S107" s="260">
        <f t="shared" si="26"/>
        <v>24.433333333333334</v>
      </c>
      <c r="T107" s="264">
        <f t="shared" si="27"/>
        <v>1</v>
      </c>
      <c r="U107" s="260">
        <f t="shared" si="28"/>
        <v>25.033333333333331</v>
      </c>
      <c r="V107" s="265">
        <f t="shared" si="29"/>
        <v>1</v>
      </c>
      <c r="W107" s="266">
        <f t="shared" si="35"/>
        <v>23.381818181818179</v>
      </c>
      <c r="X107" s="261">
        <f t="shared" si="36"/>
        <v>0.91666666666666663</v>
      </c>
      <c r="Y107" s="177">
        <f t="shared" si="37"/>
        <v>17.96</v>
      </c>
      <c r="Z107" s="177">
        <f t="shared" si="38"/>
        <v>22.748484848484846</v>
      </c>
      <c r="AA107" s="177">
        <f t="shared" si="39"/>
        <v>21.141501377410467</v>
      </c>
      <c r="AB107" s="10"/>
      <c r="AC107" s="357" t="str">
        <f>VLOOKUP($B107,'2007-2020 Metadata'!$A$4:$S$214,MATCH("Urban Area /Monitoring Zone",'2007-2020 Metadata'!$A$4:$S$4,0),FALSE)</f>
        <v>Wellington</v>
      </c>
      <c r="AD107" s="259" t="str">
        <f>VLOOKUP(B107,'2007-2020 Metadata'!$A$6:$A$214,1,FALSE)</f>
        <v>WEL032</v>
      </c>
      <c r="AE107" s="256" t="str">
        <f>VLOOKUP($AD107,'2007-2020 Metadata'!$A$6:$S$214,9,FALSE)</f>
        <v>Wellington</v>
      </c>
      <c r="AF107" s="263">
        <f>IF(ISBLANK(VLOOKUP($AD107,'2007-2020 Metadata'!$A$6:$S$214,19,FALSE)),"",VLOOKUP($AD107,'2007-2020 Metadata'!$A$6:$S$214,19,FALSE))</f>
        <v>5.3</v>
      </c>
      <c r="AG107" s="257" t="str">
        <f>VLOOKUP($B107,'2007-2020 Metadata'!$A$4:$S$214,MATCH("Site type",'2007-2020 Metadata'!$A$4:$S$4,0),FALSE)</f>
        <v>SH</v>
      </c>
      <c r="AH107" s="258">
        <f t="shared" ref="AH107:AH108" si="40">MIN(AVERAGE($D$106:$D$108),AVERAGE($E$106:$E$108),AVERAGE($F$106:$F$108),AVERAGE($G$106:$G$108),AVERAGE($H$106:$H$108),AVERAGE($I$106:$I$108),AVERAGE($J$106:$J$108),AVERAGE($K$106:$K$108),AVERAGE($L$106:$L$108),AVERAGE($M$106:$M$108),AVERAGE($N$106:$N$108))</f>
        <v>17.899999999999999</v>
      </c>
      <c r="AI107" s="258">
        <f t="shared" ref="AI107:AI108" si="41">MAX(AVERAGE($D$106:$D$108),AVERAGE($E$106:$E$108),AVERAGE($F$106:$F$108),AVERAGE($G$106:$G$108),AVERAGE($H$106:$H$108),AVERAGE($I$106:$I$108),AVERAGE($J$106:$J$108),AVERAGE($K$106:$K$108),AVERAGE($L$106:$L$108),AVERAGE($M$106:$M$108),AVERAGE($N$106:$N$108))</f>
        <v>30.566666666666666</v>
      </c>
      <c r="AJ107" s="177">
        <f t="shared" si="32"/>
        <v>21.141501377410467</v>
      </c>
      <c r="AK107" s="110" t="s">
        <v>542</v>
      </c>
    </row>
    <row r="108" spans="1:37" ht="12" customHeight="1" x14ac:dyDescent="0.15">
      <c r="B108" s="123" t="s">
        <v>121</v>
      </c>
      <c r="C108" s="104">
        <f>IF(ISBLANK(VLOOKUP($B108,'Monthly Summary 2013'!$B$7:$Q$152,14,FALSE)),"",IF(ISERROR(VLOOKUP($B108,'Monthly Summary 2013'!$B$7:$Q$152,14,FALSE)=0),"",VLOOKUP($B108,'Monthly Summary 2013'!$B$7:$Q$152,14,FALSE)))</f>
        <v>15.3</v>
      </c>
      <c r="D108" s="119">
        <v>18.100000000000001</v>
      </c>
      <c r="E108" s="119">
        <v>23.9</v>
      </c>
      <c r="F108" s="119">
        <v>27.6</v>
      </c>
      <c r="G108" s="119">
        <v>24.5</v>
      </c>
      <c r="H108" s="119">
        <v>25.8</v>
      </c>
      <c r="I108" s="119">
        <v>29.5</v>
      </c>
      <c r="J108" s="119">
        <v>21.5</v>
      </c>
      <c r="K108" s="124">
        <v>30</v>
      </c>
      <c r="L108" s="124">
        <v>23.7</v>
      </c>
      <c r="M108" s="124">
        <v>22.8</v>
      </c>
      <c r="N108" s="124">
        <v>19.7</v>
      </c>
      <c r="O108" s="125"/>
      <c r="P108" s="121">
        <f t="shared" si="25"/>
        <v>24.281818181818178</v>
      </c>
      <c r="Q108" s="121">
        <f t="shared" si="33"/>
        <v>15.568966202953574</v>
      </c>
      <c r="R108" s="122">
        <f t="shared" si="34"/>
        <v>0.91666666666666663</v>
      </c>
      <c r="S108" s="260">
        <f t="shared" si="26"/>
        <v>23.2</v>
      </c>
      <c r="T108" s="264">
        <f t="shared" si="27"/>
        <v>1</v>
      </c>
      <c r="U108" s="260">
        <f t="shared" si="28"/>
        <v>25.066666666666666</v>
      </c>
      <c r="V108" s="265">
        <f t="shared" si="29"/>
        <v>1</v>
      </c>
      <c r="W108" s="266">
        <f t="shared" si="35"/>
        <v>24.281818181818178</v>
      </c>
      <c r="X108" s="261">
        <f t="shared" si="36"/>
        <v>0.91666666666666663</v>
      </c>
      <c r="Y108" s="177">
        <f t="shared" si="37"/>
        <v>17.96</v>
      </c>
      <c r="Z108" s="177">
        <f t="shared" si="38"/>
        <v>22.748484848484846</v>
      </c>
      <c r="AA108" s="177">
        <f t="shared" si="39"/>
        <v>21.141501377410467</v>
      </c>
      <c r="AB108" s="10"/>
      <c r="AC108" s="357" t="str">
        <f>VLOOKUP($B108,'2007-2020 Metadata'!$A$4:$S$214,MATCH("Urban Area /Monitoring Zone",'2007-2020 Metadata'!$A$4:$S$4,0),FALSE)</f>
        <v>Wellington</v>
      </c>
      <c r="AD108" s="259" t="str">
        <f>VLOOKUP(B108,'2007-2020 Metadata'!$A$6:$A$214,1,FALSE)</f>
        <v>WEL033</v>
      </c>
      <c r="AE108" s="256" t="str">
        <f>VLOOKUP($AD108,'2007-2020 Metadata'!$A$6:$S$214,9,FALSE)</f>
        <v>Wellington</v>
      </c>
      <c r="AF108" s="263">
        <f>IF(ISBLANK(VLOOKUP($AD108,'2007-2020 Metadata'!$A$6:$S$214,19,FALSE)),"",VLOOKUP($AD108,'2007-2020 Metadata'!$A$6:$S$214,19,FALSE))</f>
        <v>5.3</v>
      </c>
      <c r="AG108" s="257" t="str">
        <f>VLOOKUP($B108,'2007-2020 Metadata'!$A$4:$S$214,MATCH("Site type",'2007-2020 Metadata'!$A$4:$S$4,0),FALSE)</f>
        <v>SH</v>
      </c>
      <c r="AH108" s="258">
        <f t="shared" si="40"/>
        <v>17.899999999999999</v>
      </c>
      <c r="AI108" s="258">
        <f t="shared" si="41"/>
        <v>30.566666666666666</v>
      </c>
      <c r="AJ108" s="177">
        <f t="shared" si="32"/>
        <v>21.141501377410467</v>
      </c>
      <c r="AK108" s="110" t="s">
        <v>542</v>
      </c>
    </row>
    <row r="109" spans="1:37" ht="12" customHeight="1" x14ac:dyDescent="0.15">
      <c r="B109" s="123" t="s">
        <v>125</v>
      </c>
      <c r="C109" s="104">
        <f>IF(ISBLANK(VLOOKUP($B109,'Monthly Summary 2013'!$B$7:$Q$152,14,FALSE)),"",IF(ISERROR(VLOOKUP($B109,'Monthly Summary 2013'!$B$7:$Q$152,14,FALSE)=0),"",VLOOKUP($B109,'Monthly Summary 2013'!$B$7:$Q$152,14,FALSE)))</f>
        <v>6.3</v>
      </c>
      <c r="D109" s="119">
        <v>7.3</v>
      </c>
      <c r="E109" s="119">
        <v>9</v>
      </c>
      <c r="F109" s="119">
        <v>14.2</v>
      </c>
      <c r="G109" s="119">
        <v>10.8</v>
      </c>
      <c r="H109" s="119">
        <v>12.8</v>
      </c>
      <c r="I109" s="119">
        <v>14.9</v>
      </c>
      <c r="J109" s="119">
        <v>9.8000000000000007</v>
      </c>
      <c r="K109" s="124">
        <v>12.1</v>
      </c>
      <c r="L109" s="124">
        <v>11.2</v>
      </c>
      <c r="M109" s="124">
        <v>8</v>
      </c>
      <c r="N109" s="124">
        <v>7.5</v>
      </c>
      <c r="O109" s="124">
        <v>9.1999999999999993</v>
      </c>
      <c r="P109" s="121">
        <f t="shared" si="25"/>
        <v>10.566666666666666</v>
      </c>
      <c r="Q109" s="121">
        <f t="shared" si="33"/>
        <v>24.101967345573971</v>
      </c>
      <c r="R109" s="122">
        <f t="shared" si="34"/>
        <v>1</v>
      </c>
      <c r="S109" s="140">
        <f t="shared" si="26"/>
        <v>10.166666666666666</v>
      </c>
      <c r="T109" s="24">
        <f t="shared" si="27"/>
        <v>1</v>
      </c>
      <c r="U109" s="140">
        <f t="shared" si="28"/>
        <v>11.033333333333331</v>
      </c>
      <c r="V109" s="9">
        <f t="shared" si="29"/>
        <v>1</v>
      </c>
      <c r="W109" s="172">
        <f t="shared" si="35"/>
        <v>10.566666666666666</v>
      </c>
      <c r="X109" s="142">
        <f t="shared" si="36"/>
        <v>1</v>
      </c>
      <c r="Y109" s="144">
        <f t="shared" si="37"/>
        <v>17.96</v>
      </c>
      <c r="Z109" s="144">
        <f t="shared" si="38"/>
        <v>22.748484848484846</v>
      </c>
      <c r="AA109" s="144">
        <f t="shared" si="39"/>
        <v>21.141501377410467</v>
      </c>
      <c r="AB109" s="10"/>
      <c r="AC109" s="357" t="str">
        <f>VLOOKUP($B109,'2007-2020 Metadata'!$A$4:$S$214,MATCH("Urban Area /Monitoring Zone",'2007-2020 Metadata'!$A$4:$S$4,0),FALSE)</f>
        <v>Wellington</v>
      </c>
      <c r="AD109" s="87" t="str">
        <f>VLOOKUP(B109,'2007-2020 Metadata'!$A$6:$A$214,1,FALSE)</f>
        <v>WEL047</v>
      </c>
      <c r="AE109" s="230" t="str">
        <f>VLOOKUP($AD109,'2007-2020 Metadata'!$A$6:$S$214,9,FALSE)</f>
        <v>Wellington</v>
      </c>
      <c r="AF109" s="248">
        <f>IF(ISBLANK(VLOOKUP($AD109,'2007-2020 Metadata'!$A$6:$S$214,19,FALSE)),"",VLOOKUP($AD109,'2007-2020 Metadata'!$A$6:$S$214,19,FALSE))</f>
        <v>3.5</v>
      </c>
      <c r="AG109" s="88" t="str">
        <f>VLOOKUP($B109,'2007-2020 Metadata'!$A$4:$S$214,MATCH("Site type",'2007-2020 Metadata'!$A$4:$S$4,0),FALSE)</f>
        <v>Local</v>
      </c>
      <c r="AH109" s="143">
        <f t="shared" si="30"/>
        <v>7.3</v>
      </c>
      <c r="AI109" s="143">
        <f t="shared" si="31"/>
        <v>14.9</v>
      </c>
      <c r="AJ109" s="144">
        <f t="shared" si="32"/>
        <v>21.141501377410467</v>
      </c>
    </row>
    <row r="110" spans="1:37" ht="12" customHeight="1" x14ac:dyDescent="0.15">
      <c r="A110" s="126"/>
      <c r="B110" s="123" t="s">
        <v>126</v>
      </c>
      <c r="C110" s="104">
        <f>IF(ISBLANK(VLOOKUP($B110,'Monthly Summary 2013'!$B$7:$Q$152,14,FALSE)),"",IF(ISERROR(VLOOKUP($B110,'Monthly Summary 2013'!$B$7:$Q$152,14,FALSE)=0),"",VLOOKUP($B110,'Monthly Summary 2013'!$B$7:$Q$152,14,FALSE)))</f>
        <v>4.2</v>
      </c>
      <c r="D110" s="119">
        <v>4.8</v>
      </c>
      <c r="E110" s="119">
        <v>6.8</v>
      </c>
      <c r="F110" s="119">
        <v>9.3000000000000007</v>
      </c>
      <c r="G110" s="119">
        <v>7.1</v>
      </c>
      <c r="H110" s="119">
        <v>9.4</v>
      </c>
      <c r="I110" s="119">
        <v>11.1</v>
      </c>
      <c r="J110" s="119">
        <v>8.4</v>
      </c>
      <c r="K110" s="124">
        <v>7.9</v>
      </c>
      <c r="L110" s="124">
        <v>6.9</v>
      </c>
      <c r="M110" s="124">
        <v>5.7</v>
      </c>
      <c r="N110" s="124">
        <v>5.4</v>
      </c>
      <c r="O110" s="124">
        <v>5.6</v>
      </c>
      <c r="P110" s="121">
        <f t="shared" si="25"/>
        <v>7.3666666666666671</v>
      </c>
      <c r="Q110" s="121">
        <f t="shared" si="33"/>
        <v>25.926815703934629</v>
      </c>
      <c r="R110" s="122">
        <f t="shared" si="34"/>
        <v>1</v>
      </c>
      <c r="S110" s="140">
        <f t="shared" si="26"/>
        <v>6.9666666666666659</v>
      </c>
      <c r="T110" s="24">
        <f t="shared" si="27"/>
        <v>1</v>
      </c>
      <c r="U110" s="140">
        <f t="shared" si="28"/>
        <v>7.7333333333333343</v>
      </c>
      <c r="V110" s="9">
        <f t="shared" si="29"/>
        <v>1</v>
      </c>
      <c r="W110" s="172">
        <f t="shared" si="35"/>
        <v>7.3666666666666671</v>
      </c>
      <c r="X110" s="142">
        <f t="shared" si="36"/>
        <v>1</v>
      </c>
      <c r="Y110" s="144">
        <f t="shared" si="37"/>
        <v>17.96</v>
      </c>
      <c r="Z110" s="144">
        <f t="shared" si="38"/>
        <v>22.748484848484846</v>
      </c>
      <c r="AA110" s="144">
        <f t="shared" si="39"/>
        <v>21.141501377410467</v>
      </c>
      <c r="AB110" s="10"/>
      <c r="AC110" s="357" t="str">
        <f>VLOOKUP($B110,'2007-2020 Metadata'!$A$4:$S$214,MATCH("Urban Area /Monitoring Zone",'2007-2020 Metadata'!$A$4:$S$4,0),FALSE)</f>
        <v>Wellington</v>
      </c>
      <c r="AD110" s="87" t="str">
        <f>VLOOKUP(B110,'2007-2020 Metadata'!$A$6:$A$214,1,FALSE)</f>
        <v>WEL048</v>
      </c>
      <c r="AE110" s="230" t="str">
        <f>VLOOKUP($AD110,'2007-2020 Metadata'!$A$6:$S$214,9,FALSE)</f>
        <v>Wellington</v>
      </c>
      <c r="AF110" s="248">
        <f>IF(ISBLANK(VLOOKUP($AD110,'2007-2020 Metadata'!$A$6:$S$214,19,FALSE)),"",VLOOKUP($AD110,'2007-2020 Metadata'!$A$6:$S$214,19,FALSE))</f>
        <v>4</v>
      </c>
      <c r="AG110" s="88" t="str">
        <f>VLOOKUP($B110,'2007-2020 Metadata'!$A$4:$S$214,MATCH("Site type",'2007-2020 Metadata'!$A$4:$S$4,0),FALSE)</f>
        <v>Background</v>
      </c>
      <c r="AH110" s="143">
        <f t="shared" si="30"/>
        <v>4.8</v>
      </c>
      <c r="AI110" s="143">
        <f t="shared" si="31"/>
        <v>11.1</v>
      </c>
      <c r="AJ110" s="144">
        <f t="shared" si="32"/>
        <v>21.141501377410467</v>
      </c>
    </row>
    <row r="111" spans="1:37" ht="12" customHeight="1" x14ac:dyDescent="0.15">
      <c r="B111" s="123" t="s">
        <v>127</v>
      </c>
      <c r="C111" s="104">
        <f>IF(ISBLANK(VLOOKUP($B111,'Monthly Summary 2013'!$B$7:$Q$152,14,FALSE)),"",IF(ISERROR(VLOOKUP($B111,'Monthly Summary 2013'!$B$7:$Q$152,14,FALSE)=0),"",VLOOKUP($B111,'Monthly Summary 2013'!$B$7:$Q$152,14,FALSE)))</f>
        <v>21.6</v>
      </c>
      <c r="D111" s="119">
        <v>30.6</v>
      </c>
      <c r="E111" s="119">
        <v>33</v>
      </c>
      <c r="F111" s="119">
        <v>35.4</v>
      </c>
      <c r="G111" s="119"/>
      <c r="H111" s="119">
        <v>40.4</v>
      </c>
      <c r="I111" s="119">
        <v>45.6</v>
      </c>
      <c r="J111" s="119">
        <v>43.4</v>
      </c>
      <c r="K111" s="124">
        <v>44</v>
      </c>
      <c r="L111" s="124">
        <v>40.799999999999997</v>
      </c>
      <c r="M111" s="124">
        <v>34.5</v>
      </c>
      <c r="N111" s="124">
        <v>25.1</v>
      </c>
      <c r="O111" s="124">
        <v>32.9</v>
      </c>
      <c r="P111" s="121">
        <f t="shared" si="25"/>
        <v>36.881818181818183</v>
      </c>
      <c r="Q111" s="121">
        <f t="shared" si="33"/>
        <v>17.444758399781602</v>
      </c>
      <c r="R111" s="122">
        <f t="shared" si="34"/>
        <v>0.91666666666666663</v>
      </c>
      <c r="S111" s="140">
        <f t="shared" si="26"/>
        <v>33</v>
      </c>
      <c r="T111" s="24">
        <f t="shared" si="27"/>
        <v>1</v>
      </c>
      <c r="U111" s="140">
        <f t="shared" si="28"/>
        <v>42.733333333333327</v>
      </c>
      <c r="V111" s="9">
        <f t="shared" si="29"/>
        <v>1</v>
      </c>
      <c r="W111" s="172">
        <f t="shared" si="35"/>
        <v>36.881818181818183</v>
      </c>
      <c r="X111" s="142">
        <f t="shared" si="36"/>
        <v>0.91666666666666663</v>
      </c>
      <c r="Y111" s="144">
        <f t="shared" si="37"/>
        <v>17.96</v>
      </c>
      <c r="Z111" s="144">
        <f t="shared" si="38"/>
        <v>22.748484848484846</v>
      </c>
      <c r="AA111" s="144">
        <f t="shared" si="39"/>
        <v>21.141501377410467</v>
      </c>
      <c r="AB111" s="10"/>
      <c r="AC111" s="357" t="str">
        <f>VLOOKUP($B111,'2007-2020 Metadata'!$A$4:$S$214,MATCH("Urban Area /Monitoring Zone",'2007-2020 Metadata'!$A$4:$S$4,0),FALSE)</f>
        <v>Wellington</v>
      </c>
      <c r="AD111" s="87" t="str">
        <f>VLOOKUP(B111,'2007-2020 Metadata'!$A$6:$A$214,1,FALSE)</f>
        <v>WEL049</v>
      </c>
      <c r="AE111" s="230" t="str">
        <f>VLOOKUP($AD111,'2007-2020 Metadata'!$A$6:$S$214,9,FALSE)</f>
        <v>Wellington</v>
      </c>
      <c r="AF111" s="248">
        <f>IF(ISBLANK(VLOOKUP($AD111,'2007-2020 Metadata'!$A$6:$S$214,19,FALSE)),"",VLOOKUP($AD111,'2007-2020 Metadata'!$A$6:$S$214,19,FALSE))</f>
        <v>4</v>
      </c>
      <c r="AG111" s="88" t="str">
        <f>VLOOKUP($B111,'2007-2020 Metadata'!$A$4:$S$214,MATCH("Site type",'2007-2020 Metadata'!$A$4:$S$4,0),FALSE)</f>
        <v>Local</v>
      </c>
      <c r="AH111" s="143">
        <f t="shared" si="30"/>
        <v>25.1</v>
      </c>
      <c r="AI111" s="143">
        <f t="shared" si="31"/>
        <v>45.6</v>
      </c>
      <c r="AJ111" s="144">
        <f t="shared" si="32"/>
        <v>21.141501377410467</v>
      </c>
    </row>
    <row r="112" spans="1:37" ht="12" customHeight="1" x14ac:dyDescent="0.15">
      <c r="B112" s="123" t="s">
        <v>128</v>
      </c>
      <c r="C112" s="104">
        <f>IF(ISBLANK(VLOOKUP($B112,'Monthly Summary 2013'!$B$7:$Q$152,14,FALSE)),"",IF(ISERROR(VLOOKUP($B112,'Monthly Summary 2013'!$B$7:$Q$152,14,FALSE)=0),"",VLOOKUP($B112,'Monthly Summary 2013'!$B$7:$Q$152,14,FALSE)))</f>
        <v>12.8</v>
      </c>
      <c r="D112" s="119">
        <v>13.5</v>
      </c>
      <c r="E112" s="119">
        <v>17.899999999999999</v>
      </c>
      <c r="F112" s="119">
        <v>21.1</v>
      </c>
      <c r="G112" s="119">
        <v>18.8</v>
      </c>
      <c r="H112" s="119">
        <v>25</v>
      </c>
      <c r="I112" s="119">
        <v>27</v>
      </c>
      <c r="J112" s="119">
        <v>21.8</v>
      </c>
      <c r="K112" s="124">
        <v>21.3</v>
      </c>
      <c r="L112" s="124">
        <v>19.5</v>
      </c>
      <c r="M112" s="124">
        <v>17.600000000000001</v>
      </c>
      <c r="N112" s="124">
        <v>14.9</v>
      </c>
      <c r="O112" s="124">
        <v>15.9</v>
      </c>
      <c r="P112" s="121">
        <f t="shared" si="25"/>
        <v>19.525000000000002</v>
      </c>
      <c r="Q112" s="121">
        <f t="shared" si="33"/>
        <v>20.391029761496206</v>
      </c>
      <c r="R112" s="122">
        <f t="shared" si="34"/>
        <v>1</v>
      </c>
      <c r="S112" s="140">
        <f t="shared" si="26"/>
        <v>17.5</v>
      </c>
      <c r="T112" s="24">
        <f t="shared" si="27"/>
        <v>1</v>
      </c>
      <c r="U112" s="140">
        <f t="shared" si="28"/>
        <v>20.866666666666667</v>
      </c>
      <c r="V112" s="9">
        <f t="shared" si="29"/>
        <v>1</v>
      </c>
      <c r="W112" s="172">
        <f t="shared" si="35"/>
        <v>19.525000000000002</v>
      </c>
      <c r="X112" s="142">
        <f t="shared" si="36"/>
        <v>1</v>
      </c>
      <c r="Y112" s="144">
        <f t="shared" si="37"/>
        <v>17.96</v>
      </c>
      <c r="Z112" s="144">
        <f t="shared" si="38"/>
        <v>22.748484848484846</v>
      </c>
      <c r="AA112" s="144">
        <f t="shared" si="39"/>
        <v>21.141501377410467</v>
      </c>
      <c r="AB112" s="10"/>
      <c r="AC112" s="357" t="str">
        <f>VLOOKUP($B112,'2007-2020 Metadata'!$A$4:$S$214,MATCH("Urban Area /Monitoring Zone",'2007-2020 Metadata'!$A$4:$S$4,0),FALSE)</f>
        <v>Wellington</v>
      </c>
      <c r="AD112" s="87" t="str">
        <f>VLOOKUP(B112,'2007-2020 Metadata'!$A$6:$A$214,1,FALSE)</f>
        <v>WEL050</v>
      </c>
      <c r="AE112" s="230" t="str">
        <f>VLOOKUP($AD112,'2007-2020 Metadata'!$A$6:$S$214,9,FALSE)</f>
        <v>Wellington</v>
      </c>
      <c r="AF112" s="248">
        <f>IF(ISBLANK(VLOOKUP($AD112,'2007-2020 Metadata'!$A$6:$S$214,19,FALSE)),"",VLOOKUP($AD112,'2007-2020 Metadata'!$A$6:$S$214,19,FALSE))</f>
        <v>4</v>
      </c>
      <c r="AG112" s="88" t="str">
        <f>VLOOKUP($B112,'2007-2020 Metadata'!$A$4:$S$214,MATCH("Site type",'2007-2020 Metadata'!$A$4:$S$4,0),FALSE)</f>
        <v>SH</v>
      </c>
      <c r="AH112" s="143">
        <f t="shared" si="30"/>
        <v>13.5</v>
      </c>
      <c r="AI112" s="143">
        <f t="shared" si="31"/>
        <v>27</v>
      </c>
      <c r="AJ112" s="144">
        <f t="shared" si="32"/>
        <v>21.141501377410467</v>
      </c>
    </row>
    <row r="113" spans="1:36" ht="12" customHeight="1" x14ac:dyDescent="0.15">
      <c r="B113" s="123" t="s">
        <v>129</v>
      </c>
      <c r="C113" s="104">
        <f>IF(ISBLANK(VLOOKUP($B113,'Monthly Summary 2013'!$B$7:$Q$152,14,FALSE)),"",IF(ISERROR(VLOOKUP($B113,'Monthly Summary 2013'!$B$7:$Q$152,14,FALSE)=0),"",VLOOKUP($B113,'Monthly Summary 2013'!$B$7:$Q$152,14,FALSE)))</f>
        <v>9.1</v>
      </c>
      <c r="D113" s="119">
        <v>6.2</v>
      </c>
      <c r="E113" s="119">
        <v>9.1999999999999993</v>
      </c>
      <c r="F113" s="119">
        <v>13.9</v>
      </c>
      <c r="G113" s="119">
        <v>11.6</v>
      </c>
      <c r="H113" s="119">
        <v>15</v>
      </c>
      <c r="I113" s="119">
        <v>16.2</v>
      </c>
      <c r="J113" s="119">
        <v>11</v>
      </c>
      <c r="K113" s="124">
        <v>11.3</v>
      </c>
      <c r="L113" s="124">
        <v>12.4</v>
      </c>
      <c r="M113" s="124">
        <v>11.4</v>
      </c>
      <c r="N113" s="124">
        <v>8.6999999999999993</v>
      </c>
      <c r="O113" s="124">
        <v>9.6999999999999993</v>
      </c>
      <c r="P113" s="121">
        <f t="shared" si="25"/>
        <v>11.383333333333333</v>
      </c>
      <c r="Q113" s="121">
        <f t="shared" si="33"/>
        <v>24.493992823284881</v>
      </c>
      <c r="R113" s="122">
        <f t="shared" si="34"/>
        <v>1</v>
      </c>
      <c r="S113" s="140">
        <f t="shared" si="26"/>
        <v>9.7666666666666657</v>
      </c>
      <c r="T113" s="24">
        <f t="shared" si="27"/>
        <v>1</v>
      </c>
      <c r="U113" s="140">
        <f t="shared" si="28"/>
        <v>11.566666666666668</v>
      </c>
      <c r="V113" s="9">
        <f t="shared" si="29"/>
        <v>1</v>
      </c>
      <c r="W113" s="172">
        <f t="shared" si="35"/>
        <v>11.383333333333333</v>
      </c>
      <c r="X113" s="142">
        <f t="shared" si="36"/>
        <v>1</v>
      </c>
      <c r="Y113" s="144">
        <f t="shared" si="37"/>
        <v>17.96</v>
      </c>
      <c r="Z113" s="144">
        <f t="shared" si="38"/>
        <v>22.748484848484846</v>
      </c>
      <c r="AA113" s="144">
        <f t="shared" si="39"/>
        <v>21.141501377410467</v>
      </c>
      <c r="AB113" s="10"/>
      <c r="AC113" s="357" t="str">
        <f>VLOOKUP($B113,'2007-2020 Metadata'!$A$4:$S$214,MATCH("Urban Area /Monitoring Zone",'2007-2020 Metadata'!$A$4:$S$4,0),FALSE)</f>
        <v>Wellington</v>
      </c>
      <c r="AD113" s="87" t="str">
        <f>VLOOKUP(B113,'2007-2020 Metadata'!$A$6:$A$214,1,FALSE)</f>
        <v>WEL051</v>
      </c>
      <c r="AE113" s="230" t="str">
        <f>VLOOKUP($AD113,'2007-2020 Metadata'!$A$6:$S$214,9,FALSE)</f>
        <v>Wellington</v>
      </c>
      <c r="AF113" s="248">
        <f>IF(ISBLANK(VLOOKUP($AD113,'2007-2020 Metadata'!$A$6:$S$214,19,FALSE)),"",VLOOKUP($AD113,'2007-2020 Metadata'!$A$6:$S$214,19,FALSE))</f>
        <v>4</v>
      </c>
      <c r="AG113" s="88" t="str">
        <f>VLOOKUP($B113,'2007-2020 Metadata'!$A$4:$S$214,MATCH("Site type",'2007-2020 Metadata'!$A$4:$S$4,0),FALSE)</f>
        <v>Local</v>
      </c>
      <c r="AH113" s="143">
        <f t="shared" si="30"/>
        <v>6.2</v>
      </c>
      <c r="AI113" s="143">
        <f t="shared" si="31"/>
        <v>16.2</v>
      </c>
      <c r="AJ113" s="144">
        <f t="shared" si="32"/>
        <v>21.141501377410467</v>
      </c>
    </row>
    <row r="114" spans="1:36" ht="12" customHeight="1" x14ac:dyDescent="0.15">
      <c r="B114" s="123" t="s">
        <v>130</v>
      </c>
      <c r="C114" s="104">
        <f>IF(ISBLANK(VLOOKUP($B114,'Monthly Summary 2013'!$B$7:$Q$152,14,FALSE)),"",IF(ISERROR(VLOOKUP($B114,'Monthly Summary 2013'!$B$7:$Q$152,14,FALSE)=0),"",VLOOKUP($B114,'Monthly Summary 2013'!$B$7:$Q$152,14,FALSE)))</f>
        <v>12.2</v>
      </c>
      <c r="D114" s="119">
        <v>13.7</v>
      </c>
      <c r="E114" s="119">
        <v>15.6</v>
      </c>
      <c r="F114" s="119">
        <v>20.5</v>
      </c>
      <c r="G114" s="119">
        <v>24.3</v>
      </c>
      <c r="H114" s="119">
        <v>24.8</v>
      </c>
      <c r="I114" s="119">
        <v>28.5</v>
      </c>
      <c r="J114" s="119">
        <v>26.3</v>
      </c>
      <c r="K114" s="124">
        <v>22.3</v>
      </c>
      <c r="L114" s="124">
        <v>21.4</v>
      </c>
      <c r="M114" s="124">
        <v>19</v>
      </c>
      <c r="N114" s="124">
        <v>11.3</v>
      </c>
      <c r="O114" s="124">
        <v>14.5</v>
      </c>
      <c r="P114" s="121">
        <f t="shared" si="25"/>
        <v>20.183333333333334</v>
      </c>
      <c r="Q114" s="121">
        <f t="shared" si="33"/>
        <v>26.99541708636642</v>
      </c>
      <c r="R114" s="122">
        <f t="shared" si="34"/>
        <v>1</v>
      </c>
      <c r="S114" s="140">
        <f t="shared" si="26"/>
        <v>16.599999999999998</v>
      </c>
      <c r="T114" s="24">
        <f t="shared" si="27"/>
        <v>1</v>
      </c>
      <c r="U114" s="140">
        <f t="shared" si="28"/>
        <v>23.333333333333332</v>
      </c>
      <c r="V114" s="9">
        <f t="shared" si="29"/>
        <v>1</v>
      </c>
      <c r="W114" s="172">
        <f t="shared" si="35"/>
        <v>20.183333333333334</v>
      </c>
      <c r="X114" s="142">
        <f t="shared" si="36"/>
        <v>1</v>
      </c>
      <c r="Y114" s="144">
        <f t="shared" si="37"/>
        <v>14.966666666666669</v>
      </c>
      <c r="Z114" s="144">
        <f t="shared" si="38"/>
        <v>19.476666666666667</v>
      </c>
      <c r="AA114" s="144">
        <f t="shared" si="39"/>
        <v>17.085575757575761</v>
      </c>
      <c r="AB114" s="10"/>
      <c r="AC114" s="357" t="str">
        <f>VLOOKUP($B114,'2007-2020 Metadata'!$A$4:$S$214,MATCH("Urban Area /Monitoring Zone",'2007-2020 Metadata'!$A$4:$S$4,0),FALSE)</f>
        <v>Lower Hutt</v>
      </c>
      <c r="AD114" s="87" t="str">
        <f>VLOOKUP(B114,'2007-2020 Metadata'!$A$6:$A$214,1,FALSE)</f>
        <v>WEL052</v>
      </c>
      <c r="AE114" s="230" t="str">
        <f>VLOOKUP($AD114,'2007-2020 Metadata'!$A$6:$S$214,9,FALSE)</f>
        <v>Lower Hutt</v>
      </c>
      <c r="AF114" s="248">
        <f>IF(ISBLANK(VLOOKUP($AD114,'2007-2020 Metadata'!$A$6:$S$214,19,FALSE)),"",VLOOKUP($AD114,'2007-2020 Metadata'!$A$6:$S$214,19,FALSE))</f>
        <v>4</v>
      </c>
      <c r="AG114" s="88" t="str">
        <f>VLOOKUP($B114,'2007-2020 Metadata'!$A$4:$S$214,MATCH("Site type",'2007-2020 Metadata'!$A$4:$S$4,0),FALSE)</f>
        <v>SH</v>
      </c>
      <c r="AH114" s="143">
        <f t="shared" si="30"/>
        <v>11.3</v>
      </c>
      <c r="AI114" s="143">
        <f t="shared" si="31"/>
        <v>28.5</v>
      </c>
      <c r="AJ114" s="144">
        <f t="shared" si="32"/>
        <v>17.085575757575761</v>
      </c>
    </row>
    <row r="115" spans="1:36" ht="12" customHeight="1" x14ac:dyDescent="0.15">
      <c r="B115" s="123" t="s">
        <v>131</v>
      </c>
      <c r="C115" s="104">
        <f>IF(ISBLANK(VLOOKUP($B115,'Monthly Summary 2013'!$B$7:$Q$152,14,FALSE)),"",IF(ISERROR(VLOOKUP($B115,'Monthly Summary 2013'!$B$7:$Q$152,14,FALSE)=0),"",VLOOKUP($B115,'Monthly Summary 2013'!$B$7:$Q$152,14,FALSE)))</f>
        <v>13.8</v>
      </c>
      <c r="D115" s="119">
        <v>16</v>
      </c>
      <c r="E115" s="119">
        <v>20.3</v>
      </c>
      <c r="F115" s="119">
        <v>22.9</v>
      </c>
      <c r="G115" s="119">
        <v>23</v>
      </c>
      <c r="H115" s="119"/>
      <c r="I115" s="119">
        <v>30.1</v>
      </c>
      <c r="J115" s="119"/>
      <c r="K115" s="124">
        <v>27.3</v>
      </c>
      <c r="L115" s="124">
        <v>20.3</v>
      </c>
      <c r="M115" s="124">
        <v>23</v>
      </c>
      <c r="N115" s="124">
        <v>15.2</v>
      </c>
      <c r="O115" s="124">
        <v>15.3</v>
      </c>
      <c r="P115" s="121">
        <f t="shared" si="25"/>
        <v>21.34</v>
      </c>
      <c r="Q115" s="121">
        <f t="shared" si="33"/>
        <v>23.433510124416138</v>
      </c>
      <c r="R115" s="122">
        <f t="shared" si="34"/>
        <v>0.83333333333333337</v>
      </c>
      <c r="S115" s="140">
        <f t="shared" si="26"/>
        <v>19.733333333333331</v>
      </c>
      <c r="T115" s="24">
        <f t="shared" si="27"/>
        <v>1</v>
      </c>
      <c r="U115" s="140">
        <f t="shared" si="28"/>
        <v>23.8</v>
      </c>
      <c r="V115" s="9">
        <f t="shared" si="29"/>
        <v>0.66666666666666663</v>
      </c>
      <c r="W115" s="172">
        <f t="shared" si="35"/>
        <v>21.34</v>
      </c>
      <c r="X115" s="142">
        <f t="shared" si="36"/>
        <v>0.83333333333333337</v>
      </c>
      <c r="Y115" s="144">
        <f t="shared" si="37"/>
        <v>14.966666666666669</v>
      </c>
      <c r="Z115" s="144">
        <f t="shared" si="38"/>
        <v>19.476666666666667</v>
      </c>
      <c r="AA115" s="144">
        <f t="shared" si="39"/>
        <v>17.085575757575761</v>
      </c>
      <c r="AB115" s="10"/>
      <c r="AC115" s="357" t="str">
        <f>VLOOKUP($B115,'2007-2020 Metadata'!$A$4:$S$214,MATCH("Urban Area /Monitoring Zone",'2007-2020 Metadata'!$A$4:$S$4,0),FALSE)</f>
        <v>Lower Hutt</v>
      </c>
      <c r="AD115" s="87" t="str">
        <f>VLOOKUP(B115,'2007-2020 Metadata'!$A$6:$A$214,1,FALSE)</f>
        <v>WEL053</v>
      </c>
      <c r="AE115" s="230" t="str">
        <f>VLOOKUP($AD115,'2007-2020 Metadata'!$A$6:$S$214,9,FALSE)</f>
        <v>Lower Hutt</v>
      </c>
      <c r="AF115" s="248">
        <f>IF(ISBLANK(VLOOKUP($AD115,'2007-2020 Metadata'!$A$6:$S$214,19,FALSE)),"",VLOOKUP($AD115,'2007-2020 Metadata'!$A$6:$S$214,19,FALSE))</f>
        <v>4</v>
      </c>
      <c r="AG115" s="88" t="str">
        <f>VLOOKUP($B115,'2007-2020 Metadata'!$A$4:$S$214,MATCH("Site type",'2007-2020 Metadata'!$A$4:$S$4,0),FALSE)</f>
        <v>Local</v>
      </c>
      <c r="AH115" s="143">
        <f t="shared" si="30"/>
        <v>15.2</v>
      </c>
      <c r="AI115" s="143">
        <f t="shared" si="31"/>
        <v>30.1</v>
      </c>
      <c r="AJ115" s="144">
        <f t="shared" si="32"/>
        <v>17.085575757575761</v>
      </c>
    </row>
    <row r="116" spans="1:36" ht="12" customHeight="1" x14ac:dyDescent="0.15">
      <c r="B116" s="123" t="s">
        <v>132</v>
      </c>
      <c r="C116" s="104">
        <f>IF(ISBLANK(VLOOKUP($B116,'Monthly Summary 2013'!$B$7:$Q$152,14,FALSE)),"",IF(ISERROR(VLOOKUP($B116,'Monthly Summary 2013'!$B$7:$Q$152,14,FALSE)=0),"",VLOOKUP($B116,'Monthly Summary 2013'!$B$7:$Q$152,14,FALSE)))</f>
        <v>3.8</v>
      </c>
      <c r="D116" s="119">
        <v>7.5</v>
      </c>
      <c r="E116" s="119">
        <v>9.3000000000000007</v>
      </c>
      <c r="F116" s="119">
        <v>11.3</v>
      </c>
      <c r="G116" s="119">
        <v>12.5</v>
      </c>
      <c r="H116" s="119">
        <v>13.5</v>
      </c>
      <c r="I116" s="119">
        <v>15.1</v>
      </c>
      <c r="J116" s="119">
        <v>13.8</v>
      </c>
      <c r="K116" s="124">
        <v>14.5</v>
      </c>
      <c r="L116" s="124">
        <v>11.2</v>
      </c>
      <c r="M116" s="124">
        <v>6</v>
      </c>
      <c r="N116" s="124">
        <v>6.6</v>
      </c>
      <c r="O116" s="124">
        <v>7.7</v>
      </c>
      <c r="P116" s="121">
        <f t="shared" si="25"/>
        <v>10.75</v>
      </c>
      <c r="Q116" s="121">
        <f t="shared" si="33"/>
        <v>30.099887790443614</v>
      </c>
      <c r="R116" s="122">
        <f t="shared" si="34"/>
        <v>1</v>
      </c>
      <c r="S116" s="140">
        <f t="shared" si="26"/>
        <v>9.3666666666666671</v>
      </c>
      <c r="T116" s="24">
        <f t="shared" si="27"/>
        <v>1</v>
      </c>
      <c r="U116" s="140">
        <f t="shared" si="28"/>
        <v>13.166666666666666</v>
      </c>
      <c r="V116" s="9">
        <f t="shared" si="29"/>
        <v>1</v>
      </c>
      <c r="W116" s="172">
        <f t="shared" si="35"/>
        <v>10.75</v>
      </c>
      <c r="X116" s="142">
        <f t="shared" si="36"/>
        <v>1</v>
      </c>
      <c r="Y116" s="144">
        <f t="shared" si="37"/>
        <v>14.966666666666669</v>
      </c>
      <c r="Z116" s="144">
        <f t="shared" si="38"/>
        <v>19.476666666666667</v>
      </c>
      <c r="AA116" s="144">
        <f t="shared" si="39"/>
        <v>17.085575757575761</v>
      </c>
      <c r="AB116" s="10"/>
      <c r="AC116" s="357" t="str">
        <f>VLOOKUP($B116,'2007-2020 Metadata'!$A$4:$S$214,MATCH("Urban Area /Monitoring Zone",'2007-2020 Metadata'!$A$4:$S$4,0),FALSE)</f>
        <v>Lower Hutt</v>
      </c>
      <c r="AD116" s="87" t="str">
        <f>VLOOKUP(B116,'2007-2020 Metadata'!$A$6:$A$214,1,FALSE)</f>
        <v>WEL054</v>
      </c>
      <c r="AE116" s="230" t="str">
        <f>VLOOKUP($AD116,'2007-2020 Metadata'!$A$6:$S$214,9,FALSE)</f>
        <v>Lower Hutt</v>
      </c>
      <c r="AF116" s="248">
        <f>IF(ISBLANK(VLOOKUP($AD116,'2007-2020 Metadata'!$A$6:$S$214,19,FALSE)),"",VLOOKUP($AD116,'2007-2020 Metadata'!$A$6:$S$214,19,FALSE))</f>
        <v>3.5</v>
      </c>
      <c r="AG116" s="88" t="str">
        <f>VLOOKUP($B116,'2007-2020 Metadata'!$A$4:$S$214,MATCH("Site type",'2007-2020 Metadata'!$A$4:$S$4,0),FALSE)</f>
        <v>Background</v>
      </c>
      <c r="AH116" s="143">
        <f t="shared" si="30"/>
        <v>6</v>
      </c>
      <c r="AI116" s="143">
        <f t="shared" si="31"/>
        <v>15.1</v>
      </c>
      <c r="AJ116" s="144">
        <f t="shared" si="32"/>
        <v>17.085575757575761</v>
      </c>
    </row>
    <row r="117" spans="1:36" ht="12" customHeight="1" x14ac:dyDescent="0.15">
      <c r="B117" s="123" t="s">
        <v>135</v>
      </c>
      <c r="C117" s="104">
        <f>IF(ISBLANK(VLOOKUP($B117,'Monthly Summary 2013'!$B$7:$Q$152,14,FALSE)),"",IF(ISERROR(VLOOKUP($B117,'Monthly Summary 2013'!$B$7:$Q$152,14,FALSE)=0),"",VLOOKUP($B117,'Monthly Summary 2013'!$B$7:$Q$152,14,FALSE)))</f>
        <v>14.1</v>
      </c>
      <c r="D117" s="119">
        <v>15.6</v>
      </c>
      <c r="E117" s="119">
        <v>17.7</v>
      </c>
      <c r="F117" s="119">
        <v>20.100000000000001</v>
      </c>
      <c r="G117" s="119">
        <v>19.899999999999999</v>
      </c>
      <c r="H117" s="119">
        <v>23.2</v>
      </c>
      <c r="I117" s="119">
        <v>23.7</v>
      </c>
      <c r="J117" s="119">
        <v>20.8</v>
      </c>
      <c r="K117" s="124">
        <v>19.600000000000001</v>
      </c>
      <c r="L117" s="124">
        <v>19</v>
      </c>
      <c r="M117" s="124">
        <v>15.2</v>
      </c>
      <c r="N117" s="124">
        <v>16.899999999999999</v>
      </c>
      <c r="O117" s="124">
        <v>16.399999999999999</v>
      </c>
      <c r="P117" s="121">
        <f t="shared" si="25"/>
        <v>19.008333333333333</v>
      </c>
      <c r="Q117" s="121">
        <f t="shared" si="33"/>
        <v>14.555908033816173</v>
      </c>
      <c r="R117" s="122">
        <f t="shared" si="34"/>
        <v>1</v>
      </c>
      <c r="S117" s="140">
        <f t="shared" si="26"/>
        <v>17.8</v>
      </c>
      <c r="T117" s="24">
        <f t="shared" si="27"/>
        <v>1</v>
      </c>
      <c r="U117" s="140">
        <f t="shared" si="28"/>
        <v>19.8</v>
      </c>
      <c r="V117" s="9">
        <f t="shared" si="29"/>
        <v>1</v>
      </c>
      <c r="W117" s="172">
        <f t="shared" si="35"/>
        <v>19.008333333333333</v>
      </c>
      <c r="X117" s="142">
        <f t="shared" si="36"/>
        <v>1</v>
      </c>
      <c r="Y117" s="144">
        <f t="shared" si="37"/>
        <v>17.8</v>
      </c>
      <c r="Z117" s="144">
        <f t="shared" si="38"/>
        <v>19.8</v>
      </c>
      <c r="AA117" s="144">
        <f t="shared" si="39"/>
        <v>19.008333333333333</v>
      </c>
      <c r="AB117" s="10"/>
      <c r="AC117" s="357" t="str">
        <f>VLOOKUP($B117,'2007-2020 Metadata'!$A$4:$S$214,MATCH("Urban Area /Monitoring Zone",'2007-2020 Metadata'!$A$4:$S$4,0),FALSE)</f>
        <v>Upper Hutt</v>
      </c>
      <c r="AD117" s="87" t="str">
        <f>VLOOKUP(B117,'2007-2020 Metadata'!$A$6:$A$214,1,FALSE)</f>
        <v>WEL057</v>
      </c>
      <c r="AE117" s="230" t="str">
        <f>VLOOKUP($AD117,'2007-2020 Metadata'!$A$6:$S$214,9,FALSE)</f>
        <v>Upper Hutt</v>
      </c>
      <c r="AF117" s="248">
        <f>IF(ISBLANK(VLOOKUP($AD117,'2007-2020 Metadata'!$A$6:$S$214,19,FALSE)),"",VLOOKUP($AD117,'2007-2020 Metadata'!$A$6:$S$214,19,FALSE))</f>
        <v>4</v>
      </c>
      <c r="AG117" s="88" t="str">
        <f>VLOOKUP($B117,'2007-2020 Metadata'!$A$4:$S$214,MATCH("Site type",'2007-2020 Metadata'!$A$4:$S$4,0),FALSE)</f>
        <v>SH</v>
      </c>
      <c r="AH117" s="143">
        <f t="shared" si="30"/>
        <v>15.2</v>
      </c>
      <c r="AI117" s="143">
        <f t="shared" si="31"/>
        <v>23.7</v>
      </c>
      <c r="AJ117" s="144">
        <f t="shared" si="32"/>
        <v>19.008333333333333</v>
      </c>
    </row>
    <row r="118" spans="1:36" ht="12" customHeight="1" x14ac:dyDescent="0.15">
      <c r="B118" s="123" t="s">
        <v>139</v>
      </c>
      <c r="C118" s="104">
        <f>IF(ISBLANK(VLOOKUP($B118,'Monthly Summary 2013'!$B$7:$Q$152,14,FALSE)),"",IF(ISERROR(VLOOKUP($B118,'Monthly Summary 2013'!$B$7:$Q$152,14,FALSE)=0),"",VLOOKUP($B118,'Monthly Summary 2013'!$B$7:$Q$152,14,FALSE)))</f>
        <v>9.4</v>
      </c>
      <c r="D118" s="119">
        <v>11.1</v>
      </c>
      <c r="E118" s="119">
        <v>11.8</v>
      </c>
      <c r="F118" s="119">
        <v>16.3</v>
      </c>
      <c r="G118" s="119">
        <v>17.100000000000001</v>
      </c>
      <c r="H118" s="119"/>
      <c r="I118" s="119">
        <v>19.399999999999999</v>
      </c>
      <c r="J118" s="119"/>
      <c r="K118" s="124"/>
      <c r="L118" s="124"/>
      <c r="M118" s="124"/>
      <c r="N118" s="124"/>
      <c r="O118" s="124">
        <v>12.6</v>
      </c>
      <c r="P118" s="121">
        <f t="shared" si="25"/>
        <v>14.716666666666667</v>
      </c>
      <c r="Q118" s="121">
        <f t="shared" si="33"/>
        <v>22.77868346972361</v>
      </c>
      <c r="R118" s="122">
        <f t="shared" si="34"/>
        <v>0.5</v>
      </c>
      <c r="S118" s="140">
        <f t="shared" si="26"/>
        <v>13.066666666666668</v>
      </c>
      <c r="T118" s="24">
        <f t="shared" si="27"/>
        <v>1</v>
      </c>
      <c r="U118" s="140" t="str">
        <f t="shared" si="28"/>
        <v/>
      </c>
      <c r="V118" s="9">
        <f t="shared" si="29"/>
        <v>0</v>
      </c>
      <c r="W118" s="172" t="str">
        <f t="shared" si="35"/>
        <v>-</v>
      </c>
      <c r="X118" s="142">
        <f t="shared" si="36"/>
        <v>0.5</v>
      </c>
      <c r="Y118" s="144">
        <f t="shared" si="37"/>
        <v>14.116666666666667</v>
      </c>
      <c r="Z118" s="144">
        <f t="shared" si="38"/>
        <v>18.7</v>
      </c>
      <c r="AA118" s="144">
        <f t="shared" si="39"/>
        <v>18.125</v>
      </c>
      <c r="AB118" s="10"/>
      <c r="AC118" s="357" t="str">
        <f>VLOOKUP($B118,'2007-2020 Metadata'!$A$4:$S$214,MATCH("Urban Area /Monitoring Zone",'2007-2020 Metadata'!$A$4:$S$4,0),FALSE)</f>
        <v>Otaki</v>
      </c>
      <c r="AD118" s="87" t="str">
        <f>VLOOKUP(B118,'2007-2020 Metadata'!$A$6:$A$214,1,FALSE)</f>
        <v>WEL061</v>
      </c>
      <c r="AE118" s="230" t="str">
        <f>VLOOKUP($AD118,'2007-2020 Metadata'!$A$6:$S$214,9,FALSE)</f>
        <v>Kapiti Coast</v>
      </c>
      <c r="AF118" s="248">
        <f>IF(ISBLANK(VLOOKUP($AD118,'2007-2020 Metadata'!$A$6:$S$214,19,FALSE)),"",VLOOKUP($AD118,'2007-2020 Metadata'!$A$6:$S$214,19,FALSE))</f>
        <v>4</v>
      </c>
      <c r="AG118" s="88" t="str">
        <f>VLOOKUP($B118,'2007-2020 Metadata'!$A$4:$S$214,MATCH("Site type",'2007-2020 Metadata'!$A$4:$S$4,0),FALSE)</f>
        <v>SH</v>
      </c>
      <c r="AH118" s="143">
        <f t="shared" si="30"/>
        <v>11.1</v>
      </c>
      <c r="AI118" s="143">
        <f t="shared" si="31"/>
        <v>19.399999999999999</v>
      </c>
      <c r="AJ118" s="144" t="str">
        <f t="shared" si="32"/>
        <v xml:space="preserve"> </v>
      </c>
    </row>
    <row r="119" spans="1:36" ht="12" customHeight="1" x14ac:dyDescent="0.15">
      <c r="B119" s="123" t="s">
        <v>140</v>
      </c>
      <c r="C119" s="104" t="str">
        <f>IF(ISBLANK(VLOOKUP($B119,'Monthly Summary 2013'!$B$7:$Q$152,14,FALSE)),"",IF(ISERROR(VLOOKUP($B119,'Monthly Summary 2013'!$B$7:$Q$152,14,FALSE)=0),"",VLOOKUP($B119,'Monthly Summary 2013'!$B$7:$Q$152,14,FALSE)))</f>
        <v/>
      </c>
      <c r="D119" s="119"/>
      <c r="E119" s="119">
        <v>10.1</v>
      </c>
      <c r="F119" s="119">
        <v>11.4</v>
      </c>
      <c r="G119" s="119">
        <v>11.1</v>
      </c>
      <c r="H119" s="119">
        <v>16.8</v>
      </c>
      <c r="I119" s="119">
        <v>16.2</v>
      </c>
      <c r="J119" s="119">
        <v>15.5</v>
      </c>
      <c r="K119" s="124">
        <v>14.3</v>
      </c>
      <c r="L119" s="124">
        <v>11.4</v>
      </c>
      <c r="M119" s="124">
        <v>8.8000000000000007</v>
      </c>
      <c r="N119" s="124">
        <v>6.7</v>
      </c>
      <c r="O119" s="124">
        <v>7.5</v>
      </c>
      <c r="P119" s="121">
        <f t="shared" si="25"/>
        <v>11.8</v>
      </c>
      <c r="Q119" s="121">
        <f t="shared" si="33"/>
        <v>29.539703488022674</v>
      </c>
      <c r="R119" s="122">
        <f t="shared" si="34"/>
        <v>0.91666666666666663</v>
      </c>
      <c r="S119" s="140">
        <f t="shared" si="26"/>
        <v>10.75</v>
      </c>
      <c r="T119" s="24">
        <f t="shared" si="27"/>
        <v>0.66666666666666663</v>
      </c>
      <c r="U119" s="140">
        <f t="shared" si="28"/>
        <v>13.733333333333334</v>
      </c>
      <c r="V119" s="9">
        <f t="shared" si="29"/>
        <v>1</v>
      </c>
      <c r="W119" s="172">
        <f t="shared" si="35"/>
        <v>11.8</v>
      </c>
      <c r="X119" s="142">
        <f t="shared" si="36"/>
        <v>0.91666666666666663</v>
      </c>
      <c r="Y119" s="144">
        <f t="shared" si="37"/>
        <v>17.333333333333332</v>
      </c>
      <c r="Z119" s="144">
        <f t="shared" si="38"/>
        <v>21.411111111111111</v>
      </c>
      <c r="AA119" s="144">
        <f t="shared" si="39"/>
        <v>17.792727272727273</v>
      </c>
      <c r="AB119" s="10"/>
      <c r="AC119" s="357" t="str">
        <f>VLOOKUP($B119,'2007-2020 Metadata'!$A$4:$S$214,MATCH("Urban Area /Monitoring Zone",'2007-2020 Metadata'!$A$4:$S$4,0),FALSE)</f>
        <v>Nelson</v>
      </c>
      <c r="AD119" s="87" t="str">
        <f>VLOOKUP(B119,'2007-2020 Metadata'!$A$6:$A$214,1,FALSE)</f>
        <v>WEL062</v>
      </c>
      <c r="AE119" s="230" t="str">
        <f>VLOOKUP($AD119,'2007-2020 Metadata'!$A$6:$S$214,9,FALSE)</f>
        <v>Nelson</v>
      </c>
      <c r="AF119" s="248">
        <f>IF(ISBLANK(VLOOKUP($AD119,'2007-2020 Metadata'!$A$6:$S$214,19,FALSE)),"",VLOOKUP($AD119,'2007-2020 Metadata'!$A$6:$S$214,19,FALSE))</f>
        <v>2.2000000000000002</v>
      </c>
      <c r="AG119" s="88" t="str">
        <f>VLOOKUP($B119,'2007-2020 Metadata'!$A$4:$S$214,MATCH("Site type",'2007-2020 Metadata'!$A$4:$S$4,0),FALSE)</f>
        <v>Background</v>
      </c>
      <c r="AH119" s="143">
        <f t="shared" si="30"/>
        <v>6.7</v>
      </c>
      <c r="AI119" s="143">
        <f t="shared" si="31"/>
        <v>16.8</v>
      </c>
      <c r="AJ119" s="144">
        <f t="shared" si="32"/>
        <v>17.792727272727273</v>
      </c>
    </row>
    <row r="120" spans="1:36" ht="12" customHeight="1" x14ac:dyDescent="0.15">
      <c r="A120" s="126"/>
      <c r="B120" s="123" t="s">
        <v>141</v>
      </c>
      <c r="C120" s="104">
        <f>IF(ISBLANK(VLOOKUP($B120,'Monthly Summary 2013'!$B$7:$Q$152,14,FALSE)),"",IF(ISERROR(VLOOKUP($B120,'Monthly Summary 2013'!$B$7:$Q$152,14,FALSE)=0),"",VLOOKUP($B120,'Monthly Summary 2013'!$B$7:$Q$152,14,FALSE)))</f>
        <v>12.3</v>
      </c>
      <c r="D120" s="119">
        <v>10.199999999999999</v>
      </c>
      <c r="E120" s="119">
        <v>16.399999999999999</v>
      </c>
      <c r="F120" s="119">
        <v>18.899999999999999</v>
      </c>
      <c r="G120" s="119">
        <v>18.600000000000001</v>
      </c>
      <c r="H120" s="119">
        <v>23.5</v>
      </c>
      <c r="I120" s="119">
        <v>24</v>
      </c>
      <c r="J120" s="119">
        <v>19.399999999999999</v>
      </c>
      <c r="K120" s="124">
        <v>18.2</v>
      </c>
      <c r="L120" s="124">
        <v>18.5</v>
      </c>
      <c r="M120" s="124">
        <v>17.3</v>
      </c>
      <c r="N120" s="124">
        <v>16.399999999999999</v>
      </c>
      <c r="O120" s="124">
        <v>16.100000000000001</v>
      </c>
      <c r="P120" s="121">
        <f t="shared" si="25"/>
        <v>18.125</v>
      </c>
      <c r="Q120" s="121">
        <f t="shared" si="33"/>
        <v>19.650739201965301</v>
      </c>
      <c r="R120" s="122">
        <f t="shared" si="34"/>
        <v>1</v>
      </c>
      <c r="S120" s="140">
        <f t="shared" si="26"/>
        <v>15.166666666666666</v>
      </c>
      <c r="T120" s="24">
        <f t="shared" si="27"/>
        <v>1</v>
      </c>
      <c r="U120" s="140">
        <f t="shared" si="28"/>
        <v>18.7</v>
      </c>
      <c r="V120" s="9">
        <f t="shared" si="29"/>
        <v>1</v>
      </c>
      <c r="W120" s="172">
        <f t="shared" si="35"/>
        <v>18.125</v>
      </c>
      <c r="X120" s="142">
        <f t="shared" si="36"/>
        <v>1</v>
      </c>
      <c r="Y120" s="144">
        <f t="shared" si="37"/>
        <v>14.116666666666667</v>
      </c>
      <c r="Z120" s="144">
        <f t="shared" si="38"/>
        <v>18.7</v>
      </c>
      <c r="AA120" s="144">
        <f t="shared" si="39"/>
        <v>18.125</v>
      </c>
      <c r="AB120" s="10"/>
      <c r="AC120" s="357" t="str">
        <f>VLOOKUP($B120,'2007-2020 Metadata'!$A$4:$S$214,MATCH("Urban Area /Monitoring Zone",'2007-2020 Metadata'!$A$4:$S$4,0),FALSE)</f>
        <v xml:space="preserve">Kapiti </v>
      </c>
      <c r="AD120" s="87" t="str">
        <f>VLOOKUP(B120,'2007-2020 Metadata'!$A$6:$A$214,1,FALSE)</f>
        <v>WEL063</v>
      </c>
      <c r="AE120" s="230" t="str">
        <f>VLOOKUP($AD120,'2007-2020 Metadata'!$A$6:$S$214,9,FALSE)</f>
        <v>Kapiti Coast</v>
      </c>
      <c r="AF120" s="248">
        <f>IF(ISBLANK(VLOOKUP($AD120,'2007-2020 Metadata'!$A$6:$S$214,19,FALSE)),"",VLOOKUP($AD120,'2007-2020 Metadata'!$A$6:$S$214,19,FALSE))</f>
        <v>3.5</v>
      </c>
      <c r="AG120" s="88" t="str">
        <f>VLOOKUP($B120,'2007-2020 Metadata'!$A$4:$S$214,MATCH("Site type",'2007-2020 Metadata'!$A$4:$S$4,0),FALSE)</f>
        <v>Local (ex SH)</v>
      </c>
      <c r="AH120" s="143">
        <f t="shared" si="30"/>
        <v>10.199999999999999</v>
      </c>
      <c r="AI120" s="143">
        <f t="shared" si="31"/>
        <v>24</v>
      </c>
      <c r="AJ120" s="144">
        <f t="shared" si="32"/>
        <v>18.125</v>
      </c>
    </row>
    <row r="121" spans="1:36" ht="12" customHeight="1" x14ac:dyDescent="0.15">
      <c r="A121" s="126"/>
      <c r="B121" s="123" t="s">
        <v>142</v>
      </c>
      <c r="C121" s="104">
        <f>IF(ISBLANK(VLOOKUP($B121,'Monthly Summary 2013'!$B$7:$Q$152,14,FALSE)),"",IF(ISERROR(VLOOKUP($B121,'Monthly Summary 2013'!$B$7:$Q$152,14,FALSE)=0),"",VLOOKUP($B121,'Monthly Summary 2013'!$B$7:$Q$152,14,FALSE)))</f>
        <v>12.9</v>
      </c>
      <c r="D121" s="119">
        <v>13.5</v>
      </c>
      <c r="E121" s="119">
        <v>19.3</v>
      </c>
      <c r="F121" s="119">
        <v>25.5</v>
      </c>
      <c r="G121" s="119">
        <v>24.4</v>
      </c>
      <c r="H121" s="119">
        <v>28.5</v>
      </c>
      <c r="I121" s="119">
        <v>26.2</v>
      </c>
      <c r="J121" s="119">
        <v>25</v>
      </c>
      <c r="K121" s="124">
        <v>28</v>
      </c>
      <c r="L121" s="124">
        <v>23.7</v>
      </c>
      <c r="M121" s="124">
        <v>21.7</v>
      </c>
      <c r="N121" s="124">
        <v>16.5</v>
      </c>
      <c r="O121" s="124">
        <v>19.100000000000001</v>
      </c>
      <c r="P121" s="121">
        <f t="shared" si="25"/>
        <v>22.616666666666664</v>
      </c>
      <c r="Q121" s="121">
        <f t="shared" si="33"/>
        <v>20.632076035727724</v>
      </c>
      <c r="R121" s="122">
        <f t="shared" si="34"/>
        <v>1</v>
      </c>
      <c r="S121" s="140">
        <f t="shared" si="26"/>
        <v>19.433333333333334</v>
      </c>
      <c r="T121" s="24">
        <f t="shared" si="27"/>
        <v>1</v>
      </c>
      <c r="U121" s="140">
        <f t="shared" si="28"/>
        <v>25.566666666666666</v>
      </c>
      <c r="V121" s="9">
        <f t="shared" si="29"/>
        <v>1</v>
      </c>
      <c r="W121" s="172">
        <f t="shared" si="35"/>
        <v>22.616666666666664</v>
      </c>
      <c r="X121" s="142">
        <f t="shared" si="36"/>
        <v>1</v>
      </c>
      <c r="Y121" s="144">
        <f t="shared" si="37"/>
        <v>17.96</v>
      </c>
      <c r="Z121" s="144">
        <f t="shared" si="38"/>
        <v>22.748484848484846</v>
      </c>
      <c r="AA121" s="144">
        <f t="shared" si="39"/>
        <v>21.141501377410467</v>
      </c>
      <c r="AB121" s="10"/>
      <c r="AC121" s="357" t="str">
        <f>VLOOKUP($B121,'2007-2020 Metadata'!$A$4:$S$214,MATCH("Urban Area /Monitoring Zone",'2007-2020 Metadata'!$A$4:$S$4,0),FALSE)</f>
        <v>Wellington</v>
      </c>
      <c r="AD121" s="87" t="str">
        <f>VLOOKUP(B121,'2007-2020 Metadata'!$A$6:$A$214,1,FALSE)</f>
        <v>WEL064</v>
      </c>
      <c r="AE121" s="230" t="str">
        <f>VLOOKUP($AD121,'2007-2020 Metadata'!$A$6:$S$214,9,FALSE)</f>
        <v>Wellington</v>
      </c>
      <c r="AF121" s="248">
        <f>IF(ISBLANK(VLOOKUP($AD121,'2007-2020 Metadata'!$A$6:$S$214,19,FALSE)),"",VLOOKUP($AD121,'2007-2020 Metadata'!$A$6:$S$214,19,FALSE))</f>
        <v>4</v>
      </c>
      <c r="AG121" s="88" t="str">
        <f>VLOOKUP($B121,'2007-2020 Metadata'!$A$4:$S$214,MATCH("Site type",'2007-2020 Metadata'!$A$4:$S$4,0),FALSE)</f>
        <v>SH</v>
      </c>
      <c r="AH121" s="143">
        <f t="shared" si="30"/>
        <v>13.5</v>
      </c>
      <c r="AI121" s="143">
        <f t="shared" si="31"/>
        <v>28.5</v>
      </c>
      <c r="AJ121" s="144">
        <f t="shared" si="32"/>
        <v>21.141501377410467</v>
      </c>
    </row>
    <row r="122" spans="1:36" ht="12" customHeight="1" x14ac:dyDescent="0.15">
      <c r="B122" s="123" t="s">
        <v>479</v>
      </c>
      <c r="C122" s="104">
        <f>IF(ISBLANK(VLOOKUP($B122,'Monthly Summary 2013'!$B$7:$Q$152,14,FALSE)),"",IF(ISERROR(VLOOKUP($B122,'Monthly Summary 2013'!$B$7:$Q$152,14,FALSE)=0),"",VLOOKUP($B122,'Monthly Summary 2013'!$B$7:$Q$152,14,FALSE)))</f>
        <v>5.4</v>
      </c>
      <c r="D122" s="119">
        <v>4.0999999999999996</v>
      </c>
      <c r="E122" s="119">
        <v>2.9</v>
      </c>
      <c r="F122" s="119">
        <v>9.1999999999999993</v>
      </c>
      <c r="G122" s="119">
        <v>6.5</v>
      </c>
      <c r="H122" s="119">
        <v>8.8000000000000007</v>
      </c>
      <c r="I122" s="119">
        <v>8.9</v>
      </c>
      <c r="J122" s="119">
        <v>7.4</v>
      </c>
      <c r="K122" s="124">
        <v>6.9</v>
      </c>
      <c r="L122" s="124">
        <v>6.6</v>
      </c>
      <c r="M122" s="124">
        <v>6.3</v>
      </c>
      <c r="N122" s="124">
        <v>5.3</v>
      </c>
      <c r="O122" s="124">
        <v>5.7</v>
      </c>
      <c r="P122" s="121">
        <f t="shared" si="25"/>
        <v>6.55</v>
      </c>
      <c r="Q122" s="121">
        <f t="shared" si="33"/>
        <v>29.160632339726977</v>
      </c>
      <c r="R122" s="122">
        <f t="shared" si="34"/>
        <v>1</v>
      </c>
      <c r="S122" s="140">
        <f t="shared" si="26"/>
        <v>5.3999999999999995</v>
      </c>
      <c r="T122" s="24">
        <f t="shared" si="27"/>
        <v>1</v>
      </c>
      <c r="U122" s="140">
        <f t="shared" si="28"/>
        <v>6.9666666666666659</v>
      </c>
      <c r="V122" s="9">
        <f t="shared" si="29"/>
        <v>1</v>
      </c>
      <c r="W122" s="172">
        <f t="shared" si="35"/>
        <v>6.55</v>
      </c>
      <c r="X122" s="142">
        <f t="shared" si="36"/>
        <v>1</v>
      </c>
      <c r="Y122" s="144">
        <f t="shared" si="37"/>
        <v>11.483333333333333</v>
      </c>
      <c r="Z122" s="144">
        <f t="shared" si="38"/>
        <v>13.2</v>
      </c>
      <c r="AA122" s="144">
        <f t="shared" si="39"/>
        <v>12.6875</v>
      </c>
      <c r="AB122" s="10"/>
      <c r="AC122" s="357" t="str">
        <f>VLOOKUP($B122,'2007-2020 Metadata'!$A$4:$S$214,MATCH("Urban Area /Monitoring Zone",'2007-2020 Metadata'!$A$4:$S$4,0),FALSE)</f>
        <v>Porirua</v>
      </c>
      <c r="AD122" s="87" t="str">
        <f>VLOOKUP(B122,'2007-2020 Metadata'!$A$6:$A$214,1,FALSE)</f>
        <v>WEL072</v>
      </c>
      <c r="AE122" s="230" t="str">
        <f>VLOOKUP($AD122,'2007-2020 Metadata'!$A$6:$S$214,9,FALSE)</f>
        <v>Porirua</v>
      </c>
      <c r="AF122" s="248">
        <f>IF(ISBLANK(VLOOKUP($AD122,'2007-2020 Metadata'!$A$6:$S$214,19,FALSE)),"",VLOOKUP($AD122,'2007-2020 Metadata'!$A$6:$S$214,19,FALSE))</f>
        <v>3</v>
      </c>
      <c r="AG122" s="88" t="str">
        <f>VLOOKUP($B122,'2007-2020 Metadata'!$A$4:$S$214,MATCH("Site type",'2007-2020 Metadata'!$A$4:$S$4,0),FALSE)</f>
        <v>Background</v>
      </c>
      <c r="AH122" s="143">
        <f t="shared" si="30"/>
        <v>2.9</v>
      </c>
      <c r="AI122" s="143">
        <f t="shared" si="31"/>
        <v>9.1999999999999993</v>
      </c>
      <c r="AJ122" s="144">
        <f t="shared" si="32"/>
        <v>12.6875</v>
      </c>
    </row>
    <row r="123" spans="1:36" ht="12" customHeight="1" x14ac:dyDescent="0.15">
      <c r="B123" s="123" t="s">
        <v>21</v>
      </c>
      <c r="C123" s="104">
        <f>IF(ISBLANK(VLOOKUP($B123,'Monthly Summary 2013'!$B$7:$Q$152,14,FALSE)),"",IF(ISERROR(VLOOKUP($B123,'Monthly Summary 2013'!$B$7:$Q$152,14,FALSE)=0),"",VLOOKUP($B123,'Monthly Summary 2013'!$B$7:$Q$152,14,FALSE)))</f>
        <v>6.3</v>
      </c>
      <c r="D123" s="119">
        <v>9.8000000000000007</v>
      </c>
      <c r="E123" s="119">
        <v>12</v>
      </c>
      <c r="F123" s="119">
        <v>12.2</v>
      </c>
      <c r="G123" s="119">
        <v>9.8000000000000007</v>
      </c>
      <c r="H123" s="119">
        <v>15.3</v>
      </c>
      <c r="I123" s="119">
        <v>12.2</v>
      </c>
      <c r="J123" s="119">
        <v>14</v>
      </c>
      <c r="K123" s="124">
        <v>12.4</v>
      </c>
      <c r="L123" s="124">
        <v>12.4</v>
      </c>
      <c r="M123" s="124">
        <v>10</v>
      </c>
      <c r="N123" s="124">
        <v>10.4</v>
      </c>
      <c r="O123" s="124">
        <v>9.3000000000000007</v>
      </c>
      <c r="P123" s="121">
        <f t="shared" si="25"/>
        <v>11.65</v>
      </c>
      <c r="Q123" s="121">
        <f t="shared" si="33"/>
        <v>15.816960685080417</v>
      </c>
      <c r="R123" s="122">
        <f t="shared" si="34"/>
        <v>1</v>
      </c>
      <c r="S123" s="140">
        <f t="shared" si="26"/>
        <v>11.333333333333334</v>
      </c>
      <c r="T123" s="24">
        <f t="shared" si="27"/>
        <v>1</v>
      </c>
      <c r="U123" s="140">
        <f t="shared" si="28"/>
        <v>12.933333333333332</v>
      </c>
      <c r="V123" s="9">
        <f t="shared" si="29"/>
        <v>1</v>
      </c>
      <c r="W123" s="172">
        <f t="shared" si="35"/>
        <v>11.65</v>
      </c>
      <c r="X123" s="142">
        <f t="shared" si="36"/>
        <v>1</v>
      </c>
      <c r="Y123" s="144">
        <f t="shared" si="37"/>
        <v>11.333333333333334</v>
      </c>
      <c r="Z123" s="144">
        <f t="shared" si="38"/>
        <v>12.933333333333332</v>
      </c>
      <c r="AA123" s="144">
        <f t="shared" si="39"/>
        <v>11.65</v>
      </c>
      <c r="AB123" s="10"/>
      <c r="AC123" s="357" t="str">
        <f>VLOOKUP($B123,'2007-2020 Metadata'!$A$4:$S$214,MATCH("Urban Area /Monitoring Zone",'2007-2020 Metadata'!$A$4:$S$4,0),FALSE)</f>
        <v>Greymouth</v>
      </c>
      <c r="AD123" s="87" t="str">
        <f>VLOOKUP(B123,'2007-2020 Metadata'!$A$6:$A$214,1,FALSE)</f>
        <v>CHR001</v>
      </c>
      <c r="AE123" s="230" t="str">
        <f>VLOOKUP($AD123,'2007-2020 Metadata'!$A$6:$S$214,9,FALSE)</f>
        <v>Greymouth</v>
      </c>
      <c r="AF123" s="248">
        <f>IF(ISBLANK(VLOOKUP($AD123,'2007-2020 Metadata'!$A$6:$S$214,19,FALSE)),"",VLOOKUP($AD123,'2007-2020 Metadata'!$A$6:$S$214,19,FALSE))</f>
        <v>2.2999999999999998</v>
      </c>
      <c r="AG123" s="88" t="str">
        <f>VLOOKUP($B123,'2007-2020 Metadata'!$A$4:$S$214,MATCH("Site type",'2007-2020 Metadata'!$A$4:$S$4,0),FALSE)</f>
        <v>SH</v>
      </c>
      <c r="AH123" s="143">
        <f t="shared" si="30"/>
        <v>9.3000000000000007</v>
      </c>
      <c r="AI123" s="143">
        <f t="shared" si="31"/>
        <v>15.3</v>
      </c>
      <c r="AJ123" s="144">
        <f t="shared" si="32"/>
        <v>11.65</v>
      </c>
    </row>
    <row r="124" spans="1:36" ht="12" customHeight="1" x14ac:dyDescent="0.15">
      <c r="B124" s="123" t="s">
        <v>22</v>
      </c>
      <c r="C124" s="104">
        <f>IF(ISBLANK(VLOOKUP($B124,'Monthly Summary 2013'!$B$7:$Q$152,14,FALSE)),"",IF(ISERROR(VLOOKUP($B124,'Monthly Summary 2013'!$B$7:$Q$152,14,FALSE)=0),"",VLOOKUP($B124,'Monthly Summary 2013'!$B$7:$Q$152,14,FALSE)))</f>
        <v>13.8</v>
      </c>
      <c r="D124" s="119">
        <v>22.7</v>
      </c>
      <c r="E124" s="119">
        <v>23.8</v>
      </c>
      <c r="F124" s="119">
        <v>29.3</v>
      </c>
      <c r="G124" s="119">
        <v>29.8</v>
      </c>
      <c r="H124" s="119">
        <v>22.2</v>
      </c>
      <c r="I124" s="119">
        <v>39.4</v>
      </c>
      <c r="J124" s="119">
        <v>24.4</v>
      </c>
      <c r="K124" s="124">
        <v>35.1</v>
      </c>
      <c r="L124" s="124">
        <v>31.5</v>
      </c>
      <c r="M124" s="124">
        <v>27.4</v>
      </c>
      <c r="N124" s="124">
        <v>25</v>
      </c>
      <c r="O124" s="124"/>
      <c r="P124" s="121">
        <f t="shared" si="25"/>
        <v>28.236363636363635</v>
      </c>
      <c r="Q124" s="121">
        <f t="shared" si="33"/>
        <v>19.353282928278169</v>
      </c>
      <c r="R124" s="122">
        <f t="shared" si="34"/>
        <v>0.91666666666666663</v>
      </c>
      <c r="S124" s="140">
        <f t="shared" si="26"/>
        <v>25.266666666666666</v>
      </c>
      <c r="T124" s="24">
        <f t="shared" si="27"/>
        <v>1</v>
      </c>
      <c r="U124" s="140">
        <f t="shared" si="28"/>
        <v>30.333333333333332</v>
      </c>
      <c r="V124" s="9">
        <f t="shared" si="29"/>
        <v>1</v>
      </c>
      <c r="W124" s="172">
        <f t="shared" si="35"/>
        <v>28.236363636363635</v>
      </c>
      <c r="X124" s="142">
        <f t="shared" si="36"/>
        <v>0.91666666666666663</v>
      </c>
      <c r="Y124" s="144">
        <f t="shared" si="37"/>
        <v>24.332291666666674</v>
      </c>
      <c r="Z124" s="144">
        <f t="shared" si="38"/>
        <v>29.500000000000004</v>
      </c>
      <c r="AA124" s="144">
        <f t="shared" si="39"/>
        <v>27.170407196969702</v>
      </c>
      <c r="AB124" s="10"/>
      <c r="AC124" s="357" t="str">
        <f>VLOOKUP($B124,'2007-2020 Metadata'!$A$4:$S$214,MATCH("Urban Area /Monitoring Zone",'2007-2020 Metadata'!$A$4:$S$4,0),FALSE)</f>
        <v>Christchurch</v>
      </c>
      <c r="AD124" s="87" t="str">
        <f>VLOOKUP(B124,'2007-2020 Metadata'!$A$6:$A$214,1,FALSE)</f>
        <v>CHR002</v>
      </c>
      <c r="AE124" s="230" t="str">
        <f>VLOOKUP($AD124,'2007-2020 Metadata'!$A$6:$S$214,9,FALSE)</f>
        <v>Christchurch</v>
      </c>
      <c r="AF124" s="248">
        <f>IF(ISBLANK(VLOOKUP($AD124,'2007-2020 Metadata'!$A$6:$S$214,19,FALSE)),"",VLOOKUP($AD124,'2007-2020 Metadata'!$A$6:$S$214,19,FALSE))</f>
        <v>3.2</v>
      </c>
      <c r="AG124" s="88" t="str">
        <f>VLOOKUP($B124,'2007-2020 Metadata'!$A$4:$S$214,MATCH("Site type",'2007-2020 Metadata'!$A$4:$S$4,0),FALSE)</f>
        <v>SH</v>
      </c>
      <c r="AH124" s="143">
        <f t="shared" si="30"/>
        <v>22.2</v>
      </c>
      <c r="AI124" s="143">
        <f t="shared" si="31"/>
        <v>39.4</v>
      </c>
      <c r="AJ124" s="144">
        <f t="shared" si="32"/>
        <v>27.170407196969702</v>
      </c>
    </row>
    <row r="125" spans="1:36" ht="12" customHeight="1" x14ac:dyDescent="0.15">
      <c r="B125" s="123" t="s">
        <v>23</v>
      </c>
      <c r="C125" s="104" t="str">
        <f>IF(ISBLANK(VLOOKUP($B125,'Monthly Summary 2013'!$B$7:$Q$152,14,FALSE)),"",IF(ISERROR(VLOOKUP($B125,'Monthly Summary 2013'!$B$7:$Q$152,14,FALSE)=0),"",VLOOKUP($B125,'Monthly Summary 2013'!$B$7:$Q$152,14,FALSE)))</f>
        <v/>
      </c>
      <c r="D125" s="119"/>
      <c r="E125" s="119">
        <v>25</v>
      </c>
      <c r="F125" s="119">
        <v>31</v>
      </c>
      <c r="G125" s="119">
        <v>34.5</v>
      </c>
      <c r="H125" s="119">
        <v>29.1</v>
      </c>
      <c r="I125" s="119">
        <v>41</v>
      </c>
      <c r="J125" s="119">
        <v>28.7</v>
      </c>
      <c r="K125" s="124">
        <v>33.4</v>
      </c>
      <c r="L125" s="124">
        <v>28.7</v>
      </c>
      <c r="M125" s="124">
        <v>20.5</v>
      </c>
      <c r="N125" s="124">
        <v>19.5</v>
      </c>
      <c r="O125" s="124">
        <v>14.5</v>
      </c>
      <c r="P125" s="121">
        <f t="shared" si="25"/>
        <v>27.809090909090909</v>
      </c>
      <c r="Q125" s="121">
        <f t="shared" si="33"/>
        <v>27.171392814626593</v>
      </c>
      <c r="R125" s="122">
        <f t="shared" si="34"/>
        <v>0.91666666666666663</v>
      </c>
      <c r="S125" s="140">
        <f t="shared" si="26"/>
        <v>28</v>
      </c>
      <c r="T125" s="24">
        <f t="shared" si="27"/>
        <v>0.66666666666666663</v>
      </c>
      <c r="U125" s="140">
        <f t="shared" si="28"/>
        <v>30.266666666666666</v>
      </c>
      <c r="V125" s="9">
        <f t="shared" si="29"/>
        <v>1</v>
      </c>
      <c r="W125" s="172">
        <f t="shared" si="35"/>
        <v>27.809090909090909</v>
      </c>
      <c r="X125" s="142">
        <f t="shared" si="36"/>
        <v>0.91666666666666663</v>
      </c>
      <c r="Y125" s="144">
        <f t="shared" si="37"/>
        <v>24.332291666666674</v>
      </c>
      <c r="Z125" s="144">
        <f t="shared" si="38"/>
        <v>29.500000000000004</v>
      </c>
      <c r="AA125" s="144">
        <f t="shared" si="39"/>
        <v>27.170407196969702</v>
      </c>
      <c r="AB125" s="10"/>
      <c r="AC125" s="357" t="str">
        <f>VLOOKUP($B125,'2007-2020 Metadata'!$A$4:$S$214,MATCH("Urban Area /Monitoring Zone",'2007-2020 Metadata'!$A$4:$S$4,0),FALSE)</f>
        <v>Christchurch</v>
      </c>
      <c r="AD125" s="87" t="str">
        <f>VLOOKUP(B125,'2007-2020 Metadata'!$A$6:$A$214,1,FALSE)</f>
        <v>CHR003</v>
      </c>
      <c r="AE125" s="230" t="str">
        <f>VLOOKUP($AD125,'2007-2020 Metadata'!$A$6:$S$214,9,FALSE)</f>
        <v>Christchurch</v>
      </c>
      <c r="AF125" s="248">
        <f>IF(ISBLANK(VLOOKUP($AD125,'2007-2020 Metadata'!$A$6:$S$214,19,FALSE)),"",VLOOKUP($AD125,'2007-2020 Metadata'!$A$6:$S$214,19,FALSE))</f>
        <v>3.3</v>
      </c>
      <c r="AG125" s="88" t="str">
        <f>VLOOKUP($B125,'2007-2020 Metadata'!$A$4:$S$214,MATCH("Site type",'2007-2020 Metadata'!$A$4:$S$4,0),FALSE)</f>
        <v>SH</v>
      </c>
      <c r="AH125" s="143">
        <f t="shared" si="30"/>
        <v>14.5</v>
      </c>
      <c r="AI125" s="143">
        <f t="shared" si="31"/>
        <v>41</v>
      </c>
      <c r="AJ125" s="144">
        <f t="shared" si="32"/>
        <v>27.170407196969702</v>
      </c>
    </row>
    <row r="126" spans="1:36" ht="12" customHeight="1" x14ac:dyDescent="0.15">
      <c r="B126" s="123" t="s">
        <v>24</v>
      </c>
      <c r="C126" s="104">
        <f>IF(ISBLANK(VLOOKUP($B126,'Monthly Summary 2013'!$B$7:$Q$152,14,FALSE)),"",IF(ISERROR(VLOOKUP($B126,'Monthly Summary 2013'!$B$7:$Q$152,14,FALSE)=0),"",VLOOKUP($B126,'Monthly Summary 2013'!$B$7:$Q$152,14,FALSE)))</f>
        <v>8.1</v>
      </c>
      <c r="D126" s="119">
        <v>7.7</v>
      </c>
      <c r="E126" s="119">
        <v>12.7</v>
      </c>
      <c r="F126" s="119">
        <v>14.2</v>
      </c>
      <c r="G126" s="119">
        <v>14.3</v>
      </c>
      <c r="H126" s="119">
        <v>21</v>
      </c>
      <c r="I126" s="119">
        <v>25.9</v>
      </c>
      <c r="J126" s="119">
        <v>18.8</v>
      </c>
      <c r="K126" s="124">
        <v>16.3</v>
      </c>
      <c r="L126" s="124">
        <v>15</v>
      </c>
      <c r="M126" s="124">
        <v>12</v>
      </c>
      <c r="N126" s="124">
        <v>9.6</v>
      </c>
      <c r="O126" s="124">
        <v>6.9</v>
      </c>
      <c r="P126" s="121">
        <f t="shared" si="25"/>
        <v>14.533333333333331</v>
      </c>
      <c r="Q126" s="121">
        <f t="shared" si="33"/>
        <v>37.790355436667447</v>
      </c>
      <c r="R126" s="122">
        <f t="shared" si="34"/>
        <v>1</v>
      </c>
      <c r="S126" s="140">
        <f t="shared" si="26"/>
        <v>11.533333333333331</v>
      </c>
      <c r="T126" s="24">
        <f t="shared" si="27"/>
        <v>1</v>
      </c>
      <c r="U126" s="140">
        <f t="shared" si="28"/>
        <v>16.7</v>
      </c>
      <c r="V126" s="9">
        <f t="shared" si="29"/>
        <v>1</v>
      </c>
      <c r="W126" s="172">
        <f t="shared" si="35"/>
        <v>14.533333333333331</v>
      </c>
      <c r="X126" s="142">
        <f t="shared" si="36"/>
        <v>1</v>
      </c>
      <c r="Y126" s="144">
        <f t="shared" si="37"/>
        <v>24.332291666666674</v>
      </c>
      <c r="Z126" s="144">
        <f t="shared" si="38"/>
        <v>29.500000000000004</v>
      </c>
      <c r="AA126" s="144">
        <f t="shared" si="39"/>
        <v>27.170407196969702</v>
      </c>
      <c r="AB126" s="10"/>
      <c r="AC126" s="357" t="str">
        <f>VLOOKUP($B126,'2007-2020 Metadata'!$A$4:$S$214,MATCH("Urban Area /Monitoring Zone",'2007-2020 Metadata'!$A$4:$S$4,0),FALSE)</f>
        <v>Christchurch</v>
      </c>
      <c r="AD126" s="87" t="str">
        <f>VLOOKUP(B126,'2007-2020 Metadata'!$A$6:$A$214,1,FALSE)</f>
        <v>CHR004</v>
      </c>
      <c r="AE126" s="230" t="str">
        <f>VLOOKUP($AD126,'2007-2020 Metadata'!$A$6:$S$214,9,FALSE)</f>
        <v>Christchurch</v>
      </c>
      <c r="AF126" s="248">
        <f>IF(ISBLANK(VLOOKUP($AD126,'2007-2020 Metadata'!$A$6:$S$214,19,FALSE)),"",VLOOKUP($AD126,'2007-2020 Metadata'!$A$6:$S$214,19,FALSE))</f>
        <v>3.1</v>
      </c>
      <c r="AG126" s="88" t="str">
        <f>VLOOKUP($B126,'2007-2020 Metadata'!$A$4:$S$214,MATCH("Site type",'2007-2020 Metadata'!$A$4:$S$4,0),FALSE)</f>
        <v>Background</v>
      </c>
      <c r="AH126" s="143">
        <f t="shared" si="30"/>
        <v>6.9</v>
      </c>
      <c r="AI126" s="143">
        <f t="shared" si="31"/>
        <v>25.9</v>
      </c>
      <c r="AJ126" s="144">
        <f t="shared" si="32"/>
        <v>27.170407196969702</v>
      </c>
    </row>
    <row r="127" spans="1:36" ht="12" customHeight="1" x14ac:dyDescent="0.15">
      <c r="B127" s="123" t="s">
        <v>25</v>
      </c>
      <c r="C127" s="104">
        <f>IF(ISBLANK(VLOOKUP($B127,'Monthly Summary 2013'!$B$7:$Q$152,14,FALSE)),"",IF(ISERROR(VLOOKUP($B127,'Monthly Summary 2013'!$B$7:$Q$152,14,FALSE)=0),"",VLOOKUP($B127,'Monthly Summary 2013'!$B$7:$Q$152,14,FALSE)))</f>
        <v>25.6</v>
      </c>
      <c r="D127" s="119">
        <v>26.6</v>
      </c>
      <c r="E127" s="119">
        <v>29.9</v>
      </c>
      <c r="F127" s="119">
        <v>35.5</v>
      </c>
      <c r="G127" s="119">
        <v>31.3</v>
      </c>
      <c r="H127" s="119">
        <v>34.700000000000003</v>
      </c>
      <c r="I127" s="119">
        <v>43</v>
      </c>
      <c r="J127" s="119">
        <v>31.4</v>
      </c>
      <c r="K127" s="124">
        <v>35.5</v>
      </c>
      <c r="L127" s="124">
        <v>33.799999999999997</v>
      </c>
      <c r="M127" s="124">
        <v>32.799999999999997</v>
      </c>
      <c r="N127" s="124">
        <v>20.5</v>
      </c>
      <c r="O127" s="124">
        <v>23.5</v>
      </c>
      <c r="P127" s="121">
        <f t="shared" si="25"/>
        <v>31.541666666666668</v>
      </c>
      <c r="Q127" s="121">
        <f t="shared" si="33"/>
        <v>18.951932836854059</v>
      </c>
      <c r="R127" s="122">
        <f t="shared" si="34"/>
        <v>1</v>
      </c>
      <c r="S127" s="140">
        <f t="shared" si="26"/>
        <v>30.666666666666668</v>
      </c>
      <c r="T127" s="24">
        <f t="shared" si="27"/>
        <v>1</v>
      </c>
      <c r="U127" s="140">
        <f t="shared" si="28"/>
        <v>33.56666666666667</v>
      </c>
      <c r="V127" s="9">
        <f t="shared" si="29"/>
        <v>1</v>
      </c>
      <c r="W127" s="172">
        <f t="shared" si="35"/>
        <v>31.541666666666668</v>
      </c>
      <c r="X127" s="142">
        <f t="shared" si="36"/>
        <v>1</v>
      </c>
      <c r="Y127" s="144">
        <f t="shared" si="37"/>
        <v>24.332291666666674</v>
      </c>
      <c r="Z127" s="144">
        <f t="shared" si="38"/>
        <v>29.500000000000004</v>
      </c>
      <c r="AA127" s="144">
        <f t="shared" si="39"/>
        <v>27.170407196969702</v>
      </c>
      <c r="AB127" s="10"/>
      <c r="AC127" s="357" t="str">
        <f>VLOOKUP($B127,'2007-2020 Metadata'!$A$4:$S$214,MATCH("Urban Area /Monitoring Zone",'2007-2020 Metadata'!$A$4:$S$4,0),FALSE)</f>
        <v>Christchurch</v>
      </c>
      <c r="AD127" s="87" t="str">
        <f>VLOOKUP(B127,'2007-2020 Metadata'!$A$6:$A$214,1,FALSE)</f>
        <v>CHR006</v>
      </c>
      <c r="AE127" s="230" t="str">
        <f>VLOOKUP($AD127,'2007-2020 Metadata'!$A$6:$S$214,9,FALSE)</f>
        <v>Christchurch</v>
      </c>
      <c r="AF127" s="248">
        <f>IF(ISBLANK(VLOOKUP($AD127,'2007-2020 Metadata'!$A$6:$S$214,19,FALSE)),"",VLOOKUP($AD127,'2007-2020 Metadata'!$A$6:$S$214,19,FALSE))</f>
        <v>3.4</v>
      </c>
      <c r="AG127" s="88" t="str">
        <f>VLOOKUP($B127,'2007-2020 Metadata'!$A$4:$S$214,MATCH("Site type",'2007-2020 Metadata'!$A$4:$S$4,0),FALSE)</f>
        <v>SH</v>
      </c>
      <c r="AH127" s="143">
        <f t="shared" si="30"/>
        <v>20.5</v>
      </c>
      <c r="AI127" s="143">
        <f t="shared" si="31"/>
        <v>43</v>
      </c>
      <c r="AJ127" s="144">
        <f t="shared" si="32"/>
        <v>27.170407196969702</v>
      </c>
    </row>
    <row r="128" spans="1:36" ht="12" customHeight="1" x14ac:dyDescent="0.15">
      <c r="B128" s="123" t="s">
        <v>143</v>
      </c>
      <c r="C128" s="104">
        <f>IF(ISBLANK(VLOOKUP($B128,'Monthly Summary 2013'!$B$7:$Q$152,14,FALSE)),"",IF(ISERROR(VLOOKUP($B128,'Monthly Summary 2013'!$B$7:$Q$152,14,FALSE)=0),"",VLOOKUP($B128,'Monthly Summary 2013'!$B$7:$Q$152,14,FALSE)))</f>
        <v>15.3</v>
      </c>
      <c r="D128" s="119">
        <v>16</v>
      </c>
      <c r="E128" s="119">
        <v>22.7</v>
      </c>
      <c r="F128" s="119">
        <v>26.3</v>
      </c>
      <c r="G128" s="119">
        <v>31.9</v>
      </c>
      <c r="H128" s="119">
        <v>28.3</v>
      </c>
      <c r="I128" s="119">
        <v>35.4</v>
      </c>
      <c r="J128" s="119">
        <v>26.7</v>
      </c>
      <c r="K128" s="124">
        <v>26.8</v>
      </c>
      <c r="L128" s="124">
        <v>27.4</v>
      </c>
      <c r="M128" s="124">
        <v>22.6</v>
      </c>
      <c r="N128" s="124">
        <v>17.7</v>
      </c>
      <c r="O128" s="124">
        <v>17.2</v>
      </c>
      <c r="P128" s="121">
        <f t="shared" si="25"/>
        <v>24.916666666666668</v>
      </c>
      <c r="Q128" s="121">
        <f t="shared" si="33"/>
        <v>23.784645308428633</v>
      </c>
      <c r="R128" s="122">
        <f t="shared" si="34"/>
        <v>1</v>
      </c>
      <c r="S128" s="140">
        <f t="shared" si="26"/>
        <v>21.666666666666668</v>
      </c>
      <c r="T128" s="24">
        <f t="shared" si="27"/>
        <v>1</v>
      </c>
      <c r="U128" s="140">
        <f t="shared" si="28"/>
        <v>26.966666666666669</v>
      </c>
      <c r="V128" s="9">
        <f t="shared" si="29"/>
        <v>1</v>
      </c>
      <c r="W128" s="172">
        <f t="shared" si="35"/>
        <v>24.916666666666668</v>
      </c>
      <c r="X128" s="142">
        <f t="shared" si="36"/>
        <v>1</v>
      </c>
      <c r="Y128" s="144">
        <f t="shared" si="37"/>
        <v>24.332291666666674</v>
      </c>
      <c r="Z128" s="144">
        <f t="shared" si="38"/>
        <v>29.500000000000004</v>
      </c>
      <c r="AA128" s="144">
        <f t="shared" si="39"/>
        <v>27.170407196969702</v>
      </c>
      <c r="AB128" s="10"/>
      <c r="AC128" s="357" t="str">
        <f>VLOOKUP($B128,'2007-2020 Metadata'!$A$4:$S$214,MATCH("Urban Area /Monitoring Zone",'2007-2020 Metadata'!$A$4:$S$4,0),FALSE)</f>
        <v>Christchurch</v>
      </c>
      <c r="AD128" s="87" t="str">
        <f>VLOOKUP(B128,'2007-2020 Metadata'!$A$6:$A$214,1,FALSE)</f>
        <v>CHR011</v>
      </c>
      <c r="AE128" s="230" t="str">
        <f>VLOOKUP($AD128,'2007-2020 Metadata'!$A$6:$S$214,9,FALSE)</f>
        <v>Christchurch</v>
      </c>
      <c r="AF128" s="248">
        <f>IF(ISBLANK(VLOOKUP($AD128,'2007-2020 Metadata'!$A$6:$S$214,19,FALSE)),"",VLOOKUP($AD128,'2007-2020 Metadata'!$A$6:$S$214,19,FALSE))</f>
        <v>2.85</v>
      </c>
      <c r="AG128" s="88" t="str">
        <f>VLOOKUP($B128,'2007-2020 Metadata'!$A$4:$S$214,MATCH("Site type",'2007-2020 Metadata'!$A$4:$S$4,0),FALSE)</f>
        <v>SH</v>
      </c>
      <c r="AH128" s="143">
        <f t="shared" si="30"/>
        <v>16</v>
      </c>
      <c r="AI128" s="143">
        <f t="shared" si="31"/>
        <v>35.4</v>
      </c>
      <c r="AJ128" s="144">
        <f t="shared" si="32"/>
        <v>27.170407196969702</v>
      </c>
    </row>
    <row r="129" spans="2:36" ht="12" customHeight="1" x14ac:dyDescent="0.15">
      <c r="B129" s="123" t="s">
        <v>144</v>
      </c>
      <c r="C129" s="104">
        <f>IF(ISBLANK(VLOOKUP($B129,'Monthly Summary 2013'!$B$7:$Q$152,14,FALSE)),"",IF(ISERROR(VLOOKUP($B129,'Monthly Summary 2013'!$B$7:$Q$152,14,FALSE)=0),"",VLOOKUP($B129,'Monthly Summary 2013'!$B$7:$Q$152,14,FALSE)))</f>
        <v>23.4</v>
      </c>
      <c r="D129" s="119">
        <v>20.2</v>
      </c>
      <c r="E129" s="119">
        <v>27.5</v>
      </c>
      <c r="F129" s="119">
        <v>32</v>
      </c>
      <c r="G129" s="119">
        <v>27.2</v>
      </c>
      <c r="H129" s="119">
        <v>35.200000000000003</v>
      </c>
      <c r="I129" s="119">
        <v>37.6</v>
      </c>
      <c r="J129" s="119">
        <v>30.3</v>
      </c>
      <c r="K129" s="124">
        <v>30.6</v>
      </c>
      <c r="L129" s="124">
        <v>24.3</v>
      </c>
      <c r="M129" s="124">
        <v>29.1</v>
      </c>
      <c r="N129" s="124">
        <v>25.3</v>
      </c>
      <c r="O129" s="124">
        <v>14.8</v>
      </c>
      <c r="P129" s="121">
        <f t="shared" si="25"/>
        <v>27.841666666666672</v>
      </c>
      <c r="Q129" s="121">
        <f t="shared" si="33"/>
        <v>22.454158323918296</v>
      </c>
      <c r="R129" s="122">
        <f t="shared" si="34"/>
        <v>1</v>
      </c>
      <c r="S129" s="140">
        <f t="shared" si="26"/>
        <v>26.566666666666666</v>
      </c>
      <c r="T129" s="24">
        <f t="shared" si="27"/>
        <v>1</v>
      </c>
      <c r="U129" s="140">
        <f t="shared" si="28"/>
        <v>28.400000000000002</v>
      </c>
      <c r="V129" s="9">
        <f t="shared" si="29"/>
        <v>1</v>
      </c>
      <c r="W129" s="172">
        <f t="shared" si="35"/>
        <v>27.841666666666672</v>
      </c>
      <c r="X129" s="142">
        <f t="shared" si="36"/>
        <v>1</v>
      </c>
      <c r="Y129" s="144">
        <f t="shared" si="37"/>
        <v>24.332291666666674</v>
      </c>
      <c r="Z129" s="144">
        <f t="shared" si="38"/>
        <v>29.500000000000004</v>
      </c>
      <c r="AA129" s="144">
        <f t="shared" si="39"/>
        <v>27.170407196969702</v>
      </c>
      <c r="AB129" s="10"/>
      <c r="AC129" s="357" t="str">
        <f>VLOOKUP($B129,'2007-2020 Metadata'!$A$4:$S$214,MATCH("Urban Area /Monitoring Zone",'2007-2020 Metadata'!$A$4:$S$4,0),FALSE)</f>
        <v>Christchurch</v>
      </c>
      <c r="AD129" s="87" t="str">
        <f>VLOOKUP(B129,'2007-2020 Metadata'!$A$6:$A$214,1,FALSE)</f>
        <v>CHR012</v>
      </c>
      <c r="AE129" s="230" t="str">
        <f>VLOOKUP($AD129,'2007-2020 Metadata'!$A$6:$S$214,9,FALSE)</f>
        <v>Christchurch</v>
      </c>
      <c r="AF129" s="248">
        <f>IF(ISBLANK(VLOOKUP($AD129,'2007-2020 Metadata'!$A$6:$S$214,19,FALSE)),"",VLOOKUP($AD129,'2007-2020 Metadata'!$A$6:$S$214,19,FALSE))</f>
        <v>3</v>
      </c>
      <c r="AG129" s="88" t="str">
        <f>VLOOKUP($B129,'2007-2020 Metadata'!$A$4:$S$214,MATCH("Site type",'2007-2020 Metadata'!$A$4:$S$4,0),FALSE)</f>
        <v>Local</v>
      </c>
      <c r="AH129" s="143">
        <f t="shared" si="30"/>
        <v>14.8</v>
      </c>
      <c r="AI129" s="143">
        <f t="shared" si="31"/>
        <v>37.6</v>
      </c>
      <c r="AJ129" s="144">
        <f t="shared" si="32"/>
        <v>27.170407196969702</v>
      </c>
    </row>
    <row r="130" spans="2:36" ht="12" customHeight="1" x14ac:dyDescent="0.15">
      <c r="B130" s="123" t="s">
        <v>145</v>
      </c>
      <c r="C130" s="104">
        <f>IF(ISBLANK(VLOOKUP($B130,'Monthly Summary 2013'!$B$7:$Q$152,14,FALSE)),"",IF(ISERROR(VLOOKUP($B130,'Monthly Summary 2013'!$B$7:$Q$152,14,FALSE)=0),"",VLOOKUP($B130,'Monthly Summary 2013'!$B$7:$Q$152,14,FALSE)))</f>
        <v>21</v>
      </c>
      <c r="D130" s="119">
        <v>22.8</v>
      </c>
      <c r="E130" s="119">
        <v>28</v>
      </c>
      <c r="F130" s="119">
        <v>31.9</v>
      </c>
      <c r="G130" s="119">
        <v>35.5</v>
      </c>
      <c r="H130" s="119">
        <v>41.2</v>
      </c>
      <c r="I130" s="119">
        <v>37.9</v>
      </c>
      <c r="J130" s="119">
        <v>42.7</v>
      </c>
      <c r="K130" s="124">
        <v>36.299999999999997</v>
      </c>
      <c r="L130" s="124">
        <v>32.299999999999997</v>
      </c>
      <c r="M130" s="124">
        <v>33.700000000000003</v>
      </c>
      <c r="N130" s="124">
        <v>29.8</v>
      </c>
      <c r="O130" s="124">
        <v>22.1</v>
      </c>
      <c r="P130" s="121">
        <f t="shared" si="25"/>
        <v>32.85</v>
      </c>
      <c r="Q130" s="121">
        <f t="shared" si="33"/>
        <v>19.738741382223957</v>
      </c>
      <c r="R130" s="122">
        <f t="shared" si="34"/>
        <v>1</v>
      </c>
      <c r="S130" s="140">
        <f t="shared" si="26"/>
        <v>27.566666666666663</v>
      </c>
      <c r="T130" s="24">
        <f t="shared" si="27"/>
        <v>1</v>
      </c>
      <c r="U130" s="140">
        <f t="shared" si="28"/>
        <v>37.1</v>
      </c>
      <c r="V130" s="9">
        <f t="shared" si="29"/>
        <v>1</v>
      </c>
      <c r="W130" s="172">
        <f t="shared" si="35"/>
        <v>32.85</v>
      </c>
      <c r="X130" s="142">
        <f t="shared" si="36"/>
        <v>1</v>
      </c>
      <c r="Y130" s="144">
        <f t="shared" si="37"/>
        <v>24.332291666666674</v>
      </c>
      <c r="Z130" s="144">
        <f t="shared" si="38"/>
        <v>29.500000000000004</v>
      </c>
      <c r="AA130" s="144">
        <f t="shared" si="39"/>
        <v>27.170407196969702</v>
      </c>
      <c r="AB130" s="10"/>
      <c r="AC130" s="357" t="str">
        <f>VLOOKUP($B130,'2007-2020 Metadata'!$A$4:$S$214,MATCH("Urban Area /Monitoring Zone",'2007-2020 Metadata'!$A$4:$S$4,0),FALSE)</f>
        <v>Christchurch</v>
      </c>
      <c r="AD130" s="87" t="str">
        <f>VLOOKUP(B130,'2007-2020 Metadata'!$A$6:$A$214,1,FALSE)</f>
        <v>CHR013</v>
      </c>
      <c r="AE130" s="230" t="str">
        <f>VLOOKUP($AD130,'2007-2020 Metadata'!$A$6:$S$214,9,FALSE)</f>
        <v>Christchurch</v>
      </c>
      <c r="AF130" s="248">
        <f>IF(ISBLANK(VLOOKUP($AD130,'2007-2020 Metadata'!$A$6:$S$214,19,FALSE)),"",VLOOKUP($AD130,'2007-2020 Metadata'!$A$6:$S$214,19,FALSE))</f>
        <v>3.15</v>
      </c>
      <c r="AG130" s="88" t="str">
        <f>VLOOKUP($B130,'2007-2020 Metadata'!$A$4:$S$214,MATCH("Site type",'2007-2020 Metadata'!$A$4:$S$4,0),FALSE)</f>
        <v>SH</v>
      </c>
      <c r="AH130" s="143">
        <f t="shared" si="30"/>
        <v>22.1</v>
      </c>
      <c r="AI130" s="143">
        <f t="shared" si="31"/>
        <v>42.7</v>
      </c>
      <c r="AJ130" s="144">
        <f t="shared" si="32"/>
        <v>27.170407196969702</v>
      </c>
    </row>
    <row r="131" spans="2:36" ht="12" customHeight="1" x14ac:dyDescent="0.15">
      <c r="B131" s="123" t="s">
        <v>146</v>
      </c>
      <c r="C131" s="104" t="str">
        <f>IF(ISBLANK(VLOOKUP($B131,'Monthly Summary 2013'!$B$7:$Q$152,14,FALSE)),"",IF(ISERROR(VLOOKUP($B131,'Monthly Summary 2013'!$B$7:$Q$152,14,FALSE)=0),"",VLOOKUP($B131,'Monthly Summary 2013'!$B$7:$Q$152,14,FALSE)))</f>
        <v/>
      </c>
      <c r="D131" s="119">
        <v>25.2</v>
      </c>
      <c r="E131" s="119"/>
      <c r="F131" s="119">
        <v>35.200000000000003</v>
      </c>
      <c r="G131" s="119">
        <v>34.5</v>
      </c>
      <c r="H131" s="119">
        <v>37.700000000000003</v>
      </c>
      <c r="I131" s="119">
        <v>41.4</v>
      </c>
      <c r="J131" s="119">
        <v>37</v>
      </c>
      <c r="K131" s="124">
        <v>38.5</v>
      </c>
      <c r="L131" s="124">
        <v>36.799999999999997</v>
      </c>
      <c r="M131" s="124">
        <v>32.799999999999997</v>
      </c>
      <c r="N131" s="124">
        <v>30.1</v>
      </c>
      <c r="O131" s="124">
        <v>26.5</v>
      </c>
      <c r="P131" s="121">
        <f t="shared" si="25"/>
        <v>34.154545454545456</v>
      </c>
      <c r="Q131" s="121">
        <f t="shared" si="33"/>
        <v>14.851746264899839</v>
      </c>
      <c r="R131" s="122">
        <f t="shared" si="34"/>
        <v>0.91666666666666663</v>
      </c>
      <c r="S131" s="140">
        <f t="shared" si="26"/>
        <v>30.200000000000003</v>
      </c>
      <c r="T131" s="24">
        <f t="shared" si="27"/>
        <v>0.66666666666666663</v>
      </c>
      <c r="U131" s="140">
        <f t="shared" si="28"/>
        <v>37.43333333333333</v>
      </c>
      <c r="V131" s="9">
        <f t="shared" si="29"/>
        <v>1</v>
      </c>
      <c r="W131" s="172">
        <f t="shared" si="35"/>
        <v>34.154545454545456</v>
      </c>
      <c r="X131" s="142">
        <f t="shared" si="36"/>
        <v>0.91666666666666663</v>
      </c>
      <c r="Y131" s="144">
        <f t="shared" si="37"/>
        <v>24.332291666666674</v>
      </c>
      <c r="Z131" s="144">
        <f t="shared" si="38"/>
        <v>29.500000000000004</v>
      </c>
      <c r="AA131" s="144">
        <f t="shared" si="39"/>
        <v>27.170407196969702</v>
      </c>
      <c r="AB131" s="10"/>
      <c r="AC131" s="357" t="str">
        <f>VLOOKUP($B131,'2007-2020 Metadata'!$A$4:$S$214,MATCH("Urban Area /Monitoring Zone",'2007-2020 Metadata'!$A$4:$S$4,0),FALSE)</f>
        <v>Christchurch</v>
      </c>
      <c r="AD131" s="87" t="str">
        <f>VLOOKUP(B131,'2007-2020 Metadata'!$A$6:$A$214,1,FALSE)</f>
        <v>CHR014</v>
      </c>
      <c r="AE131" s="230" t="str">
        <f>VLOOKUP($AD131,'2007-2020 Metadata'!$A$6:$S$214,9,FALSE)</f>
        <v>Christchurch</v>
      </c>
      <c r="AF131" s="248">
        <f>IF(ISBLANK(VLOOKUP($AD131,'2007-2020 Metadata'!$A$6:$S$214,19,FALSE)),"",VLOOKUP($AD131,'2007-2020 Metadata'!$A$6:$S$214,19,FALSE))</f>
        <v>2.9</v>
      </c>
      <c r="AG131" s="88" t="str">
        <f>VLOOKUP($B131,'2007-2020 Metadata'!$A$4:$S$214,MATCH("Site type",'2007-2020 Metadata'!$A$4:$S$4,0),FALSE)</f>
        <v>SH</v>
      </c>
      <c r="AH131" s="143">
        <f t="shared" si="30"/>
        <v>25.2</v>
      </c>
      <c r="AI131" s="143">
        <f t="shared" si="31"/>
        <v>41.4</v>
      </c>
      <c r="AJ131" s="144">
        <f t="shared" si="32"/>
        <v>27.170407196969702</v>
      </c>
    </row>
    <row r="132" spans="2:36" ht="12" customHeight="1" x14ac:dyDescent="0.15">
      <c r="B132" s="123" t="s">
        <v>147</v>
      </c>
      <c r="C132" s="104">
        <f>IF(ISBLANK(VLOOKUP($B132,'Monthly Summary 2013'!$B$7:$Q$152,14,FALSE)),"",IF(ISERROR(VLOOKUP($B132,'Monthly Summary 2013'!$B$7:$Q$152,14,FALSE)=0),"",VLOOKUP($B132,'Monthly Summary 2013'!$B$7:$Q$152,14,FALSE)))</f>
        <v>20.7</v>
      </c>
      <c r="D132" s="119">
        <v>17.399999999999999</v>
      </c>
      <c r="E132" s="119">
        <v>18.8</v>
      </c>
      <c r="F132" s="119">
        <v>24.7</v>
      </c>
      <c r="G132" s="119">
        <v>27.1</v>
      </c>
      <c r="H132" s="119">
        <v>35.799999999999997</v>
      </c>
      <c r="I132" s="119">
        <v>34.799999999999997</v>
      </c>
      <c r="J132" s="119">
        <v>32.700000000000003</v>
      </c>
      <c r="K132" s="124">
        <v>30.8</v>
      </c>
      <c r="L132" s="124">
        <v>27.9</v>
      </c>
      <c r="M132" s="124">
        <v>29.3</v>
      </c>
      <c r="N132" s="124">
        <v>24.8</v>
      </c>
      <c r="O132" s="124">
        <v>20.100000000000001</v>
      </c>
      <c r="P132" s="121">
        <f t="shared" si="25"/>
        <v>27.016666666666669</v>
      </c>
      <c r="Q132" s="121">
        <f t="shared" si="33"/>
        <v>22.555106775079594</v>
      </c>
      <c r="R132" s="122">
        <f t="shared" si="34"/>
        <v>1</v>
      </c>
      <c r="S132" s="140">
        <f t="shared" si="26"/>
        <v>20.3</v>
      </c>
      <c r="T132" s="24">
        <f t="shared" si="27"/>
        <v>1</v>
      </c>
      <c r="U132" s="140">
        <f t="shared" si="28"/>
        <v>30.466666666666669</v>
      </c>
      <c r="V132" s="9">
        <f t="shared" si="29"/>
        <v>1</v>
      </c>
      <c r="W132" s="172">
        <f t="shared" si="35"/>
        <v>27.016666666666669</v>
      </c>
      <c r="X132" s="142">
        <f t="shared" si="36"/>
        <v>1</v>
      </c>
      <c r="Y132" s="144">
        <f t="shared" si="37"/>
        <v>24.332291666666674</v>
      </c>
      <c r="Z132" s="144">
        <f t="shared" si="38"/>
        <v>29.500000000000004</v>
      </c>
      <c r="AA132" s="144">
        <f t="shared" si="39"/>
        <v>27.170407196969702</v>
      </c>
      <c r="AB132" s="10"/>
      <c r="AC132" s="357" t="str">
        <f>VLOOKUP($B132,'2007-2020 Metadata'!$A$4:$S$214,MATCH("Urban Area /Monitoring Zone",'2007-2020 Metadata'!$A$4:$S$4,0),FALSE)</f>
        <v>Christchurch</v>
      </c>
      <c r="AD132" s="87" t="str">
        <f>VLOOKUP(B132,'2007-2020 Metadata'!$A$6:$A$214,1,FALSE)</f>
        <v>CHR015</v>
      </c>
      <c r="AE132" s="230" t="str">
        <f>VLOOKUP($AD132,'2007-2020 Metadata'!$A$6:$S$214,9,FALSE)</f>
        <v>Christchurch</v>
      </c>
      <c r="AF132" s="248">
        <f>IF(ISBLANK(VLOOKUP($AD132,'2007-2020 Metadata'!$A$6:$S$214,19,FALSE)),"",VLOOKUP($AD132,'2007-2020 Metadata'!$A$6:$S$214,19,FALSE))</f>
        <v>3.1</v>
      </c>
      <c r="AG132" s="88" t="str">
        <f>VLOOKUP($B132,'2007-2020 Metadata'!$A$4:$S$214,MATCH("Site type",'2007-2020 Metadata'!$A$4:$S$4,0),FALSE)</f>
        <v>Local</v>
      </c>
      <c r="AH132" s="143">
        <f t="shared" si="30"/>
        <v>17.399999999999999</v>
      </c>
      <c r="AI132" s="143">
        <f t="shared" si="31"/>
        <v>35.799999999999997</v>
      </c>
      <c r="AJ132" s="144">
        <f t="shared" si="32"/>
        <v>27.170407196969702</v>
      </c>
    </row>
    <row r="133" spans="2:36" ht="12" customHeight="1" x14ac:dyDescent="0.15">
      <c r="B133" s="123" t="s">
        <v>148</v>
      </c>
      <c r="C133" s="104">
        <f>IF(ISBLANK(VLOOKUP($B133,'Monthly Summary 2013'!$B$7:$Q$152,14,FALSE)),"",IF(ISERROR(VLOOKUP($B133,'Monthly Summary 2013'!$B$7:$Q$152,14,FALSE)=0),"",VLOOKUP($B133,'Monthly Summary 2013'!$B$7:$Q$152,14,FALSE)))</f>
        <v>22.7</v>
      </c>
      <c r="D133" s="119"/>
      <c r="E133" s="119">
        <v>38.9</v>
      </c>
      <c r="F133" s="119">
        <v>39.200000000000003</v>
      </c>
      <c r="G133" s="119">
        <v>44.5</v>
      </c>
      <c r="H133" s="119">
        <v>33.5</v>
      </c>
      <c r="I133" s="119">
        <v>44.7</v>
      </c>
      <c r="J133" s="119">
        <v>46</v>
      </c>
      <c r="K133" s="124">
        <v>37.1</v>
      </c>
      <c r="L133" s="124">
        <v>27.3</v>
      </c>
      <c r="M133" s="124">
        <v>31.5</v>
      </c>
      <c r="N133" s="124">
        <v>22.8</v>
      </c>
      <c r="O133" s="124">
        <v>23</v>
      </c>
      <c r="P133" s="121">
        <f t="shared" si="25"/>
        <v>35.31818181818182</v>
      </c>
      <c r="Q133" s="121">
        <f t="shared" si="33"/>
        <v>23.826155796538171</v>
      </c>
      <c r="R133" s="122">
        <f t="shared" si="34"/>
        <v>0.91666666666666663</v>
      </c>
      <c r="S133" s="140">
        <f t="shared" si="26"/>
        <v>39.049999999999997</v>
      </c>
      <c r="T133" s="24">
        <f t="shared" si="27"/>
        <v>0.66666666666666663</v>
      </c>
      <c r="U133" s="140">
        <f t="shared" si="28"/>
        <v>36.799999999999997</v>
      </c>
      <c r="V133" s="9">
        <f t="shared" si="29"/>
        <v>1</v>
      </c>
      <c r="W133" s="172">
        <f t="shared" si="35"/>
        <v>35.31818181818182</v>
      </c>
      <c r="X133" s="142">
        <f t="shared" si="36"/>
        <v>0.91666666666666663</v>
      </c>
      <c r="Y133" s="144">
        <f t="shared" si="37"/>
        <v>24.332291666666674</v>
      </c>
      <c r="Z133" s="144">
        <f t="shared" si="38"/>
        <v>29.500000000000004</v>
      </c>
      <c r="AA133" s="144">
        <f t="shared" si="39"/>
        <v>27.170407196969702</v>
      </c>
      <c r="AB133" s="10"/>
      <c r="AC133" s="357" t="str">
        <f>VLOOKUP($B133,'2007-2020 Metadata'!$A$4:$S$214,MATCH("Urban Area /Monitoring Zone",'2007-2020 Metadata'!$A$4:$S$4,0),FALSE)</f>
        <v>Christchurch</v>
      </c>
      <c r="AD133" s="87" t="str">
        <f>VLOOKUP(B133,'2007-2020 Metadata'!$A$6:$A$214,1,FALSE)</f>
        <v>CHR016</v>
      </c>
      <c r="AE133" s="230" t="str">
        <f>VLOOKUP($AD133,'2007-2020 Metadata'!$A$6:$S$214,9,FALSE)</f>
        <v>Christchurch</v>
      </c>
      <c r="AF133" s="248">
        <f>IF(ISBLANK(VLOOKUP($AD133,'2007-2020 Metadata'!$A$6:$S$214,19,FALSE)),"",VLOOKUP($AD133,'2007-2020 Metadata'!$A$6:$S$214,19,FALSE))</f>
        <v>3</v>
      </c>
      <c r="AG133" s="88" t="str">
        <f>VLOOKUP($B133,'2007-2020 Metadata'!$A$4:$S$214,MATCH("Site type",'2007-2020 Metadata'!$A$4:$S$4,0),FALSE)</f>
        <v>Local</v>
      </c>
      <c r="AH133" s="143">
        <f t="shared" si="30"/>
        <v>22.8</v>
      </c>
      <c r="AI133" s="143">
        <f t="shared" si="31"/>
        <v>46</v>
      </c>
      <c r="AJ133" s="144">
        <f t="shared" si="32"/>
        <v>27.170407196969702</v>
      </c>
    </row>
    <row r="134" spans="2:36" ht="12" customHeight="1" x14ac:dyDescent="0.15">
      <c r="B134" s="123" t="s">
        <v>149</v>
      </c>
      <c r="C134" s="104">
        <f>IF(ISBLANK(VLOOKUP($B134,'Monthly Summary 2013'!$B$7:$Q$152,14,FALSE)),"",IF(ISERROR(VLOOKUP($B134,'Monthly Summary 2013'!$B$7:$Q$152,14,FALSE)=0),"",VLOOKUP($B134,'Monthly Summary 2013'!$B$7:$Q$152,14,FALSE)))</f>
        <v>33.200000000000003</v>
      </c>
      <c r="D134" s="119">
        <v>17.2</v>
      </c>
      <c r="E134" s="119">
        <v>38.4</v>
      </c>
      <c r="F134" s="119">
        <v>38.6</v>
      </c>
      <c r="G134" s="119">
        <v>48.3</v>
      </c>
      <c r="H134" s="119">
        <v>37.200000000000003</v>
      </c>
      <c r="I134" s="119">
        <v>45.3</v>
      </c>
      <c r="J134" s="119">
        <v>28.5</v>
      </c>
      <c r="K134" s="124">
        <v>44.5</v>
      </c>
      <c r="L134" s="124">
        <v>47</v>
      </c>
      <c r="M134" s="124">
        <v>31.6</v>
      </c>
      <c r="N134" s="124">
        <v>36.799999999999997</v>
      </c>
      <c r="O134" s="124">
        <v>32.5</v>
      </c>
      <c r="P134" s="121">
        <f t="shared" si="25"/>
        <v>37.158333333333339</v>
      </c>
      <c r="Q134" s="121">
        <f t="shared" si="33"/>
        <v>23.944948887085278</v>
      </c>
      <c r="R134" s="122">
        <f t="shared" si="34"/>
        <v>1</v>
      </c>
      <c r="S134" s="260">
        <f t="shared" si="26"/>
        <v>31.399999999999995</v>
      </c>
      <c r="T134" s="264">
        <f t="shared" si="27"/>
        <v>1</v>
      </c>
      <c r="U134" s="260">
        <f t="shared" si="28"/>
        <v>40</v>
      </c>
      <c r="V134" s="265">
        <f t="shared" si="29"/>
        <v>1</v>
      </c>
      <c r="W134" s="266">
        <f t="shared" si="35"/>
        <v>37.158333333333339</v>
      </c>
      <c r="X134" s="261">
        <f t="shared" si="36"/>
        <v>1</v>
      </c>
      <c r="Y134" s="177">
        <f t="shared" si="37"/>
        <v>24.332291666666674</v>
      </c>
      <c r="Z134" s="177">
        <f t="shared" si="38"/>
        <v>29.500000000000004</v>
      </c>
      <c r="AA134" s="177">
        <f t="shared" si="39"/>
        <v>27.170407196969702</v>
      </c>
      <c r="AB134" s="10"/>
      <c r="AC134" s="357" t="str">
        <f>VLOOKUP($B134,'2007-2020 Metadata'!$A$4:$S$214,MATCH("Urban Area /Monitoring Zone",'2007-2020 Metadata'!$A$4:$S$4,0),FALSE)</f>
        <v>Christchurch</v>
      </c>
      <c r="AD134" s="259" t="str">
        <f>VLOOKUP(B134,'2007-2020 Metadata'!$A$6:$A$214,1,FALSE)</f>
        <v>CHR017</v>
      </c>
      <c r="AE134" s="256" t="str">
        <f>VLOOKUP($AD134,'2007-2020 Metadata'!$A$6:$S$214,9,FALSE)</f>
        <v>Christchurch</v>
      </c>
      <c r="AF134" s="263">
        <f>IF(ISBLANK(VLOOKUP($AD134,'2007-2020 Metadata'!$A$6:$S$214,19,FALSE)),"",VLOOKUP($AD134,'2007-2020 Metadata'!$A$6:$S$214,19,FALSE))</f>
        <v>3</v>
      </c>
      <c r="AG134" s="257" t="str">
        <f>VLOOKUP($B134,'2007-2020 Metadata'!$A$4:$S$214,MATCH("Site type",'2007-2020 Metadata'!$A$4:$S$4,0),FALSE)</f>
        <v>Local</v>
      </c>
      <c r="AH134" s="258">
        <f>MIN(AVERAGE($D$134:$D$136),AVERAGE($E$134:$E$136),AVERAGE($F$134:$F$136),AVERAGE($G$134:$G$136),AVERAGE($H$134:$H$136),AVERAGE($I$134:$I$136),AVERAGE($J$134:$J$136),AVERAGE($K$134:$K$136),AVERAGE($L$134:$L$136),AVERAGE($M$134:$M$136),AVERAGE($N$134:$N$136),AVERAGE($O$134:$O$136))</f>
        <v>20.066666666666666</v>
      </c>
      <c r="AI134" s="258">
        <f>MAX(AVERAGE($D$134:$D$136),AVERAGE($E$134:$E$136),AVERAGE($F$134:$F$136),AVERAGE($G$134:$G$136),AVERAGE($H$134:$H$136),AVERAGE($I$134:$I$136),AVERAGE($J$134:$J$136),AVERAGE($K$134:$K$136),AVERAGE($L$134:$L$136),AVERAGE($M$134:$M$136),AVERAGE($N$134:$N$136),AVERAGE($O$134:$O$136))</f>
        <v>48.9</v>
      </c>
      <c r="AJ134" s="177">
        <f t="shared" si="32"/>
        <v>27.170407196969702</v>
      </c>
    </row>
    <row r="135" spans="2:36" ht="12" customHeight="1" x14ac:dyDescent="0.15">
      <c r="B135" s="123" t="s">
        <v>150</v>
      </c>
      <c r="C135" s="104">
        <f>IF(ISBLANK(VLOOKUP($B135,'Monthly Summary 2013'!$B$7:$Q$152,14,FALSE)),"",IF(ISERROR(VLOOKUP($B135,'Monthly Summary 2013'!$B$7:$Q$152,14,FALSE)=0),"",VLOOKUP($B135,'Monthly Summary 2013'!$B$7:$Q$152,14,FALSE)))</f>
        <v>31.1</v>
      </c>
      <c r="D135" s="119">
        <v>23.5</v>
      </c>
      <c r="E135" s="119">
        <v>36.4</v>
      </c>
      <c r="F135" s="119">
        <v>43.5</v>
      </c>
      <c r="G135" s="119">
        <v>50.3</v>
      </c>
      <c r="H135" s="119">
        <v>35</v>
      </c>
      <c r="I135" s="119">
        <v>48.7</v>
      </c>
      <c r="J135" s="119">
        <v>32.1</v>
      </c>
      <c r="K135" s="124">
        <v>38.4</v>
      </c>
      <c r="L135" s="124">
        <v>38</v>
      </c>
      <c r="M135" s="124">
        <v>26.5</v>
      </c>
      <c r="N135" s="124">
        <v>35.5</v>
      </c>
      <c r="O135" s="124">
        <v>34.200000000000003</v>
      </c>
      <c r="P135" s="121">
        <f t="shared" si="25"/>
        <v>36.841666666666661</v>
      </c>
      <c r="Q135" s="121">
        <f t="shared" si="33"/>
        <v>21.492082373993455</v>
      </c>
      <c r="R135" s="122">
        <f t="shared" si="34"/>
        <v>1</v>
      </c>
      <c r="S135" s="260">
        <f t="shared" si="26"/>
        <v>34.466666666666669</v>
      </c>
      <c r="T135" s="264">
        <f t="shared" si="27"/>
        <v>1</v>
      </c>
      <c r="U135" s="260">
        <f t="shared" si="28"/>
        <v>36.166666666666664</v>
      </c>
      <c r="V135" s="265">
        <f t="shared" si="29"/>
        <v>1</v>
      </c>
      <c r="W135" s="266">
        <f t="shared" ref="W135:W149" si="42">IF(AND(($T135&gt;33%),($V135&gt;33%),($X135&gt;=75%)),AVERAGE($D135:$O135),"-")</f>
        <v>36.841666666666661</v>
      </c>
      <c r="X135" s="261">
        <f t="shared" ref="X135:X149" si="43">R135</f>
        <v>1</v>
      </c>
      <c r="Y135" s="177">
        <f t="shared" ref="Y135:Y149" si="44">IF(VLOOKUP($B135,$AD$6:$AJ$158,3,FALSE)="",$S135,IF(ISERROR(AVERAGEIF($AE$6:$AE$158,VLOOKUP($B135,$AD$6:$AJ$158,2,FALSE),$S$6:$S$158)),"",AVERAGEIF($AE$6:$AE$158,VLOOKUP($B135,$AD$6:$AJ$158,2,FALSE),$S$6:$S$158)))</f>
        <v>24.332291666666674</v>
      </c>
      <c r="Z135" s="177">
        <f t="shared" ref="Z135:Z149" si="45">IF(VLOOKUP($B135,$AD$6:$AJ$158,3,FALSE)="",$U135,IF(ISERROR(AVERAGEIF($AE$6:$AE$158,VLOOKUP($B135,$AD$6:$AJ$158,2,FALSE),$U$6:$U$158)),"",AVERAGEIF($AE$6:$AE$158,VLOOKUP($B135,$AD$6:$AJ$158,2,FALSE),$U$6:$U$158)))</f>
        <v>29.500000000000004</v>
      </c>
      <c r="AA135" s="177">
        <f t="shared" ref="AA135:AA149" si="46">IF(VLOOKUP($B135,$AD$6:$AJ$158,3,FALSE)="",$W135,IF(ISERROR(AVERAGEIF($AE$6:$AE$158,VLOOKUP($B135,$AD$6:$AJ$158,2,FALSE),$W$6:$W$158)),"",AVERAGEIF($AE$6:$AE$158,VLOOKUP($B135,$AD$6:$AJ$158,2,FALSE),$W$6:$W$158)))</f>
        <v>27.170407196969702</v>
      </c>
      <c r="AB135" s="10"/>
      <c r="AC135" s="357" t="str">
        <f>VLOOKUP($B135,'2007-2020 Metadata'!$A$4:$S$214,MATCH("Urban Area /Monitoring Zone",'2007-2020 Metadata'!$A$4:$S$4,0),FALSE)</f>
        <v>Christchurch</v>
      </c>
      <c r="AD135" s="259" t="str">
        <f>VLOOKUP(B135,'2007-2020 Metadata'!$A$6:$A$214,1,FALSE)</f>
        <v>CHR018</v>
      </c>
      <c r="AE135" s="256" t="str">
        <f>VLOOKUP($AD135,'2007-2020 Metadata'!$A$6:$S$214,9,FALSE)</f>
        <v>Christchurch</v>
      </c>
      <c r="AF135" s="263">
        <f>IF(ISBLANK(VLOOKUP($AD135,'2007-2020 Metadata'!$A$6:$S$214,19,FALSE)),"",VLOOKUP($AD135,'2007-2020 Metadata'!$A$6:$S$214,19,FALSE))</f>
        <v>3</v>
      </c>
      <c r="AG135" s="257" t="str">
        <f>VLOOKUP($B135,'2007-2020 Metadata'!$A$4:$S$214,MATCH("Site type",'2007-2020 Metadata'!$A$4:$S$4,0),FALSE)</f>
        <v>Local</v>
      </c>
      <c r="AH135" s="258">
        <f>MIN(AVERAGE($D$134:$D$136),AVERAGE($E$134:$E$136),AVERAGE($F$134:$F$136),AVERAGE($G$134:$G$136),AVERAGE($H$134:$H$136),AVERAGE($I$134:$I$136),AVERAGE($J$134:$J$136),AVERAGE($K$134:$K$136),AVERAGE($L$134:$L$136),AVERAGE($M$134:$M$136),AVERAGE($N$134:$N$136),AVERAGE($O$134:$O$136))</f>
        <v>20.066666666666666</v>
      </c>
      <c r="AI135" s="258">
        <f>MAX(AVERAGE($D$134:$D$136),AVERAGE($E$134:$E$136),AVERAGE($F$134:$F$136),AVERAGE($G$134:$G$136),AVERAGE($H$134:$H$136),AVERAGE($I$134:$I$136),AVERAGE($J$134:$J$136),AVERAGE($K$134:$K$136),AVERAGE($L$134:$L$136),AVERAGE($M$134:$M$136),AVERAGE($N$134:$N$136),AVERAGE($O$134:$O$136))</f>
        <v>48.9</v>
      </c>
      <c r="AJ135" s="177">
        <f t="shared" si="32"/>
        <v>27.170407196969702</v>
      </c>
    </row>
    <row r="136" spans="2:36" ht="12" customHeight="1" x14ac:dyDescent="0.15">
      <c r="B136" s="123" t="s">
        <v>151</v>
      </c>
      <c r="C136" s="104">
        <f>IF(ISBLANK(VLOOKUP($B136,'Monthly Summary 2013'!$B$7:$Q$152,14,FALSE)),"",IF(ISERROR(VLOOKUP($B136,'Monthly Summary 2013'!$B$7:$Q$152,14,FALSE)=0),"",VLOOKUP($B136,'Monthly Summary 2013'!$B$7:$Q$152,14,FALSE)))</f>
        <v>30.4</v>
      </c>
      <c r="D136" s="119">
        <v>19.5</v>
      </c>
      <c r="E136" s="119">
        <v>37.6</v>
      </c>
      <c r="F136" s="119">
        <v>39.200000000000003</v>
      </c>
      <c r="G136" s="119">
        <v>48.1</v>
      </c>
      <c r="H136" s="119">
        <v>37.700000000000003</v>
      </c>
      <c r="I136" s="119">
        <v>38</v>
      </c>
      <c r="J136" s="119">
        <v>34.4</v>
      </c>
      <c r="K136" s="124">
        <v>42.8</v>
      </c>
      <c r="L136" s="124">
        <v>35.299999999999997</v>
      </c>
      <c r="M136" s="124">
        <v>23.6</v>
      </c>
      <c r="N136" s="124">
        <v>29.9</v>
      </c>
      <c r="O136" s="124">
        <v>26.1</v>
      </c>
      <c r="P136" s="121">
        <f t="shared" si="25"/>
        <v>34.35</v>
      </c>
      <c r="Q136" s="121">
        <f t="shared" si="33"/>
        <v>23.941358512110071</v>
      </c>
      <c r="R136" s="122">
        <f t="shared" si="34"/>
        <v>1</v>
      </c>
      <c r="S136" s="260">
        <f t="shared" ref="S136:S149" si="47">IF($T136=0%,"",IF($T136&gt;66%,AVERAGE($D136:$F136),"-"))</f>
        <v>32.1</v>
      </c>
      <c r="T136" s="264">
        <f t="shared" ref="T136:T149" si="48">COUNT(D136:F136)/3</f>
        <v>1</v>
      </c>
      <c r="U136" s="260">
        <f t="shared" ref="U136:U149" si="49">IF($V136=0%,"",IF($V136&gt;66%,AVERAGE($J136:$L136),"-"))</f>
        <v>37.499999999999993</v>
      </c>
      <c r="V136" s="265">
        <f t="shared" ref="V136:V149" si="50">COUNT(J136:L136)/3</f>
        <v>1</v>
      </c>
      <c r="W136" s="266">
        <f t="shared" si="42"/>
        <v>34.35</v>
      </c>
      <c r="X136" s="261">
        <f t="shared" si="43"/>
        <v>1</v>
      </c>
      <c r="Y136" s="177">
        <f t="shared" si="44"/>
        <v>24.332291666666674</v>
      </c>
      <c r="Z136" s="177">
        <f t="shared" si="45"/>
        <v>29.500000000000004</v>
      </c>
      <c r="AA136" s="177">
        <f t="shared" si="46"/>
        <v>27.170407196969702</v>
      </c>
      <c r="AB136" s="10"/>
      <c r="AC136" s="357" t="str">
        <f>VLOOKUP($B136,'2007-2020 Metadata'!$A$4:$S$214,MATCH("Urban Area /Monitoring Zone",'2007-2020 Metadata'!$A$4:$S$4,0),FALSE)</f>
        <v>Christchurch</v>
      </c>
      <c r="AD136" s="259" t="str">
        <f>VLOOKUP(B136,'2007-2020 Metadata'!$A$6:$A$214,1,FALSE)</f>
        <v>CHR019</v>
      </c>
      <c r="AE136" s="256" t="str">
        <f>VLOOKUP($AD136,'2007-2020 Metadata'!$A$6:$S$214,9,FALSE)</f>
        <v>Christchurch</v>
      </c>
      <c r="AF136" s="263">
        <f>IF(ISBLANK(VLOOKUP($AD136,'2007-2020 Metadata'!$A$6:$S$214,19,FALSE)),"",VLOOKUP($AD136,'2007-2020 Metadata'!$A$6:$S$214,19,FALSE))</f>
        <v>3</v>
      </c>
      <c r="AG136" s="257" t="str">
        <f>VLOOKUP($B136,'2007-2020 Metadata'!$A$4:$S$214,MATCH("Site type",'2007-2020 Metadata'!$A$4:$S$4,0),FALSE)</f>
        <v>Local</v>
      </c>
      <c r="AH136" s="258">
        <f>MIN(AVERAGE($D$134:$D$136),AVERAGE($E$134:$E$136),AVERAGE($F$134:$F$136),AVERAGE($G$134:$G$136),AVERAGE($H$134:$H$136),AVERAGE($I$134:$I$136),AVERAGE($J$134:$J$136),AVERAGE($K$134:$K$136),AVERAGE($L$134:$L$136),AVERAGE($M$134:$M$136),AVERAGE($N$134:$N$136),AVERAGE($O$134:$O$136))</f>
        <v>20.066666666666666</v>
      </c>
      <c r="AI136" s="258">
        <f>MAX(AVERAGE($D$134:$D$136),AVERAGE($E$134:$E$136),AVERAGE($F$134:$F$136),AVERAGE($G$134:$G$136),AVERAGE($H$134:$H$136),AVERAGE($I$134:$I$136),AVERAGE($J$134:$J$136),AVERAGE($K$134:$K$136),AVERAGE($L$134:$L$136),AVERAGE($M$134:$M$136),AVERAGE($N$134:$N$136),AVERAGE($O$134:$O$136))</f>
        <v>48.9</v>
      </c>
      <c r="AJ136" s="177">
        <f t="shared" ref="AJ136:AJ149" si="51">IF($X136&gt;=75%,$AA136," ")</f>
        <v>27.170407196969702</v>
      </c>
    </row>
    <row r="137" spans="2:36" ht="12" customHeight="1" x14ac:dyDescent="0.15">
      <c r="B137" s="123" t="s">
        <v>152</v>
      </c>
      <c r="C137" s="104">
        <f>IF(ISBLANK(VLOOKUP($B137,'Monthly Summary 2013'!$B$7:$Q$152,14,FALSE)),"",IF(ISERROR(VLOOKUP($B137,'Monthly Summary 2013'!$B$7:$Q$152,14,FALSE)=0),"",VLOOKUP($B137,'Monthly Summary 2013'!$B$7:$Q$152,14,FALSE)))</f>
        <v>7.4</v>
      </c>
      <c r="D137" s="119">
        <v>5.8</v>
      </c>
      <c r="E137" s="119">
        <v>10.6</v>
      </c>
      <c r="F137" s="119">
        <v>13.7</v>
      </c>
      <c r="G137" s="119">
        <v>14.5</v>
      </c>
      <c r="H137" s="119">
        <v>22.8</v>
      </c>
      <c r="I137" s="119">
        <v>22.4</v>
      </c>
      <c r="J137" s="119">
        <v>19</v>
      </c>
      <c r="K137" s="124">
        <v>17.2</v>
      </c>
      <c r="L137" s="124">
        <v>14.8</v>
      </c>
      <c r="M137" s="124">
        <v>10.4</v>
      </c>
      <c r="N137" s="124">
        <v>9.5</v>
      </c>
      <c r="O137" s="124">
        <v>8.5</v>
      </c>
      <c r="P137" s="121">
        <f t="shared" ref="P137:P149" si="52">(AVERAGE(D137:O137))</f>
        <v>14.1</v>
      </c>
      <c r="Q137" s="121">
        <f t="shared" si="33"/>
        <v>38.630738180263144</v>
      </c>
      <c r="R137" s="122">
        <f t="shared" ref="R137:R149" si="53">COUNT(D137:O137)/COUNT($D$6:$O$6)</f>
        <v>1</v>
      </c>
      <c r="S137" s="260">
        <f t="shared" si="47"/>
        <v>10.033333333333333</v>
      </c>
      <c r="T137" s="264">
        <f t="shared" si="48"/>
        <v>1</v>
      </c>
      <c r="U137" s="260">
        <f t="shared" si="49"/>
        <v>17</v>
      </c>
      <c r="V137" s="265">
        <f t="shared" si="50"/>
        <v>1</v>
      </c>
      <c r="W137" s="266">
        <f t="shared" si="42"/>
        <v>14.1</v>
      </c>
      <c r="X137" s="261">
        <f t="shared" si="43"/>
        <v>1</v>
      </c>
      <c r="Y137" s="177">
        <f t="shared" si="44"/>
        <v>24.332291666666674</v>
      </c>
      <c r="Z137" s="177">
        <f t="shared" si="45"/>
        <v>29.500000000000004</v>
      </c>
      <c r="AA137" s="177">
        <f t="shared" si="46"/>
        <v>27.170407196969702</v>
      </c>
      <c r="AB137" s="10"/>
      <c r="AC137" s="357" t="str">
        <f>VLOOKUP($B137,'2007-2020 Metadata'!$A$4:$S$214,MATCH("Urban Area /Monitoring Zone",'2007-2020 Metadata'!$A$4:$S$4,0),FALSE)</f>
        <v>Christchurch</v>
      </c>
      <c r="AD137" s="259" t="str">
        <f>VLOOKUP(B137,'2007-2020 Metadata'!$A$6:$A$214,1,FALSE)</f>
        <v>CHR020</v>
      </c>
      <c r="AE137" s="256" t="str">
        <f>VLOOKUP($AD137,'2007-2020 Metadata'!$A$6:$S$214,9,FALSE)</f>
        <v>Christchurch</v>
      </c>
      <c r="AF137" s="263">
        <f>IF(ISBLANK(VLOOKUP($AD137,'2007-2020 Metadata'!$A$6:$S$214,19,FALSE)),"",VLOOKUP($AD137,'2007-2020 Metadata'!$A$6:$S$214,19,FALSE))</f>
        <v>3.5</v>
      </c>
      <c r="AG137" s="257" t="str">
        <f>VLOOKUP($B137,'2007-2020 Metadata'!$A$4:$S$214,MATCH("Site type",'2007-2020 Metadata'!$A$4:$S$4,0),FALSE)</f>
        <v>Background</v>
      </c>
      <c r="AH137" s="258">
        <f>MIN(AVERAGE($D$137:$D$139),AVERAGE($E$137:$E$139),AVERAGE($F$137:$F$139),AVERAGE($G$137:$G$139),AVERAGE($H$137:$H$139),AVERAGE($I$137:$I$139),AVERAGE($J$137:$J$139),AVERAGE($K$137:$K$139),AVERAGE($L$137:$L$139),AVERAGE($M$137:$M$139),AVERAGE($N$137:$N$139),AVERAGE($O$137:$O$139))</f>
        <v>5.5666666666666664</v>
      </c>
      <c r="AI137" s="258">
        <f>MAX(AVERAGE($D$137:$D$139),AVERAGE($E$137:$E$139),AVERAGE($F$137:$F$139),AVERAGE($G$137:$G$139),AVERAGE($H$137:$H$139),AVERAGE($I$137:$I$139),AVERAGE($J$137:$J$139),AVERAGE($K$137:$K$139),AVERAGE($L$137:$L$139),AVERAGE($M$137:$M$139),AVERAGE($N$137:$N$139),AVERAGE($O$137:$O$139))</f>
        <v>23.566666666666663</v>
      </c>
      <c r="AJ137" s="177">
        <f t="shared" si="51"/>
        <v>27.170407196969702</v>
      </c>
    </row>
    <row r="138" spans="2:36" ht="12" customHeight="1" x14ac:dyDescent="0.15">
      <c r="B138" s="123" t="s">
        <v>153</v>
      </c>
      <c r="C138" s="104">
        <f>IF(ISBLANK(VLOOKUP($B138,'Monthly Summary 2013'!$B$7:$Q$152,14,FALSE)),"",IF(ISERROR(VLOOKUP($B138,'Monthly Summary 2013'!$B$7:$Q$152,14,FALSE)=0),"",VLOOKUP($B138,'Monthly Summary 2013'!$B$7:$Q$152,14,FALSE)))</f>
        <v>6.8</v>
      </c>
      <c r="D138" s="119">
        <v>5.7</v>
      </c>
      <c r="E138" s="119">
        <v>7.7</v>
      </c>
      <c r="F138" s="119">
        <v>16.7</v>
      </c>
      <c r="G138" s="119">
        <v>15.9</v>
      </c>
      <c r="H138" s="119">
        <v>22.2</v>
      </c>
      <c r="I138" s="119">
        <v>24.7</v>
      </c>
      <c r="J138" s="119">
        <v>20.2</v>
      </c>
      <c r="K138" s="124">
        <v>17.5</v>
      </c>
      <c r="L138" s="124">
        <v>15.6</v>
      </c>
      <c r="M138" s="124">
        <v>10.3</v>
      </c>
      <c r="N138" s="124">
        <v>10.6</v>
      </c>
      <c r="O138" s="124">
        <v>7.4</v>
      </c>
      <c r="P138" s="121">
        <f t="shared" si="52"/>
        <v>14.54166666666667</v>
      </c>
      <c r="Q138" s="121">
        <f t="shared" ref="Q138:Q149" si="54">IFERROR((STDEV(D138:O138)/P138)*100,"")</f>
        <v>42.479988790558437</v>
      </c>
      <c r="R138" s="122">
        <f t="shared" si="53"/>
        <v>1</v>
      </c>
      <c r="S138" s="260">
        <f t="shared" si="47"/>
        <v>10.033333333333333</v>
      </c>
      <c r="T138" s="264">
        <f t="shared" si="48"/>
        <v>1</v>
      </c>
      <c r="U138" s="260">
        <f t="shared" si="49"/>
        <v>17.766666666666669</v>
      </c>
      <c r="V138" s="265">
        <f t="shared" si="50"/>
        <v>1</v>
      </c>
      <c r="W138" s="266">
        <f t="shared" si="42"/>
        <v>14.54166666666667</v>
      </c>
      <c r="X138" s="261">
        <f t="shared" si="43"/>
        <v>1</v>
      </c>
      <c r="Y138" s="177">
        <f t="shared" si="44"/>
        <v>24.332291666666674</v>
      </c>
      <c r="Z138" s="177">
        <f t="shared" si="45"/>
        <v>29.500000000000004</v>
      </c>
      <c r="AA138" s="177">
        <f t="shared" si="46"/>
        <v>27.170407196969702</v>
      </c>
      <c r="AB138" s="10"/>
      <c r="AC138" s="357" t="str">
        <f>VLOOKUP($B138,'2007-2020 Metadata'!$A$4:$S$214,MATCH("Urban Area /Monitoring Zone",'2007-2020 Metadata'!$A$4:$S$4,0),FALSE)</f>
        <v>Christchurch</v>
      </c>
      <c r="AD138" s="259" t="str">
        <f>VLOOKUP(B138,'2007-2020 Metadata'!$A$6:$A$214,1,FALSE)</f>
        <v>CHR021</v>
      </c>
      <c r="AE138" s="256" t="str">
        <f>VLOOKUP($AD138,'2007-2020 Metadata'!$A$6:$S$214,9,FALSE)</f>
        <v>Christchurch</v>
      </c>
      <c r="AF138" s="263">
        <f>IF(ISBLANK(VLOOKUP($AD138,'2007-2020 Metadata'!$A$6:$S$214,19,FALSE)),"",VLOOKUP($AD138,'2007-2020 Metadata'!$A$6:$S$214,19,FALSE))</f>
        <v>3.5</v>
      </c>
      <c r="AG138" s="257" t="str">
        <f>VLOOKUP($B138,'2007-2020 Metadata'!$A$4:$S$214,MATCH("Site type",'2007-2020 Metadata'!$A$4:$S$4,0),FALSE)</f>
        <v>Background</v>
      </c>
      <c r="AH138" s="258">
        <f>MIN(AVERAGE($D$137:$D$139),AVERAGE($E$137:$E$139),AVERAGE($F$137:$F$139),AVERAGE($G$137:$G$139),AVERAGE($H$137:$H$139),AVERAGE($I$137:$I$139),AVERAGE($J$137:$J$139),AVERAGE($K$137:$K$139),AVERAGE($L$137:$L$139),AVERAGE($M$137:$M$139),AVERAGE($N$137:$N$139),AVERAGE($O$137:$O$139))</f>
        <v>5.5666666666666664</v>
      </c>
      <c r="AI138" s="258">
        <f>MAX(AVERAGE($D$137:$D$139),AVERAGE($E$137:$E$139),AVERAGE($F$137:$F$139),AVERAGE($G$137:$G$139),AVERAGE($H$137:$H$139),AVERAGE($I$137:$I$139),AVERAGE($J$137:$J$139),AVERAGE($K$137:$K$139),AVERAGE($L$137:$L$139),AVERAGE($M$137:$M$139),AVERAGE($N$137:$N$139),AVERAGE($O$137:$O$139))</f>
        <v>23.566666666666663</v>
      </c>
      <c r="AJ138" s="177">
        <f t="shared" si="51"/>
        <v>27.170407196969702</v>
      </c>
    </row>
    <row r="139" spans="2:36" ht="12" customHeight="1" x14ac:dyDescent="0.15">
      <c r="B139" s="123" t="s">
        <v>154</v>
      </c>
      <c r="C139" s="104">
        <f>IF(ISBLANK(VLOOKUP($B139,'Monthly Summary 2013'!$B$7:$Q$152,14,FALSE)),"",IF(ISERROR(VLOOKUP($B139,'Monthly Summary 2013'!$B$7:$Q$152,14,FALSE)=0),"",VLOOKUP($B139,'Monthly Summary 2013'!$B$7:$Q$152,14,FALSE)))</f>
        <v>6.9</v>
      </c>
      <c r="D139" s="119">
        <v>5.2</v>
      </c>
      <c r="E139" s="119">
        <v>11.9</v>
      </c>
      <c r="F139" s="119">
        <v>14.3</v>
      </c>
      <c r="G139" s="119">
        <v>14.4</v>
      </c>
      <c r="H139" s="119">
        <v>22.1</v>
      </c>
      <c r="I139" s="119">
        <v>23.6</v>
      </c>
      <c r="J139" s="119">
        <v>21.5</v>
      </c>
      <c r="K139" s="124">
        <v>10.199999999999999</v>
      </c>
      <c r="L139" s="124">
        <v>14.9</v>
      </c>
      <c r="M139" s="124">
        <v>10.3</v>
      </c>
      <c r="N139" s="124">
        <v>6.2</v>
      </c>
      <c r="O139" s="124">
        <v>7.6</v>
      </c>
      <c r="P139" s="121">
        <f t="shared" si="52"/>
        <v>13.516666666666666</v>
      </c>
      <c r="Q139" s="121">
        <f t="shared" si="54"/>
        <v>45.935241206350874</v>
      </c>
      <c r="R139" s="122">
        <f t="shared" si="53"/>
        <v>1</v>
      </c>
      <c r="S139" s="260">
        <f t="shared" si="47"/>
        <v>10.466666666666667</v>
      </c>
      <c r="T139" s="264">
        <f t="shared" si="48"/>
        <v>1</v>
      </c>
      <c r="U139" s="260">
        <f t="shared" si="49"/>
        <v>15.533333333333333</v>
      </c>
      <c r="V139" s="265">
        <f t="shared" si="50"/>
        <v>1</v>
      </c>
      <c r="W139" s="266">
        <f t="shared" si="42"/>
        <v>13.516666666666666</v>
      </c>
      <c r="X139" s="261">
        <f t="shared" si="43"/>
        <v>1</v>
      </c>
      <c r="Y139" s="177">
        <f t="shared" si="44"/>
        <v>24.332291666666674</v>
      </c>
      <c r="Z139" s="177">
        <f t="shared" si="45"/>
        <v>29.500000000000004</v>
      </c>
      <c r="AA139" s="177">
        <f t="shared" si="46"/>
        <v>27.170407196969702</v>
      </c>
      <c r="AB139" s="10"/>
      <c r="AC139" s="357" t="str">
        <f>VLOOKUP($B139,'2007-2020 Metadata'!$A$4:$S$214,MATCH("Urban Area /Monitoring Zone",'2007-2020 Metadata'!$A$4:$S$4,0),FALSE)</f>
        <v>Christchurch</v>
      </c>
      <c r="AD139" s="259" t="str">
        <f>VLOOKUP(B139,'2007-2020 Metadata'!$A$6:$A$214,1,FALSE)</f>
        <v>CHR022</v>
      </c>
      <c r="AE139" s="256" t="str">
        <f>VLOOKUP($AD139,'2007-2020 Metadata'!$A$6:$S$214,9,FALSE)</f>
        <v>Christchurch</v>
      </c>
      <c r="AF139" s="263">
        <f>IF(ISBLANK(VLOOKUP($AD139,'2007-2020 Metadata'!$A$6:$S$214,19,FALSE)),"",VLOOKUP($AD139,'2007-2020 Metadata'!$A$6:$S$214,19,FALSE))</f>
        <v>3.5</v>
      </c>
      <c r="AG139" s="257" t="str">
        <f>VLOOKUP($B139,'2007-2020 Metadata'!$A$4:$S$214,MATCH("Site type",'2007-2020 Metadata'!$A$4:$S$4,0),FALSE)</f>
        <v>Background</v>
      </c>
      <c r="AH139" s="258">
        <f>MIN(AVERAGE($D$137:$D$139),AVERAGE($E$137:$E$139),AVERAGE($F$137:$F$139),AVERAGE($G$137:$G$139),AVERAGE($H$137:$H$139),AVERAGE($I$137:$I$139),AVERAGE($J$137:$J$139),AVERAGE($K$137:$K$139),AVERAGE($L$137:$L$139),AVERAGE($M$137:$M$139),AVERAGE($N$137:$N$139),AVERAGE($O$137:$O$139))</f>
        <v>5.5666666666666664</v>
      </c>
      <c r="AI139" s="258">
        <f>MAX(AVERAGE($D$137:$D$139),AVERAGE($E$137:$E$139),AVERAGE($F$137:$F$139),AVERAGE($G$137:$G$139),AVERAGE($H$137:$H$139),AVERAGE($I$137:$I$139),AVERAGE($J$137:$J$139),AVERAGE($K$137:$K$139),AVERAGE($L$137:$L$139),AVERAGE($M$137:$M$139),AVERAGE($N$137:$N$139),AVERAGE($O$137:$O$139))</f>
        <v>23.566666666666663</v>
      </c>
      <c r="AJ139" s="177">
        <f t="shared" si="51"/>
        <v>27.170407196969702</v>
      </c>
    </row>
    <row r="140" spans="2:36" ht="12" customHeight="1" x14ac:dyDescent="0.15">
      <c r="B140" s="123" t="s">
        <v>26</v>
      </c>
      <c r="C140" s="104">
        <f>IF(ISBLANK(VLOOKUP($B140,'Monthly Summary 2013'!$B$7:$Q$152,14,FALSE)),"",IF(ISERROR(VLOOKUP($B140,'Monthly Summary 2013'!$B$7:$Q$152,14,FALSE)=0),"",VLOOKUP($B140,'Monthly Summary 2013'!$B$7:$Q$152,14,FALSE)))</f>
        <v>17.5</v>
      </c>
      <c r="D140" s="119">
        <v>17.600000000000001</v>
      </c>
      <c r="E140" s="119">
        <v>24.7</v>
      </c>
      <c r="F140" s="119">
        <v>30.3</v>
      </c>
      <c r="G140" s="119">
        <v>26.4</v>
      </c>
      <c r="H140" s="119"/>
      <c r="I140" s="119">
        <v>58.1</v>
      </c>
      <c r="J140" s="119">
        <v>28.1</v>
      </c>
      <c r="K140" s="124">
        <v>32.1</v>
      </c>
      <c r="L140" s="124">
        <v>29.9</v>
      </c>
      <c r="M140" s="124">
        <v>21.7</v>
      </c>
      <c r="N140" s="124">
        <v>22.5</v>
      </c>
      <c r="O140" s="124">
        <v>14.5</v>
      </c>
      <c r="P140" s="121">
        <f t="shared" si="52"/>
        <v>27.809090909090909</v>
      </c>
      <c r="Q140" s="121">
        <f>IFERROR((STDEV(D140:O140)/P140)*100,"")</f>
        <v>41.080899399874475</v>
      </c>
      <c r="R140" s="122">
        <f t="shared" si="53"/>
        <v>0.91666666666666663</v>
      </c>
      <c r="S140" s="140">
        <f t="shared" si="47"/>
        <v>24.2</v>
      </c>
      <c r="T140" s="24">
        <f t="shared" si="48"/>
        <v>1</v>
      </c>
      <c r="U140" s="140">
        <f t="shared" si="49"/>
        <v>30.033333333333331</v>
      </c>
      <c r="V140" s="9">
        <f t="shared" si="50"/>
        <v>1</v>
      </c>
      <c r="W140" s="172">
        <f t="shared" si="42"/>
        <v>27.809090909090909</v>
      </c>
      <c r="X140" s="142">
        <f t="shared" si="43"/>
        <v>0.91666666666666663</v>
      </c>
      <c r="Y140" s="144">
        <f t="shared" si="44"/>
        <v>15.140476190476191</v>
      </c>
      <c r="Z140" s="144">
        <f t="shared" si="45"/>
        <v>17.521428571428576</v>
      </c>
      <c r="AA140" s="144">
        <f t="shared" si="46"/>
        <v>16.622943722943724</v>
      </c>
      <c r="AB140" s="10"/>
      <c r="AC140" s="357" t="str">
        <f>VLOOKUP($B140,'2007-2020 Metadata'!$A$4:$S$214,MATCH("Urban Area /Monitoring Zone",'2007-2020 Metadata'!$A$4:$S$4,0),FALSE)</f>
        <v>Dunedin</v>
      </c>
      <c r="AD140" s="87" t="str">
        <f>VLOOKUP(B140,'2007-2020 Metadata'!$A$6:$A$214,1,FALSE)</f>
        <v>DUN001</v>
      </c>
      <c r="AE140" s="230" t="str">
        <f>VLOOKUP($AD140,'2007-2020 Metadata'!$A$6:$S$214,9,FALSE)</f>
        <v>Dunedin</v>
      </c>
      <c r="AF140" s="248">
        <f>IF(ISBLANK(VLOOKUP($AD140,'2007-2020 Metadata'!$A$6:$S$214,19,FALSE)),"",VLOOKUP($AD140,'2007-2020 Metadata'!$A$6:$S$214,19,FALSE))</f>
        <v>3</v>
      </c>
      <c r="AG140" s="88" t="str">
        <f>VLOOKUP($B140,'2007-2020 Metadata'!$A$4:$S$214,MATCH("Site type",'2007-2020 Metadata'!$A$4:$S$4,0),FALSE)</f>
        <v>SH</v>
      </c>
      <c r="AH140" s="143">
        <f t="shared" ref="AH140:AH149" si="55">MIN($D140:$O140)</f>
        <v>14.5</v>
      </c>
      <c r="AI140" s="143">
        <f t="shared" ref="AI140:AI149" si="56">MAX($D140:$O140)</f>
        <v>58.1</v>
      </c>
      <c r="AJ140" s="144">
        <f t="shared" si="51"/>
        <v>16.622943722943724</v>
      </c>
    </row>
    <row r="141" spans="2:36" ht="12" customHeight="1" x14ac:dyDescent="0.15">
      <c r="B141" s="123" t="s">
        <v>27</v>
      </c>
      <c r="C141" s="104">
        <f>IF(ISBLANK(VLOOKUP($B141,'Monthly Summary 2013'!$B$7:$Q$152,14,FALSE)),"",IF(ISERROR(VLOOKUP($B141,'Monthly Summary 2013'!$B$7:$Q$152,14,FALSE)=0),"",VLOOKUP($B141,'Monthly Summary 2013'!$B$7:$Q$152,14,FALSE)))</f>
        <v>10.5</v>
      </c>
      <c r="D141" s="119">
        <v>9.5</v>
      </c>
      <c r="E141" s="119">
        <v>13.2</v>
      </c>
      <c r="F141" s="119">
        <v>17.399999999999999</v>
      </c>
      <c r="G141" s="119">
        <v>15.1</v>
      </c>
      <c r="H141" s="119">
        <v>16.100000000000001</v>
      </c>
      <c r="I141" s="119">
        <v>21.8</v>
      </c>
      <c r="J141" s="119">
        <v>14.6</v>
      </c>
      <c r="K141" s="124">
        <v>15.6</v>
      </c>
      <c r="L141" s="124">
        <v>17</v>
      </c>
      <c r="M141" s="124">
        <v>13.5</v>
      </c>
      <c r="N141" s="124">
        <v>12.2</v>
      </c>
      <c r="O141" s="124">
        <v>12.1</v>
      </c>
      <c r="P141" s="121">
        <f t="shared" si="52"/>
        <v>14.841666666666663</v>
      </c>
      <c r="Q141" s="121">
        <f t="shared" si="54"/>
        <v>21.251399226866155</v>
      </c>
      <c r="R141" s="122">
        <f t="shared" si="53"/>
        <v>1</v>
      </c>
      <c r="S141" s="140">
        <f t="shared" si="47"/>
        <v>13.366666666666665</v>
      </c>
      <c r="T141" s="24">
        <f t="shared" si="48"/>
        <v>1</v>
      </c>
      <c r="U141" s="140">
        <f t="shared" si="49"/>
        <v>15.733333333333334</v>
      </c>
      <c r="V141" s="9">
        <f t="shared" si="50"/>
        <v>1</v>
      </c>
      <c r="W141" s="172">
        <f t="shared" si="42"/>
        <v>14.841666666666663</v>
      </c>
      <c r="X141" s="142">
        <f t="shared" si="43"/>
        <v>1</v>
      </c>
      <c r="Y141" s="144">
        <f t="shared" si="44"/>
        <v>15.140476190476191</v>
      </c>
      <c r="Z141" s="144">
        <f t="shared" si="45"/>
        <v>17.521428571428576</v>
      </c>
      <c r="AA141" s="144">
        <f t="shared" si="46"/>
        <v>16.622943722943724</v>
      </c>
      <c r="AB141" s="10"/>
      <c r="AC141" s="357" t="str">
        <f>VLOOKUP($B141,'2007-2020 Metadata'!$A$4:$S$214,MATCH("Urban Area /Monitoring Zone",'2007-2020 Metadata'!$A$4:$S$4,0),FALSE)</f>
        <v>Dunedin</v>
      </c>
      <c r="AD141" s="87" t="str">
        <f>VLOOKUP(B141,'2007-2020 Metadata'!$A$6:$A$214,1,FALSE)</f>
        <v>DUN002</v>
      </c>
      <c r="AE141" s="230" t="str">
        <f>VLOOKUP($AD141,'2007-2020 Metadata'!$A$6:$S$214,9,FALSE)</f>
        <v>Dunedin</v>
      </c>
      <c r="AF141" s="248">
        <f>IF(ISBLANK(VLOOKUP($AD141,'2007-2020 Metadata'!$A$6:$S$214,19,FALSE)),"",VLOOKUP($AD141,'2007-2020 Metadata'!$A$6:$S$214,19,FALSE))</f>
        <v>3</v>
      </c>
      <c r="AG141" s="88" t="str">
        <f>VLOOKUP($B141,'2007-2020 Metadata'!$A$4:$S$214,MATCH("Site type",'2007-2020 Metadata'!$A$4:$S$4,0),FALSE)</f>
        <v>SH</v>
      </c>
      <c r="AH141" s="143">
        <f t="shared" si="55"/>
        <v>9.5</v>
      </c>
      <c r="AI141" s="143">
        <f t="shared" si="56"/>
        <v>21.8</v>
      </c>
      <c r="AJ141" s="144">
        <f t="shared" si="51"/>
        <v>16.622943722943724</v>
      </c>
    </row>
    <row r="142" spans="2:36" ht="12" customHeight="1" x14ac:dyDescent="0.15">
      <c r="B142" s="123" t="s">
        <v>29</v>
      </c>
      <c r="C142" s="104">
        <f>IF(ISBLANK(VLOOKUP($B142,'Monthly Summary 2013'!$B$7:$Q$152,14,FALSE)),"",IF(ISERROR(VLOOKUP($B142,'Monthly Summary 2013'!$B$7:$Q$152,14,FALSE)=0),"",VLOOKUP($B142,'Monthly Summary 2013'!$B$7:$Q$152,14,FALSE)))</f>
        <v>9.9</v>
      </c>
      <c r="D142" s="119"/>
      <c r="E142" s="119">
        <v>15.2</v>
      </c>
      <c r="F142" s="119">
        <v>19.3</v>
      </c>
      <c r="G142" s="119">
        <v>27.3</v>
      </c>
      <c r="H142" s="119">
        <v>24.6</v>
      </c>
      <c r="I142" s="119">
        <v>31.7</v>
      </c>
      <c r="J142" s="119">
        <v>31</v>
      </c>
      <c r="K142" s="124">
        <v>30.6</v>
      </c>
      <c r="L142" s="124">
        <v>22.1</v>
      </c>
      <c r="M142" s="124">
        <v>18.3</v>
      </c>
      <c r="N142" s="124">
        <v>12.3</v>
      </c>
      <c r="O142" s="124">
        <v>7.9</v>
      </c>
      <c r="P142" s="121">
        <f t="shared" si="52"/>
        <v>21.845454545454547</v>
      </c>
      <c r="Q142" s="121">
        <f t="shared" si="54"/>
        <v>36.72851434690584</v>
      </c>
      <c r="R142" s="122">
        <f t="shared" si="53"/>
        <v>0.91666666666666663</v>
      </c>
      <c r="S142" s="140">
        <f t="shared" si="47"/>
        <v>17.25</v>
      </c>
      <c r="T142" s="24">
        <f t="shared" si="48"/>
        <v>0.66666666666666663</v>
      </c>
      <c r="U142" s="140">
        <f t="shared" si="49"/>
        <v>27.900000000000002</v>
      </c>
      <c r="V142" s="9">
        <f t="shared" si="50"/>
        <v>1</v>
      </c>
      <c r="W142" s="172">
        <f t="shared" si="42"/>
        <v>21.845454545454547</v>
      </c>
      <c r="X142" s="142">
        <f t="shared" si="43"/>
        <v>0.91666666666666663</v>
      </c>
      <c r="Y142" s="144">
        <f t="shared" si="44"/>
        <v>17.25</v>
      </c>
      <c r="Z142" s="144">
        <f t="shared" si="45"/>
        <v>27.900000000000002</v>
      </c>
      <c r="AA142" s="144">
        <f t="shared" si="46"/>
        <v>21.845454545454547</v>
      </c>
      <c r="AB142" s="10"/>
      <c r="AC142" s="357" t="str">
        <f>VLOOKUP($B142,'2007-2020 Metadata'!$A$4:$S$214,MATCH("Urban Area /Monitoring Zone",'2007-2020 Metadata'!$A$4:$S$4,0),FALSE)</f>
        <v>Queenstown</v>
      </c>
      <c r="AD142" s="87" t="str">
        <f>VLOOKUP(B142,'2007-2020 Metadata'!$A$6:$A$214,1,FALSE)</f>
        <v>DUN004</v>
      </c>
      <c r="AE142" s="230" t="str">
        <f>VLOOKUP($AD142,'2007-2020 Metadata'!$A$6:$S$214,9,FALSE)</f>
        <v>Queenstown</v>
      </c>
      <c r="AF142" s="248">
        <f>IF(ISBLANK(VLOOKUP($AD142,'2007-2020 Metadata'!$A$6:$S$214,19,FALSE)),"",VLOOKUP($AD142,'2007-2020 Metadata'!$A$6:$S$214,19,FALSE))</f>
        <v>3</v>
      </c>
      <c r="AG142" s="88" t="str">
        <f>VLOOKUP($B142,'2007-2020 Metadata'!$A$4:$S$214,MATCH("Site type",'2007-2020 Metadata'!$A$4:$S$4,0),FALSE)</f>
        <v>SH</v>
      </c>
      <c r="AH142" s="143">
        <f t="shared" si="55"/>
        <v>7.9</v>
      </c>
      <c r="AI142" s="143">
        <f t="shared" si="56"/>
        <v>31.7</v>
      </c>
      <c r="AJ142" s="144">
        <f t="shared" si="51"/>
        <v>21.845454545454547</v>
      </c>
    </row>
    <row r="143" spans="2:36" ht="12" customHeight="1" x14ac:dyDescent="0.15">
      <c r="B143" s="123" t="s">
        <v>30</v>
      </c>
      <c r="C143" s="104">
        <f>IF(ISBLANK(VLOOKUP($B143,'Monthly Summary 2013'!$B$7:$Q$152,14,FALSE)),"",IF(ISERROR(VLOOKUP($B143,'Monthly Summary 2013'!$B$7:$Q$152,14,FALSE)=0),"",VLOOKUP($B143,'Monthly Summary 2013'!$B$7:$Q$152,14,FALSE)))</f>
        <v>16.600000000000001</v>
      </c>
      <c r="D143" s="119"/>
      <c r="E143" s="119"/>
      <c r="F143" s="119">
        <v>12.9</v>
      </c>
      <c r="G143" s="119">
        <v>20.5</v>
      </c>
      <c r="H143" s="119">
        <v>24.4</v>
      </c>
      <c r="I143" s="119">
        <v>29.5</v>
      </c>
      <c r="J143" s="119">
        <v>28.5</v>
      </c>
      <c r="K143" s="124">
        <v>30.8</v>
      </c>
      <c r="L143" s="124">
        <v>24.4</v>
      </c>
      <c r="M143" s="124">
        <v>23.5</v>
      </c>
      <c r="N143" s="124">
        <v>20.8</v>
      </c>
      <c r="O143" s="124">
        <v>17.899999999999999</v>
      </c>
      <c r="P143" s="121">
        <f t="shared" si="52"/>
        <v>23.32</v>
      </c>
      <c r="Q143" s="121">
        <f t="shared" si="54"/>
        <v>23.729394370978287</v>
      </c>
      <c r="R143" s="122">
        <f t="shared" si="53"/>
        <v>0.83333333333333337</v>
      </c>
      <c r="S143" s="140" t="str">
        <f t="shared" si="47"/>
        <v>-</v>
      </c>
      <c r="T143" s="24">
        <f t="shared" si="48"/>
        <v>0.33333333333333331</v>
      </c>
      <c r="U143" s="140">
        <f t="shared" si="49"/>
        <v>27.899999999999995</v>
      </c>
      <c r="V143" s="9">
        <f t="shared" si="50"/>
        <v>1</v>
      </c>
      <c r="W143" s="172">
        <f t="shared" si="42"/>
        <v>23.32</v>
      </c>
      <c r="X143" s="142">
        <f t="shared" si="43"/>
        <v>0.83333333333333337</v>
      </c>
      <c r="Y143" s="144">
        <f t="shared" si="44"/>
        <v>6.3666666666666671</v>
      </c>
      <c r="Z143" s="144">
        <f t="shared" si="45"/>
        <v>17.783333333333331</v>
      </c>
      <c r="AA143" s="144">
        <f t="shared" si="46"/>
        <v>15.185</v>
      </c>
      <c r="AB143" s="10"/>
      <c r="AC143" s="357" t="str">
        <f>VLOOKUP($B143,'2007-2020 Metadata'!$A$4:$S$214,MATCH("Urban Area /Monitoring Zone",'2007-2020 Metadata'!$A$4:$S$4,0),FALSE)</f>
        <v>Invercargill</v>
      </c>
      <c r="AD143" s="87" t="str">
        <f>VLOOKUP(B143,'2007-2020 Metadata'!$A$6:$A$214,1,FALSE)</f>
        <v>DUN005</v>
      </c>
      <c r="AE143" s="230" t="str">
        <f>VLOOKUP($AD143,'2007-2020 Metadata'!$A$6:$S$214,9,FALSE)</f>
        <v>Invercargill</v>
      </c>
      <c r="AF143" s="248">
        <f>IF(ISBLANK(VLOOKUP($AD143,'2007-2020 Metadata'!$A$6:$S$214,19,FALSE)),"",VLOOKUP($AD143,'2007-2020 Metadata'!$A$6:$S$214,19,FALSE))</f>
        <v>3</v>
      </c>
      <c r="AG143" s="88" t="str">
        <f>VLOOKUP($B143,'2007-2020 Metadata'!$A$4:$S$214,MATCH("Site type",'2007-2020 Metadata'!$A$4:$S$4,0),FALSE)</f>
        <v>SH</v>
      </c>
      <c r="AH143" s="143">
        <f t="shared" si="55"/>
        <v>12.9</v>
      </c>
      <c r="AI143" s="143">
        <f t="shared" si="56"/>
        <v>30.8</v>
      </c>
      <c r="AJ143" s="144">
        <f t="shared" si="51"/>
        <v>15.185</v>
      </c>
    </row>
    <row r="144" spans="2:36" ht="12" customHeight="1" x14ac:dyDescent="0.15">
      <c r="B144" s="123" t="s">
        <v>155</v>
      </c>
      <c r="C144" s="104">
        <f>IF(ISBLANK(VLOOKUP($B144,'Monthly Summary 2013'!$B$7:$Q$152,14,FALSE)),"",IF(ISERROR(VLOOKUP($B144,'Monthly Summary 2013'!$B$7:$Q$152,14,FALSE)=0),"",VLOOKUP($B144,'Monthly Summary 2013'!$B$7:$Q$152,14,FALSE)))</f>
        <v>14.7</v>
      </c>
      <c r="D144" s="119"/>
      <c r="E144" s="119">
        <v>14.5</v>
      </c>
      <c r="F144" s="119">
        <v>24</v>
      </c>
      <c r="G144" s="119">
        <v>20.9</v>
      </c>
      <c r="H144" s="119">
        <v>24.8</v>
      </c>
      <c r="I144" s="119">
        <v>31.6</v>
      </c>
      <c r="J144" s="119">
        <v>17.3</v>
      </c>
      <c r="K144" s="124">
        <v>18.399999999999999</v>
      </c>
      <c r="L144" s="124">
        <v>24</v>
      </c>
      <c r="M144" s="124">
        <v>16.5</v>
      </c>
      <c r="N144" s="124">
        <v>15.7</v>
      </c>
      <c r="O144" s="124">
        <v>15.1</v>
      </c>
      <c r="P144" s="121">
        <f t="shared" si="52"/>
        <v>20.254545454545454</v>
      </c>
      <c r="Q144" s="121">
        <f t="shared" si="54"/>
        <v>26.336297071427239</v>
      </c>
      <c r="R144" s="122">
        <f t="shared" si="53"/>
        <v>0.91666666666666663</v>
      </c>
      <c r="S144" s="140">
        <f t="shared" si="47"/>
        <v>19.25</v>
      </c>
      <c r="T144" s="24">
        <f t="shared" si="48"/>
        <v>0.66666666666666663</v>
      </c>
      <c r="U144" s="140">
        <f t="shared" si="49"/>
        <v>19.900000000000002</v>
      </c>
      <c r="V144" s="9">
        <f t="shared" si="50"/>
        <v>1</v>
      </c>
      <c r="W144" s="172">
        <f t="shared" si="42"/>
        <v>20.254545454545454</v>
      </c>
      <c r="X144" s="142">
        <f t="shared" si="43"/>
        <v>0.91666666666666663</v>
      </c>
      <c r="Y144" s="144">
        <f t="shared" si="44"/>
        <v>15.140476190476191</v>
      </c>
      <c r="Z144" s="144">
        <f t="shared" si="45"/>
        <v>17.521428571428576</v>
      </c>
      <c r="AA144" s="144">
        <f t="shared" si="46"/>
        <v>16.622943722943724</v>
      </c>
      <c r="AB144" s="10"/>
      <c r="AC144" s="357" t="str">
        <f>VLOOKUP($B144,'2007-2020 Metadata'!$A$4:$S$214,MATCH("Urban Area /Monitoring Zone",'2007-2020 Metadata'!$A$4:$S$4,0),FALSE)</f>
        <v>Dunedin</v>
      </c>
      <c r="AD144" s="87" t="str">
        <f>VLOOKUP(B144,'2007-2020 Metadata'!$A$6:$A$214,1,FALSE)</f>
        <v>DUN006</v>
      </c>
      <c r="AE144" s="230" t="str">
        <f>VLOOKUP($AD144,'2007-2020 Metadata'!$A$6:$S$214,9,FALSE)</f>
        <v>Dunedin</v>
      </c>
      <c r="AF144" s="248">
        <f>IF(ISBLANK(VLOOKUP($AD144,'2007-2020 Metadata'!$A$6:$S$214,19,FALSE)),"",VLOOKUP($AD144,'2007-2020 Metadata'!$A$6:$S$214,19,FALSE))</f>
        <v>3</v>
      </c>
      <c r="AG144" s="88" t="str">
        <f>VLOOKUP($B144,'2007-2020 Metadata'!$A$4:$S$214,MATCH("Site type",'2007-2020 Metadata'!$A$4:$S$4,0),FALSE)</f>
        <v>SH</v>
      </c>
      <c r="AH144" s="143">
        <f t="shared" si="55"/>
        <v>14.5</v>
      </c>
      <c r="AI144" s="143">
        <f t="shared" si="56"/>
        <v>31.6</v>
      </c>
      <c r="AJ144" s="144">
        <f t="shared" si="51"/>
        <v>16.622943722943724</v>
      </c>
    </row>
    <row r="145" spans="2:36" ht="12" customHeight="1" x14ac:dyDescent="0.15">
      <c r="B145" s="123" t="s">
        <v>156</v>
      </c>
      <c r="C145" s="104">
        <f>IF(ISBLANK(VLOOKUP($B145,'Monthly Summary 2013'!$B$7:$Q$152,14,FALSE)),"",IF(ISERROR(VLOOKUP($B145,'Monthly Summary 2013'!$B$7:$Q$152,14,FALSE)=0),"",VLOOKUP($B145,'Monthly Summary 2013'!$B$7:$Q$152,14,FALSE)))</f>
        <v>5.9</v>
      </c>
      <c r="D145" s="119">
        <v>6</v>
      </c>
      <c r="E145" s="119">
        <v>9.4</v>
      </c>
      <c r="F145" s="119">
        <v>12.9</v>
      </c>
      <c r="G145" s="119">
        <v>10.4</v>
      </c>
      <c r="H145" s="119">
        <v>9.8000000000000007</v>
      </c>
      <c r="I145" s="119">
        <v>17.100000000000001</v>
      </c>
      <c r="J145" s="119">
        <v>8.4</v>
      </c>
      <c r="K145" s="124">
        <v>10.1</v>
      </c>
      <c r="L145" s="124">
        <v>11.9</v>
      </c>
      <c r="M145" s="124">
        <v>7</v>
      </c>
      <c r="N145" s="124">
        <v>6.1</v>
      </c>
      <c r="O145" s="124">
        <v>8.1999999999999993</v>
      </c>
      <c r="P145" s="121">
        <f t="shared" si="52"/>
        <v>9.7750000000000004</v>
      </c>
      <c r="Q145" s="121">
        <f>IFERROR((STDEV(D145:O145)/P145)*100,"")</f>
        <v>32.114897512939763</v>
      </c>
      <c r="R145" s="122">
        <f t="shared" si="53"/>
        <v>1</v>
      </c>
      <c r="S145" s="140">
        <f t="shared" si="47"/>
        <v>9.4333333333333336</v>
      </c>
      <c r="T145" s="24">
        <f t="shared" si="48"/>
        <v>1</v>
      </c>
      <c r="U145" s="140">
        <f t="shared" si="49"/>
        <v>10.133333333333333</v>
      </c>
      <c r="V145" s="9">
        <f t="shared" si="50"/>
        <v>1</v>
      </c>
      <c r="W145" s="172">
        <f t="shared" si="42"/>
        <v>9.7750000000000004</v>
      </c>
      <c r="X145" s="142">
        <f t="shared" si="43"/>
        <v>1</v>
      </c>
      <c r="Y145" s="144">
        <f t="shared" si="44"/>
        <v>15.140476190476191</v>
      </c>
      <c r="Z145" s="144">
        <f t="shared" si="45"/>
        <v>17.521428571428576</v>
      </c>
      <c r="AA145" s="144">
        <f t="shared" si="46"/>
        <v>16.622943722943724</v>
      </c>
      <c r="AB145" s="10"/>
      <c r="AC145" s="357" t="str">
        <f>VLOOKUP($B145,'2007-2020 Metadata'!$A$4:$S$214,MATCH("Urban Area /Monitoring Zone",'2007-2020 Metadata'!$A$4:$S$4,0),FALSE)</f>
        <v>Dunedin</v>
      </c>
      <c r="AD145" s="87" t="str">
        <f>VLOOKUP(B145,'2007-2020 Metadata'!$A$6:$A$214,1,FALSE)</f>
        <v>DUN007</v>
      </c>
      <c r="AE145" s="230" t="str">
        <f>VLOOKUP($AD145,'2007-2020 Metadata'!$A$6:$S$214,9,FALSE)</f>
        <v>Dunedin</v>
      </c>
      <c r="AF145" s="248">
        <f>IF(ISBLANK(VLOOKUP($AD145,'2007-2020 Metadata'!$A$6:$S$214,19,FALSE)),"",VLOOKUP($AD145,'2007-2020 Metadata'!$A$6:$S$214,19,FALSE))</f>
        <v>3</v>
      </c>
      <c r="AG145" s="88" t="str">
        <f>VLOOKUP($B145,'2007-2020 Metadata'!$A$4:$S$214,MATCH("Site type",'2007-2020 Metadata'!$A$4:$S$4,0),FALSE)</f>
        <v>Background</v>
      </c>
      <c r="AH145" s="143">
        <f t="shared" si="55"/>
        <v>6</v>
      </c>
      <c r="AI145" s="143">
        <f t="shared" si="56"/>
        <v>17.100000000000001</v>
      </c>
      <c r="AJ145" s="144">
        <f t="shared" si="51"/>
        <v>16.622943722943724</v>
      </c>
    </row>
    <row r="146" spans="2:36" ht="12" customHeight="1" x14ac:dyDescent="0.15">
      <c r="B146" s="123" t="s">
        <v>157</v>
      </c>
      <c r="C146" s="104">
        <f>IF(ISBLANK(VLOOKUP($B146,'Monthly Summary 2013'!$B$7:$Q$152,14,FALSE)),"",IF(ISERROR(VLOOKUP($B146,'Monthly Summary 2013'!$B$7:$Q$152,14,FALSE)=0),"",VLOOKUP($B146,'Monthly Summary 2013'!$B$7:$Q$152,14,FALSE)))</f>
        <v>11.9</v>
      </c>
      <c r="D146" s="119">
        <v>11.4</v>
      </c>
      <c r="E146" s="119">
        <v>13.4</v>
      </c>
      <c r="F146" s="119">
        <v>17.2</v>
      </c>
      <c r="G146" s="119">
        <v>13.5</v>
      </c>
      <c r="H146" s="119">
        <v>16.899999999999999</v>
      </c>
      <c r="I146" s="119">
        <v>22.1</v>
      </c>
      <c r="J146" s="119">
        <v>12.8</v>
      </c>
      <c r="K146" s="124">
        <v>14.6</v>
      </c>
      <c r="L146" s="124">
        <v>15.8</v>
      </c>
      <c r="M146" s="124">
        <v>12.9</v>
      </c>
      <c r="N146" s="124">
        <v>10.6</v>
      </c>
      <c r="O146" s="124">
        <v>13.5</v>
      </c>
      <c r="P146" s="121">
        <f t="shared" si="52"/>
        <v>14.558333333333332</v>
      </c>
      <c r="Q146" s="121">
        <f t="shared" si="54"/>
        <v>21.317720856239699</v>
      </c>
      <c r="R146" s="122">
        <f t="shared" si="53"/>
        <v>1</v>
      </c>
      <c r="S146" s="140">
        <f t="shared" si="47"/>
        <v>14</v>
      </c>
      <c r="T146" s="24">
        <f t="shared" si="48"/>
        <v>1</v>
      </c>
      <c r="U146" s="140">
        <f t="shared" si="49"/>
        <v>14.4</v>
      </c>
      <c r="V146" s="9">
        <f t="shared" si="50"/>
        <v>1</v>
      </c>
      <c r="W146" s="172">
        <f t="shared" si="42"/>
        <v>14.558333333333332</v>
      </c>
      <c r="X146" s="142">
        <f t="shared" si="43"/>
        <v>1</v>
      </c>
      <c r="Y146" s="144">
        <f t="shared" si="44"/>
        <v>15.140476190476191</v>
      </c>
      <c r="Z146" s="144">
        <f t="shared" si="45"/>
        <v>17.521428571428576</v>
      </c>
      <c r="AA146" s="144">
        <f t="shared" si="46"/>
        <v>16.622943722943724</v>
      </c>
      <c r="AB146" s="10"/>
      <c r="AC146" s="357" t="str">
        <f>VLOOKUP($B146,'2007-2020 Metadata'!$A$4:$S$214,MATCH("Urban Area /Monitoring Zone",'2007-2020 Metadata'!$A$4:$S$4,0),FALSE)</f>
        <v>Dunedin</v>
      </c>
      <c r="AD146" s="87" t="str">
        <f>VLOOKUP(B146,'2007-2020 Metadata'!$A$6:$A$214,1,FALSE)</f>
        <v>DUN008</v>
      </c>
      <c r="AE146" s="230" t="str">
        <f>VLOOKUP($AD146,'2007-2020 Metadata'!$A$6:$S$214,9,FALSE)</f>
        <v>Dunedin</v>
      </c>
      <c r="AF146" s="248">
        <f>IF(ISBLANK(VLOOKUP($AD146,'2007-2020 Metadata'!$A$6:$S$214,19,FALSE)),"",VLOOKUP($AD146,'2007-2020 Metadata'!$A$6:$S$214,19,FALSE))</f>
        <v>3</v>
      </c>
      <c r="AG146" s="88" t="str">
        <f>VLOOKUP($B146,'2007-2020 Metadata'!$A$4:$S$214,MATCH("Site type",'2007-2020 Metadata'!$A$4:$S$4,0),FALSE)</f>
        <v>Local</v>
      </c>
      <c r="AH146" s="143">
        <f t="shared" si="55"/>
        <v>10.6</v>
      </c>
      <c r="AI146" s="143">
        <f t="shared" si="56"/>
        <v>22.1</v>
      </c>
      <c r="AJ146" s="144">
        <f t="shared" si="51"/>
        <v>16.622943722943724</v>
      </c>
    </row>
    <row r="147" spans="2:36" ht="12" customHeight="1" x14ac:dyDescent="0.15">
      <c r="B147" s="123" t="s">
        <v>158</v>
      </c>
      <c r="C147" s="104">
        <f>IF(ISBLANK(VLOOKUP($B147,'Monthly Summary 2013'!$B$7:$Q$152,14,FALSE)),"",IF(ISERROR(VLOOKUP($B147,'Monthly Summary 2013'!$B$7:$Q$152,14,FALSE)=0),"",VLOOKUP($B147,'Monthly Summary 2013'!$B$7:$Q$152,14,FALSE)))</f>
        <v>11.3</v>
      </c>
      <c r="D147" s="119">
        <v>10.199999999999999</v>
      </c>
      <c r="E147" s="119">
        <v>13.9</v>
      </c>
      <c r="F147" s="119">
        <v>20.2</v>
      </c>
      <c r="G147" s="119">
        <v>14.7</v>
      </c>
      <c r="H147" s="119">
        <v>26.6</v>
      </c>
      <c r="I147" s="119">
        <v>28.8</v>
      </c>
      <c r="J147" s="119">
        <v>19.2</v>
      </c>
      <c r="K147" s="124">
        <v>19.3</v>
      </c>
      <c r="L147" s="124">
        <v>20</v>
      </c>
      <c r="M147" s="124">
        <v>16</v>
      </c>
      <c r="N147" s="124">
        <v>12</v>
      </c>
      <c r="O147" s="124">
        <v>13.4</v>
      </c>
      <c r="P147" s="121">
        <f t="shared" si="52"/>
        <v>17.858333333333334</v>
      </c>
      <c r="Q147" s="121">
        <f t="shared" si="54"/>
        <v>31.677584364054688</v>
      </c>
      <c r="R147" s="122">
        <f t="shared" si="53"/>
        <v>1</v>
      </c>
      <c r="S147" s="140">
        <f t="shared" si="47"/>
        <v>14.766666666666666</v>
      </c>
      <c r="T147" s="24">
        <f t="shared" si="48"/>
        <v>1</v>
      </c>
      <c r="U147" s="140">
        <f t="shared" si="49"/>
        <v>19.5</v>
      </c>
      <c r="V147" s="9">
        <f t="shared" si="50"/>
        <v>1</v>
      </c>
      <c r="W147" s="172">
        <f t="shared" si="42"/>
        <v>17.858333333333334</v>
      </c>
      <c r="X147" s="142">
        <f t="shared" si="43"/>
        <v>1</v>
      </c>
      <c r="Y147" s="144">
        <f t="shared" si="44"/>
        <v>15.140476190476191</v>
      </c>
      <c r="Z147" s="144">
        <f t="shared" si="45"/>
        <v>17.521428571428576</v>
      </c>
      <c r="AA147" s="144">
        <f t="shared" si="46"/>
        <v>16.622943722943724</v>
      </c>
      <c r="AB147" s="10"/>
      <c r="AC147" s="357" t="str">
        <f>VLOOKUP($B147,'2007-2020 Metadata'!$A$4:$S$214,MATCH("Urban Area /Monitoring Zone",'2007-2020 Metadata'!$A$4:$S$4,0),FALSE)</f>
        <v>Dunedin</v>
      </c>
      <c r="AD147" s="87" t="str">
        <f>VLOOKUP(B147,'2007-2020 Metadata'!$A$6:$A$214,1,FALSE)</f>
        <v>DUN009</v>
      </c>
      <c r="AE147" s="230" t="str">
        <f>VLOOKUP($AD147,'2007-2020 Metadata'!$A$6:$S$214,9,FALSE)</f>
        <v>Dunedin</v>
      </c>
      <c r="AF147" s="248">
        <f>IF(ISBLANK(VLOOKUP($AD147,'2007-2020 Metadata'!$A$6:$S$214,19,FALSE)),"",VLOOKUP($AD147,'2007-2020 Metadata'!$A$6:$S$214,19,FALSE))</f>
        <v>3</v>
      </c>
      <c r="AG147" s="88" t="str">
        <f>VLOOKUP($B147,'2007-2020 Metadata'!$A$4:$S$214,MATCH("Site type",'2007-2020 Metadata'!$A$4:$S$4,0),FALSE)</f>
        <v>Local</v>
      </c>
      <c r="AH147" s="143">
        <f t="shared" si="55"/>
        <v>10.199999999999999</v>
      </c>
      <c r="AI147" s="143">
        <f t="shared" si="56"/>
        <v>28.8</v>
      </c>
      <c r="AJ147" s="144">
        <f t="shared" si="51"/>
        <v>16.622943722943724</v>
      </c>
    </row>
    <row r="148" spans="2:36" ht="12" customHeight="1" x14ac:dyDescent="0.15">
      <c r="B148" s="123" t="s">
        <v>31</v>
      </c>
      <c r="C148" s="104">
        <f>IF(ISBLANK(VLOOKUP($B148,'Monthly Summary 2013'!$B$7:$Q$152,14,FALSE)),"",IF(ISERROR(VLOOKUP($B148,'Monthly Summary 2013'!$B$7:$Q$152,14,FALSE)=0),"",VLOOKUP($B148,'Monthly Summary 2013'!$B$7:$Q$152,14,FALSE)))</f>
        <v>4</v>
      </c>
      <c r="D148" s="119">
        <v>5.2</v>
      </c>
      <c r="E148" s="119">
        <v>5.9</v>
      </c>
      <c r="F148" s="119">
        <v>8</v>
      </c>
      <c r="G148" s="119">
        <v>5.6</v>
      </c>
      <c r="H148" s="119">
        <v>11.8</v>
      </c>
      <c r="I148" s="119">
        <v>10.5</v>
      </c>
      <c r="J148" s="119">
        <v>8.8000000000000007</v>
      </c>
      <c r="K148" s="124">
        <v>8.1999999999999993</v>
      </c>
      <c r="L148" s="124">
        <v>6</v>
      </c>
      <c r="M148" s="124">
        <v>6</v>
      </c>
      <c r="N148" s="124">
        <v>5.0999999999999996</v>
      </c>
      <c r="O148" s="124">
        <v>3.5</v>
      </c>
      <c r="P148" s="121">
        <f t="shared" si="52"/>
        <v>7.05</v>
      </c>
      <c r="Q148" s="121">
        <f t="shared" si="54"/>
        <v>34.535968579648738</v>
      </c>
      <c r="R148" s="122">
        <f t="shared" si="53"/>
        <v>1</v>
      </c>
      <c r="S148" s="140">
        <f t="shared" si="47"/>
        <v>6.3666666666666671</v>
      </c>
      <c r="T148" s="24">
        <f t="shared" si="48"/>
        <v>1</v>
      </c>
      <c r="U148" s="140">
        <f t="shared" si="49"/>
        <v>7.666666666666667</v>
      </c>
      <c r="V148" s="9">
        <f t="shared" si="50"/>
        <v>1</v>
      </c>
      <c r="W148" s="172">
        <f t="shared" si="42"/>
        <v>7.05</v>
      </c>
      <c r="X148" s="142">
        <f t="shared" si="43"/>
        <v>1</v>
      </c>
      <c r="Y148" s="144">
        <f t="shared" si="44"/>
        <v>6.3666666666666671</v>
      </c>
      <c r="Z148" s="144">
        <f t="shared" si="45"/>
        <v>17.783333333333331</v>
      </c>
      <c r="AA148" s="144">
        <f t="shared" si="46"/>
        <v>15.185</v>
      </c>
      <c r="AB148" s="10"/>
      <c r="AC148" s="357" t="str">
        <f>VLOOKUP($B148,'2007-2020 Metadata'!$A$4:$S$214,MATCH("Urban Area /Monitoring Zone",'2007-2020 Metadata'!$A$4:$S$4,0),FALSE)</f>
        <v>Invercargill</v>
      </c>
      <c r="AD148" s="87" t="str">
        <f>VLOOKUP(B148,'2007-2020 Metadata'!$A$6:$A$214,1,FALSE)</f>
        <v>DUN010</v>
      </c>
      <c r="AE148" s="230" t="str">
        <f>VLOOKUP($AD148,'2007-2020 Metadata'!$A$6:$S$214,9,FALSE)</f>
        <v>Invercargill</v>
      </c>
      <c r="AF148" s="248">
        <f>IF(ISBLANK(VLOOKUP($AD148,'2007-2020 Metadata'!$A$6:$S$214,19,FALSE)),"",VLOOKUP($AD148,'2007-2020 Metadata'!$A$6:$S$214,19,FALSE))</f>
        <v>3</v>
      </c>
      <c r="AG148" s="88" t="str">
        <f>VLOOKUP($B148,'2007-2020 Metadata'!$A$4:$S$214,MATCH("Site type",'2007-2020 Metadata'!$A$4:$S$4,0),FALSE)</f>
        <v>Background</v>
      </c>
      <c r="AH148" s="143">
        <f t="shared" si="55"/>
        <v>3.5</v>
      </c>
      <c r="AI148" s="143">
        <f t="shared" si="56"/>
        <v>11.8</v>
      </c>
      <c r="AJ148" s="144">
        <f t="shared" si="51"/>
        <v>15.185</v>
      </c>
    </row>
    <row r="149" spans="2:36" ht="12" customHeight="1" x14ac:dyDescent="0.15">
      <c r="B149" s="123" t="s">
        <v>468</v>
      </c>
      <c r="C149" s="104">
        <f>IF(ISBLANK(VLOOKUP($B149,'Monthly Summary 2013'!$B$7:$Q$152,14,FALSE)),"",IF(ISERROR(VLOOKUP($B149,'Monthly Summary 2013'!$B$7:$Q$152,14,FALSE)=0),"",VLOOKUP($B149,'Monthly Summary 2013'!$B$7:$Q$152,14,FALSE)))</f>
        <v>8</v>
      </c>
      <c r="D149" s="119">
        <v>8</v>
      </c>
      <c r="E149" s="119">
        <v>10.3</v>
      </c>
      <c r="F149" s="119">
        <v>14.6</v>
      </c>
      <c r="G149" s="119">
        <v>10.8</v>
      </c>
      <c r="H149" s="119">
        <v>11.5</v>
      </c>
      <c r="I149" s="119">
        <v>16.100000000000001</v>
      </c>
      <c r="J149" s="119"/>
      <c r="K149" s="124">
        <v>12</v>
      </c>
      <c r="L149" s="124">
        <v>13.9</v>
      </c>
      <c r="M149" s="124">
        <v>8.1</v>
      </c>
      <c r="N149" s="124">
        <v>9.4</v>
      </c>
      <c r="O149" s="124">
        <v>9.1999999999999993</v>
      </c>
      <c r="P149" s="121">
        <f t="shared" si="52"/>
        <v>11.263636363636365</v>
      </c>
      <c r="Q149" s="121">
        <f t="shared" si="54"/>
        <v>23.757155031362739</v>
      </c>
      <c r="R149" s="122">
        <f t="shared" si="53"/>
        <v>0.91666666666666663</v>
      </c>
      <c r="S149" s="140">
        <f t="shared" si="47"/>
        <v>10.966666666666667</v>
      </c>
      <c r="T149" s="24">
        <f t="shared" si="48"/>
        <v>1</v>
      </c>
      <c r="U149" s="140">
        <f t="shared" si="49"/>
        <v>12.95</v>
      </c>
      <c r="V149" s="9">
        <f t="shared" si="50"/>
        <v>0.66666666666666663</v>
      </c>
      <c r="W149" s="172">
        <f t="shared" si="42"/>
        <v>11.263636363636365</v>
      </c>
      <c r="X149" s="142">
        <f t="shared" si="43"/>
        <v>0.91666666666666663</v>
      </c>
      <c r="Y149" s="144">
        <f t="shared" si="44"/>
        <v>15.140476190476191</v>
      </c>
      <c r="Z149" s="144">
        <f t="shared" si="45"/>
        <v>17.521428571428576</v>
      </c>
      <c r="AA149" s="144">
        <f t="shared" si="46"/>
        <v>16.622943722943724</v>
      </c>
      <c r="AB149" s="10"/>
      <c r="AC149" s="357" t="str">
        <f>VLOOKUP($B149,'2007-2020 Metadata'!$A$4:$S$214,MATCH("Urban Area /Monitoring Zone",'2007-2020 Metadata'!$A$4:$S$4,0),FALSE)</f>
        <v>Dunedin</v>
      </c>
      <c r="AD149" s="87" t="str">
        <f>VLOOKUP(B149,'2007-2020 Metadata'!$A$6:$A$214,1,FALSE)</f>
        <v>DUN011</v>
      </c>
      <c r="AE149" s="230" t="str">
        <f>VLOOKUP($AD149,'2007-2020 Metadata'!$A$6:$S$214,9,FALSE)</f>
        <v>Dunedin</v>
      </c>
      <c r="AF149" s="248">
        <f>IF(ISBLANK(VLOOKUP($AD149,'2007-2020 Metadata'!$A$6:$S$214,19,FALSE)),"",VLOOKUP($AD149,'2007-2020 Metadata'!$A$6:$S$214,19,FALSE))</f>
        <v>3</v>
      </c>
      <c r="AG149" s="88" t="str">
        <f>VLOOKUP($B149,'2007-2020 Metadata'!$A$4:$S$214,MATCH("Site type",'2007-2020 Metadata'!$A$4:$S$4,0),FALSE)</f>
        <v>SH</v>
      </c>
      <c r="AH149" s="143">
        <f t="shared" si="55"/>
        <v>8</v>
      </c>
      <c r="AI149" s="143">
        <f t="shared" si="56"/>
        <v>16.100000000000001</v>
      </c>
      <c r="AJ149" s="144">
        <f t="shared" si="51"/>
        <v>16.622943722943724</v>
      </c>
    </row>
    <row r="150" spans="2:36" ht="12" customHeight="1" thickBot="1" x14ac:dyDescent="0.2">
      <c r="B150" s="127"/>
      <c r="C150" s="138"/>
      <c r="D150" s="128"/>
      <c r="E150" s="128"/>
      <c r="F150" s="128"/>
      <c r="G150" s="128"/>
      <c r="H150" s="128"/>
      <c r="I150" s="128"/>
      <c r="J150" s="128"/>
      <c r="K150" s="128"/>
      <c r="L150" s="128"/>
      <c r="M150" s="128"/>
      <c r="N150" s="128"/>
      <c r="O150" s="128"/>
      <c r="P150" s="129"/>
      <c r="Q150" s="129"/>
      <c r="R150" s="130"/>
      <c r="S150" s="161"/>
      <c r="T150" s="42"/>
      <c r="U150" s="43"/>
      <c r="V150" s="108"/>
      <c r="W150" s="90"/>
      <c r="X150" s="108"/>
      <c r="Y150" s="108"/>
      <c r="Z150" s="108"/>
      <c r="AA150" s="108"/>
      <c r="AB150" s="45"/>
      <c r="AC150" s="101"/>
      <c r="AD150" s="90"/>
      <c r="AE150" s="90"/>
      <c r="AF150" s="90"/>
      <c r="AG150" s="92"/>
      <c r="AH150" s="91"/>
      <c r="AI150" s="91"/>
      <c r="AJ150" s="92"/>
    </row>
    <row r="151" spans="2:36" ht="12" customHeight="1" thickTop="1" x14ac:dyDescent="0.15">
      <c r="B151" s="114"/>
      <c r="C151" s="114"/>
      <c r="D151" s="131" t="s">
        <v>487</v>
      </c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32"/>
      <c r="Q151" s="132"/>
      <c r="R151" s="132"/>
      <c r="S151" s="45"/>
      <c r="T151" s="45"/>
      <c r="U151" s="45"/>
      <c r="V151" s="45"/>
      <c r="W151" s="45"/>
      <c r="X151" s="45"/>
      <c r="Y151" s="45"/>
      <c r="Z151" s="45"/>
      <c r="AB151" s="45"/>
      <c r="AD151" s="45"/>
      <c r="AH151" s="86"/>
      <c r="AI151" s="86"/>
    </row>
    <row r="152" spans="2:36" ht="12" customHeight="1" x14ac:dyDescent="0.15">
      <c r="D152" s="133" t="s">
        <v>455</v>
      </c>
      <c r="E152" s="133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32"/>
      <c r="Q152" s="132"/>
      <c r="R152" s="132"/>
      <c r="S152" s="45"/>
      <c r="T152" s="45"/>
      <c r="U152" s="45"/>
      <c r="V152" s="45"/>
      <c r="W152" s="45"/>
      <c r="X152" s="45"/>
      <c r="Y152" s="45"/>
      <c r="Z152" s="45"/>
      <c r="AB152" s="45"/>
      <c r="AD152" s="45"/>
      <c r="AH152" s="86"/>
      <c r="AI152" s="86"/>
    </row>
    <row r="153" spans="2:36" ht="11.25" customHeight="1" x14ac:dyDescent="0.15">
      <c r="D153" s="321"/>
      <c r="E153" s="301" t="s">
        <v>456</v>
      </c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32"/>
      <c r="Q153" s="132"/>
      <c r="R153" s="132"/>
      <c r="S153" s="45"/>
      <c r="T153" s="45"/>
      <c r="U153" s="45"/>
      <c r="V153" s="45"/>
      <c r="W153" s="45"/>
      <c r="X153" s="45"/>
      <c r="Y153" s="45"/>
      <c r="Z153" s="45"/>
      <c r="AB153" s="45"/>
      <c r="AD153" s="45"/>
      <c r="AH153" s="86"/>
      <c r="AI153" s="86"/>
    </row>
    <row r="154" spans="2:36" ht="11.25" customHeight="1" x14ac:dyDescent="0.15">
      <c r="D154" s="371"/>
      <c r="E154" s="301" t="s">
        <v>1085</v>
      </c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32"/>
      <c r="Q154" s="132"/>
      <c r="R154" s="132"/>
      <c r="S154" s="45"/>
      <c r="T154" s="45"/>
      <c r="U154" s="45"/>
      <c r="V154" s="45"/>
      <c r="W154" s="45"/>
      <c r="X154" s="45"/>
      <c r="Y154" s="45"/>
      <c r="Z154" s="45"/>
      <c r="AB154" s="45"/>
      <c r="AD154" s="45"/>
      <c r="AH154" s="86"/>
      <c r="AI154" s="86"/>
    </row>
    <row r="155" spans="2:36" ht="11.25" customHeight="1" x14ac:dyDescent="0.15">
      <c r="D155" s="134"/>
      <c r="E155" s="112" t="s">
        <v>488</v>
      </c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32"/>
      <c r="Q155" s="132"/>
      <c r="R155" s="132"/>
      <c r="S155" s="45"/>
      <c r="T155" s="45"/>
      <c r="U155" s="45"/>
      <c r="V155" s="45"/>
      <c r="W155" s="45"/>
      <c r="X155" s="45"/>
      <c r="Y155" s="45"/>
      <c r="Z155" s="45"/>
      <c r="AB155" s="45"/>
      <c r="AD155" s="45"/>
      <c r="AH155" s="86"/>
      <c r="AI155" s="86"/>
    </row>
    <row r="156" spans="2:36" ht="11.25" customHeight="1" x14ac:dyDescent="0.15">
      <c r="D156" s="135"/>
      <c r="E156" s="112" t="s">
        <v>457</v>
      </c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32"/>
      <c r="Q156" s="132"/>
      <c r="R156" s="132"/>
      <c r="S156" s="45"/>
      <c r="T156" s="45"/>
      <c r="U156" s="45"/>
      <c r="V156" s="45"/>
      <c r="W156" s="45"/>
      <c r="X156" s="45"/>
      <c r="Y156" s="45"/>
      <c r="Z156" s="45"/>
      <c r="AB156" s="45"/>
      <c r="AD156" s="45"/>
      <c r="AH156" s="86"/>
      <c r="AI156" s="86"/>
    </row>
    <row r="157" spans="2:36" ht="11.25" customHeight="1" x14ac:dyDescent="0.15">
      <c r="D157" s="136"/>
      <c r="E157" s="112" t="s">
        <v>458</v>
      </c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32"/>
      <c r="Q157" s="132"/>
      <c r="R157" s="132"/>
      <c r="S157" s="45"/>
      <c r="T157" s="45"/>
      <c r="U157" s="45"/>
      <c r="V157" s="45"/>
      <c r="W157" s="45"/>
      <c r="X157" s="45"/>
      <c r="Y157" s="45"/>
      <c r="Z157" s="45"/>
      <c r="AB157" s="45"/>
      <c r="AD157" s="45"/>
      <c r="AH157" s="86"/>
      <c r="AI157" s="86"/>
    </row>
    <row r="158" spans="2:36" x14ac:dyDescent="0.15">
      <c r="D158" s="137"/>
      <c r="E158" s="112" t="s">
        <v>489</v>
      </c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32"/>
      <c r="Q158" s="132"/>
      <c r="R158" s="132"/>
      <c r="S158" s="45"/>
      <c r="T158" s="45"/>
      <c r="U158" s="45"/>
      <c r="V158" s="45"/>
      <c r="W158" s="45"/>
      <c r="X158" s="45"/>
      <c r="Y158" s="45"/>
      <c r="Z158" s="45"/>
      <c r="AB158" s="45"/>
      <c r="AD158" s="45"/>
      <c r="AH158" s="86"/>
      <c r="AI158" s="86"/>
    </row>
    <row r="159" spans="2:36" x14ac:dyDescent="0.15">
      <c r="B159" s="114"/>
      <c r="C159" s="114"/>
      <c r="D159" s="176"/>
      <c r="E159" s="112" t="s">
        <v>510</v>
      </c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32"/>
      <c r="Q159" s="132"/>
      <c r="R159" s="132"/>
      <c r="S159" s="45"/>
      <c r="T159" s="45"/>
      <c r="U159" s="45"/>
      <c r="V159" s="45"/>
      <c r="W159" s="45"/>
      <c r="X159" s="45"/>
      <c r="Y159" s="45"/>
      <c r="Z159" s="45"/>
      <c r="AB159" s="45"/>
      <c r="AD159" s="45"/>
      <c r="AH159" s="86"/>
      <c r="AI159" s="86"/>
    </row>
    <row r="160" spans="2:36" x14ac:dyDescent="0.15">
      <c r="B160" s="114"/>
      <c r="C160" s="114"/>
      <c r="D160" s="372"/>
      <c r="E160" s="10" t="s">
        <v>1086</v>
      </c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32"/>
      <c r="Q160" s="132"/>
      <c r="R160" s="132"/>
      <c r="S160" s="45"/>
      <c r="T160" s="45"/>
      <c r="U160" s="45"/>
      <c r="V160" s="45"/>
      <c r="W160" s="45"/>
      <c r="X160" s="45"/>
      <c r="Y160" s="45"/>
      <c r="Z160" s="45"/>
      <c r="AB160" s="45"/>
      <c r="AD160" s="45"/>
      <c r="AH160" s="86"/>
      <c r="AI160" s="86"/>
    </row>
    <row r="161" spans="2:35" x14ac:dyDescent="0.15">
      <c r="B161" s="114"/>
      <c r="C161" s="114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32"/>
      <c r="Q161" s="132"/>
      <c r="R161" s="132"/>
      <c r="S161" s="45"/>
      <c r="T161" s="45"/>
      <c r="U161" s="45"/>
      <c r="V161" s="45"/>
      <c r="W161" s="45"/>
      <c r="X161" s="45"/>
      <c r="Y161" s="45"/>
      <c r="Z161" s="45"/>
      <c r="AB161" s="45"/>
      <c r="AD161" s="45"/>
      <c r="AH161" s="86"/>
      <c r="AI161" s="86"/>
    </row>
    <row r="162" spans="2:35" x14ac:dyDescent="0.15">
      <c r="B162" s="114"/>
      <c r="C162" s="114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32"/>
      <c r="Q162" s="132"/>
      <c r="R162" s="132"/>
      <c r="S162" s="45"/>
      <c r="T162" s="45"/>
      <c r="U162" s="45"/>
      <c r="V162" s="45"/>
      <c r="W162" s="45"/>
      <c r="X162" s="45"/>
      <c r="Y162" s="45"/>
      <c r="Z162" s="45"/>
      <c r="AB162" s="45"/>
      <c r="AD162" s="45"/>
      <c r="AH162" s="86"/>
      <c r="AI162" s="86"/>
    </row>
    <row r="163" spans="2:35" x14ac:dyDescent="0.15">
      <c r="B163" s="114"/>
      <c r="C163" s="114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32"/>
      <c r="Q163" s="132"/>
      <c r="R163" s="132"/>
      <c r="S163" s="45"/>
      <c r="T163" s="45"/>
      <c r="U163" s="45"/>
      <c r="V163" s="45"/>
      <c r="W163" s="45"/>
      <c r="X163" s="45"/>
      <c r="Y163" s="45"/>
      <c r="Z163" s="45"/>
      <c r="AB163" s="45"/>
      <c r="AD163" s="45"/>
      <c r="AH163" s="86"/>
      <c r="AI163" s="86"/>
    </row>
    <row r="164" spans="2:35" x14ac:dyDescent="0.15">
      <c r="B164" s="114"/>
      <c r="C164" s="114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32"/>
      <c r="Q164" s="132"/>
      <c r="R164" s="132"/>
      <c r="S164" s="45"/>
      <c r="T164" s="45"/>
      <c r="U164" s="45"/>
      <c r="V164" s="45"/>
      <c r="W164" s="45"/>
      <c r="X164" s="45"/>
      <c r="Y164" s="45"/>
      <c r="Z164" s="45"/>
      <c r="AB164" s="45"/>
      <c r="AD164" s="45"/>
      <c r="AH164" s="86"/>
      <c r="AI164" s="86"/>
    </row>
    <row r="165" spans="2:35" x14ac:dyDescent="0.15">
      <c r="B165" s="114"/>
      <c r="C165" s="114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32"/>
      <c r="Q165" s="132"/>
      <c r="R165" s="132"/>
      <c r="S165" s="45"/>
      <c r="T165" s="45"/>
      <c r="U165" s="45"/>
      <c r="V165" s="45"/>
      <c r="W165" s="45"/>
      <c r="X165" s="45"/>
      <c r="Y165" s="45"/>
      <c r="Z165" s="45"/>
      <c r="AB165" s="45"/>
      <c r="AD165" s="45"/>
      <c r="AH165" s="86"/>
      <c r="AI165" s="86"/>
    </row>
    <row r="166" spans="2:35" x14ac:dyDescent="0.15">
      <c r="B166" s="114"/>
      <c r="C166" s="114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32"/>
      <c r="Q166" s="132"/>
      <c r="R166" s="132"/>
      <c r="S166" s="45"/>
      <c r="T166" s="45"/>
      <c r="U166" s="45"/>
      <c r="V166" s="45"/>
      <c r="W166" s="45"/>
      <c r="X166" s="45"/>
      <c r="Y166" s="45"/>
      <c r="Z166" s="45"/>
      <c r="AB166" s="45"/>
      <c r="AD166" s="45"/>
      <c r="AH166" s="86"/>
      <c r="AI166" s="86"/>
    </row>
    <row r="167" spans="2:35" x14ac:dyDescent="0.15">
      <c r="B167" s="114"/>
      <c r="C167" s="114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32"/>
      <c r="Q167" s="132"/>
      <c r="R167" s="132"/>
      <c r="S167" s="45"/>
      <c r="T167" s="45"/>
      <c r="U167" s="45"/>
      <c r="V167" s="45"/>
      <c r="W167" s="45"/>
      <c r="X167" s="45"/>
      <c r="Y167" s="45"/>
      <c r="Z167" s="45"/>
      <c r="AB167" s="45"/>
      <c r="AD167" s="45"/>
      <c r="AH167" s="86"/>
      <c r="AI167" s="86"/>
    </row>
    <row r="168" spans="2:35" x14ac:dyDescent="0.15">
      <c r="B168" s="114"/>
      <c r="C168" s="114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32"/>
      <c r="Q168" s="132"/>
      <c r="R168" s="132"/>
      <c r="S168" s="45"/>
      <c r="T168" s="45"/>
      <c r="U168" s="45"/>
      <c r="V168" s="45"/>
      <c r="W168" s="45"/>
      <c r="X168" s="45"/>
      <c r="Y168" s="45"/>
      <c r="Z168" s="45"/>
      <c r="AB168" s="45"/>
      <c r="AD168" s="45"/>
      <c r="AH168" s="86"/>
      <c r="AI168" s="86"/>
    </row>
    <row r="169" spans="2:35" x14ac:dyDescent="0.15">
      <c r="B169" s="114"/>
      <c r="C169" s="114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32"/>
      <c r="Q169" s="132"/>
      <c r="R169" s="132"/>
      <c r="S169" s="45"/>
      <c r="T169" s="45"/>
      <c r="U169" s="45"/>
      <c r="V169" s="45"/>
      <c r="W169" s="45"/>
      <c r="X169" s="45"/>
      <c r="Y169" s="45"/>
      <c r="Z169" s="45"/>
      <c r="AB169" s="45"/>
      <c r="AD169" s="45"/>
      <c r="AH169" s="86"/>
      <c r="AI169" s="86"/>
    </row>
    <row r="170" spans="2:35" x14ac:dyDescent="0.15">
      <c r="B170" s="114"/>
      <c r="C170" s="114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32"/>
      <c r="Q170" s="132"/>
      <c r="R170" s="132"/>
      <c r="S170" s="45"/>
      <c r="T170" s="45"/>
      <c r="U170" s="45"/>
      <c r="V170" s="45"/>
      <c r="W170" s="45"/>
      <c r="X170" s="45"/>
      <c r="Y170" s="45"/>
      <c r="Z170" s="45"/>
      <c r="AB170" s="45"/>
      <c r="AD170" s="45"/>
      <c r="AH170" s="86"/>
      <c r="AI170" s="86"/>
    </row>
    <row r="171" spans="2:35" x14ac:dyDescent="0.15">
      <c r="B171" s="114"/>
      <c r="C171" s="114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32"/>
      <c r="Q171" s="132"/>
      <c r="R171" s="132"/>
      <c r="S171" s="45"/>
      <c r="T171" s="45"/>
      <c r="U171" s="45"/>
      <c r="V171" s="45"/>
      <c r="W171" s="45"/>
      <c r="X171" s="45"/>
      <c r="Y171" s="45"/>
      <c r="Z171" s="45"/>
      <c r="AB171" s="45"/>
      <c r="AD171" s="45"/>
      <c r="AH171" s="86"/>
      <c r="AI171" s="86"/>
    </row>
    <row r="172" spans="2:35" x14ac:dyDescent="0.15">
      <c r="B172" s="114"/>
      <c r="C172" s="114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32"/>
      <c r="Q172" s="132"/>
      <c r="R172" s="132"/>
      <c r="S172" s="45"/>
      <c r="T172" s="45"/>
      <c r="U172" s="45"/>
      <c r="V172" s="45"/>
      <c r="W172" s="45"/>
      <c r="X172" s="45"/>
      <c r="Y172" s="45"/>
      <c r="Z172" s="45"/>
      <c r="AB172" s="45"/>
      <c r="AD172" s="45"/>
      <c r="AH172" s="86"/>
      <c r="AI172" s="86"/>
    </row>
    <row r="173" spans="2:35" x14ac:dyDescent="0.15">
      <c r="B173" s="114"/>
      <c r="C173" s="114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32"/>
      <c r="Q173" s="132"/>
      <c r="R173" s="132"/>
      <c r="S173" s="45"/>
      <c r="T173" s="45"/>
      <c r="U173" s="45"/>
      <c r="V173" s="45"/>
      <c r="W173" s="45"/>
      <c r="X173" s="45"/>
      <c r="Y173" s="45"/>
      <c r="Z173" s="45"/>
      <c r="AB173" s="45"/>
      <c r="AD173" s="45"/>
      <c r="AH173" s="86"/>
      <c r="AI173" s="86"/>
    </row>
    <row r="174" spans="2:35" x14ac:dyDescent="0.15">
      <c r="B174" s="114"/>
      <c r="C174" s="114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32"/>
      <c r="Q174" s="132"/>
      <c r="R174" s="132"/>
      <c r="S174" s="45"/>
      <c r="T174" s="45"/>
      <c r="U174" s="45"/>
      <c r="V174" s="45"/>
      <c r="W174" s="45"/>
      <c r="X174" s="45"/>
      <c r="Y174" s="45"/>
      <c r="Z174" s="45"/>
      <c r="AB174" s="45"/>
      <c r="AD174" s="45"/>
      <c r="AH174" s="86"/>
      <c r="AI174" s="86"/>
    </row>
    <row r="175" spans="2:35" x14ac:dyDescent="0.15">
      <c r="B175" s="114"/>
      <c r="C175" s="114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32"/>
      <c r="Q175" s="132"/>
      <c r="R175" s="132"/>
      <c r="S175" s="45"/>
      <c r="T175" s="45"/>
      <c r="U175" s="45"/>
      <c r="V175" s="45"/>
      <c r="W175" s="45"/>
      <c r="X175" s="45"/>
      <c r="Y175" s="45"/>
      <c r="Z175" s="45"/>
      <c r="AB175" s="45"/>
      <c r="AD175" s="45"/>
      <c r="AH175" s="86"/>
      <c r="AI175" s="86"/>
    </row>
    <row r="176" spans="2:35" x14ac:dyDescent="0.15">
      <c r="B176" s="114"/>
      <c r="C176" s="114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32"/>
      <c r="Q176" s="132"/>
      <c r="R176" s="132"/>
      <c r="S176" s="45"/>
      <c r="T176" s="45"/>
      <c r="U176" s="45"/>
      <c r="V176" s="45"/>
      <c r="W176" s="45"/>
      <c r="X176" s="45"/>
      <c r="Y176" s="45"/>
      <c r="Z176" s="45"/>
      <c r="AB176" s="45"/>
      <c r="AD176" s="45"/>
    </row>
    <row r="177" spans="2:30" x14ac:dyDescent="0.15">
      <c r="B177" s="114"/>
      <c r="C177" s="114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32"/>
      <c r="Q177" s="132"/>
      <c r="R177" s="132"/>
      <c r="S177" s="45"/>
      <c r="T177" s="45"/>
      <c r="U177" s="45"/>
      <c r="V177" s="45"/>
      <c r="W177" s="45"/>
      <c r="X177" s="45"/>
      <c r="Y177" s="45"/>
      <c r="Z177" s="45"/>
      <c r="AB177" s="45"/>
      <c r="AD177" s="45"/>
    </row>
    <row r="178" spans="2:30" x14ac:dyDescent="0.15">
      <c r="B178" s="114"/>
      <c r="C178" s="114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32"/>
      <c r="Q178" s="132"/>
      <c r="R178" s="132"/>
      <c r="S178" s="45"/>
      <c r="T178" s="45"/>
      <c r="U178" s="45"/>
      <c r="V178" s="45"/>
      <c r="W178" s="45"/>
      <c r="X178" s="45"/>
      <c r="Y178" s="45"/>
      <c r="Z178" s="45"/>
      <c r="AB178" s="45"/>
      <c r="AD178" s="45"/>
    </row>
    <row r="179" spans="2:30" x14ac:dyDescent="0.15">
      <c r="B179" s="114"/>
      <c r="C179" s="114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32"/>
      <c r="Q179" s="132"/>
      <c r="R179" s="132"/>
      <c r="S179" s="25"/>
      <c r="T179" s="25"/>
    </row>
    <row r="180" spans="2:30" x14ac:dyDescent="0.15">
      <c r="B180" s="114"/>
      <c r="C180" s="114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32"/>
      <c r="Q180" s="132"/>
      <c r="R180" s="132"/>
      <c r="S180" s="25"/>
      <c r="T180" s="25"/>
    </row>
    <row r="181" spans="2:30" x14ac:dyDescent="0.15">
      <c r="B181" s="114"/>
      <c r="C181" s="114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32"/>
      <c r="Q181" s="132"/>
      <c r="R181" s="132"/>
      <c r="S181" s="25"/>
      <c r="T181" s="25"/>
    </row>
    <row r="182" spans="2:30" x14ac:dyDescent="0.15">
      <c r="B182" s="114"/>
      <c r="C182" s="114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32"/>
      <c r="Q182" s="132"/>
      <c r="R182" s="132"/>
      <c r="S182" s="25"/>
      <c r="T182" s="25"/>
    </row>
    <row r="183" spans="2:30" x14ac:dyDescent="0.15">
      <c r="B183" s="114"/>
      <c r="C183" s="114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32"/>
      <c r="Q183" s="132"/>
      <c r="R183" s="132"/>
      <c r="S183" s="25"/>
      <c r="T183" s="25"/>
    </row>
    <row r="184" spans="2:30" x14ac:dyDescent="0.15">
      <c r="B184" s="114"/>
      <c r="C184" s="114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32"/>
      <c r="Q184" s="132"/>
      <c r="R184" s="132"/>
      <c r="S184" s="25"/>
      <c r="T184" s="25"/>
    </row>
    <row r="185" spans="2:30" x14ac:dyDescent="0.15">
      <c r="B185" s="114"/>
      <c r="C185" s="114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32"/>
      <c r="Q185" s="132"/>
      <c r="R185" s="132"/>
      <c r="S185" s="25"/>
      <c r="T185" s="25"/>
    </row>
    <row r="186" spans="2:30" x14ac:dyDescent="0.15">
      <c r="B186" s="114"/>
      <c r="C186" s="114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32"/>
      <c r="Q186" s="132"/>
      <c r="R186" s="132"/>
      <c r="S186" s="25"/>
      <c r="T186" s="25"/>
    </row>
    <row r="187" spans="2:30" x14ac:dyDescent="0.15">
      <c r="B187" s="114"/>
      <c r="C187" s="114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32"/>
      <c r="Q187" s="132"/>
      <c r="R187" s="132"/>
      <c r="S187" s="25"/>
      <c r="T187" s="25"/>
    </row>
    <row r="188" spans="2:30" x14ac:dyDescent="0.15">
      <c r="B188" s="114"/>
      <c r="C188" s="114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32"/>
      <c r="Q188" s="132"/>
      <c r="R188" s="132"/>
      <c r="S188" s="25"/>
      <c r="T188" s="25"/>
    </row>
    <row r="189" spans="2:30" x14ac:dyDescent="0.15">
      <c r="B189" s="114"/>
      <c r="C189" s="114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32"/>
      <c r="Q189" s="132"/>
      <c r="R189" s="132"/>
      <c r="S189" s="25"/>
      <c r="T189" s="25"/>
    </row>
    <row r="190" spans="2:30" x14ac:dyDescent="0.15">
      <c r="B190" s="114"/>
      <c r="C190" s="114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32"/>
      <c r="Q190" s="132"/>
      <c r="R190" s="132"/>
      <c r="S190" s="25"/>
      <c r="T190" s="25"/>
    </row>
    <row r="191" spans="2:30" x14ac:dyDescent="0.15">
      <c r="B191" s="114"/>
      <c r="C191" s="114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32"/>
      <c r="Q191" s="132"/>
      <c r="R191" s="132"/>
      <c r="S191" s="25"/>
      <c r="T191" s="25"/>
    </row>
    <row r="192" spans="2:30" x14ac:dyDescent="0.15">
      <c r="B192" s="114"/>
      <c r="C192" s="114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32"/>
      <c r="Q192" s="132"/>
      <c r="R192" s="132"/>
      <c r="S192" s="25"/>
      <c r="T192" s="25"/>
    </row>
    <row r="193" spans="2:20" x14ac:dyDescent="0.15">
      <c r="B193" s="114"/>
      <c r="C193" s="114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32"/>
      <c r="Q193" s="132"/>
      <c r="R193" s="132"/>
      <c r="S193" s="25"/>
      <c r="T193" s="25"/>
    </row>
    <row r="194" spans="2:20" x14ac:dyDescent="0.15">
      <c r="B194" s="114"/>
      <c r="C194" s="114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32"/>
      <c r="Q194" s="132"/>
      <c r="R194" s="132"/>
      <c r="S194" s="25"/>
      <c r="T194" s="25"/>
    </row>
    <row r="195" spans="2:20" x14ac:dyDescent="0.15">
      <c r="B195" s="114"/>
      <c r="C195" s="114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32"/>
      <c r="Q195" s="132"/>
      <c r="R195" s="132"/>
      <c r="S195" s="25"/>
      <c r="T195" s="25"/>
    </row>
    <row r="196" spans="2:20" x14ac:dyDescent="0.15">
      <c r="B196" s="114"/>
      <c r="C196" s="114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32"/>
      <c r="Q196" s="132"/>
      <c r="R196" s="132"/>
      <c r="S196" s="25"/>
      <c r="T196" s="25"/>
    </row>
    <row r="197" spans="2:20" x14ac:dyDescent="0.15">
      <c r="B197" s="114"/>
      <c r="C197" s="114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32"/>
      <c r="Q197" s="132"/>
      <c r="R197" s="132"/>
      <c r="S197" s="25"/>
      <c r="T197" s="25"/>
    </row>
    <row r="198" spans="2:20" x14ac:dyDescent="0.15">
      <c r="B198" s="114"/>
      <c r="C198" s="114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32"/>
      <c r="Q198" s="132"/>
      <c r="R198" s="132"/>
      <c r="S198" s="25"/>
      <c r="T198" s="25"/>
    </row>
    <row r="199" spans="2:20" x14ac:dyDescent="0.15">
      <c r="B199" s="114"/>
      <c r="C199" s="114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32"/>
      <c r="Q199" s="132"/>
      <c r="R199" s="132"/>
      <c r="S199" s="25"/>
      <c r="T199" s="25"/>
    </row>
    <row r="200" spans="2:20" x14ac:dyDescent="0.15">
      <c r="B200" s="114"/>
      <c r="C200" s="114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32"/>
      <c r="Q200" s="132"/>
      <c r="R200" s="132"/>
      <c r="S200" s="25"/>
      <c r="T200" s="25"/>
    </row>
    <row r="201" spans="2:20" x14ac:dyDescent="0.15">
      <c r="B201" s="114"/>
      <c r="C201" s="114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32"/>
      <c r="Q201" s="132"/>
      <c r="R201" s="132"/>
      <c r="S201" s="25"/>
      <c r="T201" s="25"/>
    </row>
    <row r="202" spans="2:20" x14ac:dyDescent="0.15">
      <c r="B202" s="114"/>
      <c r="C202" s="114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32"/>
      <c r="Q202" s="132"/>
      <c r="R202" s="132"/>
      <c r="S202" s="25"/>
      <c r="T202" s="25"/>
    </row>
    <row r="203" spans="2:20" x14ac:dyDescent="0.15">
      <c r="B203" s="114"/>
      <c r="C203" s="114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32"/>
      <c r="Q203" s="132"/>
      <c r="R203" s="132"/>
      <c r="S203" s="25"/>
      <c r="T203" s="25"/>
    </row>
    <row r="204" spans="2:20" x14ac:dyDescent="0.15">
      <c r="B204" s="114"/>
      <c r="C204" s="114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32"/>
      <c r="Q204" s="132"/>
      <c r="R204" s="132"/>
      <c r="S204" s="25"/>
      <c r="T204" s="25"/>
    </row>
    <row r="205" spans="2:20" x14ac:dyDescent="0.15">
      <c r="B205" s="114"/>
      <c r="C205" s="114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32"/>
      <c r="Q205" s="132"/>
      <c r="R205" s="132"/>
      <c r="S205" s="25"/>
      <c r="T205" s="25"/>
    </row>
    <row r="206" spans="2:20" x14ac:dyDescent="0.15">
      <c r="B206" s="114"/>
      <c r="C206" s="114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32"/>
      <c r="Q206" s="132"/>
      <c r="R206" s="132"/>
      <c r="S206" s="25"/>
      <c r="T206" s="25"/>
    </row>
    <row r="207" spans="2:20" x14ac:dyDescent="0.15">
      <c r="B207" s="114"/>
      <c r="C207" s="114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32"/>
      <c r="Q207" s="132"/>
      <c r="R207" s="132"/>
      <c r="S207" s="25"/>
      <c r="T207" s="25"/>
    </row>
    <row r="208" spans="2:20" x14ac:dyDescent="0.15">
      <c r="B208" s="114"/>
      <c r="C208" s="114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32"/>
      <c r="Q208" s="132"/>
      <c r="R208" s="132"/>
      <c r="S208" s="25"/>
      <c r="T208" s="25"/>
    </row>
    <row r="209" spans="2:20" x14ac:dyDescent="0.15">
      <c r="B209" s="114"/>
      <c r="C209" s="114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32"/>
      <c r="Q209" s="132"/>
      <c r="R209" s="132"/>
      <c r="S209" s="25"/>
      <c r="T209" s="25"/>
    </row>
    <row r="210" spans="2:20" x14ac:dyDescent="0.15">
      <c r="B210" s="114"/>
      <c r="C210" s="114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32"/>
      <c r="Q210" s="132"/>
      <c r="R210" s="132"/>
      <c r="S210" s="25"/>
      <c r="T210" s="25"/>
    </row>
    <row r="211" spans="2:20" x14ac:dyDescent="0.15">
      <c r="B211" s="114"/>
      <c r="C211" s="114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32"/>
      <c r="Q211" s="132"/>
      <c r="R211" s="132"/>
      <c r="S211" s="25"/>
      <c r="T211" s="25"/>
    </row>
    <row r="212" spans="2:20" x14ac:dyDescent="0.15">
      <c r="B212" s="114"/>
      <c r="C212" s="114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32"/>
      <c r="Q212" s="132"/>
      <c r="R212" s="132"/>
      <c r="S212" s="25"/>
      <c r="T212" s="25"/>
    </row>
    <row r="213" spans="2:20" x14ac:dyDescent="0.15">
      <c r="B213" s="114"/>
      <c r="C213" s="114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32"/>
      <c r="Q213" s="132"/>
      <c r="R213" s="132"/>
      <c r="S213" s="25"/>
      <c r="T213" s="25"/>
    </row>
    <row r="214" spans="2:20" x14ac:dyDescent="0.15">
      <c r="B214" s="114"/>
      <c r="C214" s="114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32"/>
      <c r="Q214" s="132"/>
      <c r="R214" s="132"/>
      <c r="S214" s="25"/>
      <c r="T214" s="25"/>
    </row>
    <row r="215" spans="2:20" x14ac:dyDescent="0.15">
      <c r="B215" s="114"/>
      <c r="C215" s="114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32"/>
      <c r="Q215" s="132"/>
      <c r="R215" s="132"/>
      <c r="S215" s="25"/>
      <c r="T215" s="25"/>
    </row>
    <row r="216" spans="2:20" x14ac:dyDescent="0.15">
      <c r="B216" s="114"/>
      <c r="C216" s="114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32"/>
      <c r="Q216" s="132"/>
      <c r="R216" s="132"/>
      <c r="S216" s="25"/>
      <c r="T216" s="25"/>
    </row>
    <row r="217" spans="2:20" x14ac:dyDescent="0.15">
      <c r="B217" s="114"/>
      <c r="C217" s="114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32"/>
      <c r="Q217" s="132"/>
      <c r="R217" s="132"/>
      <c r="S217" s="25"/>
      <c r="T217" s="25"/>
    </row>
    <row r="218" spans="2:20" x14ac:dyDescent="0.15">
      <c r="B218" s="114"/>
      <c r="C218" s="114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32"/>
      <c r="Q218" s="132"/>
      <c r="R218" s="132"/>
      <c r="S218" s="25"/>
      <c r="T218" s="25"/>
    </row>
    <row r="219" spans="2:20" x14ac:dyDescent="0.15">
      <c r="B219" s="114"/>
      <c r="C219" s="114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32"/>
      <c r="Q219" s="132"/>
      <c r="R219" s="132"/>
      <c r="S219" s="25"/>
      <c r="T219" s="25"/>
    </row>
    <row r="220" spans="2:20" x14ac:dyDescent="0.15">
      <c r="B220" s="114"/>
      <c r="C220" s="114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32"/>
      <c r="Q220" s="132"/>
      <c r="R220" s="132"/>
      <c r="S220" s="25"/>
      <c r="T220" s="25"/>
    </row>
    <row r="221" spans="2:20" x14ac:dyDescent="0.15">
      <c r="B221" s="114"/>
      <c r="C221" s="114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32"/>
      <c r="Q221" s="132"/>
      <c r="R221" s="132"/>
      <c r="S221" s="25"/>
      <c r="T221" s="25"/>
    </row>
    <row r="222" spans="2:20" x14ac:dyDescent="0.15">
      <c r="B222" s="114"/>
      <c r="C222" s="114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32"/>
      <c r="Q222" s="132"/>
      <c r="R222" s="132"/>
      <c r="S222" s="25"/>
      <c r="T222" s="25"/>
    </row>
    <row r="223" spans="2:20" x14ac:dyDescent="0.15">
      <c r="B223" s="114"/>
      <c r="C223" s="114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32"/>
      <c r="Q223" s="132"/>
      <c r="R223" s="132"/>
      <c r="S223" s="25"/>
      <c r="T223" s="25"/>
    </row>
    <row r="224" spans="2:20" x14ac:dyDescent="0.15">
      <c r="B224" s="114"/>
      <c r="C224" s="114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32"/>
      <c r="Q224" s="132"/>
      <c r="R224" s="132"/>
      <c r="S224" s="25"/>
      <c r="T224" s="25"/>
    </row>
    <row r="225" spans="2:20" x14ac:dyDescent="0.15">
      <c r="B225" s="114"/>
      <c r="C225" s="114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32"/>
      <c r="Q225" s="132"/>
      <c r="R225" s="132"/>
      <c r="S225" s="25"/>
      <c r="T225" s="25"/>
    </row>
    <row r="226" spans="2:20" x14ac:dyDescent="0.15">
      <c r="B226" s="114"/>
      <c r="C226" s="114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32"/>
      <c r="Q226" s="132"/>
      <c r="R226" s="132"/>
      <c r="S226" s="25"/>
      <c r="T226" s="25"/>
    </row>
    <row r="227" spans="2:20" x14ac:dyDescent="0.15">
      <c r="B227" s="114"/>
      <c r="C227" s="114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32"/>
      <c r="Q227" s="132"/>
      <c r="R227" s="132"/>
      <c r="S227" s="25"/>
      <c r="T227" s="25"/>
    </row>
    <row r="228" spans="2:20" x14ac:dyDescent="0.15">
      <c r="B228" s="114"/>
      <c r="C228" s="114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32"/>
      <c r="Q228" s="132"/>
      <c r="R228" s="132"/>
      <c r="S228" s="25"/>
      <c r="T228" s="25"/>
    </row>
    <row r="229" spans="2:20" x14ac:dyDescent="0.15">
      <c r="B229" s="114"/>
      <c r="C229" s="114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32"/>
      <c r="Q229" s="132"/>
      <c r="R229" s="132"/>
      <c r="S229" s="25"/>
      <c r="T229" s="25"/>
    </row>
    <row r="230" spans="2:20" x14ac:dyDescent="0.15">
      <c r="B230" s="114"/>
      <c r="C230" s="114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32"/>
      <c r="Q230" s="132"/>
      <c r="R230" s="132"/>
      <c r="S230" s="25"/>
      <c r="T230" s="25"/>
    </row>
    <row r="231" spans="2:20" x14ac:dyDescent="0.15">
      <c r="B231" s="114"/>
      <c r="C231" s="114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32"/>
      <c r="Q231" s="132"/>
      <c r="R231" s="132"/>
      <c r="S231" s="25"/>
      <c r="T231" s="25"/>
    </row>
    <row r="232" spans="2:20" x14ac:dyDescent="0.15">
      <c r="B232" s="114"/>
      <c r="C232" s="114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32"/>
      <c r="Q232" s="132"/>
      <c r="R232" s="132"/>
      <c r="S232" s="25"/>
      <c r="T232" s="25"/>
    </row>
    <row r="233" spans="2:20" x14ac:dyDescent="0.15">
      <c r="B233" s="114"/>
      <c r="C233" s="114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32"/>
      <c r="Q233" s="132"/>
      <c r="R233" s="132"/>
      <c r="S233" s="25"/>
      <c r="T233" s="25"/>
    </row>
    <row r="234" spans="2:20" x14ac:dyDescent="0.15">
      <c r="B234" s="114"/>
      <c r="C234" s="114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32"/>
      <c r="Q234" s="132"/>
      <c r="R234" s="132"/>
      <c r="S234" s="25"/>
      <c r="T234" s="25"/>
    </row>
    <row r="235" spans="2:20" x14ac:dyDescent="0.15">
      <c r="B235" s="114"/>
      <c r="C235" s="114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32"/>
      <c r="Q235" s="132"/>
      <c r="R235" s="132"/>
      <c r="S235" s="25"/>
      <c r="T235" s="25"/>
    </row>
    <row r="236" spans="2:20" x14ac:dyDescent="0.15">
      <c r="B236" s="114"/>
      <c r="C236" s="114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32"/>
      <c r="Q236" s="132"/>
      <c r="R236" s="132"/>
      <c r="S236" s="25"/>
      <c r="T236" s="25"/>
    </row>
    <row r="237" spans="2:20" x14ac:dyDescent="0.15">
      <c r="B237" s="114"/>
      <c r="C237" s="114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32"/>
      <c r="Q237" s="132"/>
      <c r="R237" s="132"/>
      <c r="S237" s="25"/>
      <c r="T237" s="25"/>
    </row>
    <row r="238" spans="2:20" x14ac:dyDescent="0.15">
      <c r="B238" s="114"/>
      <c r="C238" s="114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32"/>
      <c r="Q238" s="132"/>
      <c r="R238" s="132"/>
      <c r="S238" s="25"/>
      <c r="T238" s="25"/>
    </row>
    <row r="239" spans="2:20" x14ac:dyDescent="0.15">
      <c r="B239" s="114"/>
      <c r="C239" s="114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32"/>
      <c r="Q239" s="132"/>
      <c r="R239" s="132"/>
      <c r="S239" s="25"/>
      <c r="T239" s="25"/>
    </row>
    <row r="240" spans="2:20" x14ac:dyDescent="0.15">
      <c r="B240" s="114"/>
      <c r="C240" s="114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32"/>
      <c r="Q240" s="132"/>
      <c r="R240" s="132"/>
      <c r="S240" s="25"/>
      <c r="T240" s="25"/>
    </row>
    <row r="241" spans="2:20" x14ac:dyDescent="0.15">
      <c r="B241" s="114"/>
      <c r="C241" s="114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32"/>
      <c r="Q241" s="132"/>
      <c r="R241" s="132"/>
      <c r="S241" s="25"/>
      <c r="T241" s="25"/>
    </row>
    <row r="242" spans="2:20" x14ac:dyDescent="0.15">
      <c r="B242" s="114"/>
      <c r="C242" s="114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32"/>
      <c r="Q242" s="132"/>
      <c r="R242" s="132"/>
      <c r="S242" s="25"/>
      <c r="T242" s="25"/>
    </row>
    <row r="243" spans="2:20" x14ac:dyDescent="0.15">
      <c r="B243" s="114"/>
      <c r="C243" s="114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32"/>
      <c r="Q243" s="132"/>
      <c r="R243" s="132"/>
      <c r="S243" s="25"/>
      <c r="T243" s="25"/>
    </row>
    <row r="244" spans="2:20" x14ac:dyDescent="0.15">
      <c r="B244" s="114"/>
      <c r="C244" s="114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32"/>
      <c r="Q244" s="132"/>
      <c r="R244" s="132"/>
      <c r="S244" s="25"/>
      <c r="T244" s="25"/>
    </row>
    <row r="245" spans="2:20" x14ac:dyDescent="0.15">
      <c r="B245" s="114"/>
      <c r="C245" s="114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32"/>
      <c r="Q245" s="132"/>
      <c r="R245" s="132"/>
      <c r="S245" s="25"/>
      <c r="T245" s="25"/>
    </row>
    <row r="246" spans="2:20" x14ac:dyDescent="0.15">
      <c r="B246" s="114"/>
      <c r="C246" s="114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32"/>
      <c r="Q246" s="132"/>
      <c r="R246" s="132"/>
      <c r="S246" s="25"/>
      <c r="T246" s="25"/>
    </row>
    <row r="247" spans="2:20" x14ac:dyDescent="0.15">
      <c r="B247" s="114"/>
      <c r="C247" s="114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32"/>
      <c r="Q247" s="132"/>
      <c r="R247" s="132"/>
      <c r="S247" s="25"/>
      <c r="T247" s="25"/>
    </row>
    <row r="248" spans="2:20" x14ac:dyDescent="0.15">
      <c r="B248" s="114"/>
      <c r="C248" s="114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32"/>
      <c r="Q248" s="132"/>
      <c r="R248" s="132"/>
      <c r="S248" s="25"/>
      <c r="T248" s="25"/>
    </row>
    <row r="249" spans="2:20" x14ac:dyDescent="0.15">
      <c r="B249" s="114"/>
      <c r="C249" s="114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32"/>
      <c r="Q249" s="132"/>
      <c r="R249" s="132"/>
      <c r="S249" s="25"/>
      <c r="T249" s="25"/>
    </row>
    <row r="250" spans="2:20" x14ac:dyDescent="0.15">
      <c r="B250" s="114"/>
      <c r="C250" s="114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32"/>
      <c r="Q250" s="132"/>
      <c r="R250" s="132"/>
      <c r="S250" s="25"/>
      <c r="T250" s="25"/>
    </row>
    <row r="251" spans="2:20" x14ac:dyDescent="0.15">
      <c r="B251" s="114"/>
      <c r="C251" s="114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32"/>
      <c r="Q251" s="132"/>
      <c r="R251" s="132"/>
      <c r="S251" s="25"/>
      <c r="T251" s="25"/>
    </row>
    <row r="252" spans="2:20" x14ac:dyDescent="0.15">
      <c r="B252" s="114"/>
      <c r="C252" s="114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32"/>
      <c r="Q252" s="132"/>
      <c r="R252" s="132"/>
      <c r="S252" s="25"/>
      <c r="T252" s="25"/>
    </row>
    <row r="253" spans="2:20" x14ac:dyDescent="0.15">
      <c r="B253" s="114"/>
      <c r="C253" s="114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32"/>
      <c r="Q253" s="132"/>
      <c r="R253" s="132"/>
      <c r="S253" s="25"/>
      <c r="T253" s="25"/>
    </row>
    <row r="254" spans="2:20" x14ac:dyDescent="0.15">
      <c r="B254" s="114"/>
      <c r="C254" s="114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32"/>
      <c r="Q254" s="132"/>
      <c r="R254" s="132"/>
      <c r="S254" s="25"/>
      <c r="T254" s="25"/>
    </row>
    <row r="255" spans="2:20" x14ac:dyDescent="0.15">
      <c r="B255" s="114"/>
      <c r="C255" s="114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32"/>
      <c r="Q255" s="132"/>
      <c r="R255" s="132"/>
      <c r="S255" s="25"/>
      <c r="T255" s="25"/>
    </row>
    <row r="256" spans="2:20" x14ac:dyDescent="0.15">
      <c r="B256" s="114"/>
      <c r="C256" s="114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32"/>
      <c r="Q256" s="132"/>
      <c r="R256" s="132"/>
      <c r="S256" s="25"/>
      <c r="T256" s="25"/>
    </row>
    <row r="257" spans="2:20" x14ac:dyDescent="0.15">
      <c r="B257" s="114"/>
      <c r="C257" s="114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32"/>
      <c r="Q257" s="132"/>
      <c r="R257" s="132"/>
      <c r="S257" s="25"/>
      <c r="T257" s="25"/>
    </row>
    <row r="258" spans="2:20" x14ac:dyDescent="0.15">
      <c r="B258" s="114"/>
      <c r="C258" s="114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32"/>
      <c r="Q258" s="132"/>
      <c r="R258" s="132"/>
      <c r="S258" s="25"/>
      <c r="T258" s="25"/>
    </row>
    <row r="259" spans="2:20" x14ac:dyDescent="0.15">
      <c r="B259" s="114"/>
      <c r="C259" s="114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32"/>
      <c r="Q259" s="132"/>
      <c r="R259" s="132"/>
      <c r="S259" s="25"/>
      <c r="T259" s="25"/>
    </row>
    <row r="260" spans="2:20" x14ac:dyDescent="0.15">
      <c r="B260" s="114"/>
      <c r="C260" s="114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32"/>
      <c r="Q260" s="132"/>
      <c r="R260" s="132"/>
      <c r="S260" s="25"/>
      <c r="T260" s="25"/>
    </row>
    <row r="261" spans="2:20" x14ac:dyDescent="0.15">
      <c r="B261" s="114"/>
      <c r="C261" s="114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32"/>
      <c r="Q261" s="132"/>
      <c r="R261" s="132"/>
      <c r="S261" s="25"/>
      <c r="T261" s="25"/>
    </row>
    <row r="262" spans="2:20" x14ac:dyDescent="0.15">
      <c r="B262" s="114"/>
      <c r="C262" s="114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32"/>
      <c r="Q262" s="132"/>
      <c r="R262" s="132"/>
      <c r="S262" s="25"/>
      <c r="T262" s="25"/>
    </row>
    <row r="263" spans="2:20" x14ac:dyDescent="0.15">
      <c r="B263" s="114"/>
      <c r="C263" s="114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32"/>
      <c r="Q263" s="132"/>
      <c r="R263" s="132"/>
      <c r="S263" s="25"/>
      <c r="T263" s="25"/>
    </row>
    <row r="264" spans="2:20" x14ac:dyDescent="0.15">
      <c r="B264" s="114"/>
      <c r="C264" s="114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32"/>
      <c r="Q264" s="132"/>
      <c r="R264" s="132"/>
      <c r="S264" s="25"/>
      <c r="T264" s="25"/>
    </row>
    <row r="265" spans="2:20" x14ac:dyDescent="0.15">
      <c r="B265" s="114"/>
      <c r="C265" s="114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32"/>
      <c r="Q265" s="132"/>
      <c r="R265" s="132"/>
      <c r="S265" s="25"/>
      <c r="T265" s="25"/>
    </row>
    <row r="266" spans="2:20" x14ac:dyDescent="0.15">
      <c r="B266" s="114"/>
      <c r="C266" s="114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32"/>
      <c r="Q266" s="132"/>
      <c r="R266" s="132"/>
      <c r="S266" s="25"/>
      <c r="T266" s="25"/>
    </row>
    <row r="267" spans="2:20" x14ac:dyDescent="0.15">
      <c r="B267" s="114"/>
      <c r="C267" s="114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32"/>
      <c r="Q267" s="132"/>
      <c r="R267" s="132"/>
      <c r="S267" s="25"/>
      <c r="T267" s="25"/>
    </row>
    <row r="268" spans="2:20" x14ac:dyDescent="0.15">
      <c r="B268" s="114"/>
      <c r="C268" s="114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32"/>
      <c r="Q268" s="132"/>
      <c r="R268" s="132"/>
      <c r="S268" s="25"/>
      <c r="T268" s="25"/>
    </row>
    <row r="269" spans="2:20" x14ac:dyDescent="0.15">
      <c r="B269" s="114"/>
      <c r="C269" s="114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32"/>
      <c r="Q269" s="132"/>
      <c r="R269" s="132"/>
      <c r="S269" s="25"/>
      <c r="T269" s="25"/>
    </row>
    <row r="270" spans="2:20" x14ac:dyDescent="0.15">
      <c r="B270" s="114"/>
      <c r="C270" s="114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32"/>
      <c r="Q270" s="132"/>
      <c r="R270" s="132"/>
      <c r="S270" s="25"/>
      <c r="T270" s="25"/>
    </row>
    <row r="271" spans="2:20" x14ac:dyDescent="0.15">
      <c r="B271" s="114"/>
      <c r="C271" s="114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32"/>
      <c r="Q271" s="132"/>
      <c r="R271" s="132"/>
      <c r="S271" s="25"/>
      <c r="T271" s="25"/>
    </row>
    <row r="272" spans="2:20" x14ac:dyDescent="0.15">
      <c r="B272" s="114"/>
      <c r="C272" s="114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32"/>
      <c r="Q272" s="132"/>
      <c r="R272" s="132"/>
      <c r="S272" s="25"/>
      <c r="T272" s="25"/>
    </row>
    <row r="273" spans="2:20" x14ac:dyDescent="0.15">
      <c r="B273" s="114"/>
      <c r="C273" s="114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32"/>
      <c r="Q273" s="132"/>
      <c r="R273" s="132"/>
      <c r="S273" s="25"/>
      <c r="T273" s="25"/>
    </row>
    <row r="274" spans="2:20" x14ac:dyDescent="0.15">
      <c r="B274" s="114"/>
      <c r="C274" s="114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32"/>
      <c r="Q274" s="132"/>
      <c r="R274" s="132"/>
      <c r="S274" s="25"/>
      <c r="T274" s="25"/>
    </row>
    <row r="275" spans="2:20" x14ac:dyDescent="0.15">
      <c r="B275" s="114"/>
      <c r="C275" s="114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32"/>
      <c r="Q275" s="132"/>
      <c r="R275" s="132"/>
      <c r="S275" s="25"/>
      <c r="T275" s="25"/>
    </row>
    <row r="276" spans="2:20" x14ac:dyDescent="0.15">
      <c r="B276" s="114"/>
      <c r="C276" s="114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32"/>
      <c r="Q276" s="132"/>
      <c r="R276" s="132"/>
      <c r="S276" s="25"/>
      <c r="T276" s="25"/>
    </row>
    <row r="277" spans="2:20" x14ac:dyDescent="0.15">
      <c r="B277" s="114"/>
      <c r="C277" s="114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32"/>
      <c r="Q277" s="132"/>
      <c r="R277" s="132"/>
      <c r="S277" s="25"/>
      <c r="T277" s="25"/>
    </row>
    <row r="278" spans="2:20" x14ac:dyDescent="0.15">
      <c r="B278" s="114"/>
      <c r="C278" s="114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32"/>
      <c r="Q278" s="132"/>
      <c r="R278" s="132"/>
      <c r="S278" s="25"/>
      <c r="T278" s="25"/>
    </row>
    <row r="279" spans="2:20" x14ac:dyDescent="0.15">
      <c r="B279" s="114"/>
      <c r="C279" s="114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32"/>
      <c r="Q279" s="132"/>
      <c r="R279" s="132"/>
      <c r="S279" s="25"/>
      <c r="T279" s="25"/>
    </row>
    <row r="280" spans="2:20" x14ac:dyDescent="0.15">
      <c r="B280" s="114"/>
      <c r="C280" s="114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32"/>
      <c r="Q280" s="132"/>
      <c r="R280" s="132"/>
      <c r="S280" s="25"/>
      <c r="T280" s="25"/>
    </row>
    <row r="281" spans="2:20" x14ac:dyDescent="0.15">
      <c r="B281" s="114"/>
      <c r="C281" s="114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32"/>
      <c r="Q281" s="132"/>
      <c r="R281" s="132"/>
      <c r="S281" s="25"/>
      <c r="T281" s="25"/>
    </row>
    <row r="282" spans="2:20" x14ac:dyDescent="0.15">
      <c r="B282" s="114"/>
      <c r="C282" s="114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32"/>
      <c r="Q282" s="132"/>
      <c r="R282" s="132"/>
      <c r="S282" s="25"/>
      <c r="T282" s="25"/>
    </row>
    <row r="283" spans="2:20" x14ac:dyDescent="0.15">
      <c r="B283" s="114"/>
      <c r="C283" s="114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32"/>
      <c r="Q283" s="132"/>
      <c r="R283" s="132"/>
      <c r="S283" s="25"/>
      <c r="T283" s="25"/>
    </row>
    <row r="284" spans="2:20" x14ac:dyDescent="0.15">
      <c r="B284" s="114"/>
      <c r="C284" s="114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32"/>
      <c r="Q284" s="132"/>
      <c r="R284" s="132"/>
      <c r="S284" s="25"/>
      <c r="T284" s="25"/>
    </row>
    <row r="285" spans="2:20" x14ac:dyDescent="0.15">
      <c r="B285" s="114"/>
      <c r="C285" s="114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32"/>
      <c r="Q285" s="132"/>
      <c r="R285" s="132"/>
      <c r="S285" s="25"/>
      <c r="T285" s="25"/>
    </row>
    <row r="286" spans="2:20" x14ac:dyDescent="0.15">
      <c r="B286" s="114"/>
      <c r="C286" s="114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32"/>
      <c r="Q286" s="132"/>
      <c r="R286" s="132"/>
      <c r="S286" s="25"/>
      <c r="T286" s="25"/>
    </row>
    <row r="287" spans="2:20" x14ac:dyDescent="0.15">
      <c r="B287" s="114"/>
      <c r="C287" s="114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32"/>
      <c r="Q287" s="132"/>
      <c r="R287" s="132"/>
      <c r="S287" s="25"/>
      <c r="T287" s="25"/>
    </row>
    <row r="288" spans="2:20" x14ac:dyDescent="0.15">
      <c r="B288" s="114"/>
      <c r="C288" s="114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32"/>
      <c r="Q288" s="132"/>
      <c r="R288" s="132"/>
      <c r="S288" s="25"/>
      <c r="T288" s="25"/>
    </row>
    <row r="289" spans="2:36" x14ac:dyDescent="0.15">
      <c r="B289" s="114"/>
      <c r="C289" s="114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32"/>
      <c r="Q289" s="132"/>
      <c r="R289" s="132"/>
      <c r="S289" s="25"/>
      <c r="T289" s="25"/>
    </row>
    <row r="290" spans="2:36" x14ac:dyDescent="0.15">
      <c r="B290" s="114"/>
      <c r="C290" s="114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32"/>
      <c r="Q290" s="132"/>
      <c r="R290" s="132"/>
      <c r="S290" s="25"/>
      <c r="T290" s="25"/>
    </row>
    <row r="291" spans="2:36" x14ac:dyDescent="0.15">
      <c r="B291" s="114"/>
      <c r="C291" s="114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S291" s="25"/>
      <c r="T291" s="25"/>
    </row>
    <row r="292" spans="2:36" x14ac:dyDescent="0.15">
      <c r="B292" s="114"/>
      <c r="C292" s="114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S292" s="25"/>
      <c r="T292" s="25"/>
    </row>
    <row r="293" spans="2:36" x14ac:dyDescent="0.15">
      <c r="B293" s="114"/>
      <c r="C293" s="114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S293" s="25"/>
      <c r="T293" s="25"/>
    </row>
    <row r="294" spans="2:36" x14ac:dyDescent="0.15">
      <c r="B294" s="114"/>
      <c r="C294" s="114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S294" s="25"/>
      <c r="T294" s="25"/>
    </row>
    <row r="295" spans="2:36" x14ac:dyDescent="0.15">
      <c r="B295" s="114"/>
      <c r="C295" s="114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S295" s="25"/>
      <c r="T295" s="25"/>
    </row>
    <row r="296" spans="2:36" x14ac:dyDescent="0.15">
      <c r="B296" s="114"/>
      <c r="C296" s="114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S296" s="25"/>
      <c r="T296" s="25"/>
    </row>
    <row r="297" spans="2:36" x14ac:dyDescent="0.15">
      <c r="B297" s="114"/>
      <c r="C297" s="114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S297" s="25"/>
      <c r="T297" s="25"/>
      <c r="AA297" s="50"/>
    </row>
    <row r="298" spans="2:36" x14ac:dyDescent="0.15">
      <c r="B298" s="114"/>
      <c r="C298" s="114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S298" s="25"/>
      <c r="T298" s="25"/>
      <c r="AA298" s="50"/>
      <c r="AB298" s="50"/>
      <c r="AC298" s="50"/>
      <c r="AD298" s="50"/>
      <c r="AG298" s="50"/>
      <c r="AH298" s="50"/>
      <c r="AI298" s="50"/>
      <c r="AJ298" s="50"/>
    </row>
    <row r="299" spans="2:36" x14ac:dyDescent="0.15">
      <c r="B299" s="114"/>
      <c r="C299" s="114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S299" s="25"/>
      <c r="T299" s="25"/>
      <c r="AA299" s="50"/>
      <c r="AB299" s="50"/>
      <c r="AC299" s="50"/>
      <c r="AD299" s="50"/>
      <c r="AG299" s="50"/>
      <c r="AH299" s="50"/>
      <c r="AI299" s="50"/>
      <c r="AJ299" s="50"/>
    </row>
    <row r="300" spans="2:36" x14ac:dyDescent="0.15">
      <c r="B300" s="114"/>
      <c r="C300" s="114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S300" s="25"/>
      <c r="T300" s="25"/>
      <c r="AA300" s="50"/>
      <c r="AB300" s="50"/>
      <c r="AC300" s="50"/>
      <c r="AD300" s="50"/>
      <c r="AG300" s="50"/>
      <c r="AH300" s="50"/>
      <c r="AI300" s="50"/>
      <c r="AJ300" s="50"/>
    </row>
    <row r="301" spans="2:36" x14ac:dyDescent="0.15">
      <c r="B301" s="114"/>
      <c r="C301" s="114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S301" s="25"/>
      <c r="T301" s="25"/>
      <c r="AA301" s="50"/>
      <c r="AB301" s="50"/>
      <c r="AC301" s="50"/>
      <c r="AD301" s="50"/>
      <c r="AG301" s="50"/>
      <c r="AH301" s="50"/>
      <c r="AI301" s="50"/>
      <c r="AJ301" s="50"/>
    </row>
    <row r="302" spans="2:36" s="111" customFormat="1" x14ac:dyDescent="0.15">
      <c r="B302" s="114"/>
      <c r="C302" s="114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S302" s="25"/>
      <c r="T302" s="25"/>
      <c r="U302" s="21"/>
      <c r="V302" s="10"/>
      <c r="W302" s="10"/>
      <c r="X302" s="10"/>
      <c r="Y302" s="10"/>
      <c r="Z302" s="10"/>
      <c r="AA302" s="50"/>
      <c r="AB302" s="50"/>
      <c r="AC302" s="50"/>
      <c r="AD302" s="50"/>
      <c r="AE302" s="247"/>
      <c r="AF302" s="247"/>
      <c r="AG302" s="50"/>
      <c r="AH302" s="50"/>
      <c r="AI302" s="50"/>
      <c r="AJ302" s="50"/>
    </row>
    <row r="303" spans="2:36" s="111" customFormat="1" x14ac:dyDescent="0.15">
      <c r="B303" s="114"/>
      <c r="C303" s="114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S303" s="25"/>
      <c r="T303" s="25"/>
      <c r="U303" s="21"/>
      <c r="V303" s="10"/>
      <c r="W303" s="10"/>
      <c r="X303" s="10"/>
      <c r="Y303" s="10"/>
      <c r="Z303" s="10"/>
      <c r="AA303" s="50"/>
      <c r="AB303" s="50"/>
      <c r="AC303" s="50"/>
      <c r="AD303" s="50"/>
      <c r="AE303" s="247"/>
      <c r="AF303" s="247"/>
      <c r="AG303" s="50"/>
      <c r="AH303" s="50"/>
      <c r="AI303" s="50"/>
      <c r="AJ303" s="50"/>
    </row>
    <row r="304" spans="2:36" s="111" customFormat="1" x14ac:dyDescent="0.15">
      <c r="B304" s="114"/>
      <c r="C304" s="114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S304" s="25"/>
      <c r="T304" s="25"/>
      <c r="U304" s="21"/>
      <c r="V304" s="10"/>
      <c r="W304" s="10"/>
      <c r="X304" s="10"/>
      <c r="Y304" s="10"/>
      <c r="Z304" s="10"/>
      <c r="AA304" s="50"/>
      <c r="AB304" s="50"/>
      <c r="AC304" s="50"/>
      <c r="AD304" s="50"/>
      <c r="AE304" s="247"/>
      <c r="AF304" s="247"/>
      <c r="AG304" s="50"/>
      <c r="AH304" s="50"/>
      <c r="AI304" s="50"/>
      <c r="AJ304" s="50"/>
    </row>
    <row r="305" spans="2:36" s="111" customFormat="1" x14ac:dyDescent="0.15">
      <c r="B305" s="114"/>
      <c r="C305" s="114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S305" s="25"/>
      <c r="T305" s="25"/>
      <c r="U305" s="21"/>
      <c r="V305" s="10"/>
      <c r="W305" s="10"/>
      <c r="X305" s="10"/>
      <c r="Y305" s="10"/>
      <c r="Z305" s="10"/>
      <c r="AA305" s="50"/>
      <c r="AB305" s="50"/>
      <c r="AC305" s="50"/>
      <c r="AD305" s="50"/>
      <c r="AE305" s="247"/>
      <c r="AF305" s="247"/>
      <c r="AG305" s="50"/>
      <c r="AH305" s="50"/>
      <c r="AI305" s="50"/>
      <c r="AJ305" s="50"/>
    </row>
    <row r="306" spans="2:36" s="111" customFormat="1" x14ac:dyDescent="0.15">
      <c r="B306" s="114"/>
      <c r="C306" s="114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S306" s="25"/>
      <c r="T306" s="25"/>
      <c r="U306" s="21"/>
      <c r="V306" s="10"/>
      <c r="W306" s="10"/>
      <c r="X306" s="10"/>
      <c r="Y306" s="10"/>
      <c r="Z306" s="10"/>
      <c r="AA306" s="50"/>
      <c r="AB306" s="50"/>
      <c r="AC306" s="50"/>
      <c r="AD306" s="50"/>
      <c r="AE306" s="247"/>
      <c r="AF306" s="247"/>
      <c r="AG306" s="50"/>
      <c r="AH306" s="50"/>
      <c r="AI306" s="50"/>
      <c r="AJ306" s="50"/>
    </row>
    <row r="307" spans="2:36" s="111" customFormat="1" x14ac:dyDescent="0.15">
      <c r="B307" s="114"/>
      <c r="C307" s="114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S307" s="25"/>
      <c r="T307" s="25"/>
      <c r="U307" s="21"/>
      <c r="V307" s="10"/>
      <c r="W307" s="10"/>
      <c r="X307" s="10"/>
      <c r="Y307" s="10"/>
      <c r="Z307" s="10"/>
      <c r="AA307" s="50"/>
      <c r="AB307" s="50"/>
      <c r="AC307" s="50"/>
      <c r="AD307" s="50"/>
      <c r="AE307" s="247"/>
      <c r="AF307" s="247"/>
      <c r="AG307" s="50"/>
      <c r="AH307" s="50"/>
      <c r="AI307" s="50"/>
      <c r="AJ307" s="50"/>
    </row>
    <row r="308" spans="2:36" s="111" customFormat="1" x14ac:dyDescent="0.15">
      <c r="B308" s="114"/>
      <c r="C308" s="114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S308" s="25"/>
      <c r="T308" s="25"/>
      <c r="U308" s="21"/>
      <c r="V308" s="10"/>
      <c r="W308" s="10"/>
      <c r="X308" s="10"/>
      <c r="Y308" s="10"/>
      <c r="Z308" s="10"/>
      <c r="AA308" s="50"/>
      <c r="AB308" s="50"/>
      <c r="AC308" s="50"/>
      <c r="AD308" s="50"/>
      <c r="AE308" s="247"/>
      <c r="AF308" s="247"/>
      <c r="AG308" s="50"/>
      <c r="AH308" s="50"/>
      <c r="AI308" s="50"/>
      <c r="AJ308" s="50"/>
    </row>
    <row r="309" spans="2:36" s="111" customFormat="1" x14ac:dyDescent="0.15">
      <c r="B309" s="114"/>
      <c r="C309" s="114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S309" s="25"/>
      <c r="T309" s="25"/>
      <c r="U309" s="21"/>
      <c r="V309" s="10"/>
      <c r="W309" s="10"/>
      <c r="X309" s="10"/>
      <c r="Y309" s="10"/>
      <c r="Z309" s="10"/>
      <c r="AA309" s="50"/>
      <c r="AB309" s="50"/>
      <c r="AC309" s="50"/>
      <c r="AD309" s="50"/>
      <c r="AE309" s="247"/>
      <c r="AF309" s="247"/>
      <c r="AG309" s="50"/>
      <c r="AH309" s="50"/>
      <c r="AI309" s="50"/>
      <c r="AJ309" s="50"/>
    </row>
    <row r="310" spans="2:36" s="111" customFormat="1" x14ac:dyDescent="0.15">
      <c r="B310" s="114"/>
      <c r="C310" s="114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S310" s="25"/>
      <c r="T310" s="25"/>
      <c r="U310" s="21"/>
      <c r="V310" s="10"/>
      <c r="W310" s="10"/>
      <c r="X310" s="10"/>
      <c r="Y310" s="10"/>
      <c r="Z310" s="10"/>
      <c r="AA310" s="50"/>
      <c r="AB310" s="50"/>
      <c r="AC310" s="50"/>
      <c r="AD310" s="50"/>
      <c r="AE310" s="247"/>
      <c r="AF310" s="247"/>
      <c r="AG310" s="50"/>
      <c r="AH310" s="50"/>
      <c r="AI310" s="50"/>
      <c r="AJ310" s="50"/>
    </row>
    <row r="311" spans="2:36" s="111" customFormat="1" x14ac:dyDescent="0.15">
      <c r="B311" s="114"/>
      <c r="C311" s="114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S311" s="25"/>
      <c r="T311" s="25"/>
      <c r="U311" s="21"/>
      <c r="V311" s="10"/>
      <c r="W311" s="10"/>
      <c r="X311" s="10"/>
      <c r="Y311" s="10"/>
      <c r="Z311" s="10"/>
      <c r="AA311" s="50"/>
      <c r="AB311" s="50"/>
      <c r="AC311" s="50"/>
      <c r="AD311" s="50"/>
      <c r="AE311" s="247"/>
      <c r="AF311" s="247"/>
      <c r="AG311" s="50"/>
      <c r="AH311" s="50"/>
      <c r="AI311" s="50"/>
      <c r="AJ311" s="50"/>
    </row>
    <row r="312" spans="2:36" s="111" customFormat="1" x14ac:dyDescent="0.15">
      <c r="B312" s="114"/>
      <c r="C312" s="114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S312" s="25"/>
      <c r="T312" s="25"/>
      <c r="U312" s="21"/>
      <c r="V312" s="10"/>
      <c r="W312" s="10"/>
      <c r="X312" s="10"/>
      <c r="Y312" s="10"/>
      <c r="Z312" s="10"/>
      <c r="AA312" s="50"/>
      <c r="AB312" s="50"/>
      <c r="AC312" s="50"/>
      <c r="AD312" s="50"/>
      <c r="AE312" s="247"/>
      <c r="AF312" s="247"/>
      <c r="AG312" s="50"/>
      <c r="AH312" s="50"/>
      <c r="AI312" s="50"/>
      <c r="AJ312" s="50"/>
    </row>
    <row r="313" spans="2:36" s="111" customFormat="1" x14ac:dyDescent="0.15">
      <c r="B313" s="114"/>
      <c r="C313" s="114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S313" s="25"/>
      <c r="T313" s="25"/>
      <c r="U313" s="21"/>
      <c r="V313" s="10"/>
      <c r="W313" s="10"/>
      <c r="X313" s="10"/>
      <c r="Y313" s="10"/>
      <c r="Z313" s="10"/>
      <c r="AA313" s="50"/>
      <c r="AB313" s="50"/>
      <c r="AC313" s="50"/>
      <c r="AD313" s="50"/>
      <c r="AE313" s="247"/>
      <c r="AF313" s="247"/>
      <c r="AG313" s="50"/>
      <c r="AH313" s="50"/>
      <c r="AI313" s="50"/>
      <c r="AJ313" s="50"/>
    </row>
    <row r="314" spans="2:36" s="111" customFormat="1" x14ac:dyDescent="0.15">
      <c r="B314" s="114"/>
      <c r="C314" s="114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S314" s="25"/>
      <c r="T314" s="25"/>
      <c r="U314" s="21"/>
      <c r="V314" s="10"/>
      <c r="W314" s="10"/>
      <c r="X314" s="10"/>
      <c r="Y314" s="10"/>
      <c r="Z314" s="10"/>
      <c r="AA314" s="50"/>
      <c r="AB314" s="50"/>
      <c r="AC314" s="50"/>
      <c r="AD314" s="50"/>
      <c r="AE314" s="247"/>
      <c r="AF314" s="247"/>
      <c r="AG314" s="50"/>
      <c r="AH314" s="50"/>
      <c r="AI314" s="50"/>
      <c r="AJ314" s="50"/>
    </row>
    <row r="315" spans="2:36" s="111" customFormat="1" x14ac:dyDescent="0.15">
      <c r="B315" s="114"/>
      <c r="C315" s="114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S315" s="25"/>
      <c r="T315" s="25"/>
      <c r="U315" s="21"/>
      <c r="V315" s="10"/>
      <c r="W315" s="10"/>
      <c r="X315" s="10"/>
      <c r="Y315" s="10"/>
      <c r="Z315" s="10"/>
      <c r="AA315" s="50"/>
      <c r="AB315" s="50"/>
      <c r="AC315" s="50"/>
      <c r="AD315" s="50"/>
      <c r="AE315" s="247"/>
      <c r="AF315" s="247"/>
      <c r="AG315" s="50"/>
      <c r="AH315" s="50"/>
      <c r="AI315" s="50"/>
      <c r="AJ315" s="50"/>
    </row>
    <row r="316" spans="2:36" s="111" customFormat="1" x14ac:dyDescent="0.15">
      <c r="B316" s="114"/>
      <c r="C316" s="114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S316" s="25"/>
      <c r="T316" s="25"/>
      <c r="U316" s="21"/>
      <c r="V316" s="10"/>
      <c r="W316" s="10"/>
      <c r="X316" s="10"/>
      <c r="Y316" s="10"/>
      <c r="Z316" s="10"/>
      <c r="AA316" s="50"/>
      <c r="AB316" s="50"/>
      <c r="AC316" s="50"/>
      <c r="AD316" s="50"/>
      <c r="AE316" s="247"/>
      <c r="AF316" s="247"/>
      <c r="AG316" s="50"/>
      <c r="AH316" s="50"/>
      <c r="AI316" s="50"/>
      <c r="AJ316" s="50"/>
    </row>
    <row r="317" spans="2:36" s="111" customFormat="1" x14ac:dyDescent="0.15">
      <c r="B317" s="114"/>
      <c r="C317" s="114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S317" s="26"/>
      <c r="T317" s="26"/>
      <c r="U317" s="21"/>
      <c r="V317" s="10"/>
      <c r="W317" s="10"/>
      <c r="X317" s="10"/>
      <c r="Y317" s="10"/>
      <c r="Z317" s="10"/>
      <c r="AA317" s="50"/>
      <c r="AB317" s="50"/>
      <c r="AC317" s="50"/>
      <c r="AD317" s="50"/>
      <c r="AE317" s="247"/>
      <c r="AF317" s="247"/>
      <c r="AG317" s="50"/>
      <c r="AH317" s="50"/>
      <c r="AI317" s="50"/>
      <c r="AJ317" s="50"/>
    </row>
    <row r="318" spans="2:36" s="111" customFormat="1" x14ac:dyDescent="0.15">
      <c r="B318" s="114"/>
      <c r="C318" s="114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S318" s="26"/>
      <c r="T318" s="26"/>
      <c r="U318" s="21"/>
      <c r="V318" s="10"/>
      <c r="W318" s="10"/>
      <c r="X318" s="10"/>
      <c r="Y318" s="10"/>
      <c r="Z318" s="10"/>
      <c r="AA318" s="50"/>
      <c r="AB318" s="50"/>
      <c r="AC318" s="50"/>
      <c r="AD318" s="50"/>
      <c r="AE318" s="247"/>
      <c r="AF318" s="247"/>
      <c r="AG318" s="50"/>
      <c r="AH318" s="50"/>
      <c r="AI318" s="50"/>
      <c r="AJ318" s="50"/>
    </row>
    <row r="319" spans="2:36" s="111" customFormat="1" x14ac:dyDescent="0.15">
      <c r="B319" s="114"/>
      <c r="C319" s="114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S319" s="26"/>
      <c r="T319" s="26"/>
      <c r="U319" s="21"/>
      <c r="V319" s="10"/>
      <c r="W319" s="10"/>
      <c r="X319" s="10"/>
      <c r="Y319" s="10"/>
      <c r="Z319" s="10"/>
      <c r="AA319" s="50"/>
      <c r="AB319" s="50"/>
      <c r="AC319" s="50"/>
      <c r="AD319" s="50"/>
      <c r="AE319" s="247"/>
      <c r="AF319" s="247"/>
      <c r="AG319" s="50"/>
      <c r="AH319" s="50"/>
      <c r="AI319" s="50"/>
      <c r="AJ319" s="50"/>
    </row>
    <row r="320" spans="2:36" s="111" customFormat="1" x14ac:dyDescent="0.15">
      <c r="B320" s="114"/>
      <c r="C320" s="114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S320" s="26"/>
      <c r="T320" s="26"/>
      <c r="U320" s="21"/>
      <c r="V320" s="10"/>
      <c r="W320" s="10"/>
      <c r="X320" s="10"/>
      <c r="Y320" s="10"/>
      <c r="Z320" s="10"/>
      <c r="AA320" s="50"/>
      <c r="AB320" s="50"/>
      <c r="AC320" s="50"/>
      <c r="AD320" s="50"/>
      <c r="AE320" s="247"/>
      <c r="AF320" s="247"/>
      <c r="AG320" s="50"/>
      <c r="AH320" s="50"/>
      <c r="AI320" s="50"/>
      <c r="AJ320" s="50"/>
    </row>
    <row r="321" spans="2:36" s="111" customFormat="1" x14ac:dyDescent="0.15">
      <c r="B321" s="114"/>
      <c r="C321" s="114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S321" s="26"/>
      <c r="T321" s="26"/>
      <c r="U321" s="21"/>
      <c r="V321" s="10"/>
      <c r="W321" s="10"/>
      <c r="X321" s="10"/>
      <c r="Y321" s="10"/>
      <c r="Z321" s="10"/>
      <c r="AA321" s="50"/>
      <c r="AB321" s="50"/>
      <c r="AC321" s="50"/>
      <c r="AD321" s="50"/>
      <c r="AE321" s="247"/>
      <c r="AF321" s="247"/>
      <c r="AG321" s="50"/>
      <c r="AH321" s="50"/>
      <c r="AI321" s="50"/>
      <c r="AJ321" s="50"/>
    </row>
    <row r="322" spans="2:36" s="111" customFormat="1" x14ac:dyDescent="0.15">
      <c r="B322" s="114"/>
      <c r="C322" s="114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S322" s="26"/>
      <c r="T322" s="26"/>
      <c r="U322" s="21"/>
      <c r="V322" s="10"/>
      <c r="W322" s="10"/>
      <c r="X322" s="10"/>
      <c r="Y322" s="10"/>
      <c r="Z322" s="10"/>
      <c r="AA322" s="50"/>
      <c r="AB322" s="50"/>
      <c r="AC322" s="50"/>
      <c r="AD322" s="50"/>
      <c r="AE322" s="247"/>
      <c r="AF322" s="247"/>
      <c r="AG322" s="50"/>
      <c r="AH322" s="50"/>
      <c r="AI322" s="50"/>
      <c r="AJ322" s="50"/>
    </row>
    <row r="323" spans="2:36" s="111" customFormat="1" x14ac:dyDescent="0.15">
      <c r="B323" s="114"/>
      <c r="C323" s="114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S323" s="26"/>
      <c r="T323" s="26"/>
      <c r="U323" s="21"/>
      <c r="V323" s="10"/>
      <c r="W323" s="10"/>
      <c r="X323" s="10"/>
      <c r="Y323" s="10"/>
      <c r="Z323" s="10"/>
      <c r="AA323" s="50"/>
      <c r="AB323" s="50"/>
      <c r="AC323" s="50"/>
      <c r="AD323" s="50"/>
      <c r="AE323" s="247"/>
      <c r="AF323" s="247"/>
      <c r="AG323" s="50"/>
      <c r="AH323" s="50"/>
      <c r="AI323" s="50"/>
      <c r="AJ323" s="50"/>
    </row>
    <row r="324" spans="2:36" s="111" customFormat="1" x14ac:dyDescent="0.15">
      <c r="B324" s="114"/>
      <c r="C324" s="114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S324" s="26"/>
      <c r="T324" s="26"/>
      <c r="U324" s="21"/>
      <c r="V324" s="10"/>
      <c r="W324" s="10"/>
      <c r="X324" s="10"/>
      <c r="Y324" s="10"/>
      <c r="Z324" s="10"/>
      <c r="AA324" s="50"/>
      <c r="AB324" s="50"/>
      <c r="AC324" s="50"/>
      <c r="AD324" s="50"/>
      <c r="AE324" s="247"/>
      <c r="AF324" s="247"/>
      <c r="AG324" s="50"/>
      <c r="AH324" s="50"/>
      <c r="AI324" s="50"/>
      <c r="AJ324" s="50"/>
    </row>
    <row r="325" spans="2:36" s="111" customFormat="1" x14ac:dyDescent="0.15">
      <c r="B325" s="114"/>
      <c r="C325" s="114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S325" s="26"/>
      <c r="T325" s="26"/>
      <c r="U325" s="21"/>
      <c r="V325" s="10"/>
      <c r="W325" s="10"/>
      <c r="X325" s="10"/>
      <c r="Y325" s="10"/>
      <c r="Z325" s="10"/>
      <c r="AA325" s="50"/>
      <c r="AB325" s="50"/>
      <c r="AC325" s="50"/>
      <c r="AD325" s="50"/>
      <c r="AE325" s="247"/>
      <c r="AF325" s="247"/>
      <c r="AG325" s="50"/>
      <c r="AH325" s="50"/>
      <c r="AI325" s="50"/>
      <c r="AJ325" s="50"/>
    </row>
    <row r="326" spans="2:36" s="111" customFormat="1" x14ac:dyDescent="0.15">
      <c r="B326" s="114"/>
      <c r="C326" s="114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S326" s="26"/>
      <c r="T326" s="26"/>
      <c r="U326" s="21"/>
      <c r="V326" s="20"/>
      <c r="W326" s="20"/>
      <c r="X326" s="20"/>
      <c r="Y326" s="20"/>
      <c r="Z326" s="20"/>
      <c r="AA326" s="50"/>
      <c r="AB326" s="50"/>
      <c r="AC326" s="50"/>
      <c r="AD326" s="50"/>
      <c r="AE326" s="247"/>
      <c r="AF326" s="247"/>
      <c r="AG326" s="50"/>
      <c r="AH326" s="50"/>
      <c r="AI326" s="50"/>
      <c r="AJ326" s="50"/>
    </row>
    <row r="327" spans="2:36" s="111" customFormat="1" x14ac:dyDescent="0.15">
      <c r="B327" s="114"/>
      <c r="C327" s="114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S327" s="26"/>
      <c r="T327" s="26"/>
      <c r="U327" s="21"/>
      <c r="V327" s="20"/>
      <c r="W327" s="20"/>
      <c r="X327" s="20"/>
      <c r="Y327" s="20"/>
      <c r="Z327" s="20"/>
      <c r="AA327" s="50"/>
      <c r="AB327" s="50"/>
      <c r="AC327" s="50"/>
      <c r="AD327" s="50"/>
      <c r="AE327" s="247"/>
      <c r="AF327" s="247"/>
      <c r="AG327" s="50"/>
      <c r="AH327" s="50"/>
      <c r="AI327" s="50"/>
      <c r="AJ327" s="50"/>
    </row>
    <row r="328" spans="2:36" s="111" customFormat="1" x14ac:dyDescent="0.15">
      <c r="B328" s="114"/>
      <c r="C328" s="114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S328" s="26"/>
      <c r="T328" s="26"/>
      <c r="U328" s="21"/>
      <c r="V328" s="20"/>
      <c r="W328" s="20"/>
      <c r="X328" s="20"/>
      <c r="Y328" s="20"/>
      <c r="Z328" s="20"/>
      <c r="AA328" s="50"/>
      <c r="AB328" s="50"/>
      <c r="AC328" s="50"/>
      <c r="AD328" s="50"/>
      <c r="AE328" s="247"/>
      <c r="AF328" s="247"/>
      <c r="AG328" s="50"/>
      <c r="AH328" s="50"/>
      <c r="AI328" s="50"/>
      <c r="AJ328" s="50"/>
    </row>
    <row r="329" spans="2:36" s="111" customFormat="1" x14ac:dyDescent="0.15">
      <c r="B329" s="114"/>
      <c r="C329" s="114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S329" s="26"/>
      <c r="T329" s="26"/>
      <c r="U329" s="21"/>
      <c r="V329" s="20"/>
      <c r="W329" s="20"/>
      <c r="X329" s="20"/>
      <c r="Y329" s="20"/>
      <c r="Z329" s="20"/>
      <c r="AA329" s="50"/>
      <c r="AB329" s="50"/>
      <c r="AC329" s="50"/>
      <c r="AD329" s="50"/>
      <c r="AE329" s="247"/>
      <c r="AF329" s="247"/>
      <c r="AG329" s="50"/>
      <c r="AH329" s="50"/>
      <c r="AI329" s="50"/>
      <c r="AJ329" s="50"/>
    </row>
    <row r="330" spans="2:36" s="111" customFormat="1" x14ac:dyDescent="0.15">
      <c r="B330" s="114"/>
      <c r="C330" s="114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S330" s="26"/>
      <c r="T330" s="26"/>
      <c r="U330" s="21"/>
      <c r="V330" s="20"/>
      <c r="W330" s="20"/>
      <c r="X330" s="20"/>
      <c r="Y330" s="20"/>
      <c r="Z330" s="20"/>
      <c r="AA330" s="50"/>
      <c r="AB330" s="50"/>
      <c r="AC330" s="50"/>
      <c r="AD330" s="50"/>
      <c r="AE330" s="247"/>
      <c r="AF330" s="247"/>
      <c r="AG330" s="50"/>
      <c r="AH330" s="50"/>
      <c r="AI330" s="50"/>
      <c r="AJ330" s="50"/>
    </row>
    <row r="331" spans="2:36" s="111" customFormat="1" x14ac:dyDescent="0.15">
      <c r="B331" s="114"/>
      <c r="C331" s="114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S331" s="26"/>
      <c r="T331" s="26"/>
      <c r="U331" s="21"/>
      <c r="V331" s="20"/>
      <c r="W331" s="20"/>
      <c r="X331" s="20"/>
      <c r="Y331" s="20"/>
      <c r="Z331" s="20"/>
      <c r="AA331" s="50"/>
      <c r="AB331" s="50"/>
      <c r="AC331" s="50"/>
      <c r="AD331" s="50"/>
      <c r="AE331" s="247"/>
      <c r="AF331" s="247"/>
      <c r="AG331" s="50"/>
      <c r="AH331" s="50"/>
      <c r="AI331" s="50"/>
      <c r="AJ331" s="50"/>
    </row>
    <row r="332" spans="2:36" s="111" customFormat="1" x14ac:dyDescent="0.15">
      <c r="B332" s="114"/>
      <c r="C332" s="114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S332" s="26"/>
      <c r="T332" s="26"/>
      <c r="U332" s="21"/>
      <c r="V332" s="20"/>
      <c r="W332" s="20"/>
      <c r="X332" s="20"/>
      <c r="Y332" s="20"/>
      <c r="Z332" s="20"/>
      <c r="AA332" s="50"/>
      <c r="AB332" s="50"/>
      <c r="AC332" s="50"/>
      <c r="AD332" s="50"/>
      <c r="AE332" s="247"/>
      <c r="AF332" s="247"/>
      <c r="AG332" s="50"/>
      <c r="AH332" s="50"/>
      <c r="AI332" s="50"/>
      <c r="AJ332" s="50"/>
    </row>
    <row r="333" spans="2:36" s="111" customFormat="1" x14ac:dyDescent="0.15">
      <c r="B333" s="114"/>
      <c r="C333" s="114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S333" s="26"/>
      <c r="T333" s="26"/>
      <c r="U333" s="21"/>
      <c r="V333" s="20"/>
      <c r="W333" s="20"/>
      <c r="X333" s="20"/>
      <c r="Y333" s="20"/>
      <c r="Z333" s="20"/>
      <c r="AA333" s="50"/>
      <c r="AB333" s="50"/>
      <c r="AC333" s="50"/>
      <c r="AD333" s="50"/>
      <c r="AE333" s="247"/>
      <c r="AF333" s="247"/>
      <c r="AG333" s="50"/>
      <c r="AH333" s="50"/>
      <c r="AI333" s="50"/>
      <c r="AJ333" s="50"/>
    </row>
    <row r="334" spans="2:36" s="111" customFormat="1" x14ac:dyDescent="0.15">
      <c r="B334" s="114"/>
      <c r="C334" s="114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S334" s="26"/>
      <c r="T334" s="26"/>
      <c r="U334" s="21"/>
      <c r="V334" s="20"/>
      <c r="W334" s="20"/>
      <c r="X334" s="20"/>
      <c r="Y334" s="20"/>
      <c r="Z334" s="20"/>
      <c r="AA334" s="50"/>
      <c r="AB334" s="50"/>
      <c r="AC334" s="50"/>
      <c r="AD334" s="50"/>
      <c r="AE334" s="247"/>
      <c r="AF334" s="247"/>
      <c r="AG334" s="50"/>
      <c r="AH334" s="50"/>
      <c r="AI334" s="50"/>
      <c r="AJ334" s="50"/>
    </row>
    <row r="335" spans="2:36" s="111" customFormat="1" x14ac:dyDescent="0.15">
      <c r="B335" s="114"/>
      <c r="C335" s="114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S335" s="26"/>
      <c r="T335" s="26"/>
      <c r="U335" s="21"/>
      <c r="V335" s="20"/>
      <c r="W335" s="20"/>
      <c r="X335" s="20"/>
      <c r="Y335" s="20"/>
      <c r="Z335" s="20"/>
      <c r="AA335" s="50"/>
      <c r="AB335" s="50"/>
      <c r="AC335" s="50"/>
      <c r="AD335" s="50"/>
      <c r="AE335" s="247"/>
      <c r="AF335" s="247"/>
      <c r="AG335" s="50"/>
      <c r="AH335" s="50"/>
      <c r="AI335" s="50"/>
      <c r="AJ335" s="50"/>
    </row>
    <row r="336" spans="2:36" s="111" customFormat="1" x14ac:dyDescent="0.15">
      <c r="B336" s="114"/>
      <c r="C336" s="114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S336" s="26"/>
      <c r="T336" s="26"/>
      <c r="U336" s="21"/>
      <c r="V336" s="20"/>
      <c r="W336" s="20"/>
      <c r="X336" s="20"/>
      <c r="Y336" s="20"/>
      <c r="Z336" s="20"/>
      <c r="AA336" s="50"/>
      <c r="AB336" s="50"/>
      <c r="AC336" s="50"/>
      <c r="AD336" s="50"/>
      <c r="AE336" s="247"/>
      <c r="AF336" s="247"/>
      <c r="AG336" s="50"/>
      <c r="AH336" s="50"/>
      <c r="AI336" s="50"/>
      <c r="AJ336" s="50"/>
    </row>
    <row r="337" spans="2:36" s="111" customFormat="1" x14ac:dyDescent="0.15">
      <c r="B337" s="114"/>
      <c r="C337" s="114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S337" s="26"/>
      <c r="T337" s="26"/>
      <c r="U337" s="21"/>
      <c r="V337" s="20"/>
      <c r="W337" s="20"/>
      <c r="X337" s="20"/>
      <c r="Y337" s="20"/>
      <c r="Z337" s="20"/>
      <c r="AA337" s="50"/>
      <c r="AB337" s="50"/>
      <c r="AC337" s="50"/>
      <c r="AD337" s="50"/>
      <c r="AE337" s="247"/>
      <c r="AF337" s="247"/>
      <c r="AG337" s="50"/>
      <c r="AH337" s="50"/>
      <c r="AI337" s="50"/>
      <c r="AJ337" s="50"/>
    </row>
    <row r="338" spans="2:36" s="111" customFormat="1" x14ac:dyDescent="0.15">
      <c r="B338" s="114"/>
      <c r="C338" s="114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S338" s="26"/>
      <c r="T338" s="26"/>
      <c r="U338" s="21"/>
      <c r="V338" s="20"/>
      <c r="W338" s="20"/>
      <c r="X338" s="20"/>
      <c r="Y338" s="20"/>
      <c r="Z338" s="20"/>
      <c r="AA338" s="50"/>
      <c r="AB338" s="50"/>
      <c r="AC338" s="50"/>
      <c r="AD338" s="50"/>
      <c r="AE338" s="247"/>
      <c r="AF338" s="247"/>
      <c r="AG338" s="50"/>
      <c r="AH338" s="50"/>
      <c r="AI338" s="50"/>
      <c r="AJ338" s="50"/>
    </row>
    <row r="339" spans="2:36" s="111" customFormat="1" x14ac:dyDescent="0.15">
      <c r="B339" s="114"/>
      <c r="C339" s="114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S339" s="26"/>
      <c r="T339" s="26"/>
      <c r="U339" s="21"/>
      <c r="V339" s="20"/>
      <c r="W339" s="20"/>
      <c r="X339" s="20"/>
      <c r="Y339" s="20"/>
      <c r="Z339" s="20"/>
      <c r="AA339" s="50"/>
      <c r="AB339" s="50"/>
      <c r="AC339" s="50"/>
      <c r="AD339" s="50"/>
      <c r="AE339" s="247"/>
      <c r="AF339" s="247"/>
      <c r="AG339" s="50"/>
      <c r="AH339" s="50"/>
      <c r="AI339" s="50"/>
      <c r="AJ339" s="50"/>
    </row>
    <row r="340" spans="2:36" s="111" customFormat="1" x14ac:dyDescent="0.15">
      <c r="B340" s="114"/>
      <c r="C340" s="114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S340" s="26"/>
      <c r="T340" s="26"/>
      <c r="U340" s="21"/>
      <c r="V340" s="20"/>
      <c r="W340" s="20"/>
      <c r="X340" s="20"/>
      <c r="Y340" s="20"/>
      <c r="Z340" s="20"/>
      <c r="AA340" s="50"/>
      <c r="AB340" s="50"/>
      <c r="AC340" s="50"/>
      <c r="AD340" s="50"/>
      <c r="AE340" s="247"/>
      <c r="AF340" s="247"/>
      <c r="AG340" s="50"/>
      <c r="AH340" s="50"/>
      <c r="AI340" s="50"/>
      <c r="AJ340" s="50"/>
    </row>
    <row r="341" spans="2:36" s="111" customFormat="1" x14ac:dyDescent="0.15">
      <c r="B341" s="114"/>
      <c r="C341" s="114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S341" s="26"/>
      <c r="T341" s="26"/>
      <c r="U341" s="21"/>
      <c r="V341" s="20"/>
      <c r="W341" s="20"/>
      <c r="X341" s="20"/>
      <c r="Y341" s="20"/>
      <c r="Z341" s="20"/>
      <c r="AA341" s="50"/>
      <c r="AB341" s="50"/>
      <c r="AC341" s="50"/>
      <c r="AD341" s="50"/>
      <c r="AE341" s="247"/>
      <c r="AF341" s="247"/>
      <c r="AG341" s="50"/>
      <c r="AH341" s="50"/>
      <c r="AI341" s="50"/>
      <c r="AJ341" s="50"/>
    </row>
    <row r="342" spans="2:36" s="111" customFormat="1" x14ac:dyDescent="0.15">
      <c r="B342" s="114"/>
      <c r="C342" s="114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S342" s="26"/>
      <c r="T342" s="26"/>
      <c r="U342" s="21"/>
      <c r="V342" s="20"/>
      <c r="W342" s="20"/>
      <c r="X342" s="20"/>
      <c r="Y342" s="20"/>
      <c r="Z342" s="20"/>
      <c r="AA342" s="50"/>
      <c r="AB342" s="50"/>
      <c r="AC342" s="50"/>
      <c r="AD342" s="50"/>
      <c r="AE342" s="247"/>
      <c r="AF342" s="247"/>
      <c r="AG342" s="50"/>
      <c r="AH342" s="50"/>
      <c r="AI342" s="50"/>
      <c r="AJ342" s="50"/>
    </row>
    <row r="343" spans="2:36" s="111" customFormat="1" x14ac:dyDescent="0.15">
      <c r="B343" s="114"/>
      <c r="C343" s="114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S343" s="26"/>
      <c r="T343" s="26"/>
      <c r="U343" s="21"/>
      <c r="V343" s="20"/>
      <c r="W343" s="20"/>
      <c r="X343" s="20"/>
      <c r="Y343" s="20"/>
      <c r="Z343" s="20"/>
      <c r="AA343" s="50"/>
      <c r="AB343" s="50"/>
      <c r="AC343" s="50"/>
      <c r="AD343" s="50"/>
      <c r="AE343" s="247"/>
      <c r="AF343" s="247"/>
      <c r="AG343" s="50"/>
      <c r="AH343" s="50"/>
      <c r="AI343" s="50"/>
      <c r="AJ343" s="50"/>
    </row>
    <row r="344" spans="2:36" s="111" customFormat="1" x14ac:dyDescent="0.15">
      <c r="B344" s="114"/>
      <c r="C344" s="114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S344" s="26"/>
      <c r="T344" s="26"/>
      <c r="U344" s="21"/>
      <c r="V344" s="20"/>
      <c r="W344" s="20"/>
      <c r="X344" s="20"/>
      <c r="Y344" s="20"/>
      <c r="Z344" s="20"/>
      <c r="AA344" s="50"/>
      <c r="AB344" s="50"/>
      <c r="AC344" s="50"/>
      <c r="AD344" s="50"/>
      <c r="AE344" s="247"/>
      <c r="AF344" s="247"/>
      <c r="AG344" s="50"/>
      <c r="AH344" s="50"/>
      <c r="AI344" s="50"/>
      <c r="AJ344" s="50"/>
    </row>
    <row r="345" spans="2:36" s="111" customFormat="1" x14ac:dyDescent="0.15">
      <c r="B345" s="114"/>
      <c r="C345" s="114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S345" s="26"/>
      <c r="T345" s="26"/>
      <c r="U345" s="21"/>
      <c r="V345" s="20"/>
      <c r="W345" s="20"/>
      <c r="X345" s="20"/>
      <c r="Y345" s="20"/>
      <c r="Z345" s="20"/>
      <c r="AA345" s="50"/>
      <c r="AB345" s="50"/>
      <c r="AC345" s="50"/>
      <c r="AD345" s="50"/>
      <c r="AE345" s="247"/>
      <c r="AF345" s="247"/>
      <c r="AG345" s="50"/>
      <c r="AH345" s="50"/>
      <c r="AI345" s="50"/>
      <c r="AJ345" s="50"/>
    </row>
    <row r="346" spans="2:36" s="111" customFormat="1" x14ac:dyDescent="0.15">
      <c r="B346" s="114"/>
      <c r="C346" s="114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S346" s="26"/>
      <c r="T346" s="26"/>
      <c r="U346" s="21"/>
      <c r="V346" s="20"/>
      <c r="W346" s="20"/>
      <c r="X346" s="20"/>
      <c r="Y346" s="20"/>
      <c r="Z346" s="20"/>
      <c r="AA346" s="50"/>
      <c r="AB346" s="50"/>
      <c r="AC346" s="50"/>
      <c r="AD346" s="50"/>
      <c r="AE346" s="247"/>
      <c r="AF346" s="247"/>
      <c r="AG346" s="50"/>
      <c r="AH346" s="50"/>
      <c r="AI346" s="50"/>
      <c r="AJ346" s="50"/>
    </row>
    <row r="347" spans="2:36" s="111" customFormat="1" x14ac:dyDescent="0.15">
      <c r="B347" s="114"/>
      <c r="C347" s="114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S347" s="26"/>
      <c r="T347" s="26"/>
      <c r="U347" s="21"/>
      <c r="V347" s="20"/>
      <c r="W347" s="20"/>
      <c r="X347" s="20"/>
      <c r="Y347" s="20"/>
      <c r="Z347" s="20"/>
      <c r="AA347" s="50"/>
      <c r="AB347" s="50"/>
      <c r="AC347" s="50"/>
      <c r="AD347" s="50"/>
      <c r="AE347" s="247"/>
      <c r="AF347" s="247"/>
      <c r="AG347" s="50"/>
      <c r="AH347" s="50"/>
      <c r="AI347" s="50"/>
      <c r="AJ347" s="50"/>
    </row>
    <row r="348" spans="2:36" s="111" customFormat="1" x14ac:dyDescent="0.15">
      <c r="B348" s="114"/>
      <c r="C348" s="114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S348" s="26"/>
      <c r="T348" s="26"/>
      <c r="U348" s="21"/>
      <c r="V348" s="20"/>
      <c r="W348" s="20"/>
      <c r="X348" s="20"/>
      <c r="Y348" s="20"/>
      <c r="Z348" s="20"/>
      <c r="AA348" s="50"/>
      <c r="AB348" s="50"/>
      <c r="AC348" s="50"/>
      <c r="AD348" s="50"/>
      <c r="AE348" s="247"/>
      <c r="AF348" s="247"/>
      <c r="AG348" s="50"/>
      <c r="AH348" s="50"/>
      <c r="AI348" s="50"/>
      <c r="AJ348" s="50"/>
    </row>
    <row r="349" spans="2:36" s="111" customFormat="1" x14ac:dyDescent="0.15">
      <c r="B349" s="114"/>
      <c r="C349" s="114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S349" s="26"/>
      <c r="T349" s="26"/>
      <c r="U349" s="21"/>
      <c r="V349" s="20"/>
      <c r="W349" s="20"/>
      <c r="X349" s="20"/>
      <c r="Y349" s="20"/>
      <c r="Z349" s="20"/>
      <c r="AA349" s="50"/>
      <c r="AB349" s="50"/>
      <c r="AC349" s="50"/>
      <c r="AD349" s="50"/>
      <c r="AE349" s="247"/>
      <c r="AF349" s="247"/>
      <c r="AG349" s="50"/>
      <c r="AH349" s="50"/>
      <c r="AI349" s="50"/>
      <c r="AJ349" s="50"/>
    </row>
    <row r="350" spans="2:36" s="111" customFormat="1" x14ac:dyDescent="0.15">
      <c r="B350" s="114"/>
      <c r="C350" s="114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S350" s="26"/>
      <c r="T350" s="26"/>
      <c r="U350" s="21"/>
      <c r="V350" s="20"/>
      <c r="W350" s="20"/>
      <c r="X350" s="20"/>
      <c r="Y350" s="20"/>
      <c r="Z350" s="20"/>
      <c r="AA350" s="50"/>
      <c r="AB350" s="50"/>
      <c r="AC350" s="50"/>
      <c r="AD350" s="50"/>
      <c r="AE350" s="247"/>
      <c r="AF350" s="247"/>
      <c r="AG350" s="50"/>
      <c r="AH350" s="50"/>
      <c r="AI350" s="50"/>
      <c r="AJ350" s="50"/>
    </row>
    <row r="351" spans="2:36" s="111" customFormat="1" x14ac:dyDescent="0.15">
      <c r="B351" s="114"/>
      <c r="C351" s="114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S351" s="26"/>
      <c r="T351" s="26"/>
      <c r="U351" s="21"/>
      <c r="V351" s="20"/>
      <c r="W351" s="20"/>
      <c r="X351" s="20"/>
      <c r="Y351" s="20"/>
      <c r="Z351" s="20"/>
      <c r="AA351" s="50"/>
      <c r="AB351" s="50"/>
      <c r="AC351" s="50"/>
      <c r="AD351" s="50"/>
      <c r="AE351" s="247"/>
      <c r="AF351" s="247"/>
      <c r="AG351" s="50"/>
      <c r="AH351" s="50"/>
      <c r="AI351" s="50"/>
      <c r="AJ351" s="50"/>
    </row>
    <row r="352" spans="2:36" s="111" customFormat="1" x14ac:dyDescent="0.15">
      <c r="B352" s="114"/>
      <c r="C352" s="114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S352" s="26"/>
      <c r="T352" s="26"/>
      <c r="U352" s="21"/>
      <c r="V352" s="20"/>
      <c r="W352" s="20"/>
      <c r="X352" s="20"/>
      <c r="Y352" s="20"/>
      <c r="Z352" s="20"/>
      <c r="AA352" s="50"/>
      <c r="AB352" s="50"/>
      <c r="AC352" s="50"/>
      <c r="AD352" s="50"/>
      <c r="AE352" s="247"/>
      <c r="AF352" s="247"/>
      <c r="AG352" s="50"/>
      <c r="AH352" s="50"/>
      <c r="AI352" s="50"/>
      <c r="AJ352" s="50"/>
    </row>
    <row r="353" spans="2:36" s="111" customFormat="1" x14ac:dyDescent="0.15">
      <c r="B353" s="114"/>
      <c r="C353" s="114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S353" s="26"/>
      <c r="T353" s="26"/>
      <c r="U353" s="21"/>
      <c r="V353" s="20"/>
      <c r="W353" s="20"/>
      <c r="X353" s="20"/>
      <c r="Y353" s="20"/>
      <c r="Z353" s="20"/>
      <c r="AA353" s="50"/>
      <c r="AB353" s="50"/>
      <c r="AC353" s="50"/>
      <c r="AD353" s="50"/>
      <c r="AE353" s="247"/>
      <c r="AF353" s="247"/>
      <c r="AG353" s="50"/>
      <c r="AH353" s="50"/>
      <c r="AI353" s="50"/>
      <c r="AJ353" s="50"/>
    </row>
    <row r="354" spans="2:36" s="111" customFormat="1" x14ac:dyDescent="0.15">
      <c r="B354" s="114"/>
      <c r="C354" s="114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S354" s="26"/>
      <c r="T354" s="26"/>
      <c r="U354" s="21"/>
      <c r="V354" s="20"/>
      <c r="W354" s="20"/>
      <c r="X354" s="20"/>
      <c r="Y354" s="20"/>
      <c r="Z354" s="20"/>
      <c r="AA354" s="50"/>
      <c r="AB354" s="50"/>
      <c r="AC354" s="50"/>
      <c r="AD354" s="50"/>
      <c r="AE354" s="247"/>
      <c r="AF354" s="247"/>
      <c r="AG354" s="50"/>
      <c r="AH354" s="50"/>
      <c r="AI354" s="50"/>
      <c r="AJ354" s="50"/>
    </row>
    <row r="355" spans="2:36" s="111" customFormat="1" x14ac:dyDescent="0.15">
      <c r="B355" s="114"/>
      <c r="C355" s="114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S355" s="26"/>
      <c r="T355" s="26"/>
      <c r="U355" s="21"/>
      <c r="V355" s="20"/>
      <c r="W355" s="20"/>
      <c r="X355" s="20"/>
      <c r="Y355" s="20"/>
      <c r="Z355" s="20"/>
      <c r="AA355" s="50"/>
      <c r="AB355" s="50"/>
      <c r="AC355" s="50"/>
      <c r="AD355" s="50"/>
      <c r="AE355" s="247"/>
      <c r="AF355" s="247"/>
      <c r="AG355" s="50"/>
      <c r="AH355" s="50"/>
      <c r="AI355" s="50"/>
      <c r="AJ355" s="50"/>
    </row>
    <row r="356" spans="2:36" s="111" customFormat="1" x14ac:dyDescent="0.15">
      <c r="B356" s="114"/>
      <c r="C356" s="114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S356" s="26"/>
      <c r="T356" s="26"/>
      <c r="U356" s="21"/>
      <c r="V356" s="20"/>
      <c r="W356" s="20"/>
      <c r="X356" s="20"/>
      <c r="Y356" s="20"/>
      <c r="Z356" s="20"/>
      <c r="AA356" s="50"/>
      <c r="AB356" s="50"/>
      <c r="AC356" s="50"/>
      <c r="AD356" s="50"/>
      <c r="AE356" s="247"/>
      <c r="AF356" s="247"/>
      <c r="AG356" s="50"/>
      <c r="AH356" s="50"/>
      <c r="AI356" s="50"/>
      <c r="AJ356" s="50"/>
    </row>
    <row r="357" spans="2:36" s="111" customFormat="1" x14ac:dyDescent="0.15">
      <c r="B357" s="114"/>
      <c r="C357" s="114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S357" s="26"/>
      <c r="T357" s="26"/>
      <c r="U357" s="21"/>
      <c r="V357" s="20"/>
      <c r="W357" s="20"/>
      <c r="X357" s="20"/>
      <c r="Y357" s="20"/>
      <c r="Z357" s="20"/>
      <c r="AA357" s="50"/>
      <c r="AB357" s="50"/>
      <c r="AC357" s="50"/>
      <c r="AD357" s="50"/>
      <c r="AE357" s="247"/>
      <c r="AF357" s="247"/>
      <c r="AG357" s="50"/>
      <c r="AH357" s="50"/>
      <c r="AI357" s="50"/>
      <c r="AJ357" s="50"/>
    </row>
    <row r="358" spans="2:36" s="111" customFormat="1" x14ac:dyDescent="0.15">
      <c r="B358" s="114"/>
      <c r="C358" s="114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S358" s="26"/>
      <c r="T358" s="26"/>
      <c r="U358" s="21"/>
      <c r="V358" s="20"/>
      <c r="W358" s="20"/>
      <c r="X358" s="20"/>
      <c r="Y358" s="20"/>
      <c r="Z358" s="20"/>
      <c r="AA358" s="50"/>
      <c r="AB358" s="50"/>
      <c r="AC358" s="50"/>
      <c r="AD358" s="50"/>
      <c r="AE358" s="247"/>
      <c r="AF358" s="247"/>
      <c r="AG358" s="50"/>
      <c r="AH358" s="50"/>
      <c r="AI358" s="50"/>
      <c r="AJ358" s="50"/>
    </row>
    <row r="359" spans="2:36" s="111" customFormat="1" x14ac:dyDescent="0.15">
      <c r="B359" s="114"/>
      <c r="C359" s="114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S359" s="26"/>
      <c r="T359" s="26"/>
      <c r="U359" s="21"/>
      <c r="V359" s="20"/>
      <c r="W359" s="20"/>
      <c r="X359" s="20"/>
      <c r="Y359" s="20"/>
      <c r="Z359" s="20"/>
      <c r="AA359" s="50"/>
      <c r="AB359" s="50"/>
      <c r="AC359" s="50"/>
      <c r="AD359" s="50"/>
      <c r="AE359" s="247"/>
      <c r="AF359" s="247"/>
      <c r="AG359" s="50"/>
      <c r="AH359" s="50"/>
      <c r="AI359" s="50"/>
      <c r="AJ359" s="50"/>
    </row>
    <row r="360" spans="2:36" s="111" customFormat="1" x14ac:dyDescent="0.15">
      <c r="B360" s="114"/>
      <c r="C360" s="114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S360" s="26"/>
      <c r="T360" s="26"/>
      <c r="U360" s="21"/>
      <c r="V360" s="20"/>
      <c r="W360" s="20"/>
      <c r="X360" s="20"/>
      <c r="Y360" s="20"/>
      <c r="Z360" s="20"/>
      <c r="AA360" s="50"/>
      <c r="AB360" s="50"/>
      <c r="AC360" s="50"/>
      <c r="AD360" s="50"/>
      <c r="AE360" s="247"/>
      <c r="AF360" s="247"/>
      <c r="AG360" s="50"/>
      <c r="AH360" s="50"/>
      <c r="AI360" s="50"/>
      <c r="AJ360" s="50"/>
    </row>
    <row r="361" spans="2:36" s="111" customFormat="1" x14ac:dyDescent="0.15">
      <c r="B361" s="114"/>
      <c r="C361" s="114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S361" s="26"/>
      <c r="T361" s="26"/>
      <c r="U361" s="21"/>
      <c r="V361" s="20"/>
      <c r="W361" s="20"/>
      <c r="X361" s="20"/>
      <c r="Y361" s="20"/>
      <c r="Z361" s="20"/>
      <c r="AA361" s="50"/>
      <c r="AB361" s="50"/>
      <c r="AC361" s="50"/>
      <c r="AD361" s="50"/>
      <c r="AE361" s="247"/>
      <c r="AF361" s="247"/>
      <c r="AG361" s="50"/>
      <c r="AH361" s="50"/>
      <c r="AI361" s="50"/>
      <c r="AJ361" s="50"/>
    </row>
    <row r="362" spans="2:36" s="111" customFormat="1" x14ac:dyDescent="0.15">
      <c r="B362" s="114"/>
      <c r="C362" s="114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S362" s="26"/>
      <c r="T362" s="26"/>
      <c r="U362" s="21"/>
      <c r="V362" s="20"/>
      <c r="W362" s="20"/>
      <c r="X362" s="20"/>
      <c r="Y362" s="20"/>
      <c r="Z362" s="20"/>
      <c r="AA362" s="50"/>
      <c r="AB362" s="50"/>
      <c r="AC362" s="50"/>
      <c r="AD362" s="50"/>
      <c r="AE362" s="247"/>
      <c r="AF362" s="247"/>
      <c r="AG362" s="50"/>
      <c r="AH362" s="50"/>
      <c r="AI362" s="50"/>
      <c r="AJ362" s="50"/>
    </row>
    <row r="363" spans="2:36" s="111" customFormat="1" x14ac:dyDescent="0.15">
      <c r="B363" s="114"/>
      <c r="C363" s="114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S363" s="26"/>
      <c r="T363" s="26"/>
      <c r="U363" s="21"/>
      <c r="V363" s="20"/>
      <c r="W363" s="20"/>
      <c r="X363" s="20"/>
      <c r="Y363" s="20"/>
      <c r="Z363" s="20"/>
      <c r="AA363" s="50"/>
      <c r="AB363" s="50"/>
      <c r="AC363" s="50"/>
      <c r="AD363" s="50"/>
      <c r="AE363" s="247"/>
      <c r="AF363" s="247"/>
      <c r="AG363" s="50"/>
      <c r="AH363" s="50"/>
      <c r="AI363" s="50"/>
      <c r="AJ363" s="50"/>
    </row>
    <row r="364" spans="2:36" s="111" customFormat="1" x14ac:dyDescent="0.15">
      <c r="B364" s="114"/>
      <c r="C364" s="114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S364" s="26"/>
      <c r="T364" s="26"/>
      <c r="U364" s="21"/>
      <c r="V364" s="20"/>
      <c r="W364" s="20"/>
      <c r="X364" s="20"/>
      <c r="Y364" s="20"/>
      <c r="Z364" s="20"/>
      <c r="AA364" s="50"/>
      <c r="AB364" s="50"/>
      <c r="AC364" s="50"/>
      <c r="AD364" s="50"/>
      <c r="AE364" s="247"/>
      <c r="AF364" s="247"/>
      <c r="AG364" s="50"/>
      <c r="AH364" s="50"/>
      <c r="AI364" s="50"/>
      <c r="AJ364" s="50"/>
    </row>
    <row r="365" spans="2:36" s="111" customFormat="1" x14ac:dyDescent="0.15">
      <c r="B365" s="114"/>
      <c r="C365" s="114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S365" s="26"/>
      <c r="T365" s="26"/>
      <c r="U365" s="21"/>
      <c r="V365" s="20"/>
      <c r="W365" s="20"/>
      <c r="X365" s="20"/>
      <c r="Y365" s="20"/>
      <c r="Z365" s="20"/>
      <c r="AA365" s="50"/>
      <c r="AB365" s="50"/>
      <c r="AC365" s="50"/>
      <c r="AD365" s="50"/>
      <c r="AE365" s="247"/>
      <c r="AF365" s="247"/>
      <c r="AG365" s="50"/>
      <c r="AH365" s="50"/>
      <c r="AI365" s="50"/>
      <c r="AJ365" s="50"/>
    </row>
    <row r="366" spans="2:36" s="111" customFormat="1" x14ac:dyDescent="0.15">
      <c r="B366" s="114"/>
      <c r="C366" s="114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S366" s="26"/>
      <c r="T366" s="26"/>
      <c r="U366" s="21"/>
      <c r="V366" s="20"/>
      <c r="W366" s="20"/>
      <c r="X366" s="20"/>
      <c r="Y366" s="20"/>
      <c r="Z366" s="20"/>
      <c r="AA366" s="50"/>
      <c r="AB366" s="50"/>
      <c r="AC366" s="50"/>
      <c r="AD366" s="50"/>
      <c r="AE366" s="247"/>
      <c r="AF366" s="247"/>
      <c r="AG366" s="50"/>
      <c r="AH366" s="50"/>
      <c r="AI366" s="50"/>
      <c r="AJ366" s="50"/>
    </row>
    <row r="367" spans="2:36" s="111" customFormat="1" x14ac:dyDescent="0.15">
      <c r="B367" s="114"/>
      <c r="C367" s="114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S367" s="26"/>
      <c r="T367" s="26"/>
      <c r="U367" s="21"/>
      <c r="V367" s="20"/>
      <c r="W367" s="20"/>
      <c r="X367" s="20"/>
      <c r="Y367" s="20"/>
      <c r="Z367" s="20"/>
      <c r="AA367" s="50"/>
      <c r="AB367" s="50"/>
      <c r="AC367" s="50"/>
      <c r="AD367" s="50"/>
      <c r="AE367" s="247"/>
      <c r="AF367" s="247"/>
      <c r="AG367" s="50"/>
      <c r="AH367" s="50"/>
      <c r="AI367" s="50"/>
      <c r="AJ367" s="50"/>
    </row>
    <row r="368" spans="2:36" s="111" customFormat="1" x14ac:dyDescent="0.15">
      <c r="B368" s="114"/>
      <c r="C368" s="114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S368" s="26"/>
      <c r="T368" s="26"/>
      <c r="U368" s="21"/>
      <c r="V368" s="20"/>
      <c r="W368" s="20"/>
      <c r="X368" s="20"/>
      <c r="Y368" s="20"/>
      <c r="Z368" s="20"/>
      <c r="AA368" s="50"/>
      <c r="AB368" s="50"/>
      <c r="AC368" s="50"/>
      <c r="AD368" s="50"/>
      <c r="AE368" s="247"/>
      <c r="AF368" s="247"/>
      <c r="AG368" s="50"/>
      <c r="AH368" s="50"/>
      <c r="AI368" s="50"/>
      <c r="AJ368" s="50"/>
    </row>
    <row r="369" spans="2:36" s="111" customFormat="1" x14ac:dyDescent="0.15">
      <c r="B369" s="114"/>
      <c r="C369" s="114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S369" s="26"/>
      <c r="T369" s="26"/>
      <c r="U369" s="21"/>
      <c r="V369" s="20"/>
      <c r="W369" s="20"/>
      <c r="X369" s="20"/>
      <c r="Y369" s="20"/>
      <c r="Z369" s="20"/>
      <c r="AA369" s="50"/>
      <c r="AB369" s="50"/>
      <c r="AC369" s="50"/>
      <c r="AD369" s="50"/>
      <c r="AE369" s="247"/>
      <c r="AF369" s="247"/>
      <c r="AG369" s="50"/>
      <c r="AH369" s="50"/>
      <c r="AI369" s="50"/>
      <c r="AJ369" s="50"/>
    </row>
    <row r="370" spans="2:36" s="111" customFormat="1" x14ac:dyDescent="0.15">
      <c r="B370" s="114"/>
      <c r="C370" s="114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S370" s="26"/>
      <c r="T370" s="26"/>
      <c r="U370" s="21"/>
      <c r="V370" s="20"/>
      <c r="W370" s="20"/>
      <c r="X370" s="20"/>
      <c r="Y370" s="20"/>
      <c r="Z370" s="20"/>
      <c r="AA370" s="50"/>
      <c r="AB370" s="50"/>
      <c r="AC370" s="50"/>
      <c r="AD370" s="50"/>
      <c r="AE370" s="247"/>
      <c r="AF370" s="247"/>
      <c r="AG370" s="50"/>
      <c r="AH370" s="50"/>
      <c r="AI370" s="50"/>
      <c r="AJ370" s="50"/>
    </row>
    <row r="371" spans="2:36" s="111" customFormat="1" x14ac:dyDescent="0.15">
      <c r="B371" s="114"/>
      <c r="C371" s="114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S371" s="26"/>
      <c r="T371" s="26"/>
      <c r="U371" s="21"/>
      <c r="V371" s="20"/>
      <c r="W371" s="20"/>
      <c r="X371" s="20"/>
      <c r="Y371" s="20"/>
      <c r="Z371" s="20"/>
      <c r="AA371" s="50"/>
      <c r="AB371" s="50"/>
      <c r="AC371" s="50"/>
      <c r="AD371" s="50"/>
      <c r="AE371" s="247"/>
      <c r="AF371" s="247"/>
      <c r="AG371" s="50"/>
      <c r="AH371" s="50"/>
      <c r="AI371" s="50"/>
      <c r="AJ371" s="50"/>
    </row>
    <row r="372" spans="2:36" s="111" customFormat="1" x14ac:dyDescent="0.15">
      <c r="B372" s="114"/>
      <c r="C372" s="114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S372" s="26"/>
      <c r="T372" s="26"/>
      <c r="U372" s="21"/>
      <c r="V372" s="20"/>
      <c r="W372" s="20"/>
      <c r="X372" s="20"/>
      <c r="Y372" s="20"/>
      <c r="Z372" s="20"/>
      <c r="AA372" s="50"/>
      <c r="AB372" s="50"/>
      <c r="AC372" s="50"/>
      <c r="AD372" s="50"/>
      <c r="AE372" s="247"/>
      <c r="AF372" s="247"/>
      <c r="AG372" s="50"/>
      <c r="AH372" s="50"/>
      <c r="AI372" s="50"/>
      <c r="AJ372" s="50"/>
    </row>
    <row r="373" spans="2:36" s="111" customFormat="1" x14ac:dyDescent="0.15">
      <c r="B373" s="114"/>
      <c r="C373" s="114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S373" s="26"/>
      <c r="T373" s="26"/>
      <c r="U373" s="21"/>
      <c r="V373" s="20"/>
      <c r="W373" s="20"/>
      <c r="X373" s="20"/>
      <c r="Y373" s="20"/>
      <c r="Z373" s="20"/>
      <c r="AA373" s="50"/>
      <c r="AB373" s="50"/>
      <c r="AC373" s="50"/>
      <c r="AD373" s="50"/>
      <c r="AE373" s="247"/>
      <c r="AF373" s="247"/>
      <c r="AG373" s="50"/>
      <c r="AH373" s="50"/>
      <c r="AI373" s="50"/>
      <c r="AJ373" s="50"/>
    </row>
    <row r="374" spans="2:36" s="111" customFormat="1" x14ac:dyDescent="0.15">
      <c r="B374" s="114"/>
      <c r="C374" s="114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S374" s="26"/>
      <c r="T374" s="26"/>
      <c r="U374" s="21"/>
      <c r="V374" s="20"/>
      <c r="W374" s="20"/>
      <c r="X374" s="20"/>
      <c r="Y374" s="20"/>
      <c r="Z374" s="20"/>
      <c r="AA374" s="50"/>
      <c r="AB374" s="50"/>
      <c r="AC374" s="50"/>
      <c r="AD374" s="50"/>
      <c r="AE374" s="247"/>
      <c r="AF374" s="247"/>
      <c r="AG374" s="50"/>
      <c r="AH374" s="50"/>
      <c r="AI374" s="50"/>
      <c r="AJ374" s="50"/>
    </row>
    <row r="375" spans="2:36" s="111" customFormat="1" x14ac:dyDescent="0.15">
      <c r="B375" s="114"/>
      <c r="C375" s="114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S375" s="26"/>
      <c r="T375" s="26"/>
      <c r="U375" s="21"/>
      <c r="V375" s="20"/>
      <c r="W375" s="20"/>
      <c r="X375" s="20"/>
      <c r="Y375" s="20"/>
      <c r="Z375" s="20"/>
      <c r="AA375" s="50"/>
      <c r="AB375" s="50"/>
      <c r="AC375" s="50"/>
      <c r="AD375" s="50"/>
      <c r="AE375" s="247"/>
      <c r="AF375" s="247"/>
      <c r="AG375" s="50"/>
      <c r="AH375" s="50"/>
      <c r="AI375" s="50"/>
      <c r="AJ375" s="50"/>
    </row>
    <row r="376" spans="2:36" s="111" customFormat="1" x14ac:dyDescent="0.15">
      <c r="B376" s="114"/>
      <c r="C376" s="114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S376" s="26"/>
      <c r="T376" s="26"/>
      <c r="U376" s="21"/>
      <c r="V376" s="20"/>
      <c r="W376" s="20"/>
      <c r="X376" s="20"/>
      <c r="Y376" s="20"/>
      <c r="Z376" s="20"/>
      <c r="AA376" s="50"/>
      <c r="AB376" s="50"/>
      <c r="AC376" s="50"/>
      <c r="AD376" s="50"/>
      <c r="AE376" s="247"/>
      <c r="AF376" s="247"/>
      <c r="AG376" s="50"/>
      <c r="AH376" s="50"/>
      <c r="AI376" s="50"/>
      <c r="AJ376" s="50"/>
    </row>
    <row r="377" spans="2:36" s="111" customFormat="1" x14ac:dyDescent="0.15">
      <c r="B377" s="114"/>
      <c r="C377" s="114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S377" s="26"/>
      <c r="T377" s="26"/>
      <c r="U377" s="21"/>
      <c r="V377" s="20"/>
      <c r="W377" s="20"/>
      <c r="X377" s="20"/>
      <c r="Y377" s="20"/>
      <c r="Z377" s="20"/>
      <c r="AA377" s="50"/>
      <c r="AB377" s="50"/>
      <c r="AC377" s="50"/>
      <c r="AD377" s="50"/>
      <c r="AE377" s="247"/>
      <c r="AF377" s="247"/>
      <c r="AG377" s="50"/>
      <c r="AH377" s="50"/>
      <c r="AI377" s="50"/>
      <c r="AJ377" s="50"/>
    </row>
    <row r="378" spans="2:36" s="111" customFormat="1" x14ac:dyDescent="0.15">
      <c r="B378" s="114"/>
      <c r="C378" s="114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S378" s="26"/>
      <c r="T378" s="26"/>
      <c r="U378" s="21"/>
      <c r="V378" s="20"/>
      <c r="W378" s="20"/>
      <c r="X378" s="20"/>
      <c r="Y378" s="20"/>
      <c r="Z378" s="20"/>
      <c r="AA378" s="50"/>
      <c r="AB378" s="50"/>
      <c r="AC378" s="50"/>
      <c r="AD378" s="50"/>
      <c r="AE378" s="247"/>
      <c r="AF378" s="247"/>
      <c r="AG378" s="50"/>
      <c r="AH378" s="50"/>
      <c r="AI378" s="50"/>
      <c r="AJ378" s="50"/>
    </row>
    <row r="379" spans="2:36" s="111" customFormat="1" x14ac:dyDescent="0.15">
      <c r="B379" s="114"/>
      <c r="C379" s="114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S379" s="26"/>
      <c r="T379" s="26"/>
      <c r="U379" s="21"/>
      <c r="V379" s="20"/>
      <c r="W379" s="20"/>
      <c r="X379" s="20"/>
      <c r="Y379" s="20"/>
      <c r="Z379" s="20"/>
      <c r="AA379" s="50"/>
      <c r="AB379" s="50"/>
      <c r="AC379" s="50"/>
      <c r="AD379" s="50"/>
      <c r="AE379" s="247"/>
      <c r="AF379" s="247"/>
      <c r="AG379" s="50"/>
      <c r="AH379" s="50"/>
      <c r="AI379" s="50"/>
      <c r="AJ379" s="50"/>
    </row>
    <row r="380" spans="2:36" s="111" customFormat="1" x14ac:dyDescent="0.15">
      <c r="B380" s="114"/>
      <c r="C380" s="114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S380" s="26"/>
      <c r="T380" s="26"/>
      <c r="U380" s="21"/>
      <c r="V380" s="20"/>
      <c r="W380" s="20"/>
      <c r="X380" s="20"/>
      <c r="Y380" s="20"/>
      <c r="Z380" s="20"/>
      <c r="AA380" s="50"/>
      <c r="AB380" s="50"/>
      <c r="AC380" s="50"/>
      <c r="AD380" s="50"/>
      <c r="AE380" s="247"/>
      <c r="AF380" s="247"/>
      <c r="AG380" s="50"/>
      <c r="AH380" s="50"/>
      <c r="AI380" s="50"/>
      <c r="AJ380" s="50"/>
    </row>
    <row r="381" spans="2:36" s="111" customFormat="1" x14ac:dyDescent="0.15">
      <c r="B381" s="114"/>
      <c r="C381" s="114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S381" s="26"/>
      <c r="T381" s="26"/>
      <c r="U381" s="21"/>
      <c r="V381" s="20"/>
      <c r="W381" s="20"/>
      <c r="X381" s="20"/>
      <c r="Y381" s="20"/>
      <c r="Z381" s="20"/>
      <c r="AA381" s="50"/>
      <c r="AB381" s="50"/>
      <c r="AC381" s="50"/>
      <c r="AD381" s="50"/>
      <c r="AE381" s="247"/>
      <c r="AF381" s="247"/>
      <c r="AG381" s="50"/>
      <c r="AH381" s="50"/>
      <c r="AI381" s="50"/>
      <c r="AJ381" s="50"/>
    </row>
    <row r="382" spans="2:36" s="111" customFormat="1" x14ac:dyDescent="0.15">
      <c r="B382" s="114"/>
      <c r="C382" s="114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S382" s="26"/>
      <c r="T382" s="26"/>
      <c r="U382" s="21"/>
      <c r="V382" s="20"/>
      <c r="W382" s="20"/>
      <c r="X382" s="20"/>
      <c r="Y382" s="20"/>
      <c r="Z382" s="20"/>
      <c r="AA382" s="50"/>
      <c r="AB382" s="50"/>
      <c r="AC382" s="50"/>
      <c r="AD382" s="50"/>
      <c r="AE382" s="247"/>
      <c r="AF382" s="247"/>
      <c r="AG382" s="50"/>
      <c r="AH382" s="50"/>
      <c r="AI382" s="50"/>
      <c r="AJ382" s="50"/>
    </row>
    <row r="383" spans="2:36" s="111" customFormat="1" x14ac:dyDescent="0.15">
      <c r="B383" s="114"/>
      <c r="C383" s="114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S383" s="26"/>
      <c r="T383" s="26"/>
      <c r="U383" s="21"/>
      <c r="V383" s="20"/>
      <c r="W383" s="20"/>
      <c r="X383" s="20"/>
      <c r="Y383" s="20"/>
      <c r="Z383" s="20"/>
      <c r="AA383" s="50"/>
      <c r="AB383" s="50"/>
      <c r="AC383" s="50"/>
      <c r="AD383" s="50"/>
      <c r="AE383" s="247"/>
      <c r="AF383" s="247"/>
      <c r="AG383" s="50"/>
      <c r="AH383" s="50"/>
      <c r="AI383" s="50"/>
      <c r="AJ383" s="50"/>
    </row>
    <row r="384" spans="2:36" s="111" customFormat="1" x14ac:dyDescent="0.15">
      <c r="B384" s="114"/>
      <c r="C384" s="114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S384" s="26"/>
      <c r="T384" s="26"/>
      <c r="U384" s="21"/>
      <c r="V384" s="20"/>
      <c r="W384" s="20"/>
      <c r="X384" s="20"/>
      <c r="Y384" s="20"/>
      <c r="Z384" s="20"/>
      <c r="AA384" s="50"/>
      <c r="AB384" s="50"/>
      <c r="AC384" s="50"/>
      <c r="AD384" s="50"/>
      <c r="AE384" s="247"/>
      <c r="AF384" s="247"/>
      <c r="AG384" s="50"/>
      <c r="AH384" s="50"/>
      <c r="AI384" s="50"/>
      <c r="AJ384" s="50"/>
    </row>
    <row r="385" spans="2:36" s="111" customFormat="1" x14ac:dyDescent="0.15">
      <c r="B385" s="114"/>
      <c r="C385" s="114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S385" s="26"/>
      <c r="T385" s="26"/>
      <c r="U385" s="21"/>
      <c r="V385" s="20"/>
      <c r="W385" s="20"/>
      <c r="X385" s="20"/>
      <c r="Y385" s="20"/>
      <c r="Z385" s="20"/>
      <c r="AA385" s="50"/>
      <c r="AB385" s="50"/>
      <c r="AC385" s="50"/>
      <c r="AD385" s="50"/>
      <c r="AE385" s="247"/>
      <c r="AF385" s="247"/>
      <c r="AG385" s="50"/>
      <c r="AH385" s="50"/>
      <c r="AI385" s="50"/>
      <c r="AJ385" s="50"/>
    </row>
    <row r="386" spans="2:36" s="111" customFormat="1" x14ac:dyDescent="0.15">
      <c r="B386" s="114"/>
      <c r="C386" s="114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S386" s="26"/>
      <c r="T386" s="26"/>
      <c r="U386" s="21"/>
      <c r="V386" s="20"/>
      <c r="W386" s="20"/>
      <c r="X386" s="20"/>
      <c r="Y386" s="20"/>
      <c r="Z386" s="20"/>
      <c r="AA386" s="50"/>
      <c r="AB386" s="50"/>
      <c r="AC386" s="50"/>
      <c r="AD386" s="50"/>
      <c r="AE386" s="247"/>
      <c r="AF386" s="247"/>
      <c r="AG386" s="50"/>
      <c r="AH386" s="50"/>
      <c r="AI386" s="50"/>
      <c r="AJ386" s="50"/>
    </row>
    <row r="387" spans="2:36" s="111" customFormat="1" x14ac:dyDescent="0.15">
      <c r="B387" s="114"/>
      <c r="C387" s="114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S387" s="26"/>
      <c r="T387" s="26"/>
      <c r="U387" s="21"/>
      <c r="V387" s="20"/>
      <c r="W387" s="20"/>
      <c r="X387" s="20"/>
      <c r="Y387" s="20"/>
      <c r="Z387" s="20"/>
      <c r="AA387" s="50"/>
      <c r="AB387" s="50"/>
      <c r="AC387" s="50"/>
      <c r="AD387" s="50"/>
      <c r="AE387" s="247"/>
      <c r="AF387" s="247"/>
      <c r="AG387" s="50"/>
      <c r="AH387" s="50"/>
      <c r="AI387" s="50"/>
      <c r="AJ387" s="50"/>
    </row>
    <row r="388" spans="2:36" s="111" customFormat="1" x14ac:dyDescent="0.15">
      <c r="B388" s="114"/>
      <c r="C388" s="114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S388" s="26"/>
      <c r="T388" s="26"/>
      <c r="U388" s="21"/>
      <c r="V388" s="20"/>
      <c r="W388" s="20"/>
      <c r="X388" s="20"/>
      <c r="Y388" s="20"/>
      <c r="Z388" s="20"/>
      <c r="AA388" s="50"/>
      <c r="AB388" s="50"/>
      <c r="AC388" s="50"/>
      <c r="AD388" s="50"/>
      <c r="AE388" s="247"/>
      <c r="AF388" s="247"/>
      <c r="AG388" s="50"/>
      <c r="AH388" s="50"/>
      <c r="AI388" s="50"/>
      <c r="AJ388" s="50"/>
    </row>
    <row r="389" spans="2:36" s="111" customFormat="1" x14ac:dyDescent="0.15">
      <c r="B389" s="114"/>
      <c r="C389" s="114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S389" s="26"/>
      <c r="T389" s="26"/>
      <c r="U389" s="21"/>
      <c r="V389" s="20"/>
      <c r="W389" s="20"/>
      <c r="X389" s="20"/>
      <c r="Y389" s="20"/>
      <c r="Z389" s="20"/>
      <c r="AA389" s="50"/>
      <c r="AB389" s="50"/>
      <c r="AC389" s="50"/>
      <c r="AD389" s="50"/>
      <c r="AE389" s="247"/>
      <c r="AF389" s="247"/>
      <c r="AG389" s="50"/>
      <c r="AH389" s="50"/>
      <c r="AI389" s="50"/>
      <c r="AJ389" s="50"/>
    </row>
    <row r="390" spans="2:36" s="111" customFormat="1" x14ac:dyDescent="0.15">
      <c r="B390" s="114"/>
      <c r="C390" s="114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S390" s="26"/>
      <c r="T390" s="26"/>
      <c r="U390" s="21"/>
      <c r="V390" s="20"/>
      <c r="W390" s="20"/>
      <c r="X390" s="20"/>
      <c r="Y390" s="20"/>
      <c r="Z390" s="20"/>
      <c r="AA390" s="50"/>
      <c r="AB390" s="50"/>
      <c r="AC390" s="50"/>
      <c r="AD390" s="50"/>
      <c r="AE390" s="247"/>
      <c r="AF390" s="247"/>
      <c r="AG390" s="50"/>
      <c r="AH390" s="50"/>
      <c r="AI390" s="50"/>
      <c r="AJ390" s="50"/>
    </row>
    <row r="391" spans="2:36" s="111" customFormat="1" x14ac:dyDescent="0.15">
      <c r="B391" s="114"/>
      <c r="C391" s="114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S391" s="26"/>
      <c r="T391" s="26"/>
      <c r="U391" s="21"/>
      <c r="V391" s="20"/>
      <c r="W391" s="20"/>
      <c r="X391" s="20"/>
      <c r="Y391" s="20"/>
      <c r="Z391" s="20"/>
      <c r="AA391" s="50"/>
      <c r="AB391" s="50"/>
      <c r="AC391" s="50"/>
      <c r="AD391" s="50"/>
      <c r="AE391" s="247"/>
      <c r="AF391" s="247"/>
      <c r="AG391" s="50"/>
      <c r="AH391" s="50"/>
      <c r="AI391" s="50"/>
      <c r="AJ391" s="50"/>
    </row>
    <row r="392" spans="2:36" s="111" customFormat="1" x14ac:dyDescent="0.15">
      <c r="B392" s="114"/>
      <c r="C392" s="114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S392" s="26"/>
      <c r="T392" s="26"/>
      <c r="U392" s="21"/>
      <c r="V392" s="20"/>
      <c r="W392" s="20"/>
      <c r="X392" s="20"/>
      <c r="Y392" s="20"/>
      <c r="Z392" s="20"/>
      <c r="AA392" s="50"/>
      <c r="AB392" s="50"/>
      <c r="AC392" s="50"/>
      <c r="AD392" s="50"/>
      <c r="AE392" s="247"/>
      <c r="AF392" s="247"/>
      <c r="AG392" s="50"/>
      <c r="AH392" s="50"/>
      <c r="AI392" s="50"/>
      <c r="AJ392" s="50"/>
    </row>
    <row r="393" spans="2:36" s="111" customFormat="1" x14ac:dyDescent="0.15">
      <c r="B393" s="114"/>
      <c r="C393" s="114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S393" s="26"/>
      <c r="T393" s="26"/>
      <c r="U393" s="21"/>
      <c r="V393" s="20"/>
      <c r="W393" s="20"/>
      <c r="X393" s="20"/>
      <c r="Y393" s="20"/>
      <c r="Z393" s="20"/>
      <c r="AA393" s="50"/>
      <c r="AB393" s="50"/>
      <c r="AC393" s="50"/>
      <c r="AD393" s="50"/>
      <c r="AE393" s="247"/>
      <c r="AF393" s="247"/>
      <c r="AG393" s="50"/>
      <c r="AH393" s="50"/>
      <c r="AI393" s="50"/>
      <c r="AJ393" s="50"/>
    </row>
    <row r="394" spans="2:36" s="111" customFormat="1" x14ac:dyDescent="0.15">
      <c r="B394" s="114"/>
      <c r="C394" s="114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S394" s="26"/>
      <c r="T394" s="26"/>
      <c r="U394" s="21"/>
      <c r="V394" s="20"/>
      <c r="W394" s="20"/>
      <c r="X394" s="20"/>
      <c r="Y394" s="20"/>
      <c r="Z394" s="20"/>
      <c r="AA394" s="50"/>
      <c r="AB394" s="50"/>
      <c r="AC394" s="50"/>
      <c r="AD394" s="50"/>
      <c r="AE394" s="247"/>
      <c r="AF394" s="247"/>
      <c r="AG394" s="50"/>
      <c r="AH394" s="50"/>
      <c r="AI394" s="50"/>
      <c r="AJ394" s="50"/>
    </row>
    <row r="395" spans="2:36" s="111" customFormat="1" x14ac:dyDescent="0.15">
      <c r="B395" s="114"/>
      <c r="C395" s="114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S395" s="26"/>
      <c r="T395" s="26"/>
      <c r="U395" s="21"/>
      <c r="V395" s="20"/>
      <c r="W395" s="20"/>
      <c r="X395" s="20"/>
      <c r="Y395" s="20"/>
      <c r="Z395" s="20"/>
      <c r="AA395" s="50"/>
      <c r="AB395" s="50"/>
      <c r="AC395" s="50"/>
      <c r="AD395" s="50"/>
      <c r="AE395" s="247"/>
      <c r="AF395" s="247"/>
      <c r="AG395" s="50"/>
      <c r="AH395" s="50"/>
      <c r="AI395" s="50"/>
      <c r="AJ395" s="50"/>
    </row>
    <row r="396" spans="2:36" s="111" customFormat="1" x14ac:dyDescent="0.15">
      <c r="B396" s="114"/>
      <c r="C396" s="114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S396" s="26"/>
      <c r="T396" s="26"/>
      <c r="U396" s="21"/>
      <c r="V396" s="20"/>
      <c r="W396" s="20"/>
      <c r="X396" s="20"/>
      <c r="Y396" s="20"/>
      <c r="Z396" s="20"/>
      <c r="AA396" s="50"/>
      <c r="AB396" s="50"/>
      <c r="AC396" s="50"/>
      <c r="AD396" s="50"/>
      <c r="AE396" s="247"/>
      <c r="AF396" s="247"/>
      <c r="AG396" s="50"/>
      <c r="AH396" s="50"/>
      <c r="AI396" s="50"/>
      <c r="AJ396" s="50"/>
    </row>
    <row r="397" spans="2:36" s="111" customFormat="1" x14ac:dyDescent="0.15">
      <c r="B397" s="114"/>
      <c r="C397" s="114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S397" s="26"/>
      <c r="T397" s="26"/>
      <c r="U397" s="21"/>
      <c r="V397" s="20"/>
      <c r="W397" s="20"/>
      <c r="X397" s="20"/>
      <c r="Y397" s="20"/>
      <c r="Z397" s="20"/>
      <c r="AA397" s="50"/>
      <c r="AB397" s="50"/>
      <c r="AC397" s="50"/>
      <c r="AD397" s="50"/>
      <c r="AE397" s="247"/>
      <c r="AF397" s="247"/>
      <c r="AG397" s="50"/>
      <c r="AH397" s="50"/>
      <c r="AI397" s="50"/>
      <c r="AJ397" s="50"/>
    </row>
    <row r="398" spans="2:36" s="111" customFormat="1" x14ac:dyDescent="0.15">
      <c r="B398" s="114"/>
      <c r="C398" s="114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S398" s="26"/>
      <c r="T398" s="26"/>
      <c r="U398" s="21"/>
      <c r="V398" s="20"/>
      <c r="W398" s="20"/>
      <c r="X398" s="20"/>
      <c r="Y398" s="20"/>
      <c r="Z398" s="20"/>
      <c r="AA398" s="50"/>
      <c r="AB398" s="50"/>
      <c r="AC398" s="50"/>
      <c r="AD398" s="50"/>
      <c r="AE398" s="247"/>
      <c r="AF398" s="247"/>
      <c r="AG398" s="50"/>
      <c r="AH398" s="50"/>
      <c r="AI398" s="50"/>
      <c r="AJ398" s="50"/>
    </row>
    <row r="399" spans="2:36" s="111" customFormat="1" x14ac:dyDescent="0.15">
      <c r="B399" s="114"/>
      <c r="C399" s="114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S399" s="26"/>
      <c r="T399" s="26"/>
      <c r="U399" s="21"/>
      <c r="V399" s="20"/>
      <c r="W399" s="20"/>
      <c r="X399" s="20"/>
      <c r="Y399" s="20"/>
      <c r="Z399" s="20"/>
      <c r="AA399" s="50"/>
      <c r="AB399" s="50"/>
      <c r="AC399" s="50"/>
      <c r="AD399" s="50"/>
      <c r="AE399" s="247"/>
      <c r="AF399" s="247"/>
      <c r="AG399" s="50"/>
      <c r="AH399" s="50"/>
      <c r="AI399" s="50"/>
      <c r="AJ399" s="50"/>
    </row>
    <row r="400" spans="2:36" s="111" customFormat="1" x14ac:dyDescent="0.15">
      <c r="B400" s="114"/>
      <c r="C400" s="114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S400" s="26"/>
      <c r="T400" s="26"/>
      <c r="U400" s="21"/>
      <c r="V400" s="20"/>
      <c r="W400" s="20"/>
      <c r="X400" s="20"/>
      <c r="Y400" s="20"/>
      <c r="Z400" s="20"/>
      <c r="AA400" s="50"/>
      <c r="AB400" s="50"/>
      <c r="AC400" s="50"/>
      <c r="AD400" s="50"/>
      <c r="AE400" s="247"/>
      <c r="AF400" s="247"/>
      <c r="AG400" s="50"/>
      <c r="AH400" s="50"/>
      <c r="AI400" s="50"/>
      <c r="AJ400" s="50"/>
    </row>
    <row r="401" spans="2:36" s="111" customFormat="1" x14ac:dyDescent="0.15">
      <c r="B401" s="114"/>
      <c r="C401" s="114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S401" s="26"/>
      <c r="T401" s="26"/>
      <c r="U401" s="21"/>
      <c r="V401" s="20"/>
      <c r="W401" s="20"/>
      <c r="X401" s="20"/>
      <c r="Y401" s="20"/>
      <c r="Z401" s="20"/>
      <c r="AA401" s="50"/>
      <c r="AB401" s="50"/>
      <c r="AC401" s="50"/>
      <c r="AD401" s="50"/>
      <c r="AE401" s="247"/>
      <c r="AF401" s="247"/>
      <c r="AG401" s="50"/>
      <c r="AH401" s="50"/>
      <c r="AI401" s="50"/>
      <c r="AJ401" s="50"/>
    </row>
    <row r="402" spans="2:36" s="111" customFormat="1" x14ac:dyDescent="0.15">
      <c r="B402" s="114"/>
      <c r="C402" s="114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S402" s="26"/>
      <c r="T402" s="26"/>
      <c r="U402" s="21"/>
      <c r="V402" s="20"/>
      <c r="W402" s="20"/>
      <c r="X402" s="20"/>
      <c r="Y402" s="20"/>
      <c r="Z402" s="20"/>
      <c r="AA402" s="50"/>
      <c r="AB402" s="50"/>
      <c r="AC402" s="50"/>
      <c r="AD402" s="50"/>
      <c r="AE402" s="247"/>
      <c r="AF402" s="247"/>
      <c r="AG402" s="50"/>
      <c r="AH402" s="50"/>
      <c r="AI402" s="50"/>
      <c r="AJ402" s="50"/>
    </row>
    <row r="403" spans="2:36" s="111" customFormat="1" x14ac:dyDescent="0.15">
      <c r="B403" s="114"/>
      <c r="C403" s="114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S403" s="26"/>
      <c r="T403" s="26"/>
      <c r="U403" s="21"/>
      <c r="V403" s="20"/>
      <c r="W403" s="20"/>
      <c r="X403" s="20"/>
      <c r="Y403" s="20"/>
      <c r="Z403" s="20"/>
      <c r="AA403" s="50"/>
      <c r="AB403" s="50"/>
      <c r="AC403" s="50"/>
      <c r="AD403" s="50"/>
      <c r="AE403" s="247"/>
      <c r="AF403" s="247"/>
      <c r="AG403" s="50"/>
      <c r="AH403" s="50"/>
      <c r="AI403" s="50"/>
      <c r="AJ403" s="50"/>
    </row>
    <row r="404" spans="2:36" s="111" customFormat="1" x14ac:dyDescent="0.15">
      <c r="B404" s="114"/>
      <c r="C404" s="114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S404" s="26"/>
      <c r="T404" s="26"/>
      <c r="U404" s="21"/>
      <c r="V404" s="20"/>
      <c r="W404" s="20"/>
      <c r="X404" s="20"/>
      <c r="Y404" s="20"/>
      <c r="Z404" s="20"/>
      <c r="AA404" s="50"/>
      <c r="AB404" s="50"/>
      <c r="AC404" s="50"/>
      <c r="AD404" s="50"/>
      <c r="AE404" s="247"/>
      <c r="AF404" s="247"/>
      <c r="AG404" s="50"/>
      <c r="AH404" s="50"/>
      <c r="AI404" s="50"/>
      <c r="AJ404" s="50"/>
    </row>
    <row r="405" spans="2:36" s="111" customFormat="1" x14ac:dyDescent="0.15">
      <c r="B405" s="114"/>
      <c r="C405" s="114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S405" s="26"/>
      <c r="T405" s="26"/>
      <c r="U405" s="21"/>
      <c r="V405" s="20"/>
      <c r="W405" s="20"/>
      <c r="X405" s="20"/>
      <c r="Y405" s="20"/>
      <c r="Z405" s="20"/>
      <c r="AA405" s="50"/>
      <c r="AB405" s="50"/>
      <c r="AC405" s="50"/>
      <c r="AD405" s="50"/>
      <c r="AE405" s="247"/>
      <c r="AF405" s="247"/>
      <c r="AG405" s="50"/>
      <c r="AH405" s="50"/>
      <c r="AI405" s="50"/>
      <c r="AJ405" s="50"/>
    </row>
    <row r="406" spans="2:36" s="111" customFormat="1" x14ac:dyDescent="0.15">
      <c r="B406" s="114"/>
      <c r="C406" s="114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S406" s="26"/>
      <c r="T406" s="26"/>
      <c r="U406" s="21"/>
      <c r="V406" s="20"/>
      <c r="W406" s="20"/>
      <c r="X406" s="20"/>
      <c r="Y406" s="20"/>
      <c r="Z406" s="20"/>
      <c r="AA406" s="50"/>
      <c r="AB406" s="50"/>
      <c r="AC406" s="50"/>
      <c r="AD406" s="50"/>
      <c r="AE406" s="247"/>
      <c r="AF406" s="247"/>
      <c r="AG406" s="50"/>
      <c r="AH406" s="50"/>
      <c r="AI406" s="50"/>
      <c r="AJ406" s="50"/>
    </row>
    <row r="407" spans="2:36" s="111" customFormat="1" x14ac:dyDescent="0.15">
      <c r="B407" s="114"/>
      <c r="C407" s="114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S407" s="26"/>
      <c r="T407" s="26"/>
      <c r="U407" s="21"/>
      <c r="V407" s="20"/>
      <c r="W407" s="20"/>
      <c r="X407" s="20"/>
      <c r="Y407" s="20"/>
      <c r="Z407" s="20"/>
      <c r="AA407" s="39"/>
      <c r="AB407" s="50"/>
      <c r="AC407" s="50"/>
      <c r="AD407" s="50"/>
      <c r="AE407" s="247"/>
      <c r="AF407" s="247"/>
      <c r="AG407" s="50"/>
      <c r="AH407" s="50"/>
      <c r="AI407" s="50"/>
      <c r="AJ407" s="50"/>
    </row>
    <row r="408" spans="2:36" s="111" customFormat="1" x14ac:dyDescent="0.15">
      <c r="B408" s="114"/>
      <c r="C408" s="114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S408" s="26"/>
      <c r="T408" s="26"/>
      <c r="U408" s="21"/>
      <c r="V408" s="20"/>
      <c r="W408" s="20"/>
      <c r="X408" s="20"/>
      <c r="Y408" s="20"/>
      <c r="Z408" s="20"/>
      <c r="AA408" s="39"/>
      <c r="AB408" s="39"/>
      <c r="AC408" s="39"/>
      <c r="AD408" s="39"/>
      <c r="AE408" s="247"/>
      <c r="AF408" s="247"/>
      <c r="AG408" s="39"/>
      <c r="AH408" s="39"/>
      <c r="AI408" s="39"/>
      <c r="AJ408" s="39"/>
    </row>
    <row r="409" spans="2:36" s="111" customFormat="1" x14ac:dyDescent="0.15">
      <c r="B409" s="114"/>
      <c r="C409" s="114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S409" s="26"/>
      <c r="T409" s="26"/>
      <c r="U409" s="21"/>
      <c r="V409" s="20"/>
      <c r="W409" s="20"/>
      <c r="X409" s="20"/>
      <c r="Y409" s="20"/>
      <c r="Z409" s="20"/>
      <c r="AA409" s="39"/>
      <c r="AB409" s="39"/>
      <c r="AC409" s="39"/>
      <c r="AD409" s="39"/>
      <c r="AE409" s="247"/>
      <c r="AF409" s="247"/>
      <c r="AG409" s="39"/>
      <c r="AH409" s="39"/>
      <c r="AI409" s="39"/>
      <c r="AJ409" s="39"/>
    </row>
    <row r="410" spans="2:36" s="111" customFormat="1" x14ac:dyDescent="0.15">
      <c r="B410" s="109"/>
      <c r="C410" s="109"/>
      <c r="D410" s="110"/>
      <c r="E410" s="110"/>
      <c r="F410" s="110"/>
      <c r="G410" s="110"/>
      <c r="H410" s="110"/>
      <c r="I410" s="110"/>
      <c r="J410" s="110"/>
      <c r="K410" s="110"/>
      <c r="L410" s="110"/>
      <c r="M410" s="110"/>
      <c r="N410" s="110"/>
      <c r="O410" s="110"/>
      <c r="S410" s="26"/>
      <c r="T410" s="26"/>
      <c r="U410" s="21"/>
      <c r="V410" s="20"/>
      <c r="W410" s="20"/>
      <c r="X410" s="20"/>
      <c r="Y410" s="20"/>
      <c r="Z410" s="20"/>
      <c r="AA410" s="39"/>
      <c r="AB410" s="39"/>
      <c r="AC410" s="39"/>
      <c r="AD410" s="39"/>
      <c r="AE410" s="247"/>
      <c r="AF410" s="247"/>
      <c r="AG410" s="39"/>
      <c r="AH410" s="39"/>
      <c r="AI410" s="39"/>
      <c r="AJ410" s="39"/>
    </row>
    <row r="411" spans="2:36" s="111" customFormat="1" x14ac:dyDescent="0.15">
      <c r="B411" s="109"/>
      <c r="C411" s="109"/>
      <c r="D411" s="110"/>
      <c r="E411" s="110"/>
      <c r="F411" s="110"/>
      <c r="G411" s="110"/>
      <c r="H411" s="110"/>
      <c r="I411" s="110"/>
      <c r="J411" s="110"/>
      <c r="K411" s="110"/>
      <c r="L411" s="110"/>
      <c r="M411" s="110"/>
      <c r="N411" s="110"/>
      <c r="O411" s="110"/>
      <c r="S411" s="26"/>
      <c r="T411" s="26"/>
      <c r="U411" s="21"/>
      <c r="V411" s="20"/>
      <c r="W411" s="20"/>
      <c r="X411" s="20"/>
      <c r="Y411" s="20"/>
      <c r="Z411" s="20"/>
      <c r="AA411" s="39"/>
      <c r="AB411" s="39"/>
      <c r="AC411" s="39"/>
      <c r="AD411" s="39"/>
      <c r="AE411" s="247"/>
      <c r="AF411" s="247"/>
      <c r="AG411" s="39"/>
      <c r="AH411" s="39"/>
      <c r="AI411" s="39"/>
      <c r="AJ411" s="39"/>
    </row>
    <row r="412" spans="2:36" x14ac:dyDescent="0.15">
      <c r="V412" s="20"/>
      <c r="W412" s="20"/>
      <c r="X412" s="20"/>
      <c r="Y412" s="20"/>
      <c r="Z412" s="20"/>
    </row>
    <row r="413" spans="2:36" x14ac:dyDescent="0.15">
      <c r="V413" s="20"/>
      <c r="W413" s="20"/>
      <c r="X413" s="20"/>
      <c r="Y413" s="20"/>
      <c r="Z413" s="20"/>
    </row>
    <row r="414" spans="2:36" x14ac:dyDescent="0.15">
      <c r="V414" s="20"/>
      <c r="W414" s="20"/>
      <c r="X414" s="20"/>
      <c r="Y414" s="20"/>
      <c r="Z414" s="20"/>
    </row>
    <row r="415" spans="2:36" x14ac:dyDescent="0.15">
      <c r="V415" s="20"/>
      <c r="W415" s="20"/>
      <c r="X415" s="20"/>
      <c r="Y415" s="20"/>
      <c r="Z415" s="20"/>
    </row>
    <row r="416" spans="2:36" x14ac:dyDescent="0.15">
      <c r="V416" s="20"/>
      <c r="W416" s="20"/>
      <c r="X416" s="20"/>
      <c r="Y416" s="20"/>
      <c r="Z416" s="20"/>
    </row>
    <row r="417" spans="22:26" x14ac:dyDescent="0.15">
      <c r="V417" s="20"/>
      <c r="W417" s="20"/>
      <c r="X417" s="20"/>
      <c r="Y417" s="20"/>
      <c r="Z417" s="20"/>
    </row>
    <row r="418" spans="22:26" x14ac:dyDescent="0.15">
      <c r="V418" s="20"/>
      <c r="W418" s="20"/>
      <c r="X418" s="20"/>
      <c r="Y418" s="20"/>
      <c r="Z418" s="20"/>
    </row>
    <row r="419" spans="22:26" x14ac:dyDescent="0.15">
      <c r="V419" s="20"/>
      <c r="W419" s="20"/>
      <c r="X419" s="20"/>
      <c r="Y419" s="20"/>
      <c r="Z419" s="20"/>
    </row>
    <row r="420" spans="22:26" x14ac:dyDescent="0.15">
      <c r="V420" s="20"/>
      <c r="W420" s="20"/>
      <c r="X420" s="20"/>
      <c r="Y420" s="20"/>
      <c r="Z420" s="20"/>
    </row>
    <row r="421" spans="22:26" x14ac:dyDescent="0.15">
      <c r="V421" s="20"/>
      <c r="W421" s="20"/>
      <c r="X421" s="20"/>
      <c r="Y421" s="20"/>
      <c r="Z421" s="20"/>
    </row>
    <row r="422" spans="22:26" x14ac:dyDescent="0.15">
      <c r="V422" s="20"/>
      <c r="W422" s="20"/>
      <c r="X422" s="20"/>
      <c r="Y422" s="20"/>
      <c r="Z422" s="20"/>
    </row>
    <row r="423" spans="22:26" x14ac:dyDescent="0.15">
      <c r="V423" s="20"/>
      <c r="W423" s="20"/>
      <c r="X423" s="20"/>
      <c r="Y423" s="20"/>
      <c r="Z423" s="20"/>
    </row>
    <row r="424" spans="22:26" x14ac:dyDescent="0.15">
      <c r="V424" s="20"/>
      <c r="W424" s="20"/>
      <c r="X424" s="20"/>
      <c r="Y424" s="20"/>
      <c r="Z424" s="20"/>
    </row>
    <row r="425" spans="22:26" x14ac:dyDescent="0.15">
      <c r="V425" s="20"/>
      <c r="W425" s="20"/>
      <c r="X425" s="20"/>
      <c r="Y425" s="20"/>
      <c r="Z425" s="20"/>
    </row>
    <row r="426" spans="22:26" x14ac:dyDescent="0.15">
      <c r="V426" s="20"/>
      <c r="W426" s="20"/>
      <c r="X426" s="20"/>
      <c r="Y426" s="20"/>
      <c r="Z426" s="20"/>
    </row>
    <row r="427" spans="22:26" x14ac:dyDescent="0.15">
      <c r="V427" s="20"/>
      <c r="W427" s="20"/>
      <c r="X427" s="20"/>
      <c r="Y427" s="20"/>
      <c r="Z427" s="20"/>
    </row>
    <row r="428" spans="22:26" x14ac:dyDescent="0.15">
      <c r="V428" s="20"/>
      <c r="W428" s="20"/>
      <c r="X428" s="20"/>
      <c r="Y428" s="20"/>
      <c r="Z428" s="20"/>
    </row>
    <row r="429" spans="22:26" x14ac:dyDescent="0.15">
      <c r="V429" s="20"/>
      <c r="W429" s="20"/>
      <c r="X429" s="20"/>
      <c r="Y429" s="20"/>
      <c r="Z429" s="20"/>
    </row>
    <row r="430" spans="22:26" x14ac:dyDescent="0.15">
      <c r="V430" s="20"/>
      <c r="W430" s="20"/>
      <c r="X430" s="20"/>
      <c r="Y430" s="20"/>
      <c r="Z430" s="20"/>
    </row>
    <row r="431" spans="22:26" x14ac:dyDescent="0.15">
      <c r="V431" s="20"/>
      <c r="W431" s="20"/>
      <c r="X431" s="20"/>
      <c r="Y431" s="20"/>
      <c r="Z431" s="20"/>
    </row>
    <row r="432" spans="22:26" x14ac:dyDescent="0.15">
      <c r="V432" s="20"/>
      <c r="W432" s="20"/>
      <c r="X432" s="20"/>
      <c r="Y432" s="20"/>
      <c r="Z432" s="20"/>
    </row>
    <row r="433" spans="22:26" x14ac:dyDescent="0.15">
      <c r="V433" s="20"/>
      <c r="W433" s="20"/>
      <c r="X433" s="20"/>
      <c r="Y433" s="20"/>
      <c r="Z433" s="20"/>
    </row>
    <row r="434" spans="22:26" x14ac:dyDescent="0.15">
      <c r="V434" s="20"/>
      <c r="W434" s="20"/>
      <c r="X434" s="20"/>
      <c r="Y434" s="20"/>
      <c r="Z434" s="20"/>
    </row>
    <row r="435" spans="22:26" x14ac:dyDescent="0.15">
      <c r="V435" s="20"/>
      <c r="W435" s="20"/>
      <c r="X435" s="20"/>
      <c r="Y435" s="20"/>
      <c r="Z435" s="20"/>
    </row>
  </sheetData>
  <mergeCells count="10">
    <mergeCell ref="AA5:AA6"/>
    <mergeCell ref="X5:X6"/>
    <mergeCell ref="B1:R1"/>
    <mergeCell ref="V5:V6"/>
    <mergeCell ref="T5:T6"/>
    <mergeCell ref="R5:R6"/>
    <mergeCell ref="B3:R3"/>
    <mergeCell ref="B2:R2"/>
    <mergeCell ref="D5:Q5"/>
    <mergeCell ref="Y4:AA4"/>
  </mergeCells>
  <conditionalFormatting sqref="P7:P149">
    <cfRule type="cellIs" dxfId="94" priority="37" stopIfTrue="1" operator="greaterThan">
      <formula>30</formula>
    </cfRule>
    <cfRule type="cellIs" dxfId="93" priority="38" stopIfTrue="1" operator="between">
      <formula>0.1</formula>
      <formula>10</formula>
    </cfRule>
    <cfRule type="cellIs" dxfId="92" priority="39" stopIfTrue="1" operator="lessThan">
      <formula>0.1</formula>
    </cfRule>
  </conditionalFormatting>
  <conditionalFormatting sqref="Q7:Q149">
    <cfRule type="containsBlanks" priority="27" stopIfTrue="1">
      <formula>LEN(TRIM(Q7))=0</formula>
    </cfRule>
    <cfRule type="cellIs" dxfId="91" priority="41" stopIfTrue="1" operator="greaterThan">
      <formula>40</formula>
    </cfRule>
  </conditionalFormatting>
  <conditionalFormatting sqref="K8:N149">
    <cfRule type="cellIs" dxfId="90" priority="34" stopIfTrue="1" operator="greaterThan">
      <formula>30</formula>
    </cfRule>
    <cfRule type="cellIs" dxfId="89" priority="35" stopIfTrue="1" operator="between">
      <formula>0.1</formula>
      <formula>10</formula>
    </cfRule>
    <cfRule type="cellIs" dxfId="88" priority="36" stopIfTrue="1" operator="lessThan">
      <formula>0.1</formula>
    </cfRule>
  </conditionalFormatting>
  <conditionalFormatting sqref="D7:D59 D61:D95 D97:D149">
    <cfRule type="cellIs" dxfId="87" priority="31" stopIfTrue="1" operator="greaterThan">
      <formula>30</formula>
    </cfRule>
    <cfRule type="cellIs" dxfId="86" priority="32" stopIfTrue="1" operator="between">
      <formula>0.1</formula>
      <formula>10</formula>
    </cfRule>
    <cfRule type="cellIs" dxfId="85" priority="33" stopIfTrue="1" operator="lessThan">
      <formula>0.1</formula>
    </cfRule>
  </conditionalFormatting>
  <conditionalFormatting sqref="E7:E59 E61:E95 E97:E149">
    <cfRule type="cellIs" dxfId="84" priority="28" stopIfTrue="1" operator="greaterThan">
      <formula>30</formula>
    </cfRule>
    <cfRule type="cellIs" dxfId="83" priority="29" stopIfTrue="1" operator="between">
      <formula>0.1</formula>
      <formula>10</formula>
    </cfRule>
    <cfRule type="cellIs" dxfId="82" priority="30" stopIfTrue="1" operator="lessThan">
      <formula>0.1</formula>
    </cfRule>
  </conditionalFormatting>
  <conditionalFormatting sqref="F7:F59 F61:F95 F97:F149">
    <cfRule type="cellIs" dxfId="81" priority="24" stopIfTrue="1" operator="greaterThan">
      <formula>30</formula>
    </cfRule>
    <cfRule type="cellIs" dxfId="80" priority="25" stopIfTrue="1" operator="between">
      <formula>0.1</formula>
      <formula>10</formula>
    </cfRule>
    <cfRule type="cellIs" dxfId="79" priority="26" stopIfTrue="1" operator="lessThan">
      <formula>0.1</formula>
    </cfRule>
  </conditionalFormatting>
  <conditionalFormatting sqref="G7:G59 G61:G95 G97:G149">
    <cfRule type="cellIs" dxfId="78" priority="21" stopIfTrue="1" operator="greaterThan">
      <formula>30</formula>
    </cfRule>
    <cfRule type="cellIs" dxfId="77" priority="22" stopIfTrue="1" operator="between">
      <formula>0.1</formula>
      <formula>10</formula>
    </cfRule>
    <cfRule type="cellIs" dxfId="76" priority="23" stopIfTrue="1" operator="lessThan">
      <formula>0.1</formula>
    </cfRule>
  </conditionalFormatting>
  <conditionalFormatting sqref="H38:H59 H61:H95 H97:H149">
    <cfRule type="cellIs" dxfId="75" priority="18" stopIfTrue="1" operator="greaterThan">
      <formula>30</formula>
    </cfRule>
    <cfRule type="cellIs" dxfId="74" priority="19" stopIfTrue="1" operator="between">
      <formula>0.1</formula>
      <formula>10</formula>
    </cfRule>
    <cfRule type="cellIs" dxfId="73" priority="20" stopIfTrue="1" operator="lessThan">
      <formula>0.1</formula>
    </cfRule>
  </conditionalFormatting>
  <conditionalFormatting sqref="H8:H37">
    <cfRule type="cellIs" dxfId="72" priority="15" stopIfTrue="1" operator="greaterThan">
      <formula>30</formula>
    </cfRule>
    <cfRule type="cellIs" dxfId="71" priority="16" stopIfTrue="1" operator="between">
      <formula>0.1</formula>
      <formula>10</formula>
    </cfRule>
    <cfRule type="cellIs" dxfId="70" priority="17" stopIfTrue="1" operator="lessThan">
      <formula>0.1</formula>
    </cfRule>
  </conditionalFormatting>
  <conditionalFormatting sqref="H60">
    <cfRule type="cellIs" dxfId="69" priority="12" stopIfTrue="1" operator="greaterThan">
      <formula>30</formula>
    </cfRule>
    <cfRule type="cellIs" dxfId="68" priority="13" stopIfTrue="1" operator="between">
      <formula>0.1</formula>
      <formula>10</formula>
    </cfRule>
    <cfRule type="cellIs" dxfId="67" priority="14" stopIfTrue="1" operator="lessThan">
      <formula>0.1</formula>
    </cfRule>
  </conditionalFormatting>
  <conditionalFormatting sqref="I8:I95 I97:I149">
    <cfRule type="cellIs" dxfId="66" priority="9" stopIfTrue="1" operator="greaterThan">
      <formula>30</formula>
    </cfRule>
    <cfRule type="cellIs" dxfId="65" priority="10" stopIfTrue="1" operator="between">
      <formula>0.1</formula>
      <formula>10</formula>
    </cfRule>
    <cfRule type="cellIs" dxfId="64" priority="11" stopIfTrue="1" operator="lessThan">
      <formula>0.1</formula>
    </cfRule>
  </conditionalFormatting>
  <conditionalFormatting sqref="J8:J95 J97:J149">
    <cfRule type="cellIs" dxfId="63" priority="6" stopIfTrue="1" operator="greaterThan">
      <formula>30</formula>
    </cfRule>
    <cfRule type="cellIs" dxfId="62" priority="7" stopIfTrue="1" operator="between">
      <formula>0.1</formula>
      <formula>10</formula>
    </cfRule>
    <cfRule type="cellIs" dxfId="61" priority="8" stopIfTrue="1" operator="lessThan">
      <formula>0.1</formula>
    </cfRule>
  </conditionalFormatting>
  <conditionalFormatting sqref="O8:O87 O89:O105 O109:O149">
    <cfRule type="cellIs" dxfId="60" priority="3" stopIfTrue="1" operator="greaterThan">
      <formula>30</formula>
    </cfRule>
    <cfRule type="cellIs" dxfId="59" priority="4" stopIfTrue="1" operator="between">
      <formula>0.1</formula>
      <formula>10</formula>
    </cfRule>
    <cfRule type="cellIs" dxfId="58" priority="5" stopIfTrue="1" operator="lessThan">
      <formula>0.1</formula>
    </cfRule>
  </conditionalFormatting>
  <conditionalFormatting sqref="T7:T149 V7:V149 R7:R149 X7:X149">
    <cfRule type="cellIs" dxfId="57" priority="1" stopIfTrue="1" operator="lessThan">
      <formula>0.5</formula>
    </cfRule>
    <cfRule type="cellIs" dxfId="56" priority="2" stopIfTrue="1" operator="lessThan">
      <formula>0.75</formula>
    </cfRule>
  </conditionalFormatting>
  <pageMargins left="0.7" right="0.7" top="0.75" bottom="0.75" header="0.3" footer="0.3"/>
  <pageSetup paperSize="9" orientation="portrait" horizontalDpi="0" verticalDpi="0" r:id="rId1"/>
  <ignoredErrors>
    <ignoredError sqref="T7:T149 V8:V149" formulaRang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A1:AJ438"/>
  <sheetViews>
    <sheetView zoomScaleNormal="90" workbookViewId="0">
      <pane xSplit="2" ySplit="6" topLeftCell="C7" activePane="bottomRight" state="frozen"/>
      <selection activeCell="K6" sqref="K6"/>
      <selection pane="topRight" activeCell="K6" sqref="K6"/>
      <selection pane="bottomLeft" activeCell="K6" sqref="K6"/>
      <selection pane="bottomRight" activeCell="C4" sqref="C1:C1048576"/>
    </sheetView>
  </sheetViews>
  <sheetFormatPr defaultColWidth="10.7109375" defaultRowHeight="10.5" x14ac:dyDescent="0.15"/>
  <cols>
    <col min="1" max="1" width="10.7109375" style="39" customWidth="1"/>
    <col min="2" max="2" width="9.42578125" style="51" bestFit="1" customWidth="1"/>
    <col min="3" max="3" width="21.140625" style="51" hidden="1" customWidth="1"/>
    <col min="4" max="15" width="18.140625" style="39" customWidth="1"/>
    <col min="16" max="17" width="18.140625" style="50" customWidth="1"/>
    <col min="18" max="19" width="11.7109375" style="26" customWidth="1"/>
    <col min="20" max="20" width="11.7109375" style="21" customWidth="1"/>
    <col min="21" max="25" width="11.7109375" style="10" customWidth="1"/>
    <col min="26" max="26" width="11.7109375" style="39" customWidth="1"/>
    <col min="27" max="27" width="10.7109375" style="39"/>
    <col min="28" max="28" width="21" style="39" bestFit="1" customWidth="1"/>
    <col min="29" max="29" width="10.7109375" style="39"/>
    <col min="30" max="30" width="16.7109375" style="230" bestFit="1" customWidth="1"/>
    <col min="31" max="31" width="9.140625" style="230"/>
    <col min="32" max="32" width="12.42578125" style="39" bestFit="1" customWidth="1"/>
    <col min="33" max="16384" width="10.7109375" style="39"/>
  </cols>
  <sheetData>
    <row r="1" spans="1:35" s="31" customFormat="1" ht="18" customHeight="1" thickTop="1" x14ac:dyDescent="0.15">
      <c r="A1" s="272"/>
      <c r="B1" s="468" t="s">
        <v>448</v>
      </c>
      <c r="C1" s="469"/>
      <c r="D1" s="469"/>
      <c r="E1" s="469"/>
      <c r="F1" s="469"/>
      <c r="G1" s="469"/>
      <c r="H1" s="469"/>
      <c r="I1" s="469"/>
      <c r="J1" s="469"/>
      <c r="K1" s="469"/>
      <c r="L1" s="469"/>
      <c r="M1" s="469"/>
      <c r="N1" s="469"/>
      <c r="O1" s="469"/>
      <c r="P1" s="469"/>
      <c r="Q1" s="470"/>
      <c r="R1" s="23"/>
      <c r="S1" s="23"/>
      <c r="T1" s="3"/>
      <c r="U1" s="2"/>
      <c r="V1" s="2"/>
      <c r="W1" s="2"/>
      <c r="X1" s="2"/>
      <c r="Y1" s="2"/>
      <c r="AB1" s="93"/>
      <c r="AC1" s="93"/>
      <c r="AD1" s="206"/>
      <c r="AE1" s="206"/>
      <c r="AF1" s="93"/>
      <c r="AG1" s="93"/>
      <c r="AH1" s="93"/>
    </row>
    <row r="2" spans="1:35" s="31" customFormat="1" ht="18" customHeight="1" x14ac:dyDescent="0.15">
      <c r="B2" s="471" t="s">
        <v>449</v>
      </c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2"/>
      <c r="N2" s="472"/>
      <c r="O2" s="472"/>
      <c r="P2" s="472"/>
      <c r="Q2" s="473"/>
      <c r="R2" s="23"/>
      <c r="S2" s="23"/>
      <c r="T2" s="3"/>
      <c r="U2" s="2"/>
      <c r="V2" s="2"/>
      <c r="W2" s="2"/>
      <c r="X2" s="2"/>
      <c r="Y2" s="2"/>
      <c r="AB2" s="93"/>
      <c r="AC2" s="93"/>
      <c r="AD2" s="206"/>
      <c r="AE2" s="206"/>
      <c r="AF2" s="93"/>
      <c r="AG2" s="93"/>
      <c r="AH2" s="93"/>
    </row>
    <row r="3" spans="1:35" s="31" customFormat="1" ht="18" customHeight="1" thickBot="1" x14ac:dyDescent="0.2">
      <c r="B3" s="474" t="s">
        <v>478</v>
      </c>
      <c r="C3" s="475"/>
      <c r="D3" s="475"/>
      <c r="E3" s="475"/>
      <c r="F3" s="475"/>
      <c r="G3" s="475"/>
      <c r="H3" s="475"/>
      <c r="I3" s="475"/>
      <c r="J3" s="475"/>
      <c r="K3" s="475"/>
      <c r="L3" s="475"/>
      <c r="M3" s="475"/>
      <c r="N3" s="475"/>
      <c r="O3" s="475"/>
      <c r="P3" s="475"/>
      <c r="Q3" s="476"/>
      <c r="R3" s="23"/>
      <c r="S3" s="23"/>
      <c r="T3" s="3"/>
      <c r="U3" s="2"/>
      <c r="V3" s="2"/>
      <c r="W3" s="2"/>
      <c r="X3" s="2"/>
      <c r="Y3" s="2"/>
      <c r="AB3" s="94"/>
      <c r="AC3" s="94"/>
      <c r="AD3" s="206"/>
      <c r="AE3" s="206"/>
      <c r="AF3" s="94"/>
      <c r="AG3" s="94"/>
      <c r="AH3" s="94"/>
    </row>
    <row r="4" spans="1:35" s="31" customFormat="1" ht="14.1" customHeight="1" thickTop="1" thickBot="1" x14ac:dyDescent="0.25">
      <c r="B4" s="32"/>
      <c r="C4" s="32"/>
      <c r="P4" s="33"/>
      <c r="Q4" s="33"/>
      <c r="R4" s="21" t="s">
        <v>497</v>
      </c>
      <c r="S4" s="30"/>
      <c r="T4" s="21" t="s">
        <v>498</v>
      </c>
      <c r="U4" s="1"/>
      <c r="V4" s="1"/>
      <c r="W4" s="1"/>
      <c r="X4" s="449" t="s">
        <v>508</v>
      </c>
      <c r="Y4" s="449"/>
      <c r="Z4" s="449"/>
      <c r="AA4" s="105"/>
      <c r="AD4" s="206"/>
      <c r="AE4" s="206"/>
    </row>
    <row r="5" spans="1:35" s="31" customFormat="1" ht="14.25" customHeight="1" thickTop="1" thickBot="1" x14ac:dyDescent="0.2">
      <c r="B5" s="160"/>
      <c r="C5" s="106"/>
      <c r="D5" s="477" t="s">
        <v>451</v>
      </c>
      <c r="E5" s="477"/>
      <c r="F5" s="477"/>
      <c r="G5" s="477"/>
      <c r="H5" s="477"/>
      <c r="I5" s="477"/>
      <c r="J5" s="477"/>
      <c r="K5" s="477"/>
      <c r="L5" s="477"/>
      <c r="M5" s="477"/>
      <c r="N5" s="477"/>
      <c r="O5" s="477"/>
      <c r="P5" s="477"/>
      <c r="Q5" s="478" t="s">
        <v>452</v>
      </c>
      <c r="R5" s="139" t="s">
        <v>461</v>
      </c>
      <c r="S5" s="466" t="s">
        <v>452</v>
      </c>
      <c r="T5" s="168" t="s">
        <v>460</v>
      </c>
      <c r="U5" s="450" t="s">
        <v>452</v>
      </c>
      <c r="V5" s="168" t="s">
        <v>494</v>
      </c>
      <c r="W5" s="450" t="s">
        <v>452</v>
      </c>
      <c r="X5" s="139" t="s">
        <v>461</v>
      </c>
      <c r="Y5" s="139" t="s">
        <v>460</v>
      </c>
      <c r="Z5" s="450" t="s">
        <v>509</v>
      </c>
      <c r="AA5" s="107"/>
      <c r="AB5" s="95"/>
      <c r="AC5" s="96"/>
      <c r="AD5" s="96"/>
      <c r="AE5" s="96"/>
      <c r="AF5" s="96"/>
      <c r="AG5" s="96"/>
      <c r="AH5" s="96"/>
      <c r="AI5" s="97"/>
    </row>
    <row r="6" spans="1:35" s="31" customFormat="1" ht="14.25" customHeight="1" thickTop="1" x14ac:dyDescent="0.15">
      <c r="B6" s="103" t="s">
        <v>453</v>
      </c>
      <c r="C6" s="34">
        <v>41244</v>
      </c>
      <c r="D6" s="34">
        <v>41275</v>
      </c>
      <c r="E6" s="34">
        <v>41306</v>
      </c>
      <c r="F6" s="34">
        <v>41334</v>
      </c>
      <c r="G6" s="34">
        <v>41365</v>
      </c>
      <c r="H6" s="34">
        <v>41395</v>
      </c>
      <c r="I6" s="34">
        <v>41426</v>
      </c>
      <c r="J6" s="34">
        <v>41456</v>
      </c>
      <c r="K6" s="34">
        <v>41487</v>
      </c>
      <c r="L6" s="34">
        <v>41518</v>
      </c>
      <c r="M6" s="34">
        <v>41548</v>
      </c>
      <c r="N6" s="34">
        <v>41579</v>
      </c>
      <c r="O6" s="34">
        <v>41609</v>
      </c>
      <c r="P6" s="34" t="s">
        <v>454</v>
      </c>
      <c r="Q6" s="479"/>
      <c r="R6" s="149" t="s">
        <v>454</v>
      </c>
      <c r="S6" s="467"/>
      <c r="T6" s="158" t="s">
        <v>454</v>
      </c>
      <c r="U6" s="451"/>
      <c r="V6" s="158" t="s">
        <v>454</v>
      </c>
      <c r="W6" s="451"/>
      <c r="X6" s="149" t="s">
        <v>454</v>
      </c>
      <c r="Y6" s="149" t="s">
        <v>454</v>
      </c>
      <c r="Z6" s="451"/>
      <c r="AB6" s="98" t="s">
        <v>166</v>
      </c>
      <c r="AC6" s="34" t="s">
        <v>476</v>
      </c>
      <c r="AD6" s="34" t="s">
        <v>1087</v>
      </c>
      <c r="AE6" s="34" t="s">
        <v>1088</v>
      </c>
      <c r="AF6" s="34" t="s">
        <v>472</v>
      </c>
      <c r="AG6" s="34" t="s">
        <v>474</v>
      </c>
      <c r="AH6" s="34" t="s">
        <v>473</v>
      </c>
      <c r="AI6" s="99" t="s">
        <v>475</v>
      </c>
    </row>
    <row r="7" spans="1:35" ht="12" customHeight="1" x14ac:dyDescent="0.15">
      <c r="A7" s="31"/>
      <c r="B7" s="35" t="s">
        <v>2</v>
      </c>
      <c r="C7" s="104">
        <f>IF(VLOOKUP($B7,'Monthly Summary 2012'!$B$7:$Q$221,14,FALSE)=0,"",VLOOKUP($B7,'Monthly Summary 2012'!$B$7:$Q$221,14,FALSE))</f>
        <v>15.6</v>
      </c>
      <c r="D7" s="36">
        <v>15.5</v>
      </c>
      <c r="E7" s="36">
        <v>16.899999999999999</v>
      </c>
      <c r="F7" s="36">
        <v>27</v>
      </c>
      <c r="G7" s="36"/>
      <c r="H7" s="36">
        <v>36.6</v>
      </c>
      <c r="I7" s="36">
        <v>36.5</v>
      </c>
      <c r="J7" s="36">
        <v>34.799999999999997</v>
      </c>
      <c r="K7" s="36">
        <v>34.700000000000003</v>
      </c>
      <c r="L7" s="36">
        <v>27.6</v>
      </c>
      <c r="M7" s="36">
        <v>24.8</v>
      </c>
      <c r="N7" s="36"/>
      <c r="O7" s="36">
        <v>17.600000000000001</v>
      </c>
      <c r="P7" s="37">
        <f t="shared" ref="P7:P38" si="0">(AVERAGE(D7:O7))</f>
        <v>27.2</v>
      </c>
      <c r="Q7" s="38">
        <f t="shared" ref="Q7:Q38" si="1">COUNT(D7:O7)/COUNT($D$6:$O$6)</f>
        <v>0.83333333333333337</v>
      </c>
      <c r="R7" s="140">
        <f t="shared" ref="R7:R38" si="2">IF($S7=0%,"",IF($S7&gt;66%,AVERAGE($D7:$F7),"-"))</f>
        <v>19.8</v>
      </c>
      <c r="S7" s="150">
        <f t="shared" ref="S7:S38" si="3">COUNT(D7:F7)/3</f>
        <v>1</v>
      </c>
      <c r="T7" s="140">
        <f t="shared" ref="T7:T38" si="4">IF($U7=0%,"",IF($U7&gt;66%,AVERAGE($J7:$L7),"-"))</f>
        <v>32.366666666666667</v>
      </c>
      <c r="U7" s="9">
        <f t="shared" ref="U7:U38" si="5">COUNT(J7:L7)/3</f>
        <v>1</v>
      </c>
      <c r="V7" s="141">
        <f t="shared" ref="V7:V38" si="6">IF(AND(($S7&gt;33%),($U7&gt;33%),($W7&gt;=75%)),AVERAGE($D7:$O7),"-")</f>
        <v>27.2</v>
      </c>
      <c r="W7" s="142">
        <f t="shared" ref="W7:W38" si="7">Q7</f>
        <v>0.83333333333333337</v>
      </c>
      <c r="X7" s="144">
        <f>IF(VLOOKUP($B7,$AC$6:$AI$158,3,FALSE)="",$R7,IF(ISERROR(AVERAGEIF($AD$6:$AD$158,VLOOKUP($B7,$AC$6:$AI$158,2,FALSE),$R$6:$R$158)),"",AVERAGEIF($AD$6:$AD$158,VLOOKUP($B7,$AC$6:$AI$158,2,FALSE),$R$6:$R$158)))</f>
        <v>13.566666666666666</v>
      </c>
      <c r="Y7" s="144">
        <f t="shared" ref="Y7:Y38" si="8">IF(VLOOKUP($B7,$AC$6:$AI$158,3,FALSE)="",$T7,IF(ISERROR(AVERAGEIF($AD$6:$AD$158,VLOOKUP($B7,$AC$6:$AI$158,2,FALSE),$T$6:$T$158)),"",AVERAGEIF($AD$6:$AD$158,VLOOKUP($B7,$AC$6:$AI$158,2,FALSE),$T$6:$T$158)))</f>
        <v>21.833333333333332</v>
      </c>
      <c r="Z7" s="144">
        <f t="shared" ref="Z7:Z38" si="9">IF(VLOOKUP($B7,$AC$6:$AI$158,3,FALSE)="",$V7,IF(ISERROR(AVERAGEIF($AD$6:$AD$158,VLOOKUP($B7,$AC$6:$AI$158,2,FALSE),$V$6:$V$158)),"",AVERAGEIF($AD$6:$AD$158,VLOOKUP($B7,$AC$6:$AI$158,2,FALSE),$V$6:$V$158)))</f>
        <v>18.45</v>
      </c>
      <c r="AA7" s="10"/>
      <c r="AB7" s="100" t="str">
        <f>VLOOKUP($B7,'2007-2020 Metadata'!$A$4:$S$214,MATCH("Urban Area /Monitoring Zone",'2007-2020 Metadata'!$A$4:$S$4,0),FALSE)</f>
        <v>Whangarei</v>
      </c>
      <c r="AC7" s="87" t="str">
        <f>VLOOKUP(B7,'2007-2020 Metadata'!$A$6:$A$214,1,FALSE)</f>
        <v>AUC001</v>
      </c>
      <c r="AD7" s="230" t="str">
        <f>VLOOKUP($AC7,'2007-2020 Metadata'!$A$6:$S$214,9,FALSE)</f>
        <v>Whangarei</v>
      </c>
      <c r="AE7" s="248">
        <f>IF(ISBLANK(VLOOKUP($AC7,'2007-2020 Metadata'!$A$6:$S$214,19,FALSE)),"",VLOOKUP($AC7,'2007-2020 Metadata'!$A$6:$S$214,19,FALSE))</f>
        <v>3.2</v>
      </c>
      <c r="AF7" s="88" t="str">
        <f>VLOOKUP($B7,'2007-2020 Metadata'!$A$4:$S$214,MATCH("Site type",'2007-2020 Metadata'!$A$4:$S$4,0),FALSE)</f>
        <v>SH</v>
      </c>
      <c r="AG7" s="143">
        <f t="shared" ref="AG7:AG13" si="10">MIN($D7:$O7)</f>
        <v>15.5</v>
      </c>
      <c r="AH7" s="143">
        <f t="shared" ref="AH7:AH13" si="11">MAX($D7:$O7)</f>
        <v>36.6</v>
      </c>
      <c r="AI7" s="144">
        <f t="shared" ref="AI7:AI38" si="12">IF($W7&gt;=75%,$Z7," ")</f>
        <v>18.45</v>
      </c>
    </row>
    <row r="8" spans="1:35" ht="12" customHeight="1" x14ac:dyDescent="0.15">
      <c r="A8" s="272"/>
      <c r="B8" s="40" t="s">
        <v>3</v>
      </c>
      <c r="C8" s="104" t="str">
        <f>IF(VLOOKUP($B8,'Monthly Summary 2012'!$B$7:$Q$221,14,FALSE)=0,"",VLOOKUP($B8,'Monthly Summary 2012'!$B$7:$Q$221,14,FALSE))</f>
        <v/>
      </c>
      <c r="D8" s="36"/>
      <c r="E8" s="36"/>
      <c r="F8" s="36">
        <v>10.7</v>
      </c>
      <c r="G8" s="36">
        <v>15.5</v>
      </c>
      <c r="H8" s="36">
        <v>17</v>
      </c>
      <c r="I8" s="36"/>
      <c r="J8" s="36">
        <v>10.8</v>
      </c>
      <c r="K8" s="36">
        <v>13.4</v>
      </c>
      <c r="L8" s="36">
        <v>9.6</v>
      </c>
      <c r="M8" s="36">
        <v>7.7</v>
      </c>
      <c r="N8" s="36">
        <v>10.199999999999999</v>
      </c>
      <c r="O8" s="36"/>
      <c r="P8" s="37">
        <f t="shared" si="0"/>
        <v>11.862500000000001</v>
      </c>
      <c r="Q8" s="38">
        <f t="shared" si="1"/>
        <v>0.66666666666666663</v>
      </c>
      <c r="R8" s="225" t="str">
        <f t="shared" si="2"/>
        <v>-</v>
      </c>
      <c r="S8" s="150">
        <f t="shared" si="3"/>
        <v>0.33333333333333331</v>
      </c>
      <c r="T8" s="225">
        <f t="shared" si="4"/>
        <v>11.266666666666667</v>
      </c>
      <c r="U8" s="9">
        <f t="shared" si="5"/>
        <v>1</v>
      </c>
      <c r="V8" s="227" t="str">
        <f t="shared" si="6"/>
        <v>-</v>
      </c>
      <c r="W8" s="228">
        <f t="shared" si="7"/>
        <v>0.66666666666666663</v>
      </c>
      <c r="X8" s="144" t="str">
        <f t="shared" ref="X8:X38" si="13">IF(VLOOKUP($B8,$AC$6:$AI$158,3,FALSE)="",$R8,IF(ISERROR(AVERAGEIF($AD$6:$AD$158,VLOOKUP($B8,$AC$6:$AI$158,2,FALSE),$R$6:$R$158)),"",AVERAGEIF($AD$6:$AD$158,VLOOKUP($B8,$AC$6:$AI$158,2,FALSE),$R$6:$R$158)))</f>
        <v/>
      </c>
      <c r="Y8" s="144">
        <f t="shared" si="8"/>
        <v>11.266666666666667</v>
      </c>
      <c r="Z8" s="144" t="str">
        <f t="shared" si="9"/>
        <v/>
      </c>
      <c r="AA8" s="205"/>
      <c r="AB8" s="357" t="str">
        <f>VLOOKUP($B8,'2007-2020 Metadata'!$A$4:$S$214,MATCH("Urban Area /Monitoring Zone",'2007-2020 Metadata'!$A$4:$S$4,0),FALSE)</f>
        <v>Auckland - Northern</v>
      </c>
      <c r="AC8" s="229" t="str">
        <f>VLOOKUP(B8,'2007-2020 Metadata'!$A$6:$A$214,1,FALSE)</f>
        <v>AUC004</v>
      </c>
      <c r="AD8" s="230" t="str">
        <f>VLOOKUP($AC8,'2007-2020 Metadata'!$A$6:$S$214,9,FALSE)</f>
        <v>Rodney</v>
      </c>
      <c r="AE8" s="248">
        <f>IF(ISBLANK(VLOOKUP($AC8,'2007-2020 Metadata'!$A$6:$S$214,19,FALSE)),"",VLOOKUP($AC8,'2007-2020 Metadata'!$A$6:$S$214,19,FALSE))</f>
        <v>2.5</v>
      </c>
      <c r="AF8" s="88" t="str">
        <f>VLOOKUP($B8,'2007-2020 Metadata'!$A$4:$S$214,MATCH("Site type",'2007-2020 Metadata'!$A$4:$S$4,0),FALSE)</f>
        <v>SH</v>
      </c>
      <c r="AG8" s="143">
        <f t="shared" si="10"/>
        <v>7.7</v>
      </c>
      <c r="AH8" s="143">
        <f t="shared" si="11"/>
        <v>17</v>
      </c>
      <c r="AI8" s="144" t="str">
        <f t="shared" si="12"/>
        <v xml:space="preserve"> </v>
      </c>
    </row>
    <row r="9" spans="1:35" ht="12" customHeight="1" x14ac:dyDescent="0.15">
      <c r="A9" s="31"/>
      <c r="B9" s="40" t="s">
        <v>4</v>
      </c>
      <c r="C9" s="104" t="str">
        <f>IF(VLOOKUP($B9,'Monthly Summary 2012'!$B$7:$Q$221,14,FALSE)=0,"",VLOOKUP($B9,'Monthly Summary 2012'!$B$7:$Q$221,14,FALSE))</f>
        <v/>
      </c>
      <c r="D9" s="36"/>
      <c r="E9" s="36">
        <v>23.4</v>
      </c>
      <c r="F9" s="36"/>
      <c r="G9" s="36">
        <v>18</v>
      </c>
      <c r="H9" s="36">
        <v>36.5</v>
      </c>
      <c r="I9" s="36">
        <v>46.8</v>
      </c>
      <c r="J9" s="36">
        <v>43.2</v>
      </c>
      <c r="K9" s="36">
        <v>36.799999999999997</v>
      </c>
      <c r="L9" s="36">
        <v>28.6</v>
      </c>
      <c r="M9" s="36">
        <v>26.3</v>
      </c>
      <c r="N9" s="36">
        <v>27.3</v>
      </c>
      <c r="O9" s="36">
        <v>14.7</v>
      </c>
      <c r="P9" s="37">
        <f t="shared" si="0"/>
        <v>30.159999999999997</v>
      </c>
      <c r="Q9" s="38">
        <f t="shared" si="1"/>
        <v>0.83333333333333337</v>
      </c>
      <c r="R9" s="225" t="str">
        <f t="shared" si="2"/>
        <v>-</v>
      </c>
      <c r="S9" s="150">
        <f t="shared" si="3"/>
        <v>0.33333333333333331</v>
      </c>
      <c r="T9" s="225">
        <f t="shared" si="4"/>
        <v>36.199999999999996</v>
      </c>
      <c r="U9" s="9">
        <f t="shared" si="5"/>
        <v>1</v>
      </c>
      <c r="V9" s="227">
        <f t="shared" si="6"/>
        <v>30.159999999999997</v>
      </c>
      <c r="W9" s="228">
        <f t="shared" si="7"/>
        <v>0.83333333333333337</v>
      </c>
      <c r="X9" s="144">
        <f t="shared" si="13"/>
        <v>20.18333333333333</v>
      </c>
      <c r="Y9" s="144">
        <f t="shared" si="8"/>
        <v>32.160606060606057</v>
      </c>
      <c r="Z9" s="144">
        <f t="shared" si="9"/>
        <v>27.297258953168047</v>
      </c>
      <c r="AA9" s="205"/>
      <c r="AB9" s="357" t="str">
        <f>VLOOKUP($B9,'2007-2020 Metadata'!$A$4:$S$214,MATCH("Urban Area /Monitoring Zone",'2007-2020 Metadata'!$A$4:$S$4,0),FALSE)</f>
        <v>Auckland - Northern</v>
      </c>
      <c r="AC9" s="229" t="str">
        <f>VLOOKUP(B9,'2007-2020 Metadata'!$A$6:$A$214,1,FALSE)</f>
        <v>AUC005</v>
      </c>
      <c r="AD9" s="230" t="str">
        <f>VLOOKUP($AC9,'2007-2020 Metadata'!$A$6:$S$214,9,FALSE)</f>
        <v xml:space="preserve">North Shore </v>
      </c>
      <c r="AE9" s="248">
        <f>IF(ISBLANK(VLOOKUP($AC9,'2007-2020 Metadata'!$A$6:$S$214,19,FALSE)),"",VLOOKUP($AC9,'2007-2020 Metadata'!$A$6:$S$214,19,FALSE))</f>
        <v>2.1</v>
      </c>
      <c r="AF9" s="88" t="str">
        <f>VLOOKUP($B9,'2007-2020 Metadata'!$A$4:$S$214,MATCH("Site type",'2007-2020 Metadata'!$A$4:$S$4,0),FALSE)</f>
        <v>Local</v>
      </c>
      <c r="AG9" s="143">
        <f t="shared" si="10"/>
        <v>14.7</v>
      </c>
      <c r="AH9" s="143">
        <f t="shared" si="11"/>
        <v>46.8</v>
      </c>
      <c r="AI9" s="144">
        <f t="shared" si="12"/>
        <v>27.297258953168047</v>
      </c>
    </row>
    <row r="10" spans="1:35" ht="12" customHeight="1" x14ac:dyDescent="0.15">
      <c r="A10" s="31"/>
      <c r="B10" s="40" t="s">
        <v>6</v>
      </c>
      <c r="C10" s="104">
        <f>IF(VLOOKUP($B10,'Monthly Summary 2012'!$B$7:$Q$221,14,FALSE)=0,"",VLOOKUP($B10,'Monthly Summary 2012'!$B$7:$Q$221,14,FALSE))</f>
        <v>19.899999999999999</v>
      </c>
      <c r="D10" s="36">
        <v>24.5</v>
      </c>
      <c r="E10" s="36">
        <v>25.3</v>
      </c>
      <c r="F10" s="36">
        <v>33.299999999999997</v>
      </c>
      <c r="G10" s="36">
        <v>27.1</v>
      </c>
      <c r="H10" s="36">
        <v>38.9</v>
      </c>
      <c r="I10" s="36">
        <v>33.1</v>
      </c>
      <c r="J10" s="36">
        <v>32.200000000000003</v>
      </c>
      <c r="K10" s="36">
        <v>40.9</v>
      </c>
      <c r="L10" s="36">
        <v>20.5</v>
      </c>
      <c r="M10" s="36">
        <v>13.1</v>
      </c>
      <c r="N10" s="36">
        <v>31.7</v>
      </c>
      <c r="O10" s="36">
        <v>12.2</v>
      </c>
      <c r="P10" s="37">
        <f t="shared" si="0"/>
        <v>27.733333333333331</v>
      </c>
      <c r="Q10" s="38">
        <f t="shared" si="1"/>
        <v>1</v>
      </c>
      <c r="R10" s="140">
        <f t="shared" si="2"/>
        <v>27.7</v>
      </c>
      <c r="S10" s="150">
        <f t="shared" si="3"/>
        <v>1</v>
      </c>
      <c r="T10" s="140">
        <f t="shared" si="4"/>
        <v>31.2</v>
      </c>
      <c r="U10" s="9">
        <f t="shared" si="5"/>
        <v>1</v>
      </c>
      <c r="V10" s="141">
        <f t="shared" si="6"/>
        <v>27.733333333333331</v>
      </c>
      <c r="W10" s="142">
        <f t="shared" si="7"/>
        <v>1</v>
      </c>
      <c r="X10" s="144">
        <f t="shared" si="13"/>
        <v>20.18333333333333</v>
      </c>
      <c r="Y10" s="144">
        <f t="shared" si="8"/>
        <v>32.160606060606057</v>
      </c>
      <c r="Z10" s="144">
        <f t="shared" si="9"/>
        <v>27.297258953168047</v>
      </c>
      <c r="AA10" s="10"/>
      <c r="AB10" s="357" t="str">
        <f>VLOOKUP($B10,'2007-2020 Metadata'!$A$4:$S$214,MATCH("Urban Area /Monitoring Zone",'2007-2020 Metadata'!$A$4:$S$4,0),FALSE)</f>
        <v>Auckland - Northern</v>
      </c>
      <c r="AC10" s="87" t="str">
        <f>VLOOKUP(B10,'2007-2020 Metadata'!$A$6:$A$214,1,FALSE)</f>
        <v>AUC007</v>
      </c>
      <c r="AD10" s="230" t="str">
        <f>VLOOKUP($AC10,'2007-2020 Metadata'!$A$6:$S$214,9,FALSE)</f>
        <v xml:space="preserve">North Shore </v>
      </c>
      <c r="AE10" s="248">
        <f>IF(ISBLANK(VLOOKUP($AC10,'2007-2020 Metadata'!$A$6:$S$214,19,FALSE)),"",VLOOKUP($AC10,'2007-2020 Metadata'!$A$6:$S$214,19,FALSE))</f>
        <v>3</v>
      </c>
      <c r="AF10" s="88" t="str">
        <f>VLOOKUP($B10,'2007-2020 Metadata'!$A$4:$S$214,MATCH("Site type",'2007-2020 Metadata'!$A$4:$S$4,0),FALSE)</f>
        <v>SH</v>
      </c>
      <c r="AG10" s="143">
        <f t="shared" si="10"/>
        <v>12.2</v>
      </c>
      <c r="AH10" s="143">
        <f t="shared" si="11"/>
        <v>40.9</v>
      </c>
      <c r="AI10" s="144">
        <f t="shared" si="12"/>
        <v>27.297258953168047</v>
      </c>
    </row>
    <row r="11" spans="1:35" ht="12" customHeight="1" x14ac:dyDescent="0.15">
      <c r="A11" s="31"/>
      <c r="B11" s="40" t="s">
        <v>7</v>
      </c>
      <c r="C11" s="104">
        <f>IF(VLOOKUP($B11,'Monthly Summary 2012'!$B$7:$Q$221,14,FALSE)=0,"",VLOOKUP($B11,'Monthly Summary 2012'!$B$7:$Q$221,14,FALSE))</f>
        <v>20.399999999999999</v>
      </c>
      <c r="D11" s="36">
        <v>29</v>
      </c>
      <c r="E11" s="36">
        <v>24.4</v>
      </c>
      <c r="F11" s="36">
        <v>37</v>
      </c>
      <c r="G11" s="36">
        <v>28.4</v>
      </c>
      <c r="H11" s="36">
        <v>38.299999999999997</v>
      </c>
      <c r="I11" s="36">
        <v>32.700000000000003</v>
      </c>
      <c r="J11" s="36">
        <v>31.3</v>
      </c>
      <c r="K11" s="36">
        <v>33</v>
      </c>
      <c r="L11" s="36">
        <v>24.9</v>
      </c>
      <c r="M11" s="36">
        <v>16.7</v>
      </c>
      <c r="N11" s="36">
        <v>31.9</v>
      </c>
      <c r="O11" s="36">
        <v>11.9</v>
      </c>
      <c r="P11" s="37">
        <f t="shared" si="0"/>
        <v>28.291666666666661</v>
      </c>
      <c r="Q11" s="38">
        <f t="shared" si="1"/>
        <v>1</v>
      </c>
      <c r="R11" s="140">
        <f t="shared" si="2"/>
        <v>30.133333333333336</v>
      </c>
      <c r="S11" s="150">
        <f t="shared" si="3"/>
        <v>1</v>
      </c>
      <c r="T11" s="140">
        <f t="shared" si="4"/>
        <v>29.733333333333331</v>
      </c>
      <c r="U11" s="9">
        <f t="shared" si="5"/>
        <v>1</v>
      </c>
      <c r="V11" s="141">
        <f t="shared" si="6"/>
        <v>28.291666666666661</v>
      </c>
      <c r="W11" s="142">
        <f t="shared" si="7"/>
        <v>1</v>
      </c>
      <c r="X11" s="144">
        <f>IF(VLOOKUP($B11,$AC$6:$AI$158,3,FALSE)="",$R11,IF(ISERROR(AVERAGEIF($AD$6:$AD$158,VLOOKUP($B11,$AC$6:$AI$158,2,FALSE),$R$6:$R$158)),"",AVERAGEIF($AD$6:$AD$158,VLOOKUP($B11,$AC$6:$AI$158,2,FALSE),$R$6:$R$158)))</f>
        <v>25.800000000000004</v>
      </c>
      <c r="Y11" s="144">
        <f t="shared" si="8"/>
        <v>37.946153846153841</v>
      </c>
      <c r="Z11" s="144">
        <f t="shared" si="9"/>
        <v>32.202855477855479</v>
      </c>
      <c r="AA11" s="10"/>
      <c r="AB11" s="357" t="str">
        <f>VLOOKUP($B11,'2007-2020 Metadata'!$A$4:$S$214,MATCH("Urban Area /Monitoring Zone",'2007-2020 Metadata'!$A$4:$S$4,0),FALSE)</f>
        <v>Auckland - Central</v>
      </c>
      <c r="AC11" s="87" t="str">
        <f>VLOOKUP(B11,'2007-2020 Metadata'!$A$6:$A$214,1,FALSE)</f>
        <v>AUC008</v>
      </c>
      <c r="AD11" s="230" t="str">
        <f>VLOOKUP($AC11,'2007-2020 Metadata'!$A$6:$S$214,9,FALSE)</f>
        <v>Auckland</v>
      </c>
      <c r="AE11" s="248">
        <f>IF(ISBLANK(VLOOKUP($AC11,'2007-2020 Metadata'!$A$6:$S$214,19,FALSE)),"",VLOOKUP($AC11,'2007-2020 Metadata'!$A$6:$S$214,19,FALSE))</f>
        <v>3</v>
      </c>
      <c r="AF11" s="88" t="str">
        <f>VLOOKUP($B11,'2007-2020 Metadata'!$A$4:$S$214,MATCH("Site type",'2007-2020 Metadata'!$A$4:$S$4,0),FALSE)</f>
        <v>SH</v>
      </c>
      <c r="AG11" s="143">
        <f t="shared" si="10"/>
        <v>11.9</v>
      </c>
      <c r="AH11" s="143">
        <f t="shared" si="11"/>
        <v>38.299999999999997</v>
      </c>
      <c r="AI11" s="144">
        <f t="shared" si="12"/>
        <v>32.202855477855479</v>
      </c>
    </row>
    <row r="12" spans="1:35" ht="12" customHeight="1" x14ac:dyDescent="0.15">
      <c r="A12" s="31"/>
      <c r="B12" s="40" t="s">
        <v>8</v>
      </c>
      <c r="C12" s="104">
        <f>IF(VLOOKUP($B12,'Monthly Summary 2012'!$B$7:$Q$221,14,FALSE)=0,"",VLOOKUP($B12,'Monthly Summary 2012'!$B$7:$Q$221,14,FALSE))</f>
        <v>26.1</v>
      </c>
      <c r="D12" s="36">
        <v>29.6</v>
      </c>
      <c r="E12" s="36">
        <v>41.2</v>
      </c>
      <c r="F12" s="36">
        <v>42.4</v>
      </c>
      <c r="G12" s="36">
        <v>47.4</v>
      </c>
      <c r="H12" s="36">
        <v>48.1</v>
      </c>
      <c r="I12" s="36">
        <v>61.1</v>
      </c>
      <c r="J12" s="36">
        <v>54.3</v>
      </c>
      <c r="K12" s="36">
        <v>61.8</v>
      </c>
      <c r="L12" s="36">
        <v>48.6</v>
      </c>
      <c r="M12" s="36">
        <v>44.4</v>
      </c>
      <c r="N12" s="36">
        <v>40.799999999999997</v>
      </c>
      <c r="O12" s="36">
        <v>38.1</v>
      </c>
      <c r="P12" s="37">
        <f t="shared" si="0"/>
        <v>46.483333333333341</v>
      </c>
      <c r="Q12" s="38">
        <f t="shared" si="1"/>
        <v>1</v>
      </c>
      <c r="R12" s="140">
        <f t="shared" si="2"/>
        <v>37.733333333333341</v>
      </c>
      <c r="S12" s="150">
        <f t="shared" si="3"/>
        <v>1</v>
      </c>
      <c r="T12" s="140">
        <f t="shared" si="4"/>
        <v>54.9</v>
      </c>
      <c r="U12" s="9">
        <f t="shared" si="5"/>
        <v>1</v>
      </c>
      <c r="V12" s="141">
        <f t="shared" si="6"/>
        <v>46.483333333333341</v>
      </c>
      <c r="W12" s="142">
        <f t="shared" si="7"/>
        <v>1</v>
      </c>
      <c r="X12" s="144">
        <f t="shared" si="13"/>
        <v>25.800000000000004</v>
      </c>
      <c r="Y12" s="144">
        <f t="shared" si="8"/>
        <v>37.946153846153841</v>
      </c>
      <c r="Z12" s="144">
        <f t="shared" si="9"/>
        <v>32.202855477855479</v>
      </c>
      <c r="AA12" s="10"/>
      <c r="AB12" s="357" t="str">
        <f>VLOOKUP($B12,'2007-2020 Metadata'!$A$4:$S$214,MATCH("Urban Area /Monitoring Zone",'2007-2020 Metadata'!$A$4:$S$4,0),FALSE)</f>
        <v>Auckland - Central</v>
      </c>
      <c r="AC12" s="87" t="str">
        <f>VLOOKUP(B12,'2007-2020 Metadata'!$A$6:$A$214,1,FALSE)</f>
        <v>AUC009</v>
      </c>
      <c r="AD12" s="230" t="str">
        <f>VLOOKUP($AC12,'2007-2020 Metadata'!$A$6:$S$214,9,FALSE)</f>
        <v>Auckland</v>
      </c>
      <c r="AE12" s="248">
        <f>IF(ISBLANK(VLOOKUP($AC12,'2007-2020 Metadata'!$A$6:$S$214,19,FALSE)),"",VLOOKUP($AC12,'2007-2020 Metadata'!$A$6:$S$214,19,FALSE))</f>
        <v>3</v>
      </c>
      <c r="AF12" s="88" t="str">
        <f>VLOOKUP($B12,'2007-2020 Metadata'!$A$4:$S$214,MATCH("Site type",'2007-2020 Metadata'!$A$4:$S$4,0),FALSE)</f>
        <v>SH</v>
      </c>
      <c r="AG12" s="143">
        <f t="shared" si="10"/>
        <v>29.6</v>
      </c>
      <c r="AH12" s="143">
        <f t="shared" si="11"/>
        <v>61.8</v>
      </c>
      <c r="AI12" s="144">
        <f t="shared" si="12"/>
        <v>32.202855477855479</v>
      </c>
    </row>
    <row r="13" spans="1:35" ht="12" customHeight="1" x14ac:dyDescent="0.15">
      <c r="A13" s="31"/>
      <c r="B13" s="40" t="s">
        <v>9</v>
      </c>
      <c r="C13" s="104">
        <f>IF(VLOOKUP($B13,'Monthly Summary 2012'!$B$7:$Q$221,14,FALSE)=0,"",VLOOKUP($B13,'Monthly Summary 2012'!$B$7:$Q$221,14,FALSE))</f>
        <v>23</v>
      </c>
      <c r="D13" s="36">
        <v>22.1</v>
      </c>
      <c r="E13" s="36">
        <v>34.6</v>
      </c>
      <c r="F13" s="36">
        <v>34.299999999999997</v>
      </c>
      <c r="G13" s="36">
        <v>45.5</v>
      </c>
      <c r="H13" s="36"/>
      <c r="I13" s="36">
        <v>51.6</v>
      </c>
      <c r="J13" s="36">
        <v>48.1</v>
      </c>
      <c r="K13" s="36">
        <v>52.6</v>
      </c>
      <c r="L13" s="36">
        <v>40.200000000000003</v>
      </c>
      <c r="M13" s="36">
        <v>30.7</v>
      </c>
      <c r="N13" s="36">
        <v>29.1</v>
      </c>
      <c r="O13" s="36">
        <v>29.7</v>
      </c>
      <c r="P13" s="37">
        <f t="shared" si="0"/>
        <v>38.045454545454547</v>
      </c>
      <c r="Q13" s="38">
        <f t="shared" si="1"/>
        <v>0.91666666666666663</v>
      </c>
      <c r="R13" s="140">
        <f t="shared" si="2"/>
        <v>30.333333333333332</v>
      </c>
      <c r="S13" s="150">
        <f t="shared" si="3"/>
        <v>1</v>
      </c>
      <c r="T13" s="140">
        <f t="shared" si="4"/>
        <v>46.966666666666669</v>
      </c>
      <c r="U13" s="9">
        <f t="shared" si="5"/>
        <v>1</v>
      </c>
      <c r="V13" s="141">
        <f t="shared" si="6"/>
        <v>38.045454545454547</v>
      </c>
      <c r="W13" s="142">
        <f t="shared" si="7"/>
        <v>0.91666666666666663</v>
      </c>
      <c r="X13" s="144">
        <f t="shared" si="13"/>
        <v>25.800000000000004</v>
      </c>
      <c r="Y13" s="144">
        <f t="shared" si="8"/>
        <v>37.946153846153841</v>
      </c>
      <c r="Z13" s="144">
        <f t="shared" si="9"/>
        <v>32.202855477855479</v>
      </c>
      <c r="AA13" s="10"/>
      <c r="AB13" s="357" t="str">
        <f>VLOOKUP($B13,'2007-2020 Metadata'!$A$4:$S$214,MATCH("Urban Area /Monitoring Zone",'2007-2020 Metadata'!$A$4:$S$4,0),FALSE)</f>
        <v>Auckland - Central</v>
      </c>
      <c r="AC13" s="87" t="str">
        <f>VLOOKUP(B13,'2007-2020 Metadata'!$A$6:$A$214,1,FALSE)</f>
        <v>AUC011</v>
      </c>
      <c r="AD13" s="230" t="str">
        <f>VLOOKUP($AC13,'2007-2020 Metadata'!$A$6:$S$214,9,FALSE)</f>
        <v>Auckland</v>
      </c>
      <c r="AE13" s="248">
        <f>IF(ISBLANK(VLOOKUP($AC13,'2007-2020 Metadata'!$A$6:$S$214,19,FALSE)),"",VLOOKUP($AC13,'2007-2020 Metadata'!$A$6:$S$214,19,FALSE))</f>
        <v>3</v>
      </c>
      <c r="AF13" s="88" t="str">
        <f>VLOOKUP($B13,'2007-2020 Metadata'!$A$4:$S$214,MATCH("Site type",'2007-2020 Metadata'!$A$4:$S$4,0),FALSE)</f>
        <v>SH</v>
      </c>
      <c r="AG13" s="143">
        <f t="shared" si="10"/>
        <v>22.1</v>
      </c>
      <c r="AH13" s="143">
        <f t="shared" si="11"/>
        <v>52.6</v>
      </c>
      <c r="AI13" s="144">
        <f t="shared" si="12"/>
        <v>32.202855477855479</v>
      </c>
    </row>
    <row r="14" spans="1:35" ht="12" customHeight="1" x14ac:dyDescent="0.15">
      <c r="A14" s="31"/>
      <c r="B14" s="40" t="s">
        <v>10</v>
      </c>
      <c r="C14" s="104">
        <f>IF(VLOOKUP($B14,'Monthly Summary 2012'!$B$7:$Q$221,14,FALSE)=0,"",VLOOKUP($B14,'Monthly Summary 2012'!$B$7:$Q$221,14,FALSE))</f>
        <v>18.2</v>
      </c>
      <c r="D14" s="36">
        <v>16.8</v>
      </c>
      <c r="E14" s="36">
        <v>28.4</v>
      </c>
      <c r="F14" s="36">
        <v>27.7</v>
      </c>
      <c r="G14" s="36">
        <v>38.5</v>
      </c>
      <c r="H14" s="36">
        <v>41.8</v>
      </c>
      <c r="I14" s="36">
        <v>47.9</v>
      </c>
      <c r="J14" s="36">
        <v>35</v>
      </c>
      <c r="K14" s="36">
        <v>39.200000000000003</v>
      </c>
      <c r="L14" s="36">
        <v>33.299999999999997</v>
      </c>
      <c r="M14" s="36">
        <v>31</v>
      </c>
      <c r="N14" s="36">
        <v>29.5</v>
      </c>
      <c r="O14" s="36">
        <v>22.2</v>
      </c>
      <c r="P14" s="37">
        <f t="shared" si="0"/>
        <v>32.608333333333334</v>
      </c>
      <c r="Q14" s="38">
        <f t="shared" si="1"/>
        <v>1</v>
      </c>
      <c r="R14" s="260">
        <f t="shared" si="2"/>
        <v>24.3</v>
      </c>
      <c r="S14" s="261">
        <f t="shared" si="3"/>
        <v>1</v>
      </c>
      <c r="T14" s="260">
        <f t="shared" si="4"/>
        <v>35.833333333333336</v>
      </c>
      <c r="U14" s="265">
        <f t="shared" si="5"/>
        <v>1</v>
      </c>
      <c r="V14" s="262">
        <f t="shared" si="6"/>
        <v>32.608333333333334</v>
      </c>
      <c r="W14" s="261">
        <f t="shared" si="7"/>
        <v>1</v>
      </c>
      <c r="X14" s="177">
        <f t="shared" si="13"/>
        <v>25.800000000000004</v>
      </c>
      <c r="Y14" s="177">
        <f t="shared" si="8"/>
        <v>37.946153846153841</v>
      </c>
      <c r="Z14" s="177">
        <f t="shared" si="9"/>
        <v>32.202855477855479</v>
      </c>
      <c r="AA14" s="10"/>
      <c r="AB14" s="357" t="str">
        <f>VLOOKUP($B14,'2007-2020 Metadata'!$A$4:$S$214,MATCH("Urban Area /Monitoring Zone",'2007-2020 Metadata'!$A$4:$S$4,0),FALSE)</f>
        <v>Auckland - Central</v>
      </c>
      <c r="AC14" s="259" t="str">
        <f>VLOOKUP(B14,'2007-2020 Metadata'!$A$6:$A$214,1,FALSE)</f>
        <v>AUC013</v>
      </c>
      <c r="AD14" s="256" t="str">
        <f>VLOOKUP($AC14,'2007-2020 Metadata'!$A$6:$S$214,9,FALSE)</f>
        <v>Auckland</v>
      </c>
      <c r="AE14" s="263">
        <f>IF(ISBLANK(VLOOKUP($AC14,'2007-2020 Metadata'!$A$6:$S$214,19,FALSE)),"",VLOOKUP($AC14,'2007-2020 Metadata'!$A$6:$S$214,19,FALSE))</f>
        <v>4</v>
      </c>
      <c r="AF14" s="257" t="str">
        <f>VLOOKUP($B14,'2007-2020 Metadata'!$A$4:$S$214,MATCH("Site type",'2007-2020 Metadata'!$A$4:$S$4,0),FALSE)</f>
        <v>SH</v>
      </c>
      <c r="AG14" s="258">
        <f>MIN(AVERAGE(D$14:D$16),AVERAGE(E$14:E$16),AVERAGE(F$14:F$16),AVERAGE(G$14:G$16),AVERAGE(H$14:H$16),AVERAGE(I$14:I$16),AVERAGE(J$14:J$16),AVERAGE(K$14:K$16),AVERAGE(L$14:L$16),AVERAGE(M$14:M$16),AVERAGE(N$14:N$16),AVERAGE(O$14:O$16))</f>
        <v>14.533333333333333</v>
      </c>
      <c r="AH14" s="258">
        <f>MAX(AVERAGE(D$14:D$16),AVERAGE(E$14:E$16),AVERAGE(F$14:F$16),AVERAGE(G$14:G$16),AVERAGE(H$14:H$16),AVERAGE(I$14:I$16),AVERAGE(J$14:J$16),AVERAGE(K$14:K$16),AVERAGE(L$14:L$16),AVERAGE(M$14:M$16),AVERAGE(N$14:N$16),AVERAGE(O$14:O$16))</f>
        <v>46.533333333333339</v>
      </c>
      <c r="AI14" s="177">
        <f t="shared" si="12"/>
        <v>32.202855477855479</v>
      </c>
    </row>
    <row r="15" spans="1:35" ht="12" customHeight="1" x14ac:dyDescent="0.15">
      <c r="A15" s="31"/>
      <c r="B15" s="40" t="s">
        <v>11</v>
      </c>
      <c r="C15" s="104">
        <f>IF(VLOOKUP($B15,'Monthly Summary 2012'!$B$7:$Q$221,14,FALSE)=0,"",VLOOKUP($B15,'Monthly Summary 2012'!$B$7:$Q$221,14,FALSE))</f>
        <v>18</v>
      </c>
      <c r="D15" s="36">
        <v>13.3</v>
      </c>
      <c r="E15" s="36">
        <v>27.4</v>
      </c>
      <c r="F15" s="36">
        <v>23.1</v>
      </c>
      <c r="G15" s="36">
        <v>29.4</v>
      </c>
      <c r="H15" s="36">
        <v>39.200000000000003</v>
      </c>
      <c r="I15" s="36">
        <v>46</v>
      </c>
      <c r="J15" s="36">
        <v>42.9</v>
      </c>
      <c r="K15" s="36">
        <v>37.700000000000003</v>
      </c>
      <c r="L15" s="36">
        <v>33</v>
      </c>
      <c r="M15" s="36">
        <v>30.9</v>
      </c>
      <c r="N15" s="36">
        <v>21.5</v>
      </c>
      <c r="O15" s="36">
        <v>21.1</v>
      </c>
      <c r="P15" s="37">
        <f t="shared" si="0"/>
        <v>30.458333333333332</v>
      </c>
      <c r="Q15" s="38">
        <f t="shared" si="1"/>
        <v>1</v>
      </c>
      <c r="R15" s="260">
        <f t="shared" si="2"/>
        <v>21.266666666666669</v>
      </c>
      <c r="S15" s="261">
        <f t="shared" si="3"/>
        <v>1</v>
      </c>
      <c r="T15" s="260">
        <f t="shared" si="4"/>
        <v>37.866666666666667</v>
      </c>
      <c r="U15" s="265">
        <f t="shared" si="5"/>
        <v>1</v>
      </c>
      <c r="V15" s="262">
        <f t="shared" si="6"/>
        <v>30.458333333333332</v>
      </c>
      <c r="W15" s="261">
        <f t="shared" si="7"/>
        <v>1</v>
      </c>
      <c r="X15" s="177">
        <f t="shared" si="13"/>
        <v>25.800000000000004</v>
      </c>
      <c r="Y15" s="177">
        <f t="shared" si="8"/>
        <v>37.946153846153841</v>
      </c>
      <c r="Z15" s="177">
        <f t="shared" si="9"/>
        <v>32.202855477855479</v>
      </c>
      <c r="AA15" s="10"/>
      <c r="AB15" s="357" t="str">
        <f>VLOOKUP($B15,'2007-2020 Metadata'!$A$4:$S$214,MATCH("Urban Area /Monitoring Zone",'2007-2020 Metadata'!$A$4:$S$4,0),FALSE)</f>
        <v>Auckland - Central</v>
      </c>
      <c r="AC15" s="259" t="str">
        <f>VLOOKUP(B15,'2007-2020 Metadata'!$A$6:$A$214,1,FALSE)</f>
        <v>AUC014</v>
      </c>
      <c r="AD15" s="256" t="str">
        <f>VLOOKUP($AC15,'2007-2020 Metadata'!$A$6:$S$214,9,FALSE)</f>
        <v>Auckland</v>
      </c>
      <c r="AE15" s="263">
        <f>IF(ISBLANK(VLOOKUP($AC15,'2007-2020 Metadata'!$A$6:$S$214,19,FALSE)),"",VLOOKUP($AC15,'2007-2020 Metadata'!$A$6:$S$214,19,FALSE))</f>
        <v>4</v>
      </c>
      <c r="AF15" s="257" t="str">
        <f>VLOOKUP($B15,'2007-2020 Metadata'!$A$4:$S$214,MATCH("Site type",'2007-2020 Metadata'!$A$4:$S$4,0),FALSE)</f>
        <v>SH</v>
      </c>
      <c r="AG15" s="258">
        <f>MIN(AVERAGE(D$14:D$16),AVERAGE(E$14:E$16),AVERAGE(F$14:F$16),AVERAGE(G$14:G$16),AVERAGE(H$14:H$16),AVERAGE(I$14:I$16),AVERAGE(J$14:J$16),AVERAGE(K$14:K$16),AVERAGE(L$14:L$16),AVERAGE(M$14:M$16),AVERAGE(N$14:N$16),AVERAGE(O$14:O$16))</f>
        <v>14.533333333333333</v>
      </c>
      <c r="AH15" s="258">
        <f>MAX(AVERAGE(D$14:D$16),AVERAGE(E$14:E$16),AVERAGE(F$14:F$16),AVERAGE(G$14:G$16),AVERAGE(H$14:H$16),AVERAGE(I$14:I$16),AVERAGE(J$14:J$16),AVERAGE(K$14:K$16),AVERAGE(L$14:L$16),AVERAGE(M$14:M$16),AVERAGE(N$14:N$16),AVERAGE(O$14:O$16))</f>
        <v>46.533333333333339</v>
      </c>
      <c r="AI15" s="177">
        <f t="shared" si="12"/>
        <v>32.202855477855479</v>
      </c>
    </row>
    <row r="16" spans="1:35" ht="12" customHeight="1" x14ac:dyDescent="0.15">
      <c r="A16" s="31"/>
      <c r="B16" s="40" t="s">
        <v>12</v>
      </c>
      <c r="C16" s="104">
        <f>IF(VLOOKUP($B16,'Monthly Summary 2012'!$B$7:$Q$221,14,FALSE)=0,"",VLOOKUP($B16,'Monthly Summary 2012'!$B$7:$Q$221,14,FALSE))</f>
        <v>18.100000000000001</v>
      </c>
      <c r="D16" s="36">
        <v>13.5</v>
      </c>
      <c r="E16" s="36">
        <v>25.6</v>
      </c>
      <c r="F16" s="36">
        <v>27.8</v>
      </c>
      <c r="G16" s="36">
        <v>32.200000000000003</v>
      </c>
      <c r="H16" s="36">
        <v>37.5</v>
      </c>
      <c r="I16" s="36">
        <v>45.7</v>
      </c>
      <c r="J16" s="36">
        <v>43.9</v>
      </c>
      <c r="K16" s="36">
        <v>42.8</v>
      </c>
      <c r="L16" s="36">
        <v>33.4</v>
      </c>
      <c r="M16" s="36">
        <v>31.8</v>
      </c>
      <c r="N16" s="36">
        <v>29.8</v>
      </c>
      <c r="O16" s="36">
        <v>20.7</v>
      </c>
      <c r="P16" s="37">
        <f t="shared" si="0"/>
        <v>32.05833333333333</v>
      </c>
      <c r="Q16" s="38">
        <f t="shared" si="1"/>
        <v>1</v>
      </c>
      <c r="R16" s="260">
        <f t="shared" si="2"/>
        <v>22.3</v>
      </c>
      <c r="S16" s="261">
        <f t="shared" si="3"/>
        <v>1</v>
      </c>
      <c r="T16" s="260">
        <f t="shared" si="4"/>
        <v>40.033333333333331</v>
      </c>
      <c r="U16" s="265">
        <f t="shared" si="5"/>
        <v>1</v>
      </c>
      <c r="V16" s="262">
        <f t="shared" si="6"/>
        <v>32.05833333333333</v>
      </c>
      <c r="W16" s="261">
        <f t="shared" si="7"/>
        <v>1</v>
      </c>
      <c r="X16" s="177">
        <f t="shared" si="13"/>
        <v>25.800000000000004</v>
      </c>
      <c r="Y16" s="177">
        <f t="shared" si="8"/>
        <v>37.946153846153841</v>
      </c>
      <c r="Z16" s="177">
        <f t="shared" si="9"/>
        <v>32.202855477855479</v>
      </c>
      <c r="AA16" s="10"/>
      <c r="AB16" s="357" t="str">
        <f>VLOOKUP($B16,'2007-2020 Metadata'!$A$4:$S$214,MATCH("Urban Area /Monitoring Zone",'2007-2020 Metadata'!$A$4:$S$4,0),FALSE)</f>
        <v>Auckland - Central</v>
      </c>
      <c r="AC16" s="259" t="str">
        <f>VLOOKUP(B16,'2007-2020 Metadata'!$A$6:$A$214,1,FALSE)</f>
        <v>AUC015</v>
      </c>
      <c r="AD16" s="256" t="str">
        <f>VLOOKUP($AC16,'2007-2020 Metadata'!$A$6:$S$214,9,FALSE)</f>
        <v>Auckland</v>
      </c>
      <c r="AE16" s="263">
        <f>IF(ISBLANK(VLOOKUP($AC16,'2007-2020 Metadata'!$A$6:$S$214,19,FALSE)),"",VLOOKUP($AC16,'2007-2020 Metadata'!$A$6:$S$214,19,FALSE))</f>
        <v>4</v>
      </c>
      <c r="AF16" s="257" t="str">
        <f>VLOOKUP($B16,'2007-2020 Metadata'!$A$4:$S$214,MATCH("Site type",'2007-2020 Metadata'!$A$4:$S$4,0),FALSE)</f>
        <v>SH</v>
      </c>
      <c r="AG16" s="258">
        <f>MIN(AVERAGE(D$14:D$16),AVERAGE(E$14:E$16),AVERAGE(F$14:F$16),AVERAGE(G$14:G$16),AVERAGE(H$14:H$16),AVERAGE(I$14:I$16),AVERAGE(J$14:J$16),AVERAGE(K$14:K$16),AVERAGE(L$14:L$16),AVERAGE(M$14:M$16),AVERAGE(N$14:N$16),AVERAGE(O$14:O$16))</f>
        <v>14.533333333333333</v>
      </c>
      <c r="AH16" s="258">
        <f>MAX(AVERAGE(D$14:D$16),AVERAGE(E$14:E$16),AVERAGE(F$14:F$16),AVERAGE(G$14:G$16),AVERAGE(H$14:H$16),AVERAGE(I$14:I$16),AVERAGE(J$14:J$16),AVERAGE(K$14:K$16),AVERAGE(L$14:L$16),AVERAGE(M$14:M$16),AVERAGE(N$14:N$16),AVERAGE(O$14:O$16))</f>
        <v>46.533333333333339</v>
      </c>
      <c r="AI16" s="177">
        <f t="shared" si="12"/>
        <v>32.202855477855479</v>
      </c>
    </row>
    <row r="17" spans="1:35" ht="12" customHeight="1" x14ac:dyDescent="0.15">
      <c r="A17" s="31"/>
      <c r="B17" s="40" t="s">
        <v>13</v>
      </c>
      <c r="C17" s="104">
        <f>IF(VLOOKUP($B17,'Monthly Summary 2012'!$B$7:$Q$221,14,FALSE)=0,"",VLOOKUP($B17,'Monthly Summary 2012'!$B$7:$Q$221,14,FALSE))</f>
        <v>21.3</v>
      </c>
      <c r="D17" s="36">
        <v>16.600000000000001</v>
      </c>
      <c r="E17" s="36">
        <v>26.6</v>
      </c>
      <c r="F17" s="36"/>
      <c r="G17" s="36">
        <v>37.1</v>
      </c>
      <c r="H17" s="36">
        <v>38.4</v>
      </c>
      <c r="I17" s="36"/>
      <c r="J17" s="36">
        <v>35.299999999999997</v>
      </c>
      <c r="K17" s="36">
        <v>37.200000000000003</v>
      </c>
      <c r="L17" s="36">
        <v>32.200000000000003</v>
      </c>
      <c r="M17" s="36">
        <v>30.9</v>
      </c>
      <c r="N17" s="36">
        <v>21.1</v>
      </c>
      <c r="O17" s="36">
        <v>17.7</v>
      </c>
      <c r="P17" s="37">
        <f t="shared" si="0"/>
        <v>29.309999999999995</v>
      </c>
      <c r="Q17" s="38">
        <f t="shared" si="1"/>
        <v>0.83333333333333337</v>
      </c>
      <c r="R17" s="140">
        <f t="shared" si="2"/>
        <v>21.6</v>
      </c>
      <c r="S17" s="150">
        <f t="shared" si="3"/>
        <v>0.66666666666666663</v>
      </c>
      <c r="T17" s="140">
        <f t="shared" si="4"/>
        <v>34.9</v>
      </c>
      <c r="U17" s="9">
        <f t="shared" si="5"/>
        <v>1</v>
      </c>
      <c r="V17" s="141">
        <f t="shared" si="6"/>
        <v>29.309999999999995</v>
      </c>
      <c r="W17" s="142">
        <f t="shared" si="7"/>
        <v>0.83333333333333337</v>
      </c>
      <c r="X17" s="144">
        <f t="shared" si="13"/>
        <v>21.785185185185188</v>
      </c>
      <c r="Y17" s="144">
        <f t="shared" si="8"/>
        <v>30.685185185185187</v>
      </c>
      <c r="Z17" s="144">
        <f t="shared" si="9"/>
        <v>26.641851851851854</v>
      </c>
      <c r="AA17" s="10"/>
      <c r="AB17" s="357" t="str">
        <f>VLOOKUP($B17,'2007-2020 Metadata'!$A$4:$S$214,MATCH("Urban Area /Monitoring Zone",'2007-2020 Metadata'!$A$4:$S$4,0),FALSE)</f>
        <v xml:space="preserve">Auckland - Southern </v>
      </c>
      <c r="AC17" s="87" t="str">
        <f>VLOOKUP(B17,'2007-2020 Metadata'!$A$6:$A$214,1,FALSE)</f>
        <v>AUC018</v>
      </c>
      <c r="AD17" s="230" t="str">
        <f>VLOOKUP($AC17,'2007-2020 Metadata'!$A$6:$S$214,9,FALSE)</f>
        <v>Manukau</v>
      </c>
      <c r="AE17" s="248">
        <f>IF(ISBLANK(VLOOKUP($AC17,'2007-2020 Metadata'!$A$6:$S$214,19,FALSE)),"",VLOOKUP($AC17,'2007-2020 Metadata'!$A$6:$S$214,19,FALSE))</f>
        <v>3</v>
      </c>
      <c r="AF17" s="88" t="str">
        <f>VLOOKUP($B17,'2007-2020 Metadata'!$A$4:$S$214,MATCH("Site type",'2007-2020 Metadata'!$A$4:$S$4,0),FALSE)</f>
        <v>SH</v>
      </c>
      <c r="AG17" s="143">
        <f t="shared" ref="AG17:AG28" si="14">MIN($D17:$O17)</f>
        <v>16.600000000000001</v>
      </c>
      <c r="AH17" s="143">
        <f t="shared" ref="AH17:AH28" si="15">MAX($D17:$O17)</f>
        <v>38.4</v>
      </c>
      <c r="AI17" s="144">
        <f t="shared" si="12"/>
        <v>26.641851851851854</v>
      </c>
    </row>
    <row r="18" spans="1:35" ht="12" customHeight="1" x14ac:dyDescent="0.15">
      <c r="A18" s="31"/>
      <c r="B18" s="40" t="s">
        <v>14</v>
      </c>
      <c r="C18" s="104">
        <f>IF(VLOOKUP($B18,'Monthly Summary 2012'!$B$7:$Q$221,14,FALSE)=0,"",VLOOKUP($B18,'Monthly Summary 2012'!$B$7:$Q$221,14,FALSE))</f>
        <v>17.600000000000001</v>
      </c>
      <c r="D18" s="36">
        <v>14.1</v>
      </c>
      <c r="E18" s="36">
        <v>15.4</v>
      </c>
      <c r="F18" s="36">
        <v>24.8</v>
      </c>
      <c r="G18" s="36">
        <v>25.9</v>
      </c>
      <c r="H18" s="36">
        <v>36.200000000000003</v>
      </c>
      <c r="I18" s="36">
        <v>37</v>
      </c>
      <c r="J18" s="36">
        <v>28.5</v>
      </c>
      <c r="K18" s="36">
        <v>36.5</v>
      </c>
      <c r="L18" s="36">
        <v>20.399999999999999</v>
      </c>
      <c r="M18" s="36">
        <v>13.3</v>
      </c>
      <c r="N18" s="36">
        <v>19.600000000000001</v>
      </c>
      <c r="O18" s="36">
        <v>13.8</v>
      </c>
      <c r="P18" s="37">
        <f t="shared" si="0"/>
        <v>23.791666666666668</v>
      </c>
      <c r="Q18" s="38">
        <f t="shared" si="1"/>
        <v>1</v>
      </c>
      <c r="R18" s="140">
        <f t="shared" si="2"/>
        <v>18.099999999999998</v>
      </c>
      <c r="S18" s="150">
        <f t="shared" si="3"/>
        <v>1</v>
      </c>
      <c r="T18" s="140">
        <f t="shared" si="4"/>
        <v>28.466666666666669</v>
      </c>
      <c r="U18" s="9">
        <f t="shared" si="5"/>
        <v>1</v>
      </c>
      <c r="V18" s="141">
        <f t="shared" si="6"/>
        <v>23.791666666666668</v>
      </c>
      <c r="W18" s="142">
        <f t="shared" si="7"/>
        <v>1</v>
      </c>
      <c r="X18" s="144">
        <f t="shared" si="13"/>
        <v>21.785185185185188</v>
      </c>
      <c r="Y18" s="144">
        <f t="shared" si="8"/>
        <v>30.685185185185187</v>
      </c>
      <c r="Z18" s="144">
        <f t="shared" si="9"/>
        <v>26.641851851851854</v>
      </c>
      <c r="AA18" s="10"/>
      <c r="AB18" s="357" t="str">
        <f>VLOOKUP($B18,'2007-2020 Metadata'!$A$4:$S$214,MATCH("Urban Area /Monitoring Zone",'2007-2020 Metadata'!$A$4:$S$4,0),FALSE)</f>
        <v xml:space="preserve">Auckland - Southern </v>
      </c>
      <c r="AC18" s="87" t="str">
        <f>VLOOKUP(B18,'2007-2020 Metadata'!$A$6:$A$214,1,FALSE)</f>
        <v>AUC019</v>
      </c>
      <c r="AD18" s="230" t="str">
        <f>VLOOKUP($AC18,'2007-2020 Metadata'!$A$6:$S$214,9,FALSE)</f>
        <v>Manukau</v>
      </c>
      <c r="AE18" s="248">
        <f>IF(ISBLANK(VLOOKUP($AC18,'2007-2020 Metadata'!$A$6:$S$214,19,FALSE)),"",VLOOKUP($AC18,'2007-2020 Metadata'!$A$6:$S$214,19,FALSE))</f>
        <v>2</v>
      </c>
      <c r="AF18" s="88" t="str">
        <f>VLOOKUP($B18,'2007-2020 Metadata'!$A$4:$S$214,MATCH("Site type",'2007-2020 Metadata'!$A$4:$S$4,0),FALSE)</f>
        <v>SH</v>
      </c>
      <c r="AG18" s="143">
        <f t="shared" si="14"/>
        <v>13.3</v>
      </c>
      <c r="AH18" s="143">
        <f t="shared" si="15"/>
        <v>37</v>
      </c>
      <c r="AI18" s="144">
        <f t="shared" si="12"/>
        <v>26.641851851851854</v>
      </c>
    </row>
    <row r="19" spans="1:35" ht="12" customHeight="1" x14ac:dyDescent="0.15">
      <c r="A19" s="31"/>
      <c r="B19" s="40" t="s">
        <v>993</v>
      </c>
      <c r="C19" s="104">
        <f>IF(VLOOKUP($B19,'Monthly Summary 2012'!$B$7:$Q$221,14,FALSE)=0,"",VLOOKUP($B19,'Monthly Summary 2012'!$B$7:$Q$221,14,FALSE))</f>
        <v>9.5</v>
      </c>
      <c r="D19" s="36">
        <v>10.8</v>
      </c>
      <c r="E19" s="36">
        <v>16</v>
      </c>
      <c r="F19" s="36">
        <v>17</v>
      </c>
      <c r="G19" s="36">
        <v>19.100000000000001</v>
      </c>
      <c r="H19" s="36">
        <v>22</v>
      </c>
      <c r="I19" s="36">
        <v>27.4</v>
      </c>
      <c r="J19" s="36">
        <v>22.9</v>
      </c>
      <c r="K19" s="36">
        <v>20.5</v>
      </c>
      <c r="L19" s="36">
        <v>17.7</v>
      </c>
      <c r="M19" s="36">
        <v>15.5</v>
      </c>
      <c r="N19" s="36">
        <v>10</v>
      </c>
      <c r="O19" s="36">
        <v>11.4</v>
      </c>
      <c r="P19" s="37">
        <f t="shared" si="0"/>
        <v>17.525000000000002</v>
      </c>
      <c r="Q19" s="38">
        <f t="shared" si="1"/>
        <v>1</v>
      </c>
      <c r="R19" s="140">
        <f t="shared" si="2"/>
        <v>14.6</v>
      </c>
      <c r="S19" s="150">
        <f t="shared" si="3"/>
        <v>1</v>
      </c>
      <c r="T19" s="140">
        <f t="shared" si="4"/>
        <v>20.366666666666664</v>
      </c>
      <c r="U19" s="9">
        <f t="shared" si="5"/>
        <v>1</v>
      </c>
      <c r="V19" s="141">
        <f t="shared" si="6"/>
        <v>17.525000000000002</v>
      </c>
      <c r="W19" s="142">
        <f t="shared" si="7"/>
        <v>1</v>
      </c>
      <c r="X19" s="144">
        <f t="shared" si="13"/>
        <v>14.6</v>
      </c>
      <c r="Y19" s="144">
        <f t="shared" si="8"/>
        <v>20.366666666666664</v>
      </c>
      <c r="Z19" s="144">
        <f t="shared" si="9"/>
        <v>17.525000000000002</v>
      </c>
      <c r="AA19" s="10"/>
      <c r="AB19" s="357">
        <f>VLOOKUP($B19,'2007-2020 Metadata'!$A$4:$S$214,MATCH("Urban Area /Monitoring Zone",'2007-2020 Metadata'!$A$4:$S$4,0),FALSE)</f>
        <v>0</v>
      </c>
      <c r="AC19" s="87" t="str">
        <f>VLOOKUP(B19,'2007-2020 Metadata'!$A$6:$A$214,1,FALSE)</f>
        <v>AUC020a</v>
      </c>
      <c r="AD19" s="230">
        <f>VLOOKUP($AC19,'2007-2020 Metadata'!$A$6:$S$214,9,FALSE)</f>
        <v>0</v>
      </c>
      <c r="AE19" s="248" t="str">
        <f>IF(ISBLANK(VLOOKUP($AC19,'2007-2020 Metadata'!$A$6:$S$214,19,FALSE)),"",VLOOKUP($AC19,'2007-2020 Metadata'!$A$6:$S$214,19,FALSE))</f>
        <v/>
      </c>
      <c r="AF19" s="88" t="str">
        <f>VLOOKUP($B19,'2007-2020 Metadata'!$A$4:$S$214,MATCH("Site type",'2007-2020 Metadata'!$A$4:$S$4,0),FALSE)</f>
        <v>SH</v>
      </c>
      <c r="AG19" s="143">
        <f t="shared" si="14"/>
        <v>10</v>
      </c>
      <c r="AH19" s="143">
        <f t="shared" si="15"/>
        <v>27.4</v>
      </c>
      <c r="AI19" s="144">
        <f t="shared" si="12"/>
        <v>17.525000000000002</v>
      </c>
    </row>
    <row r="20" spans="1:35" ht="12" customHeight="1" x14ac:dyDescent="0.15">
      <c r="A20" s="31"/>
      <c r="B20" s="40" t="s">
        <v>994</v>
      </c>
      <c r="C20" s="104">
        <f>IF(VLOOKUP($B20,'Monthly Summary 2012'!$B$7:$Q$221,14,FALSE)=0,"",VLOOKUP($B20,'Monthly Summary 2012'!$B$7:$Q$221,14,FALSE))</f>
        <v>10.8</v>
      </c>
      <c r="D20" s="36">
        <v>11.8</v>
      </c>
      <c r="E20" s="36">
        <v>17.8</v>
      </c>
      <c r="F20" s="36">
        <v>23.3</v>
      </c>
      <c r="G20" s="36">
        <v>22.4</v>
      </c>
      <c r="H20" s="36">
        <v>30.1</v>
      </c>
      <c r="I20" s="36">
        <v>27.1</v>
      </c>
      <c r="J20" s="36">
        <v>20.6</v>
      </c>
      <c r="K20" s="36">
        <v>23.9</v>
      </c>
      <c r="L20" s="36">
        <v>17.5</v>
      </c>
      <c r="M20" s="36">
        <v>13.7</v>
      </c>
      <c r="N20" s="36">
        <v>18.3</v>
      </c>
      <c r="O20" s="36">
        <v>10.3</v>
      </c>
      <c r="P20" s="37">
        <f t="shared" si="0"/>
        <v>19.733333333333334</v>
      </c>
      <c r="Q20" s="38">
        <f t="shared" si="1"/>
        <v>1</v>
      </c>
      <c r="R20" s="140">
        <f t="shared" si="2"/>
        <v>17.633333333333336</v>
      </c>
      <c r="S20" s="150">
        <f t="shared" si="3"/>
        <v>1</v>
      </c>
      <c r="T20" s="140">
        <f t="shared" si="4"/>
        <v>20.666666666666668</v>
      </c>
      <c r="U20" s="9">
        <f t="shared" si="5"/>
        <v>1</v>
      </c>
      <c r="V20" s="141">
        <f t="shared" si="6"/>
        <v>19.733333333333334</v>
      </c>
      <c r="W20" s="142">
        <f t="shared" si="7"/>
        <v>1</v>
      </c>
      <c r="X20" s="144">
        <f t="shared" si="13"/>
        <v>17.633333333333336</v>
      </c>
      <c r="Y20" s="144">
        <f t="shared" si="8"/>
        <v>20.666666666666668</v>
      </c>
      <c r="Z20" s="144">
        <f t="shared" si="9"/>
        <v>19.733333333333334</v>
      </c>
      <c r="AA20" s="10"/>
      <c r="AB20" s="357">
        <f>VLOOKUP($B20,'2007-2020 Metadata'!$A$4:$S$214,MATCH("Urban Area /Monitoring Zone",'2007-2020 Metadata'!$A$4:$S$4,0),FALSE)</f>
        <v>0</v>
      </c>
      <c r="AC20" s="87" t="str">
        <f>VLOOKUP(B20,'2007-2020 Metadata'!$A$6:$A$214,1,FALSE)</f>
        <v>AUC021a</v>
      </c>
      <c r="AD20" s="230">
        <f>VLOOKUP($AC20,'2007-2020 Metadata'!$A$6:$S$214,9,FALSE)</f>
        <v>0</v>
      </c>
      <c r="AE20" s="248" t="str">
        <f>IF(ISBLANK(VLOOKUP($AC20,'2007-2020 Metadata'!$A$6:$S$214,19,FALSE)),"",VLOOKUP($AC20,'2007-2020 Metadata'!$A$6:$S$214,19,FALSE))</f>
        <v/>
      </c>
      <c r="AF20" s="88" t="str">
        <f>VLOOKUP($B20,'2007-2020 Metadata'!$A$4:$S$214,MATCH("Site type",'2007-2020 Metadata'!$A$4:$S$4,0),FALSE)</f>
        <v>Background</v>
      </c>
      <c r="AG20" s="143">
        <f t="shared" si="14"/>
        <v>10.3</v>
      </c>
      <c r="AH20" s="143">
        <f t="shared" si="15"/>
        <v>30.1</v>
      </c>
      <c r="AI20" s="144">
        <f t="shared" si="12"/>
        <v>19.733333333333334</v>
      </c>
    </row>
    <row r="21" spans="1:35" ht="12" customHeight="1" x14ac:dyDescent="0.15">
      <c r="A21" s="31"/>
      <c r="B21" s="40" t="s">
        <v>17</v>
      </c>
      <c r="C21" s="104">
        <f>IF(VLOOKUP($B21,'Monthly Summary 2012'!$B$7:$Q$221,14,FALSE)=0,"",VLOOKUP($B21,'Monthly Summary 2012'!$B$7:$Q$221,14,FALSE))</f>
        <v>21.4</v>
      </c>
      <c r="D21" s="36">
        <v>20.3</v>
      </c>
      <c r="E21" s="36">
        <v>29.6</v>
      </c>
      <c r="F21" s="36">
        <v>32.200000000000003</v>
      </c>
      <c r="G21" s="36">
        <v>33.299999999999997</v>
      </c>
      <c r="H21" s="36">
        <v>39.299999999999997</v>
      </c>
      <c r="I21" s="36">
        <v>45.7</v>
      </c>
      <c r="J21" s="36">
        <v>34.299999999999997</v>
      </c>
      <c r="K21" s="36">
        <v>42.7</v>
      </c>
      <c r="L21" s="36">
        <v>32.4</v>
      </c>
      <c r="M21" s="36">
        <v>23.5</v>
      </c>
      <c r="N21" s="36">
        <v>29.8</v>
      </c>
      <c r="O21" s="36">
        <v>17.8</v>
      </c>
      <c r="P21" s="37">
        <f t="shared" si="0"/>
        <v>31.741666666666664</v>
      </c>
      <c r="Q21" s="38">
        <f t="shared" si="1"/>
        <v>1</v>
      </c>
      <c r="R21" s="140">
        <f t="shared" si="2"/>
        <v>27.366666666666671</v>
      </c>
      <c r="S21" s="150">
        <f t="shared" si="3"/>
        <v>1</v>
      </c>
      <c r="T21" s="140">
        <f t="shared" si="4"/>
        <v>36.466666666666669</v>
      </c>
      <c r="U21" s="9">
        <f t="shared" si="5"/>
        <v>1</v>
      </c>
      <c r="V21" s="141">
        <f t="shared" si="6"/>
        <v>31.741666666666664</v>
      </c>
      <c r="W21" s="142">
        <f t="shared" si="7"/>
        <v>1</v>
      </c>
      <c r="X21" s="144">
        <f t="shared" si="13"/>
        <v>25.800000000000004</v>
      </c>
      <c r="Y21" s="144">
        <f t="shared" si="8"/>
        <v>37.946153846153841</v>
      </c>
      <c r="Z21" s="144">
        <f t="shared" si="9"/>
        <v>32.202855477855479</v>
      </c>
      <c r="AA21" s="10"/>
      <c r="AB21" s="357" t="str">
        <f>VLOOKUP($B21,'2007-2020 Metadata'!$A$4:$S$214,MATCH("Urban Area /Monitoring Zone",'2007-2020 Metadata'!$A$4:$S$4,0),FALSE)</f>
        <v>Auckland - Central</v>
      </c>
      <c r="AC21" s="87" t="str">
        <f>VLOOKUP(B21,'2007-2020 Metadata'!$A$6:$A$214,1,FALSE)</f>
        <v>AUC022</v>
      </c>
      <c r="AD21" s="230" t="str">
        <f>VLOOKUP($AC21,'2007-2020 Metadata'!$A$6:$S$214,9,FALSE)</f>
        <v>Auckland</v>
      </c>
      <c r="AE21" s="248">
        <f>IF(ISBLANK(VLOOKUP($AC21,'2007-2020 Metadata'!$A$6:$S$214,19,FALSE)),"",VLOOKUP($AC21,'2007-2020 Metadata'!$A$6:$S$214,19,FALSE))</f>
        <v>3</v>
      </c>
      <c r="AF21" s="88" t="str">
        <f>VLOOKUP($B21,'2007-2020 Metadata'!$A$4:$S$214,MATCH("Site type",'2007-2020 Metadata'!$A$4:$S$4,0),FALSE)</f>
        <v>SH</v>
      </c>
      <c r="AG21" s="143">
        <f t="shared" si="14"/>
        <v>17.8</v>
      </c>
      <c r="AH21" s="143">
        <f t="shared" si="15"/>
        <v>45.7</v>
      </c>
      <c r="AI21" s="144">
        <f t="shared" si="12"/>
        <v>32.202855477855479</v>
      </c>
    </row>
    <row r="22" spans="1:35" ht="12" customHeight="1" x14ac:dyDescent="0.15">
      <c r="A22" s="31"/>
      <c r="B22" s="40" t="s">
        <v>18</v>
      </c>
      <c r="C22" s="104">
        <f>IF(VLOOKUP($B22,'Monthly Summary 2012'!$B$7:$Q$221,14,FALSE)=0,"",VLOOKUP($B22,'Monthly Summary 2012'!$B$7:$Q$221,14,FALSE))</f>
        <v>13.5</v>
      </c>
      <c r="D22" s="36">
        <v>14.3</v>
      </c>
      <c r="E22" s="36">
        <v>15.4</v>
      </c>
      <c r="F22" s="36">
        <v>23.9</v>
      </c>
      <c r="G22" s="36">
        <v>22.9</v>
      </c>
      <c r="H22" s="36">
        <v>30.4</v>
      </c>
      <c r="I22" s="36">
        <v>23.2</v>
      </c>
      <c r="J22" s="36">
        <v>24.9</v>
      </c>
      <c r="K22" s="36">
        <v>29.7</v>
      </c>
      <c r="L22" s="36">
        <v>18.8</v>
      </c>
      <c r="M22" s="36">
        <v>14.3</v>
      </c>
      <c r="N22" s="36">
        <v>15.7</v>
      </c>
      <c r="O22" s="36">
        <v>10.199999999999999</v>
      </c>
      <c r="P22" s="37">
        <f t="shared" si="0"/>
        <v>20.308333333333334</v>
      </c>
      <c r="Q22" s="38">
        <f t="shared" si="1"/>
        <v>1</v>
      </c>
      <c r="R22" s="140">
        <f t="shared" si="2"/>
        <v>17.866666666666667</v>
      </c>
      <c r="S22" s="150">
        <f t="shared" si="3"/>
        <v>1</v>
      </c>
      <c r="T22" s="140">
        <f t="shared" si="4"/>
        <v>24.466666666666665</v>
      </c>
      <c r="U22" s="9">
        <f t="shared" si="5"/>
        <v>1</v>
      </c>
      <c r="V22" s="141">
        <f t="shared" si="6"/>
        <v>20.308333333333334</v>
      </c>
      <c r="W22" s="142">
        <f t="shared" si="7"/>
        <v>1</v>
      </c>
      <c r="X22" s="144">
        <f t="shared" si="13"/>
        <v>25.800000000000004</v>
      </c>
      <c r="Y22" s="144">
        <f t="shared" si="8"/>
        <v>37.946153846153841</v>
      </c>
      <c r="Z22" s="144">
        <f t="shared" si="9"/>
        <v>32.202855477855479</v>
      </c>
      <c r="AA22" s="10"/>
      <c r="AB22" s="100" t="str">
        <f>VLOOKUP($B22,'2007-2020 Metadata'!$A$4:$S$214,MATCH("Urban Area /Monitoring Zone",'2007-2020 Metadata'!$A$4:$S$4,0),FALSE)</f>
        <v>Auckland - Central</v>
      </c>
      <c r="AC22" s="87" t="str">
        <f>VLOOKUP(B22,'2007-2020 Metadata'!$A$6:$A$214,1,FALSE)</f>
        <v>AUC025</v>
      </c>
      <c r="AD22" s="230" t="str">
        <f>VLOOKUP($AC22,'2007-2020 Metadata'!$A$6:$S$214,9,FALSE)</f>
        <v>Auckland</v>
      </c>
      <c r="AE22" s="248">
        <f>IF(ISBLANK(VLOOKUP($AC22,'2007-2020 Metadata'!$A$6:$S$214,19,FALSE)),"",VLOOKUP($AC22,'2007-2020 Metadata'!$A$6:$S$214,19,FALSE))</f>
        <v>3</v>
      </c>
      <c r="AF22" s="88" t="str">
        <f>VLOOKUP($B22,'2007-2020 Metadata'!$A$4:$S$214,MATCH("Site type",'2007-2020 Metadata'!$A$4:$S$4,0),FALSE)</f>
        <v>SH</v>
      </c>
      <c r="AG22" s="143">
        <f t="shared" si="14"/>
        <v>10.199999999999999</v>
      </c>
      <c r="AH22" s="143">
        <f t="shared" si="15"/>
        <v>30.4</v>
      </c>
      <c r="AI22" s="144">
        <f t="shared" si="12"/>
        <v>32.202855477855479</v>
      </c>
    </row>
    <row r="23" spans="1:35" ht="12" customHeight="1" x14ac:dyDescent="0.15">
      <c r="A23" s="31"/>
      <c r="B23" s="40" t="s">
        <v>19</v>
      </c>
      <c r="C23" s="104">
        <f>IF(VLOOKUP($B23,'Monthly Summary 2012'!$B$7:$Q$221,14,FALSE)=0,"",VLOOKUP($B23,'Monthly Summary 2012'!$B$7:$Q$221,14,FALSE))</f>
        <v>20.399999999999999</v>
      </c>
      <c r="D23" s="36">
        <v>22.9</v>
      </c>
      <c r="E23" s="36">
        <v>20.6</v>
      </c>
      <c r="F23" s="36">
        <v>28.9</v>
      </c>
      <c r="G23" s="36">
        <v>23.9</v>
      </c>
      <c r="H23" s="36">
        <v>35.6</v>
      </c>
      <c r="I23" s="36">
        <v>31.3</v>
      </c>
      <c r="J23" s="36">
        <v>26.4</v>
      </c>
      <c r="K23" s="36">
        <v>34.799999999999997</v>
      </c>
      <c r="L23" s="36">
        <v>19.5</v>
      </c>
      <c r="M23" s="36">
        <v>10</v>
      </c>
      <c r="N23" s="36">
        <v>20.2</v>
      </c>
      <c r="O23" s="36">
        <v>10.8</v>
      </c>
      <c r="P23" s="37">
        <f t="shared" si="0"/>
        <v>23.741666666666671</v>
      </c>
      <c r="Q23" s="38">
        <f t="shared" si="1"/>
        <v>1</v>
      </c>
      <c r="R23" s="140">
        <f t="shared" si="2"/>
        <v>24.133333333333336</v>
      </c>
      <c r="S23" s="150">
        <f t="shared" si="3"/>
        <v>1</v>
      </c>
      <c r="T23" s="140">
        <f t="shared" si="4"/>
        <v>26.899999999999995</v>
      </c>
      <c r="U23" s="9">
        <f t="shared" si="5"/>
        <v>1</v>
      </c>
      <c r="V23" s="141">
        <f t="shared" si="6"/>
        <v>23.741666666666671</v>
      </c>
      <c r="W23" s="142">
        <f t="shared" si="7"/>
        <v>1</v>
      </c>
      <c r="X23" s="144">
        <f t="shared" si="13"/>
        <v>21.785185185185188</v>
      </c>
      <c r="Y23" s="144">
        <f t="shared" si="8"/>
        <v>30.685185185185187</v>
      </c>
      <c r="Z23" s="144">
        <f t="shared" si="9"/>
        <v>26.641851851851854</v>
      </c>
      <c r="AA23" s="10"/>
      <c r="AB23" s="357" t="str">
        <f>VLOOKUP($B23,'2007-2020 Metadata'!$A$4:$S$214,MATCH("Urban Area /Monitoring Zone",'2007-2020 Metadata'!$A$4:$S$4,0),FALSE)</f>
        <v xml:space="preserve">Auckland - Southern </v>
      </c>
      <c r="AC23" s="87" t="str">
        <f>VLOOKUP(B23,'2007-2020 Metadata'!$A$6:$A$214,1,FALSE)</f>
        <v>AUC026</v>
      </c>
      <c r="AD23" s="230" t="str">
        <f>VLOOKUP($AC23,'2007-2020 Metadata'!$A$6:$S$214,9,FALSE)</f>
        <v>Manukau</v>
      </c>
      <c r="AE23" s="248">
        <f>IF(ISBLANK(VLOOKUP($AC23,'2007-2020 Metadata'!$A$6:$S$214,19,FALSE)),"",VLOOKUP($AC23,'2007-2020 Metadata'!$A$6:$S$214,19,FALSE))</f>
        <v>3</v>
      </c>
      <c r="AF23" s="88" t="str">
        <f>VLOOKUP($B23,'2007-2020 Metadata'!$A$4:$S$214,MATCH("Site type",'2007-2020 Metadata'!$A$4:$S$4,0),FALSE)</f>
        <v>SH</v>
      </c>
      <c r="AG23" s="143">
        <f t="shared" si="14"/>
        <v>10</v>
      </c>
      <c r="AH23" s="143">
        <f t="shared" si="15"/>
        <v>35.6</v>
      </c>
      <c r="AI23" s="144">
        <f t="shared" si="12"/>
        <v>26.641851851851854</v>
      </c>
    </row>
    <row r="24" spans="1:35" ht="12" customHeight="1" x14ac:dyDescent="0.15">
      <c r="A24" s="31"/>
      <c r="B24" s="40" t="s">
        <v>998</v>
      </c>
      <c r="C24" s="104">
        <f>IF(VLOOKUP($B24,'Monthly Summary 2012'!$B$7:$Q$221,14,FALSE)=0,"",VLOOKUP($B24,'Monthly Summary 2012'!$B$7:$Q$221,14,FALSE))</f>
        <v>16.899999999999999</v>
      </c>
      <c r="D24" s="36">
        <v>18.7</v>
      </c>
      <c r="E24" s="36">
        <v>23.2</v>
      </c>
      <c r="F24" s="36">
        <v>24.8</v>
      </c>
      <c r="G24" s="36">
        <v>31.2</v>
      </c>
      <c r="H24" s="36">
        <v>36.4</v>
      </c>
      <c r="I24" s="36">
        <v>36.200000000000003</v>
      </c>
      <c r="J24" s="36">
        <v>34.799999999999997</v>
      </c>
      <c r="K24" s="36">
        <v>33.299999999999997</v>
      </c>
      <c r="L24" s="36">
        <v>29.9</v>
      </c>
      <c r="M24" s="36">
        <v>23.6</v>
      </c>
      <c r="N24" s="36"/>
      <c r="O24" s="36">
        <v>17.5</v>
      </c>
      <c r="P24" s="37">
        <f t="shared" si="0"/>
        <v>28.145454545454548</v>
      </c>
      <c r="Q24" s="38">
        <f t="shared" si="1"/>
        <v>0.91666666666666663</v>
      </c>
      <c r="R24" s="140">
        <f t="shared" si="2"/>
        <v>22.233333333333334</v>
      </c>
      <c r="S24" s="150">
        <f t="shared" si="3"/>
        <v>1</v>
      </c>
      <c r="T24" s="140">
        <f t="shared" si="4"/>
        <v>32.666666666666664</v>
      </c>
      <c r="U24" s="9">
        <f t="shared" si="5"/>
        <v>1</v>
      </c>
      <c r="V24" s="141">
        <f t="shared" si="6"/>
        <v>28.145454545454548</v>
      </c>
      <c r="W24" s="142">
        <f t="shared" si="7"/>
        <v>0.91666666666666663</v>
      </c>
      <c r="X24" s="144">
        <f t="shared" si="13"/>
        <v>22.233333333333334</v>
      </c>
      <c r="Y24" s="144">
        <f t="shared" si="8"/>
        <v>32.666666666666664</v>
      </c>
      <c r="Z24" s="144">
        <f t="shared" si="9"/>
        <v>28.145454545454548</v>
      </c>
      <c r="AA24" s="10"/>
      <c r="AB24" s="357">
        <f>VLOOKUP($B24,'2007-2020 Metadata'!$A$4:$S$214,MATCH("Urban Area /Monitoring Zone",'2007-2020 Metadata'!$A$4:$S$4,0),FALSE)</f>
        <v>0</v>
      </c>
      <c r="AC24" s="87" t="str">
        <f>VLOOKUP(B24,'2007-2020 Metadata'!$A$6:$A$214,1,FALSE)</f>
        <v>AUC027a</v>
      </c>
      <c r="AD24" s="230">
        <f>VLOOKUP($AC24,'2007-2020 Metadata'!$A$6:$S$214,9,FALSE)</f>
        <v>0</v>
      </c>
      <c r="AE24" s="248" t="str">
        <f>IF(ISBLANK(VLOOKUP($AC24,'2007-2020 Metadata'!$A$6:$S$214,19,FALSE)),"",VLOOKUP($AC24,'2007-2020 Metadata'!$A$6:$S$214,19,FALSE))</f>
        <v/>
      </c>
      <c r="AF24" s="88" t="str">
        <f>VLOOKUP($B24,'2007-2020 Metadata'!$A$4:$S$214,MATCH("Site type",'2007-2020 Metadata'!$A$4:$S$4,0),FALSE)</f>
        <v>SH</v>
      </c>
      <c r="AG24" s="143">
        <f t="shared" si="14"/>
        <v>17.5</v>
      </c>
      <c r="AH24" s="143">
        <f t="shared" si="15"/>
        <v>36.4</v>
      </c>
      <c r="AI24" s="144">
        <f t="shared" si="12"/>
        <v>28.145454545454548</v>
      </c>
    </row>
    <row r="25" spans="1:35" ht="12" customHeight="1" x14ac:dyDescent="0.15">
      <c r="A25" s="31"/>
      <c r="B25" s="40" t="s">
        <v>1013</v>
      </c>
      <c r="C25" s="104">
        <f>IF(VLOOKUP($B25,'Monthly Summary 2012'!$B$7:$Q$221,14,FALSE)=0,"",VLOOKUP($B25,'Monthly Summary 2012'!$B$7:$Q$221,14,FALSE))</f>
        <v>10.1</v>
      </c>
      <c r="D25" s="36">
        <v>11.4</v>
      </c>
      <c r="E25" s="36">
        <v>15.8</v>
      </c>
      <c r="F25" s="36">
        <v>15.2</v>
      </c>
      <c r="G25" s="36">
        <v>20.399999999999999</v>
      </c>
      <c r="H25" s="36">
        <v>25.6</v>
      </c>
      <c r="I25" s="36">
        <v>23.2</v>
      </c>
      <c r="J25" s="36">
        <v>21.9</v>
      </c>
      <c r="K25" s="36">
        <v>23.4</v>
      </c>
      <c r="L25" s="36">
        <v>16.399999999999999</v>
      </c>
      <c r="M25" s="36">
        <v>14.6</v>
      </c>
      <c r="N25" s="36">
        <v>13.8</v>
      </c>
      <c r="O25" s="36">
        <v>8.4</v>
      </c>
      <c r="P25" s="37">
        <f t="shared" si="0"/>
        <v>17.508333333333336</v>
      </c>
      <c r="Q25" s="38">
        <f t="shared" si="1"/>
        <v>1</v>
      </c>
      <c r="R25" s="140">
        <f t="shared" si="2"/>
        <v>14.133333333333335</v>
      </c>
      <c r="S25" s="150">
        <f t="shared" si="3"/>
        <v>1</v>
      </c>
      <c r="T25" s="140">
        <f t="shared" si="4"/>
        <v>20.566666666666666</v>
      </c>
      <c r="U25" s="9">
        <f t="shared" si="5"/>
        <v>1</v>
      </c>
      <c r="V25" s="141">
        <f t="shared" si="6"/>
        <v>17.508333333333336</v>
      </c>
      <c r="W25" s="142">
        <f t="shared" si="7"/>
        <v>1</v>
      </c>
      <c r="X25" s="144">
        <f t="shared" si="13"/>
        <v>14.133333333333335</v>
      </c>
      <c r="Y25" s="144">
        <f t="shared" si="8"/>
        <v>20.566666666666666</v>
      </c>
      <c r="Z25" s="144">
        <f t="shared" si="9"/>
        <v>17.508333333333336</v>
      </c>
      <c r="AA25" s="10"/>
      <c r="AB25" s="357">
        <f>VLOOKUP($B25,'2007-2020 Metadata'!$A$4:$S$214,MATCH("Urban Area /Monitoring Zone",'2007-2020 Metadata'!$A$4:$S$4,0),FALSE)</f>
        <v>0</v>
      </c>
      <c r="AC25" s="87" t="str">
        <f>VLOOKUP(B25,'2007-2020 Metadata'!$A$6:$A$214,1,FALSE)</f>
        <v>AUC039a</v>
      </c>
      <c r="AD25" s="230">
        <f>VLOOKUP($AC25,'2007-2020 Metadata'!$A$6:$S$214,9,FALSE)</f>
        <v>0</v>
      </c>
      <c r="AE25" s="248" t="str">
        <f>IF(ISBLANK(VLOOKUP($AC25,'2007-2020 Metadata'!$A$6:$S$214,19,FALSE)),"",VLOOKUP($AC25,'2007-2020 Metadata'!$A$6:$S$214,19,FALSE))</f>
        <v/>
      </c>
      <c r="AF25" s="88" t="str">
        <f>VLOOKUP($B25,'2007-2020 Metadata'!$A$4:$S$214,MATCH("Site type",'2007-2020 Metadata'!$A$4:$S$4,0),FALSE)</f>
        <v>SH</v>
      </c>
      <c r="AG25" s="143">
        <f t="shared" si="14"/>
        <v>8.4</v>
      </c>
      <c r="AH25" s="143">
        <f t="shared" si="15"/>
        <v>25.6</v>
      </c>
      <c r="AI25" s="144">
        <f t="shared" si="12"/>
        <v>17.508333333333336</v>
      </c>
    </row>
    <row r="26" spans="1:35" ht="12" customHeight="1" x14ac:dyDescent="0.15">
      <c r="A26" s="31"/>
      <c r="B26" s="40" t="s">
        <v>61</v>
      </c>
      <c r="C26" s="104">
        <f>IF(VLOOKUP($B26,'Monthly Summary 2012'!$B$7:$Q$221,14,FALSE)=0,"",VLOOKUP($B26,'Monthly Summary 2012'!$B$7:$Q$221,14,FALSE))</f>
        <v>12.1</v>
      </c>
      <c r="D26" s="36">
        <v>10.9</v>
      </c>
      <c r="E26" s="36">
        <v>15.3</v>
      </c>
      <c r="F26" s="36">
        <v>19.899999999999999</v>
      </c>
      <c r="G26" s="36">
        <v>22.4</v>
      </c>
      <c r="H26" s="36">
        <v>25.4</v>
      </c>
      <c r="I26" s="36">
        <v>26.9</v>
      </c>
      <c r="J26" s="36">
        <v>23.1</v>
      </c>
      <c r="K26" s="36">
        <v>30.8</v>
      </c>
      <c r="L26" s="36">
        <v>16</v>
      </c>
      <c r="M26" s="36">
        <v>20.2</v>
      </c>
      <c r="N26" s="36">
        <v>14</v>
      </c>
      <c r="O26" s="36">
        <v>14.1</v>
      </c>
      <c r="P26" s="37">
        <f t="shared" si="0"/>
        <v>19.916666666666668</v>
      </c>
      <c r="Q26" s="38">
        <f t="shared" si="1"/>
        <v>1</v>
      </c>
      <c r="R26" s="140">
        <f t="shared" si="2"/>
        <v>15.366666666666667</v>
      </c>
      <c r="S26" s="150">
        <f t="shared" si="3"/>
        <v>1</v>
      </c>
      <c r="T26" s="140">
        <f t="shared" si="4"/>
        <v>23.3</v>
      </c>
      <c r="U26" s="9">
        <f t="shared" si="5"/>
        <v>1</v>
      </c>
      <c r="V26" s="141">
        <f t="shared" si="6"/>
        <v>19.916666666666668</v>
      </c>
      <c r="W26" s="142">
        <f t="shared" si="7"/>
        <v>1</v>
      </c>
      <c r="X26" s="144">
        <f t="shared" si="13"/>
        <v>20.18333333333333</v>
      </c>
      <c r="Y26" s="144">
        <f t="shared" si="8"/>
        <v>32.160606060606057</v>
      </c>
      <c r="Z26" s="144">
        <f t="shared" si="9"/>
        <v>27.297258953168047</v>
      </c>
      <c r="AA26" s="10"/>
      <c r="AB26" s="357" t="str">
        <f>VLOOKUP($B26,'2007-2020 Metadata'!$A$4:$S$214,MATCH("Urban Area /Monitoring Zone",'2007-2020 Metadata'!$A$4:$S$4,0),FALSE)</f>
        <v>Auckland - Northern</v>
      </c>
      <c r="AC26" s="87" t="str">
        <f>VLOOKUP(B26,'2007-2020 Metadata'!$A$6:$A$214,1,FALSE)</f>
        <v>AUC040</v>
      </c>
      <c r="AD26" s="230" t="str">
        <f>VLOOKUP($AC26,'2007-2020 Metadata'!$A$6:$S$214,9,FALSE)</f>
        <v xml:space="preserve">North Shore </v>
      </c>
      <c r="AE26" s="248">
        <f>IF(ISBLANK(VLOOKUP($AC26,'2007-2020 Metadata'!$A$6:$S$214,19,FALSE)),"",VLOOKUP($AC26,'2007-2020 Metadata'!$A$6:$S$214,19,FALSE))</f>
        <v>2.5</v>
      </c>
      <c r="AF26" s="88" t="str">
        <f>VLOOKUP($B26,'2007-2020 Metadata'!$A$4:$S$214,MATCH("Site type",'2007-2020 Metadata'!$A$4:$S$4,0),FALSE)</f>
        <v>SH</v>
      </c>
      <c r="AG26" s="143">
        <f t="shared" si="14"/>
        <v>10.9</v>
      </c>
      <c r="AH26" s="143">
        <f t="shared" si="15"/>
        <v>30.8</v>
      </c>
      <c r="AI26" s="144">
        <f t="shared" si="12"/>
        <v>27.297258953168047</v>
      </c>
    </row>
    <row r="27" spans="1:35" ht="12" customHeight="1" x14ac:dyDescent="0.15">
      <c r="A27" s="31"/>
      <c r="B27" s="40" t="s">
        <v>62</v>
      </c>
      <c r="C27" s="104" t="str">
        <f>IF(VLOOKUP($B27,'Monthly Summary 2012'!$B$7:$Q$221,14,FALSE)=0,"",VLOOKUP($B27,'Monthly Summary 2012'!$B$7:$Q$221,14,FALSE))</f>
        <v/>
      </c>
      <c r="D27" s="36">
        <v>16.100000000000001</v>
      </c>
      <c r="E27" s="36">
        <v>15.4</v>
      </c>
      <c r="F27" s="36">
        <v>28</v>
      </c>
      <c r="G27" s="36">
        <v>18.5</v>
      </c>
      <c r="H27" s="36">
        <v>28.2</v>
      </c>
      <c r="I27" s="36">
        <v>24.5</v>
      </c>
      <c r="J27" s="36">
        <v>18.399999999999999</v>
      </c>
      <c r="K27" s="36">
        <v>28.6</v>
      </c>
      <c r="L27" s="36">
        <v>19.600000000000001</v>
      </c>
      <c r="M27" s="36">
        <v>8.6</v>
      </c>
      <c r="N27" s="36">
        <v>17.2</v>
      </c>
      <c r="O27" s="36">
        <v>8.8000000000000007</v>
      </c>
      <c r="P27" s="37">
        <f t="shared" si="0"/>
        <v>19.324999999999999</v>
      </c>
      <c r="Q27" s="38">
        <f t="shared" si="1"/>
        <v>1</v>
      </c>
      <c r="R27" s="140">
        <f t="shared" si="2"/>
        <v>19.833333333333332</v>
      </c>
      <c r="S27" s="150">
        <f t="shared" si="3"/>
        <v>1</v>
      </c>
      <c r="T27" s="140">
        <f t="shared" si="4"/>
        <v>22.2</v>
      </c>
      <c r="U27" s="9">
        <f t="shared" si="5"/>
        <v>1</v>
      </c>
      <c r="V27" s="141">
        <f t="shared" si="6"/>
        <v>19.324999999999999</v>
      </c>
      <c r="W27" s="142">
        <f t="shared" si="7"/>
        <v>1</v>
      </c>
      <c r="X27" s="144">
        <f t="shared" si="13"/>
        <v>20.18333333333333</v>
      </c>
      <c r="Y27" s="144">
        <f t="shared" si="8"/>
        <v>32.160606060606057</v>
      </c>
      <c r="Z27" s="144">
        <f t="shared" si="9"/>
        <v>27.297258953168047</v>
      </c>
      <c r="AA27" s="10"/>
      <c r="AB27" s="357" t="str">
        <f>VLOOKUP($B27,'2007-2020 Metadata'!$A$4:$S$214,MATCH("Urban Area /Monitoring Zone",'2007-2020 Metadata'!$A$4:$S$4,0),FALSE)</f>
        <v>Auckland - Northern</v>
      </c>
      <c r="AC27" s="87" t="str">
        <f>VLOOKUP(B27,'2007-2020 Metadata'!$A$6:$A$214,1,FALSE)</f>
        <v>AUC041</v>
      </c>
      <c r="AD27" s="230" t="str">
        <f>VLOOKUP($AC27,'2007-2020 Metadata'!$A$6:$S$214,9,FALSE)</f>
        <v xml:space="preserve">North Shore </v>
      </c>
      <c r="AE27" s="248">
        <f>IF(ISBLANK(VLOOKUP($AC27,'2007-2020 Metadata'!$A$6:$S$214,19,FALSE)),"",VLOOKUP($AC27,'2007-2020 Metadata'!$A$6:$S$214,19,FALSE))</f>
        <v>3</v>
      </c>
      <c r="AF27" s="88" t="str">
        <f>VLOOKUP($B27,'2007-2020 Metadata'!$A$4:$S$214,MATCH("Site type",'2007-2020 Metadata'!$A$4:$S$4,0),FALSE)</f>
        <v>Local</v>
      </c>
      <c r="AG27" s="143">
        <f t="shared" si="14"/>
        <v>8.6</v>
      </c>
      <c r="AH27" s="143">
        <f t="shared" si="15"/>
        <v>28.6</v>
      </c>
      <c r="AI27" s="144">
        <f t="shared" si="12"/>
        <v>27.297258953168047</v>
      </c>
    </row>
    <row r="28" spans="1:35" ht="12" customHeight="1" x14ac:dyDescent="0.15">
      <c r="A28" s="31"/>
      <c r="B28" s="40" t="s">
        <v>63</v>
      </c>
      <c r="C28" s="104">
        <f>IF(VLOOKUP($B28,'Monthly Summary 2012'!$B$7:$Q$221,14,FALSE)=0,"",VLOOKUP($B28,'Monthly Summary 2012'!$B$7:$Q$221,14,FALSE))</f>
        <v>22.8</v>
      </c>
      <c r="D28" s="36">
        <v>18.2</v>
      </c>
      <c r="E28" s="36">
        <v>25.9</v>
      </c>
      <c r="F28" s="36">
        <v>28.6</v>
      </c>
      <c r="G28" s="36">
        <v>33.200000000000003</v>
      </c>
      <c r="H28" s="36">
        <v>39.9</v>
      </c>
      <c r="I28" s="36">
        <v>40.700000000000003</v>
      </c>
      <c r="J28" s="36">
        <v>35.9</v>
      </c>
      <c r="K28" s="36">
        <v>39.1</v>
      </c>
      <c r="L28" s="36">
        <v>28.2</v>
      </c>
      <c r="M28" s="36">
        <v>28.8</v>
      </c>
      <c r="N28" s="36">
        <v>25.1</v>
      </c>
      <c r="O28" s="36">
        <v>23.1</v>
      </c>
      <c r="P28" s="37">
        <f t="shared" si="0"/>
        <v>30.558333333333337</v>
      </c>
      <c r="Q28" s="38">
        <f t="shared" si="1"/>
        <v>1</v>
      </c>
      <c r="R28" s="140">
        <f t="shared" si="2"/>
        <v>24.233333333333331</v>
      </c>
      <c r="S28" s="150">
        <f t="shared" si="3"/>
        <v>1</v>
      </c>
      <c r="T28" s="140">
        <f t="shared" si="4"/>
        <v>34.4</v>
      </c>
      <c r="U28" s="9">
        <f t="shared" si="5"/>
        <v>1</v>
      </c>
      <c r="V28" s="141">
        <f t="shared" si="6"/>
        <v>30.558333333333337</v>
      </c>
      <c r="W28" s="142">
        <f t="shared" si="7"/>
        <v>1</v>
      </c>
      <c r="X28" s="144">
        <f t="shared" si="13"/>
        <v>20.18333333333333</v>
      </c>
      <c r="Y28" s="144">
        <f t="shared" si="8"/>
        <v>32.160606060606057</v>
      </c>
      <c r="Z28" s="144">
        <f t="shared" si="9"/>
        <v>27.297258953168047</v>
      </c>
      <c r="AA28" s="10"/>
      <c r="AB28" s="357" t="str">
        <f>VLOOKUP($B28,'2007-2020 Metadata'!$A$4:$S$214,MATCH("Urban Area /Monitoring Zone",'2007-2020 Metadata'!$A$4:$S$4,0),FALSE)</f>
        <v>Auckland - Northern</v>
      </c>
      <c r="AC28" s="87" t="str">
        <f>VLOOKUP(B28,'2007-2020 Metadata'!$A$6:$A$214,1,FALSE)</f>
        <v>AUC042</v>
      </c>
      <c r="AD28" s="230" t="str">
        <f>VLOOKUP($AC28,'2007-2020 Metadata'!$A$6:$S$214,9,FALSE)</f>
        <v xml:space="preserve">North Shore </v>
      </c>
      <c r="AE28" s="248">
        <f>IF(ISBLANK(VLOOKUP($AC28,'2007-2020 Metadata'!$A$6:$S$214,19,FALSE)),"",VLOOKUP($AC28,'2007-2020 Metadata'!$A$6:$S$214,19,FALSE))</f>
        <v>3</v>
      </c>
      <c r="AF28" s="88" t="str">
        <f>VLOOKUP($B28,'2007-2020 Metadata'!$A$4:$S$214,MATCH("Site type",'2007-2020 Metadata'!$A$4:$S$4,0),FALSE)</f>
        <v>Local</v>
      </c>
      <c r="AG28" s="143">
        <f t="shared" si="14"/>
        <v>18.2</v>
      </c>
      <c r="AH28" s="143">
        <f t="shared" si="15"/>
        <v>40.700000000000003</v>
      </c>
      <c r="AI28" s="144">
        <f t="shared" si="12"/>
        <v>27.297258953168047</v>
      </c>
    </row>
    <row r="29" spans="1:35" ht="12" customHeight="1" x14ac:dyDescent="0.15">
      <c r="A29" s="31"/>
      <c r="B29" s="40" t="s">
        <v>64</v>
      </c>
      <c r="C29" s="104">
        <f>IF(VLOOKUP($B29,'Monthly Summary 2012'!$B$7:$Q$221,14,FALSE)=0,"",VLOOKUP($B29,'Monthly Summary 2012'!$B$7:$Q$221,14,FALSE))</f>
        <v>18.2</v>
      </c>
      <c r="D29" s="36">
        <v>11.2</v>
      </c>
      <c r="E29" s="36">
        <v>21.7</v>
      </c>
      <c r="F29" s="36">
        <v>24.2</v>
      </c>
      <c r="G29" s="36">
        <v>36.6</v>
      </c>
      <c r="H29" s="36">
        <v>42.2</v>
      </c>
      <c r="I29" s="36">
        <v>42.8</v>
      </c>
      <c r="J29" s="36">
        <v>36.200000000000003</v>
      </c>
      <c r="K29" s="36">
        <v>37.4</v>
      </c>
      <c r="L29" s="36">
        <v>31.2</v>
      </c>
      <c r="M29" s="36">
        <v>30.9</v>
      </c>
      <c r="N29" s="36"/>
      <c r="O29" s="36">
        <v>20.6</v>
      </c>
      <c r="P29" s="37">
        <f t="shared" si="0"/>
        <v>30.454545454545453</v>
      </c>
      <c r="Q29" s="38">
        <f t="shared" si="1"/>
        <v>0.91666666666666663</v>
      </c>
      <c r="R29" s="260">
        <f t="shared" si="2"/>
        <v>19.033333333333331</v>
      </c>
      <c r="S29" s="261">
        <f t="shared" si="3"/>
        <v>1</v>
      </c>
      <c r="T29" s="260">
        <f t="shared" si="4"/>
        <v>34.93333333333333</v>
      </c>
      <c r="U29" s="265">
        <f t="shared" si="5"/>
        <v>1</v>
      </c>
      <c r="V29" s="262">
        <f t="shared" si="6"/>
        <v>30.454545454545453</v>
      </c>
      <c r="W29" s="261">
        <f t="shared" si="7"/>
        <v>0.91666666666666663</v>
      </c>
      <c r="X29" s="177">
        <f t="shared" si="13"/>
        <v>20.18333333333333</v>
      </c>
      <c r="Y29" s="177">
        <f t="shared" si="8"/>
        <v>32.160606060606057</v>
      </c>
      <c r="Z29" s="177">
        <f t="shared" si="9"/>
        <v>27.297258953168047</v>
      </c>
      <c r="AA29" s="10"/>
      <c r="AB29" s="357" t="str">
        <f>VLOOKUP($B29,'2007-2020 Metadata'!$A$4:$S$214,MATCH("Urban Area /Monitoring Zone",'2007-2020 Metadata'!$A$4:$S$4,0),FALSE)</f>
        <v>Auckland - Northern</v>
      </c>
      <c r="AC29" s="259" t="str">
        <f>VLOOKUP(B29,'2007-2020 Metadata'!$A$6:$A$214,1,FALSE)</f>
        <v>AUC043</v>
      </c>
      <c r="AD29" s="256" t="str">
        <f>VLOOKUP($AC29,'2007-2020 Metadata'!$A$6:$S$214,9,FALSE)</f>
        <v xml:space="preserve">North Shore </v>
      </c>
      <c r="AE29" s="263">
        <f>IF(ISBLANK(VLOOKUP($AC29,'2007-2020 Metadata'!$A$6:$S$214,19,FALSE)),"",VLOOKUP($AC29,'2007-2020 Metadata'!$A$6:$S$214,19,FALSE))</f>
        <v>3</v>
      </c>
      <c r="AF29" s="257" t="str">
        <f>VLOOKUP($B29,'2007-2020 Metadata'!$A$4:$S$214,MATCH("Site type",'2007-2020 Metadata'!$A$4:$S$4,0),FALSE)</f>
        <v>SH</v>
      </c>
      <c r="AG29" s="258">
        <f>MIN(AVERAGE(D$29:D$31),AVERAGE(E$29:E$31),AVERAGE(F$29:F$31),AVERAGE(G$29:G$31),AVERAGE(H$29:H$31),AVERAGE(I$29:I$31),AVERAGE(J$29:J$31),AVERAGE(K$29:K$31),AVERAGE(L$29:L$31),AVERAGE(M$29:M$31),AVERAGE(N$29:N$31),AVERAGE(O$29:O$31))</f>
        <v>12.366666666666665</v>
      </c>
      <c r="AH29" s="258">
        <f>MAX(AVERAGE(D$29:D$31),AVERAGE(E$29:E$31),AVERAGE(F$29:F$31),AVERAGE(G$29:G$31),AVERAGE(H$29:H$31),AVERAGE(I$29:I$31),AVERAGE(J$29:J$31),AVERAGE(K$29:K$31),AVERAGE(L$29:L$31),AVERAGE(M$29:M$31),AVERAGE(N$29:N$31),AVERAGE(O$29:O$31))</f>
        <v>44.066666666666663</v>
      </c>
      <c r="AI29" s="177">
        <f t="shared" si="12"/>
        <v>27.297258953168047</v>
      </c>
    </row>
    <row r="30" spans="1:35" ht="12" customHeight="1" x14ac:dyDescent="0.15">
      <c r="A30" s="31"/>
      <c r="B30" s="40" t="s">
        <v>65</v>
      </c>
      <c r="C30" s="104">
        <f>IF(VLOOKUP($B30,'Monthly Summary 2012'!$B$7:$Q$221,14,FALSE)=0,"",VLOOKUP($B30,'Monthly Summary 2012'!$B$7:$Q$221,14,FALSE))</f>
        <v>16.2</v>
      </c>
      <c r="D30" s="36">
        <v>13.6</v>
      </c>
      <c r="E30" s="36">
        <v>18.100000000000001</v>
      </c>
      <c r="F30" s="36">
        <v>19.399999999999999</v>
      </c>
      <c r="G30" s="36">
        <v>36.700000000000003</v>
      </c>
      <c r="H30" s="36">
        <v>38.799999999999997</v>
      </c>
      <c r="I30" s="36">
        <v>42.8</v>
      </c>
      <c r="J30" s="36">
        <v>35.700000000000003</v>
      </c>
      <c r="K30" s="36">
        <v>40.9</v>
      </c>
      <c r="L30" s="36">
        <v>26.4</v>
      </c>
      <c r="M30" s="36">
        <v>30.5</v>
      </c>
      <c r="N30" s="36"/>
      <c r="O30" s="36">
        <v>20.100000000000001</v>
      </c>
      <c r="P30" s="37">
        <f t="shared" si="0"/>
        <v>29.36363636363637</v>
      </c>
      <c r="Q30" s="38">
        <f t="shared" si="1"/>
        <v>0.91666666666666663</v>
      </c>
      <c r="R30" s="260">
        <f t="shared" si="2"/>
        <v>17.033333333333335</v>
      </c>
      <c r="S30" s="261">
        <f t="shared" si="3"/>
        <v>1</v>
      </c>
      <c r="T30" s="260">
        <f t="shared" si="4"/>
        <v>34.333333333333336</v>
      </c>
      <c r="U30" s="265">
        <f t="shared" si="5"/>
        <v>1</v>
      </c>
      <c r="V30" s="262">
        <f t="shared" si="6"/>
        <v>29.36363636363637</v>
      </c>
      <c r="W30" s="261">
        <f t="shared" si="7"/>
        <v>0.91666666666666663</v>
      </c>
      <c r="X30" s="177">
        <f t="shared" si="13"/>
        <v>20.18333333333333</v>
      </c>
      <c r="Y30" s="177">
        <f t="shared" si="8"/>
        <v>32.160606060606057</v>
      </c>
      <c r="Z30" s="177">
        <f t="shared" si="9"/>
        <v>27.297258953168047</v>
      </c>
      <c r="AA30" s="10"/>
      <c r="AB30" s="357" t="str">
        <f>VLOOKUP($B30,'2007-2020 Metadata'!$A$4:$S$214,MATCH("Urban Area /Monitoring Zone",'2007-2020 Metadata'!$A$4:$S$4,0),FALSE)</f>
        <v>Auckland - Northern</v>
      </c>
      <c r="AC30" s="259" t="str">
        <f>VLOOKUP(B30,'2007-2020 Metadata'!$A$6:$A$214,1,FALSE)</f>
        <v>AUC044</v>
      </c>
      <c r="AD30" s="256" t="str">
        <f>VLOOKUP($AC30,'2007-2020 Metadata'!$A$6:$S$214,9,FALSE)</f>
        <v xml:space="preserve">North Shore </v>
      </c>
      <c r="AE30" s="263">
        <f>IF(ISBLANK(VLOOKUP($AC30,'2007-2020 Metadata'!$A$6:$S$214,19,FALSE)),"",VLOOKUP($AC30,'2007-2020 Metadata'!$A$6:$S$214,19,FALSE))</f>
        <v>3</v>
      </c>
      <c r="AF30" s="257" t="str">
        <f>VLOOKUP($B30,'2007-2020 Metadata'!$A$4:$S$214,MATCH("Site type",'2007-2020 Metadata'!$A$4:$S$4,0),FALSE)</f>
        <v>SH</v>
      </c>
      <c r="AG30" s="258">
        <f>MIN(AVERAGE(D$29:D$31),AVERAGE(E$29:E$31),AVERAGE(F$29:F$31),AVERAGE(G$29:G$31),AVERAGE(H$29:H$31),AVERAGE(I$29:I$31),AVERAGE(J$29:J$31),AVERAGE(K$29:K$31),AVERAGE(L$29:L$31),AVERAGE(M$29:M$31),AVERAGE(N$29:N$31),AVERAGE(O$29:O$31))</f>
        <v>12.366666666666665</v>
      </c>
      <c r="AH30" s="258">
        <f>MAX(AVERAGE(D$29:D$31),AVERAGE(E$29:E$31),AVERAGE(F$29:F$31),AVERAGE(G$29:G$31),AVERAGE(H$29:H$31),AVERAGE(I$29:I$31),AVERAGE(J$29:J$31),AVERAGE(K$29:K$31),AVERAGE(L$29:L$31),AVERAGE(M$29:M$31),AVERAGE(N$29:N$31),AVERAGE(O$29:O$31))</f>
        <v>44.066666666666663</v>
      </c>
      <c r="AI30" s="177">
        <f t="shared" si="12"/>
        <v>27.297258953168047</v>
      </c>
    </row>
    <row r="31" spans="1:35" ht="12" customHeight="1" x14ac:dyDescent="0.15">
      <c r="A31" s="31"/>
      <c r="B31" s="40" t="s">
        <v>66</v>
      </c>
      <c r="C31" s="104">
        <f>IF(VLOOKUP($B31,'Monthly Summary 2012'!$B$7:$Q$221,14,FALSE)=0,"",VLOOKUP($B31,'Monthly Summary 2012'!$B$7:$Q$221,14,FALSE))</f>
        <v>18.100000000000001</v>
      </c>
      <c r="D31" s="36">
        <v>12.3</v>
      </c>
      <c r="E31" s="36">
        <v>18.399999999999999</v>
      </c>
      <c r="F31" s="36">
        <v>19.3</v>
      </c>
      <c r="G31" s="36">
        <v>29.2</v>
      </c>
      <c r="H31" s="36">
        <v>42.4</v>
      </c>
      <c r="I31" s="36">
        <v>46.6</v>
      </c>
      <c r="J31" s="36">
        <v>38.9</v>
      </c>
      <c r="K31" s="36">
        <v>40.299999999999997</v>
      </c>
      <c r="L31" s="36">
        <v>34</v>
      </c>
      <c r="M31" s="36">
        <v>23.2</v>
      </c>
      <c r="N31" s="36">
        <v>28.1</v>
      </c>
      <c r="O31" s="36">
        <v>12.8</v>
      </c>
      <c r="P31" s="37">
        <f t="shared" si="0"/>
        <v>28.791666666666668</v>
      </c>
      <c r="Q31" s="38">
        <f t="shared" si="1"/>
        <v>1</v>
      </c>
      <c r="R31" s="260">
        <f t="shared" si="2"/>
        <v>16.666666666666668</v>
      </c>
      <c r="S31" s="261">
        <f t="shared" si="3"/>
        <v>1</v>
      </c>
      <c r="T31" s="260">
        <f t="shared" si="4"/>
        <v>37.733333333333327</v>
      </c>
      <c r="U31" s="265">
        <f t="shared" si="5"/>
        <v>1</v>
      </c>
      <c r="V31" s="262">
        <f t="shared" si="6"/>
        <v>28.791666666666668</v>
      </c>
      <c r="W31" s="261">
        <f t="shared" si="7"/>
        <v>1</v>
      </c>
      <c r="X31" s="177">
        <f t="shared" si="13"/>
        <v>20.18333333333333</v>
      </c>
      <c r="Y31" s="177">
        <f t="shared" si="8"/>
        <v>32.160606060606057</v>
      </c>
      <c r="Z31" s="177">
        <f t="shared" si="9"/>
        <v>27.297258953168047</v>
      </c>
      <c r="AA31" s="10"/>
      <c r="AB31" s="357" t="str">
        <f>VLOOKUP($B31,'2007-2020 Metadata'!$A$4:$S$214,MATCH("Urban Area /Monitoring Zone",'2007-2020 Metadata'!$A$4:$S$4,0),FALSE)</f>
        <v>Auckland - Northern</v>
      </c>
      <c r="AC31" s="259" t="str">
        <f>VLOOKUP(B31,'2007-2020 Metadata'!$A$6:$A$214,1,FALSE)</f>
        <v>AUC045</v>
      </c>
      <c r="AD31" s="256" t="str">
        <f>VLOOKUP($AC31,'2007-2020 Metadata'!$A$6:$S$214,9,FALSE)</f>
        <v xml:space="preserve">North Shore </v>
      </c>
      <c r="AE31" s="263">
        <f>IF(ISBLANK(VLOOKUP($AC31,'2007-2020 Metadata'!$A$6:$S$214,19,FALSE)),"",VLOOKUP($AC31,'2007-2020 Metadata'!$A$6:$S$214,19,FALSE))</f>
        <v>3</v>
      </c>
      <c r="AF31" s="257" t="str">
        <f>VLOOKUP($B31,'2007-2020 Metadata'!$A$4:$S$214,MATCH("Site type",'2007-2020 Metadata'!$A$4:$S$4,0),FALSE)</f>
        <v>SH</v>
      </c>
      <c r="AG31" s="258">
        <f>MIN(AVERAGE(D$29:D$31),AVERAGE(E$29:E$31),AVERAGE(F$29:F$31),AVERAGE(G$29:G$31),AVERAGE(H$29:H$31),AVERAGE(I$29:I$31),AVERAGE(J$29:J$31),AVERAGE(K$29:K$31),AVERAGE(L$29:L$31),AVERAGE(M$29:M$31),AVERAGE(N$29:N$31),AVERAGE(O$29:O$31))</f>
        <v>12.366666666666665</v>
      </c>
      <c r="AH31" s="258">
        <f>MAX(AVERAGE(D$29:D$31),AVERAGE(E$29:E$31),AVERAGE(F$29:F$31),AVERAGE(G$29:G$31),AVERAGE(H$29:H$31),AVERAGE(I$29:I$31),AVERAGE(J$29:J$31),AVERAGE(K$29:K$31),AVERAGE(L$29:L$31),AVERAGE(M$29:M$31),AVERAGE(N$29:N$31),AVERAGE(O$29:O$31))</f>
        <v>44.066666666666663</v>
      </c>
      <c r="AI31" s="177">
        <f t="shared" si="12"/>
        <v>27.297258953168047</v>
      </c>
    </row>
    <row r="32" spans="1:35" ht="12" customHeight="1" x14ac:dyDescent="0.15">
      <c r="A32" s="31"/>
      <c r="B32" s="40" t="s">
        <v>67</v>
      </c>
      <c r="C32" s="104">
        <f>IF(VLOOKUP($B32,'Monthly Summary 2012'!$B$7:$Q$221,14,FALSE)=0,"",VLOOKUP($B32,'Monthly Summary 2012'!$B$7:$Q$221,14,FALSE))</f>
        <v>18.5</v>
      </c>
      <c r="D32" s="36">
        <v>13.5</v>
      </c>
      <c r="E32" s="36">
        <v>25.9</v>
      </c>
      <c r="F32" s="36">
        <v>23.1</v>
      </c>
      <c r="G32" s="36">
        <v>34.4</v>
      </c>
      <c r="H32" s="36">
        <v>38.4</v>
      </c>
      <c r="I32" s="36">
        <v>49.5</v>
      </c>
      <c r="J32" s="36">
        <v>46.7</v>
      </c>
      <c r="K32" s="36">
        <v>37.299999999999997</v>
      </c>
      <c r="L32" s="36">
        <v>31.6</v>
      </c>
      <c r="M32" s="36">
        <v>33.1</v>
      </c>
      <c r="N32" s="36">
        <v>27.5</v>
      </c>
      <c r="O32" s="36">
        <v>24.9</v>
      </c>
      <c r="P32" s="37">
        <f t="shared" si="0"/>
        <v>32.158333333333339</v>
      </c>
      <c r="Q32" s="38">
        <f t="shared" si="1"/>
        <v>1</v>
      </c>
      <c r="R32" s="140">
        <f t="shared" si="2"/>
        <v>20.833333333333332</v>
      </c>
      <c r="S32" s="150">
        <f t="shared" si="3"/>
        <v>1</v>
      </c>
      <c r="T32" s="140">
        <f t="shared" si="4"/>
        <v>38.533333333333331</v>
      </c>
      <c r="U32" s="9">
        <f t="shared" si="5"/>
        <v>1</v>
      </c>
      <c r="V32" s="141">
        <f t="shared" si="6"/>
        <v>32.158333333333339</v>
      </c>
      <c r="W32" s="142">
        <f t="shared" si="7"/>
        <v>1</v>
      </c>
      <c r="X32" s="144">
        <f t="shared" si="13"/>
        <v>20.18333333333333</v>
      </c>
      <c r="Y32" s="144">
        <f t="shared" si="8"/>
        <v>32.160606060606057</v>
      </c>
      <c r="Z32" s="144">
        <f t="shared" si="9"/>
        <v>27.297258953168047</v>
      </c>
      <c r="AA32" s="10"/>
      <c r="AB32" s="357" t="str">
        <f>VLOOKUP($B32,'2007-2020 Metadata'!$A$4:$S$214,MATCH("Urban Area /Monitoring Zone",'2007-2020 Metadata'!$A$4:$S$4,0),FALSE)</f>
        <v>Auckland - Northern</v>
      </c>
      <c r="AC32" s="87" t="str">
        <f>VLOOKUP(B32,'2007-2020 Metadata'!$A$6:$A$214,1,FALSE)</f>
        <v>AUC046</v>
      </c>
      <c r="AD32" s="230" t="str">
        <f>VLOOKUP($AC32,'2007-2020 Metadata'!$A$6:$S$214,9,FALSE)</f>
        <v xml:space="preserve">North Shore </v>
      </c>
      <c r="AE32" s="248">
        <f>IF(ISBLANK(VLOOKUP($AC32,'2007-2020 Metadata'!$A$6:$S$214,19,FALSE)),"",VLOOKUP($AC32,'2007-2020 Metadata'!$A$6:$S$214,19,FALSE))</f>
        <v>3</v>
      </c>
      <c r="AF32" s="88" t="str">
        <f>VLOOKUP($B32,'2007-2020 Metadata'!$A$4:$S$214,MATCH("Site type",'2007-2020 Metadata'!$A$4:$S$4,0),FALSE)</f>
        <v>Local</v>
      </c>
      <c r="AG32" s="143">
        <f t="shared" ref="AG32:AG39" si="16">MIN($D32:$O32)</f>
        <v>13.5</v>
      </c>
      <c r="AH32" s="143">
        <f t="shared" ref="AH32:AH39" si="17">MAX($D32:$O32)</f>
        <v>49.5</v>
      </c>
      <c r="AI32" s="144">
        <f t="shared" si="12"/>
        <v>27.297258953168047</v>
      </c>
    </row>
    <row r="33" spans="1:35" ht="12" customHeight="1" x14ac:dyDescent="0.15">
      <c r="A33" s="31"/>
      <c r="B33" s="40" t="s">
        <v>68</v>
      </c>
      <c r="C33" s="104">
        <f>IF(VLOOKUP($B33,'Monthly Summary 2012'!$B$7:$Q$221,14,FALSE)=0,"",VLOOKUP($B33,'Monthly Summary 2012'!$B$7:$Q$221,14,FALSE))</f>
        <v>8</v>
      </c>
      <c r="D33" s="36">
        <v>6.7</v>
      </c>
      <c r="E33" s="36">
        <v>10.3</v>
      </c>
      <c r="F33" s="36">
        <v>12.2</v>
      </c>
      <c r="G33" s="36">
        <v>13.8</v>
      </c>
      <c r="H33" s="36">
        <v>21.5</v>
      </c>
      <c r="I33" s="36">
        <v>20.9</v>
      </c>
      <c r="J33" s="36">
        <v>18.899999999999999</v>
      </c>
      <c r="K33" s="36">
        <v>14.9</v>
      </c>
      <c r="L33" s="36">
        <v>11.1</v>
      </c>
      <c r="M33" s="36">
        <v>10.3</v>
      </c>
      <c r="N33" s="36">
        <v>11.5</v>
      </c>
      <c r="O33" s="36">
        <v>8</v>
      </c>
      <c r="P33" s="37">
        <f t="shared" si="0"/>
        <v>13.341666666666669</v>
      </c>
      <c r="Q33" s="38">
        <f t="shared" si="1"/>
        <v>1</v>
      </c>
      <c r="R33" s="140">
        <f t="shared" si="2"/>
        <v>9.7333333333333325</v>
      </c>
      <c r="S33" s="150">
        <f t="shared" si="3"/>
        <v>1</v>
      </c>
      <c r="T33" s="140">
        <f t="shared" si="4"/>
        <v>14.966666666666667</v>
      </c>
      <c r="U33" s="9">
        <f t="shared" si="5"/>
        <v>1</v>
      </c>
      <c r="V33" s="141">
        <f t="shared" si="6"/>
        <v>13.341666666666669</v>
      </c>
      <c r="W33" s="142">
        <f t="shared" si="7"/>
        <v>1</v>
      </c>
      <c r="X33" s="144">
        <f t="shared" si="13"/>
        <v>20.18333333333333</v>
      </c>
      <c r="Y33" s="144">
        <f t="shared" si="8"/>
        <v>32.160606060606057</v>
      </c>
      <c r="Z33" s="144">
        <f t="shared" si="9"/>
        <v>27.297258953168047</v>
      </c>
      <c r="AA33" s="10"/>
      <c r="AB33" s="357" t="str">
        <f>VLOOKUP($B33,'2007-2020 Metadata'!$A$4:$S$214,MATCH("Urban Area /Monitoring Zone",'2007-2020 Metadata'!$A$4:$S$4,0),FALSE)</f>
        <v>Auckland - Northern</v>
      </c>
      <c r="AC33" s="87" t="str">
        <f>VLOOKUP(B33,'2007-2020 Metadata'!$A$6:$A$214,1,FALSE)</f>
        <v>AUC047</v>
      </c>
      <c r="AD33" s="230" t="str">
        <f>VLOOKUP($AC33,'2007-2020 Metadata'!$A$6:$S$214,9,FALSE)</f>
        <v xml:space="preserve">North Shore </v>
      </c>
      <c r="AE33" s="248">
        <f>IF(ISBLANK(VLOOKUP($AC33,'2007-2020 Metadata'!$A$6:$S$214,19,FALSE)),"",VLOOKUP($AC33,'2007-2020 Metadata'!$A$6:$S$214,19,FALSE))</f>
        <v>3</v>
      </c>
      <c r="AF33" s="88" t="str">
        <f>VLOOKUP($B33,'2007-2020 Metadata'!$A$4:$S$214,MATCH("Site type",'2007-2020 Metadata'!$A$4:$S$4,0),FALSE)</f>
        <v>Background</v>
      </c>
      <c r="AG33" s="143">
        <f t="shared" si="16"/>
        <v>6.7</v>
      </c>
      <c r="AH33" s="143">
        <f t="shared" si="17"/>
        <v>21.5</v>
      </c>
      <c r="AI33" s="144">
        <f t="shared" si="12"/>
        <v>27.297258953168047</v>
      </c>
    </row>
    <row r="34" spans="1:35" ht="12" customHeight="1" x14ac:dyDescent="0.15">
      <c r="A34" s="31"/>
      <c r="B34" s="40" t="s">
        <v>69</v>
      </c>
      <c r="C34" s="104">
        <f>IF(VLOOKUP($B34,'Monthly Summary 2012'!$B$7:$Q$221,14,FALSE)=0,"",VLOOKUP($B34,'Monthly Summary 2012'!$B$7:$Q$221,14,FALSE))</f>
        <v>16.8</v>
      </c>
      <c r="D34" s="36">
        <v>11.7</v>
      </c>
      <c r="E34" s="36">
        <v>23</v>
      </c>
      <c r="F34" s="36">
        <v>20.6</v>
      </c>
      <c r="G34" s="36">
        <v>30.6</v>
      </c>
      <c r="H34" s="36">
        <v>35.700000000000003</v>
      </c>
      <c r="I34" s="36">
        <v>30.2</v>
      </c>
      <c r="J34" s="36">
        <v>39.700000000000003</v>
      </c>
      <c r="K34" s="36">
        <v>37.700000000000003</v>
      </c>
      <c r="L34" s="36">
        <v>30.5</v>
      </c>
      <c r="M34" s="36">
        <v>27.8</v>
      </c>
      <c r="N34" s="36">
        <v>25.5</v>
      </c>
      <c r="O34" s="36">
        <v>13.9</v>
      </c>
      <c r="P34" s="37">
        <f t="shared" si="0"/>
        <v>27.241666666666664</v>
      </c>
      <c r="Q34" s="38">
        <f t="shared" si="1"/>
        <v>1</v>
      </c>
      <c r="R34" s="140">
        <f t="shared" si="2"/>
        <v>18.433333333333334</v>
      </c>
      <c r="S34" s="150">
        <f t="shared" si="3"/>
        <v>1</v>
      </c>
      <c r="T34" s="140">
        <f t="shared" si="4"/>
        <v>35.966666666666669</v>
      </c>
      <c r="U34" s="9">
        <f t="shared" si="5"/>
        <v>1</v>
      </c>
      <c r="V34" s="141">
        <f t="shared" si="6"/>
        <v>27.241666666666664</v>
      </c>
      <c r="W34" s="142">
        <f t="shared" si="7"/>
        <v>1</v>
      </c>
      <c r="X34" s="144">
        <f t="shared" si="13"/>
        <v>15.311111111111108</v>
      </c>
      <c r="Y34" s="144">
        <f t="shared" si="8"/>
        <v>22.37777777777778</v>
      </c>
      <c r="Z34" s="144">
        <f t="shared" si="9"/>
        <v>19.351464646464645</v>
      </c>
      <c r="AA34" s="10"/>
      <c r="AB34" s="357" t="str">
        <f>VLOOKUP($B34,'2007-2020 Metadata'!$A$4:$S$214,MATCH("Urban Area /Monitoring Zone",'2007-2020 Metadata'!$A$4:$S$4,0),FALSE)</f>
        <v>Auckland - Western</v>
      </c>
      <c r="AC34" s="87" t="str">
        <f>VLOOKUP(B34,'2007-2020 Metadata'!$A$6:$A$214,1,FALSE)</f>
        <v>AUC048</v>
      </c>
      <c r="AD34" s="230" t="str">
        <f>VLOOKUP($AC34,'2007-2020 Metadata'!$A$6:$S$214,9,FALSE)</f>
        <v>Waitakere</v>
      </c>
      <c r="AE34" s="248">
        <f>IF(ISBLANK(VLOOKUP($AC34,'2007-2020 Metadata'!$A$6:$S$214,19,FALSE)),"",VLOOKUP($AC34,'2007-2020 Metadata'!$A$6:$S$214,19,FALSE))</f>
        <v>3</v>
      </c>
      <c r="AF34" s="88" t="str">
        <f>VLOOKUP($B34,'2007-2020 Metadata'!$A$4:$S$214,MATCH("Site type",'2007-2020 Metadata'!$A$4:$S$4,0),FALSE)</f>
        <v>SH</v>
      </c>
      <c r="AG34" s="143">
        <f t="shared" si="16"/>
        <v>11.7</v>
      </c>
      <c r="AH34" s="143">
        <f t="shared" si="17"/>
        <v>39.700000000000003</v>
      </c>
      <c r="AI34" s="144">
        <f t="shared" si="12"/>
        <v>19.351464646464645</v>
      </c>
    </row>
    <row r="35" spans="1:35" ht="12" customHeight="1" x14ac:dyDescent="0.15">
      <c r="A35" s="31"/>
      <c r="B35" s="40" t="s">
        <v>70</v>
      </c>
      <c r="C35" s="104">
        <f>IF(VLOOKUP($B35,'Monthly Summary 2012'!$B$7:$Q$221,14,FALSE)=0,"",VLOOKUP($B35,'Monthly Summary 2012'!$B$7:$Q$221,14,FALSE))</f>
        <v>7.9</v>
      </c>
      <c r="D35" s="36">
        <v>7.5</v>
      </c>
      <c r="E35" s="36">
        <v>14.8</v>
      </c>
      <c r="F35" s="36">
        <v>16.899999999999999</v>
      </c>
      <c r="G35" s="36">
        <v>18.2</v>
      </c>
      <c r="H35" s="36">
        <v>20.9</v>
      </c>
      <c r="I35" s="36">
        <v>24.7</v>
      </c>
      <c r="J35" s="36">
        <v>21</v>
      </c>
      <c r="K35" s="36">
        <v>21</v>
      </c>
      <c r="L35" s="36"/>
      <c r="M35" s="36">
        <v>12.2</v>
      </c>
      <c r="N35" s="36">
        <v>9.4</v>
      </c>
      <c r="O35" s="36"/>
      <c r="P35" s="37">
        <f t="shared" si="0"/>
        <v>16.66</v>
      </c>
      <c r="Q35" s="38">
        <f t="shared" si="1"/>
        <v>0.83333333333333337</v>
      </c>
      <c r="R35" s="140">
        <f t="shared" si="2"/>
        <v>13.066666666666668</v>
      </c>
      <c r="S35" s="150">
        <f t="shared" si="3"/>
        <v>1</v>
      </c>
      <c r="T35" s="140">
        <f t="shared" si="4"/>
        <v>21</v>
      </c>
      <c r="U35" s="9">
        <f t="shared" si="5"/>
        <v>0.66666666666666663</v>
      </c>
      <c r="V35" s="141">
        <f t="shared" si="6"/>
        <v>16.66</v>
      </c>
      <c r="W35" s="142">
        <f t="shared" si="7"/>
        <v>0.83333333333333337</v>
      </c>
      <c r="X35" s="144">
        <f t="shared" si="13"/>
        <v>15.311111111111108</v>
      </c>
      <c r="Y35" s="144">
        <f t="shared" si="8"/>
        <v>22.37777777777778</v>
      </c>
      <c r="Z35" s="144">
        <f t="shared" si="9"/>
        <v>19.351464646464645</v>
      </c>
      <c r="AA35" s="10"/>
      <c r="AB35" s="357" t="str">
        <f>VLOOKUP($B35,'2007-2020 Metadata'!$A$4:$S$214,MATCH("Urban Area /Monitoring Zone",'2007-2020 Metadata'!$A$4:$S$4,0),FALSE)</f>
        <v>Auckland - Western</v>
      </c>
      <c r="AC35" s="87" t="str">
        <f>VLOOKUP(B35,'2007-2020 Metadata'!$A$6:$A$214,1,FALSE)</f>
        <v>AUC049</v>
      </c>
      <c r="AD35" s="230" t="str">
        <f>VLOOKUP($AC35,'2007-2020 Metadata'!$A$6:$S$214,9,FALSE)</f>
        <v>Waitakere</v>
      </c>
      <c r="AE35" s="248">
        <f>IF(ISBLANK(VLOOKUP($AC35,'2007-2020 Metadata'!$A$6:$S$214,19,FALSE)),"",VLOOKUP($AC35,'2007-2020 Metadata'!$A$6:$S$214,19,FALSE))</f>
        <v>3</v>
      </c>
      <c r="AF35" s="88" t="str">
        <f>VLOOKUP($B35,'2007-2020 Metadata'!$A$4:$S$214,MATCH("Site type",'2007-2020 Metadata'!$A$4:$S$4,0),FALSE)</f>
        <v>Local (ex SH)</v>
      </c>
      <c r="AG35" s="143">
        <f t="shared" si="16"/>
        <v>7.5</v>
      </c>
      <c r="AH35" s="143">
        <f t="shared" si="17"/>
        <v>24.7</v>
      </c>
      <c r="AI35" s="144">
        <f t="shared" si="12"/>
        <v>19.351464646464645</v>
      </c>
    </row>
    <row r="36" spans="1:35" ht="12" customHeight="1" x14ac:dyDescent="0.15">
      <c r="A36" s="31"/>
      <c r="B36" s="40" t="s">
        <v>71</v>
      </c>
      <c r="C36" s="104">
        <f>IF(VLOOKUP($B36,'Monthly Summary 2012'!$B$7:$Q$221,14,FALSE)=0,"",VLOOKUP($B36,'Monthly Summary 2012'!$B$7:$Q$221,14,FALSE))</f>
        <v>13.7</v>
      </c>
      <c r="D36" s="36">
        <v>14.6</v>
      </c>
      <c r="E36" s="36">
        <v>12.6</v>
      </c>
      <c r="F36" s="36">
        <v>19.8</v>
      </c>
      <c r="G36" s="36">
        <v>17.100000000000001</v>
      </c>
      <c r="H36" s="36">
        <v>24</v>
      </c>
      <c r="I36" s="36">
        <v>22.3</v>
      </c>
      <c r="J36" s="36">
        <v>20.6</v>
      </c>
      <c r="K36" s="36">
        <v>20.5</v>
      </c>
      <c r="L36" s="36">
        <v>19.399999999999999</v>
      </c>
      <c r="M36" s="36">
        <v>9.1</v>
      </c>
      <c r="N36" s="36">
        <v>11.6</v>
      </c>
      <c r="O36" s="36">
        <v>7.3</v>
      </c>
      <c r="P36" s="37">
        <f t="shared" si="0"/>
        <v>16.574999999999999</v>
      </c>
      <c r="Q36" s="38">
        <f t="shared" si="1"/>
        <v>1</v>
      </c>
      <c r="R36" s="140">
        <f t="shared" si="2"/>
        <v>15.666666666666666</v>
      </c>
      <c r="S36" s="150">
        <f t="shared" si="3"/>
        <v>1</v>
      </c>
      <c r="T36" s="140">
        <f t="shared" si="4"/>
        <v>20.166666666666668</v>
      </c>
      <c r="U36" s="9">
        <f t="shared" si="5"/>
        <v>1</v>
      </c>
      <c r="V36" s="141">
        <f t="shared" si="6"/>
        <v>16.574999999999999</v>
      </c>
      <c r="W36" s="142">
        <f t="shared" si="7"/>
        <v>1</v>
      </c>
      <c r="X36" s="144">
        <f t="shared" si="13"/>
        <v>15.311111111111108</v>
      </c>
      <c r="Y36" s="144">
        <f t="shared" si="8"/>
        <v>22.37777777777778</v>
      </c>
      <c r="Z36" s="144">
        <f t="shared" si="9"/>
        <v>19.351464646464645</v>
      </c>
      <c r="AA36" s="10"/>
      <c r="AB36" s="357" t="str">
        <f>VLOOKUP($B36,'2007-2020 Metadata'!$A$4:$S$214,MATCH("Urban Area /Monitoring Zone",'2007-2020 Metadata'!$A$4:$S$4,0),FALSE)</f>
        <v>Auckland - Western</v>
      </c>
      <c r="AC36" s="87" t="str">
        <f>VLOOKUP(B36,'2007-2020 Metadata'!$A$6:$A$214,1,FALSE)</f>
        <v>AUC050</v>
      </c>
      <c r="AD36" s="230" t="str">
        <f>VLOOKUP($AC36,'2007-2020 Metadata'!$A$6:$S$214,9,FALSE)</f>
        <v>Waitakere</v>
      </c>
      <c r="AE36" s="248">
        <f>IF(ISBLANK(VLOOKUP($AC36,'2007-2020 Metadata'!$A$6:$S$214,19,FALSE)),"",VLOOKUP($AC36,'2007-2020 Metadata'!$A$6:$S$214,19,FALSE))</f>
        <v>3</v>
      </c>
      <c r="AF36" s="88" t="str">
        <f>VLOOKUP($B36,'2007-2020 Metadata'!$A$4:$S$214,MATCH("Site type",'2007-2020 Metadata'!$A$4:$S$4,0),FALSE)</f>
        <v>SH</v>
      </c>
      <c r="AG36" s="143">
        <f t="shared" si="16"/>
        <v>7.3</v>
      </c>
      <c r="AH36" s="143">
        <f t="shared" si="17"/>
        <v>24</v>
      </c>
      <c r="AI36" s="144">
        <f t="shared" si="12"/>
        <v>19.351464646464645</v>
      </c>
    </row>
    <row r="37" spans="1:35" ht="12" customHeight="1" x14ac:dyDescent="0.15">
      <c r="A37" s="31"/>
      <c r="B37" s="40" t="s">
        <v>1024</v>
      </c>
      <c r="C37" s="104">
        <f>IF(VLOOKUP($B37,'Monthly Summary 2012'!$B$7:$Q$221,14,FALSE)=0,"",VLOOKUP($B37,'Monthly Summary 2012'!$B$7:$Q$221,14,FALSE))</f>
        <v>11.4</v>
      </c>
      <c r="D37" s="36"/>
      <c r="E37" s="36">
        <v>18.8</v>
      </c>
      <c r="F37" s="36">
        <v>20</v>
      </c>
      <c r="G37" s="36">
        <v>22.6</v>
      </c>
      <c r="H37" s="36">
        <v>26.8</v>
      </c>
      <c r="I37" s="36">
        <v>30.9</v>
      </c>
      <c r="J37" s="36">
        <v>25.5</v>
      </c>
      <c r="K37" s="36">
        <v>24.5</v>
      </c>
      <c r="L37" s="36">
        <v>19</v>
      </c>
      <c r="M37" s="36">
        <v>19.5</v>
      </c>
      <c r="N37" s="36">
        <v>14.1</v>
      </c>
      <c r="O37" s="36">
        <v>13.9</v>
      </c>
      <c r="P37" s="37">
        <f t="shared" si="0"/>
        <v>21.418181818181818</v>
      </c>
      <c r="Q37" s="38">
        <f t="shared" si="1"/>
        <v>0.91666666666666663</v>
      </c>
      <c r="R37" s="140">
        <f t="shared" si="2"/>
        <v>19.399999999999999</v>
      </c>
      <c r="S37" s="150">
        <f t="shared" si="3"/>
        <v>0.66666666666666663</v>
      </c>
      <c r="T37" s="140">
        <f t="shared" si="4"/>
        <v>23</v>
      </c>
      <c r="U37" s="9">
        <f t="shared" si="5"/>
        <v>1</v>
      </c>
      <c r="V37" s="141">
        <f t="shared" si="6"/>
        <v>21.418181818181818</v>
      </c>
      <c r="W37" s="142">
        <f t="shared" si="7"/>
        <v>0.91666666666666663</v>
      </c>
      <c r="X37" s="144">
        <f t="shared" si="13"/>
        <v>19.399999999999999</v>
      </c>
      <c r="Y37" s="144">
        <f t="shared" si="8"/>
        <v>23</v>
      </c>
      <c r="Z37" s="144">
        <f t="shared" si="9"/>
        <v>21.418181818181818</v>
      </c>
      <c r="AA37" s="10"/>
      <c r="AB37" s="357">
        <f>VLOOKUP($B37,'2007-2020 Metadata'!$A$4:$S$214,MATCH("Urban Area /Monitoring Zone",'2007-2020 Metadata'!$A$4:$S$4,0),FALSE)</f>
        <v>0</v>
      </c>
      <c r="AC37" s="87" t="str">
        <f>VLOOKUP(B37,'2007-2020 Metadata'!$A$6:$A$214,1,FALSE)</f>
        <v>AUC051a</v>
      </c>
      <c r="AD37" s="230">
        <f>VLOOKUP($AC37,'2007-2020 Metadata'!$A$6:$S$214,9,FALSE)</f>
        <v>0</v>
      </c>
      <c r="AE37" s="248" t="str">
        <f>IF(ISBLANK(VLOOKUP($AC37,'2007-2020 Metadata'!$A$6:$S$214,19,FALSE)),"",VLOOKUP($AC37,'2007-2020 Metadata'!$A$6:$S$214,19,FALSE))</f>
        <v/>
      </c>
      <c r="AF37" s="88" t="str">
        <f>VLOOKUP($B37,'2007-2020 Metadata'!$A$4:$S$214,MATCH("Site type",'2007-2020 Metadata'!$A$4:$S$4,0),FALSE)</f>
        <v>SH</v>
      </c>
      <c r="AG37" s="143">
        <f t="shared" si="16"/>
        <v>13.9</v>
      </c>
      <c r="AH37" s="143">
        <f t="shared" si="17"/>
        <v>30.9</v>
      </c>
      <c r="AI37" s="144">
        <f t="shared" si="12"/>
        <v>21.418181818181818</v>
      </c>
    </row>
    <row r="38" spans="1:35" ht="12" customHeight="1" x14ac:dyDescent="0.15">
      <c r="A38" s="31"/>
      <c r="B38" s="40" t="s">
        <v>73</v>
      </c>
      <c r="C38" s="104">
        <f>IF(VLOOKUP($B38,'Monthly Summary 2012'!$B$7:$Q$221,14,FALSE)=0,"",VLOOKUP($B38,'Monthly Summary 2012'!$B$7:$Q$221,14,FALSE))</f>
        <v>12.8</v>
      </c>
      <c r="D38" s="36">
        <v>13.1</v>
      </c>
      <c r="E38" s="36">
        <v>17.7</v>
      </c>
      <c r="F38" s="36">
        <v>19.2</v>
      </c>
      <c r="G38" s="36">
        <v>23.1</v>
      </c>
      <c r="H38" s="36">
        <v>25.4</v>
      </c>
      <c r="I38" s="36">
        <v>25.6</v>
      </c>
      <c r="J38" s="36">
        <v>22.1</v>
      </c>
      <c r="K38" s="36">
        <v>19.399999999999999</v>
      </c>
      <c r="L38" s="36">
        <v>18.600000000000001</v>
      </c>
      <c r="M38" s="36">
        <v>14.1</v>
      </c>
      <c r="N38" s="36">
        <v>16.8</v>
      </c>
      <c r="O38" s="36"/>
      <c r="P38" s="37">
        <f t="shared" si="0"/>
        <v>19.554545454545455</v>
      </c>
      <c r="Q38" s="38">
        <f t="shared" si="1"/>
        <v>0.91666666666666663</v>
      </c>
      <c r="R38" s="140">
        <f t="shared" si="2"/>
        <v>16.666666666666668</v>
      </c>
      <c r="S38" s="150">
        <f t="shared" si="3"/>
        <v>1</v>
      </c>
      <c r="T38" s="140">
        <f t="shared" si="4"/>
        <v>20.033333333333335</v>
      </c>
      <c r="U38" s="9">
        <f t="shared" si="5"/>
        <v>1</v>
      </c>
      <c r="V38" s="141">
        <f t="shared" si="6"/>
        <v>19.554545454545455</v>
      </c>
      <c r="W38" s="142">
        <f t="shared" si="7"/>
        <v>0.91666666666666663</v>
      </c>
      <c r="X38" s="144">
        <f t="shared" si="13"/>
        <v>15.311111111111108</v>
      </c>
      <c r="Y38" s="144">
        <f t="shared" si="8"/>
        <v>22.37777777777778</v>
      </c>
      <c r="Z38" s="144">
        <f t="shared" si="9"/>
        <v>19.351464646464645</v>
      </c>
      <c r="AA38" s="10"/>
      <c r="AB38" s="357" t="str">
        <f>VLOOKUP($B38,'2007-2020 Metadata'!$A$4:$S$214,MATCH("Urban Area /Monitoring Zone",'2007-2020 Metadata'!$A$4:$S$4,0),FALSE)</f>
        <v>Auckland - Western</v>
      </c>
      <c r="AC38" s="87" t="str">
        <f>VLOOKUP(B38,'2007-2020 Metadata'!$A$6:$A$214,1,FALSE)</f>
        <v>AUC052</v>
      </c>
      <c r="AD38" s="230" t="str">
        <f>VLOOKUP($AC38,'2007-2020 Metadata'!$A$6:$S$214,9,FALSE)</f>
        <v>Waitakere</v>
      </c>
      <c r="AE38" s="248">
        <f>IF(ISBLANK(VLOOKUP($AC38,'2007-2020 Metadata'!$A$6:$S$214,19,FALSE)),"",VLOOKUP($AC38,'2007-2020 Metadata'!$A$6:$S$214,19,FALSE))</f>
        <v>3</v>
      </c>
      <c r="AF38" s="88" t="str">
        <f>VLOOKUP($B38,'2007-2020 Metadata'!$A$4:$S$214,MATCH("Site type",'2007-2020 Metadata'!$A$4:$S$4,0),FALSE)</f>
        <v>Local</v>
      </c>
      <c r="AG38" s="143">
        <f t="shared" si="16"/>
        <v>13.1</v>
      </c>
      <c r="AH38" s="143">
        <f t="shared" si="17"/>
        <v>25.6</v>
      </c>
      <c r="AI38" s="144">
        <f t="shared" si="12"/>
        <v>19.351464646464645</v>
      </c>
    </row>
    <row r="39" spans="1:35" ht="12" customHeight="1" x14ac:dyDescent="0.15">
      <c r="A39" s="31"/>
      <c r="B39" s="40" t="s">
        <v>74</v>
      </c>
      <c r="C39" s="104">
        <f>IF(VLOOKUP($B39,'Monthly Summary 2012'!$B$7:$Q$221,14,FALSE)=0,"",VLOOKUP($B39,'Monthly Summary 2012'!$B$7:$Q$221,14,FALSE))</f>
        <v>23.2</v>
      </c>
      <c r="D39" s="36">
        <v>16.100000000000001</v>
      </c>
      <c r="E39" s="36">
        <v>22.9</v>
      </c>
      <c r="F39" s="36">
        <v>22.1</v>
      </c>
      <c r="G39" s="36">
        <v>43.6</v>
      </c>
      <c r="H39" s="36">
        <v>44.4</v>
      </c>
      <c r="I39" s="36">
        <v>52.6</v>
      </c>
      <c r="J39" s="36">
        <v>40.5</v>
      </c>
      <c r="K39" s="36">
        <v>41.6</v>
      </c>
      <c r="L39" s="36">
        <v>31.7</v>
      </c>
      <c r="M39" s="36">
        <v>30.7</v>
      </c>
      <c r="N39" s="36">
        <v>30.4</v>
      </c>
      <c r="O39" s="36"/>
      <c r="P39" s="37">
        <f t="shared" ref="P39:P70" si="18">(AVERAGE(D39:O39))</f>
        <v>34.236363636363635</v>
      </c>
      <c r="Q39" s="38">
        <f t="shared" ref="Q39:Q70" si="19">COUNT(D39:O39)/COUNT($D$6:$O$6)</f>
        <v>0.91666666666666663</v>
      </c>
      <c r="R39" s="140">
        <f t="shared" ref="R39:R70" si="20">IF($S39=0%,"",IF($S39&gt;66%,AVERAGE($D39:$F39),"-"))</f>
        <v>20.366666666666667</v>
      </c>
      <c r="S39" s="150">
        <f t="shared" ref="S39:S70" si="21">COUNT(D39:F39)/3</f>
        <v>1</v>
      </c>
      <c r="T39" s="140">
        <f t="shared" ref="T39:T70" si="22">IF($U39=0%,"",IF($U39&gt;66%,AVERAGE($J39:$L39),"-"))</f>
        <v>37.93333333333333</v>
      </c>
      <c r="U39" s="9">
        <f t="shared" ref="U39:U70" si="23">COUNT(J39:L39)/3</f>
        <v>1</v>
      </c>
      <c r="V39" s="141">
        <f t="shared" ref="V39:V70" si="24">IF(AND(($S39&gt;33%),($U39&gt;33%),($W39&gt;=75%)),AVERAGE($D39:$O39),"-")</f>
        <v>34.236363636363635</v>
      </c>
      <c r="W39" s="142">
        <f t="shared" ref="W39:W70" si="25">Q39</f>
        <v>0.91666666666666663</v>
      </c>
      <c r="X39" s="144">
        <f t="shared" ref="X39:X70" si="26">IF(VLOOKUP($B39,$AC$6:$AI$158,3,FALSE)="",$R39,IF(ISERROR(AVERAGEIF($AD$6:$AD$158,VLOOKUP($B39,$AC$6:$AI$158,2,FALSE),$R$6:$R$158)),"",AVERAGEIF($AD$6:$AD$158,VLOOKUP($B39,$AC$6:$AI$158,2,FALSE),$R$6:$R$158)))</f>
        <v>15.311111111111108</v>
      </c>
      <c r="Y39" s="144">
        <f t="shared" ref="Y39:Y70" si="27">IF(VLOOKUP($B39,$AC$6:$AI$158,3,FALSE)="",$T39,IF(ISERROR(AVERAGEIF($AD$6:$AD$158,VLOOKUP($B39,$AC$6:$AI$158,2,FALSE),$T$6:$T$158)),"",AVERAGEIF($AD$6:$AD$158,VLOOKUP($B39,$AC$6:$AI$158,2,FALSE),$T$6:$T$158)))</f>
        <v>22.37777777777778</v>
      </c>
      <c r="Z39" s="144">
        <f t="shared" ref="Z39:Z70" si="28">IF(VLOOKUP($B39,$AC$6:$AI$158,3,FALSE)="",$V39,IF(ISERROR(AVERAGEIF($AD$6:$AD$158,VLOOKUP($B39,$AC$6:$AI$158,2,FALSE),$V$6:$V$158)),"",AVERAGEIF($AD$6:$AD$158,VLOOKUP($B39,$AC$6:$AI$158,2,FALSE),$V$6:$V$158)))</f>
        <v>19.351464646464645</v>
      </c>
      <c r="AA39" s="10"/>
      <c r="AB39" s="357" t="str">
        <f>VLOOKUP($B39,'2007-2020 Metadata'!$A$4:$S$214,MATCH("Urban Area /Monitoring Zone",'2007-2020 Metadata'!$A$4:$S$4,0),FALSE)</f>
        <v>Auckland - Western</v>
      </c>
      <c r="AC39" s="87" t="str">
        <f>VLOOKUP(B39,'2007-2020 Metadata'!$A$6:$A$214,1,FALSE)</f>
        <v>AUC053</v>
      </c>
      <c r="AD39" s="230" t="str">
        <f>VLOOKUP($AC39,'2007-2020 Metadata'!$A$6:$S$214,9,FALSE)</f>
        <v>Waitakere</v>
      </c>
      <c r="AE39" s="248">
        <f>IF(ISBLANK(VLOOKUP($AC39,'2007-2020 Metadata'!$A$6:$S$214,19,FALSE)),"",VLOOKUP($AC39,'2007-2020 Metadata'!$A$6:$S$214,19,FALSE))</f>
        <v>3</v>
      </c>
      <c r="AF39" s="88" t="str">
        <f>VLOOKUP($B39,'2007-2020 Metadata'!$A$4:$S$214,MATCH("Site type",'2007-2020 Metadata'!$A$4:$S$4,0),FALSE)</f>
        <v>Local</v>
      </c>
      <c r="AG39" s="143">
        <f t="shared" si="16"/>
        <v>16.100000000000001</v>
      </c>
      <c r="AH39" s="143">
        <f t="shared" si="17"/>
        <v>52.6</v>
      </c>
      <c r="AI39" s="144">
        <f t="shared" ref="AI39:AI70" si="29">IF($W39&gt;=75%,$Z39," ")</f>
        <v>19.351464646464645</v>
      </c>
    </row>
    <row r="40" spans="1:35" ht="12" customHeight="1" x14ac:dyDescent="0.15">
      <c r="A40" s="31"/>
      <c r="B40" s="40" t="s">
        <v>75</v>
      </c>
      <c r="C40" s="104">
        <f>IF(VLOOKUP($B40,'Monthly Summary 2012'!$B$7:$Q$221,14,FALSE)=0,"",VLOOKUP($B40,'Monthly Summary 2012'!$B$7:$Q$221,14,FALSE))</f>
        <v>12.8</v>
      </c>
      <c r="D40" s="36">
        <v>9.6999999999999993</v>
      </c>
      <c r="E40" s="36">
        <v>14.6</v>
      </c>
      <c r="F40" s="36">
        <v>17</v>
      </c>
      <c r="G40" s="36">
        <v>16.399999999999999</v>
      </c>
      <c r="H40" s="36">
        <v>25.1</v>
      </c>
      <c r="I40" s="36">
        <v>23.7</v>
      </c>
      <c r="J40" s="36">
        <v>21.5</v>
      </c>
      <c r="K40" s="36">
        <v>22.9</v>
      </c>
      <c r="L40" s="36">
        <v>16.2</v>
      </c>
      <c r="M40" s="36">
        <v>7.6</v>
      </c>
      <c r="N40" s="36">
        <v>12.1</v>
      </c>
      <c r="O40" s="36">
        <v>10</v>
      </c>
      <c r="P40" s="37">
        <f t="shared" si="18"/>
        <v>16.399999999999999</v>
      </c>
      <c r="Q40" s="38">
        <f t="shared" si="19"/>
        <v>1</v>
      </c>
      <c r="R40" s="260">
        <f t="shared" si="20"/>
        <v>13.766666666666666</v>
      </c>
      <c r="S40" s="261">
        <f t="shared" si="21"/>
        <v>1</v>
      </c>
      <c r="T40" s="260">
        <f t="shared" si="22"/>
        <v>20.2</v>
      </c>
      <c r="U40" s="265">
        <f t="shared" si="23"/>
        <v>1</v>
      </c>
      <c r="V40" s="262">
        <f t="shared" si="24"/>
        <v>16.399999999999999</v>
      </c>
      <c r="W40" s="261">
        <f t="shared" si="25"/>
        <v>1</v>
      </c>
      <c r="X40" s="177">
        <f t="shared" si="26"/>
        <v>15.311111111111108</v>
      </c>
      <c r="Y40" s="177">
        <f t="shared" si="27"/>
        <v>22.37777777777778</v>
      </c>
      <c r="Z40" s="177">
        <f t="shared" si="28"/>
        <v>19.351464646464645</v>
      </c>
      <c r="AA40" s="10"/>
      <c r="AB40" s="357" t="str">
        <f>VLOOKUP($B40,'2007-2020 Metadata'!$A$4:$S$214,MATCH("Urban Area /Monitoring Zone",'2007-2020 Metadata'!$A$4:$S$4,0),FALSE)</f>
        <v>Auckland - Western</v>
      </c>
      <c r="AC40" s="259" t="str">
        <f>VLOOKUP(B40,'2007-2020 Metadata'!$A$6:$A$214,1,FALSE)</f>
        <v>AUC054</v>
      </c>
      <c r="AD40" s="256" t="str">
        <f>VLOOKUP($AC40,'2007-2020 Metadata'!$A$6:$S$214,9,FALSE)</f>
        <v>Waitakere</v>
      </c>
      <c r="AE40" s="263">
        <f>IF(ISBLANK(VLOOKUP($AC40,'2007-2020 Metadata'!$A$6:$S$214,19,FALSE)),"",VLOOKUP($AC40,'2007-2020 Metadata'!$A$6:$S$214,19,FALSE))</f>
        <v>3</v>
      </c>
      <c r="AF40" s="257" t="str">
        <f>VLOOKUP($B40,'2007-2020 Metadata'!$A$4:$S$214,MATCH("Site type",'2007-2020 Metadata'!$A$4:$S$4,0),FALSE)</f>
        <v>Local</v>
      </c>
      <c r="AG40" s="258">
        <f>MIN(AVERAGE(D$40:D$42),AVERAGE(E$40:E$42),AVERAGE(F$40:F$42),AVERAGE(G$40:G$42),AVERAGE(H$40:H$42),AVERAGE(I$40:I$42),AVERAGE(J$40:J$42),AVERAGE(K$40:K$42),AVERAGE(L$40:L$42),AVERAGE(M$40:M$42),AVERAGE(N$40:N$42),AVERAGE(O$40:O$42))</f>
        <v>8.3333333333333339</v>
      </c>
      <c r="AH40" s="258">
        <f>MAX(AVERAGE(D$40:D$42),AVERAGE(E$40:E$42),AVERAGE(F$40:F$42),AVERAGE(G$40:G$42),AVERAGE(H$40:H$42),AVERAGE(I$40:I$42),AVERAGE(J$40:J$42),AVERAGE(K$40:K$42),AVERAGE(L$40:L$42),AVERAGE(M$40:M$42),AVERAGE(N$40:N$42),AVERAGE(O$40:O$42))</f>
        <v>24.433333333333334</v>
      </c>
      <c r="AI40" s="177">
        <f t="shared" si="29"/>
        <v>19.351464646464645</v>
      </c>
    </row>
    <row r="41" spans="1:35" ht="12" customHeight="1" x14ac:dyDescent="0.15">
      <c r="A41" s="31"/>
      <c r="B41" s="40" t="s">
        <v>76</v>
      </c>
      <c r="C41" s="104">
        <f>IF(VLOOKUP($B41,'Monthly Summary 2012'!$B$7:$Q$221,14,FALSE)=0,"",VLOOKUP($B41,'Monthly Summary 2012'!$B$7:$Q$221,14,FALSE))</f>
        <v>12.3</v>
      </c>
      <c r="D41" s="36">
        <v>14.9</v>
      </c>
      <c r="E41" s="36">
        <v>12.9</v>
      </c>
      <c r="F41" s="36">
        <v>21.7</v>
      </c>
      <c r="G41" s="36">
        <v>19.3</v>
      </c>
      <c r="H41" s="36">
        <v>22.5</v>
      </c>
      <c r="I41" s="36">
        <v>24.6</v>
      </c>
      <c r="J41" s="36">
        <v>23.7</v>
      </c>
      <c r="K41" s="36">
        <v>20.6</v>
      </c>
      <c r="L41" s="36">
        <v>15.6</v>
      </c>
      <c r="M41" s="36">
        <v>8.1999999999999993</v>
      </c>
      <c r="N41" s="36">
        <v>17.8</v>
      </c>
      <c r="O41" s="36">
        <v>10.5</v>
      </c>
      <c r="P41" s="37">
        <f t="shared" si="18"/>
        <v>17.691666666666666</v>
      </c>
      <c r="Q41" s="38">
        <f t="shared" si="19"/>
        <v>1</v>
      </c>
      <c r="R41" s="260">
        <f t="shared" si="20"/>
        <v>16.5</v>
      </c>
      <c r="S41" s="261">
        <f t="shared" si="21"/>
        <v>1</v>
      </c>
      <c r="T41" s="260">
        <f t="shared" si="22"/>
        <v>19.966666666666665</v>
      </c>
      <c r="U41" s="265">
        <f t="shared" si="23"/>
        <v>1</v>
      </c>
      <c r="V41" s="262">
        <f t="shared" si="24"/>
        <v>17.691666666666666</v>
      </c>
      <c r="W41" s="261">
        <f t="shared" si="25"/>
        <v>1</v>
      </c>
      <c r="X41" s="177">
        <f t="shared" si="26"/>
        <v>15.311111111111108</v>
      </c>
      <c r="Y41" s="177">
        <f t="shared" si="27"/>
        <v>22.37777777777778</v>
      </c>
      <c r="Z41" s="177">
        <f t="shared" si="28"/>
        <v>19.351464646464645</v>
      </c>
      <c r="AA41" s="10"/>
      <c r="AB41" s="357" t="str">
        <f>VLOOKUP($B41,'2007-2020 Metadata'!$A$4:$S$214,MATCH("Urban Area /Monitoring Zone",'2007-2020 Metadata'!$A$4:$S$4,0),FALSE)</f>
        <v>Auckland - Western</v>
      </c>
      <c r="AC41" s="259" t="str">
        <f>VLOOKUP(B41,'2007-2020 Metadata'!$A$6:$A$214,1,FALSE)</f>
        <v>AUC055</v>
      </c>
      <c r="AD41" s="256" t="str">
        <f>VLOOKUP($AC41,'2007-2020 Metadata'!$A$6:$S$214,9,FALSE)</f>
        <v>Waitakere</v>
      </c>
      <c r="AE41" s="263">
        <f>IF(ISBLANK(VLOOKUP($AC41,'2007-2020 Metadata'!$A$6:$S$214,19,FALSE)),"",VLOOKUP($AC41,'2007-2020 Metadata'!$A$6:$S$214,19,FALSE))</f>
        <v>3</v>
      </c>
      <c r="AF41" s="257" t="str">
        <f>VLOOKUP($B41,'2007-2020 Metadata'!$A$4:$S$214,MATCH("Site type",'2007-2020 Metadata'!$A$4:$S$4,0),FALSE)</f>
        <v>Local</v>
      </c>
      <c r="AG41" s="258">
        <f>MIN(AVERAGE(D$40:D$42),AVERAGE(E$40:E$42),AVERAGE(F$40:F$42),AVERAGE(G$40:G$42),AVERAGE(H$40:H$42),AVERAGE(I$40:I$42),AVERAGE(J$40:J$42),AVERAGE(K$40:K$42),AVERAGE(L$40:L$42),AVERAGE(M$40:M$42),AVERAGE(N$40:N$42),AVERAGE(O$40:O$42))</f>
        <v>8.3333333333333339</v>
      </c>
      <c r="AH41" s="258">
        <f>MAX(AVERAGE(D$40:D$42),AVERAGE(E$40:E$42),AVERAGE(F$40:F$42),AVERAGE(G$40:G$42),AVERAGE(H$40:H$42),AVERAGE(I$40:I$42),AVERAGE(J$40:J$42),AVERAGE(K$40:K$42),AVERAGE(L$40:L$42),AVERAGE(M$40:M$42),AVERAGE(N$40:N$42),AVERAGE(O$40:O$42))</f>
        <v>24.433333333333334</v>
      </c>
      <c r="AI41" s="177">
        <f t="shared" si="29"/>
        <v>19.351464646464645</v>
      </c>
    </row>
    <row r="42" spans="1:35" ht="12" customHeight="1" x14ac:dyDescent="0.15">
      <c r="A42" s="31"/>
      <c r="B42" s="40" t="s">
        <v>77</v>
      </c>
      <c r="C42" s="104">
        <f>IF(VLOOKUP($B42,'Monthly Summary 2012'!$B$7:$Q$221,14,FALSE)=0,"",VLOOKUP($B42,'Monthly Summary 2012'!$B$7:$Q$221,14,FALSE))</f>
        <v>12.4</v>
      </c>
      <c r="D42" s="36">
        <v>11.1</v>
      </c>
      <c r="E42" s="36">
        <v>11.9</v>
      </c>
      <c r="F42" s="36">
        <v>18.399999999999999</v>
      </c>
      <c r="G42" s="36">
        <v>20.100000000000001</v>
      </c>
      <c r="H42" s="36">
        <v>25.7</v>
      </c>
      <c r="I42" s="36">
        <v>23.5</v>
      </c>
      <c r="J42" s="36">
        <v>21</v>
      </c>
      <c r="K42" s="36">
        <v>22.8</v>
      </c>
      <c r="L42" s="36">
        <v>16.5</v>
      </c>
      <c r="M42" s="36">
        <v>9.1999999999999993</v>
      </c>
      <c r="N42" s="36">
        <v>16.8</v>
      </c>
      <c r="O42" s="36"/>
      <c r="P42" s="37">
        <f t="shared" si="18"/>
        <v>17.90909090909091</v>
      </c>
      <c r="Q42" s="38">
        <f t="shared" si="19"/>
        <v>0.91666666666666663</v>
      </c>
      <c r="R42" s="260">
        <f t="shared" si="20"/>
        <v>13.799999999999999</v>
      </c>
      <c r="S42" s="261">
        <f t="shared" si="21"/>
        <v>1</v>
      </c>
      <c r="T42" s="260">
        <f t="shared" si="22"/>
        <v>20.099999999999998</v>
      </c>
      <c r="U42" s="265">
        <f t="shared" si="23"/>
        <v>1</v>
      </c>
      <c r="V42" s="262">
        <f t="shared" si="24"/>
        <v>17.90909090909091</v>
      </c>
      <c r="W42" s="261">
        <f t="shared" si="25"/>
        <v>0.91666666666666663</v>
      </c>
      <c r="X42" s="177">
        <f t="shared" si="26"/>
        <v>15.311111111111108</v>
      </c>
      <c r="Y42" s="177">
        <f t="shared" si="27"/>
        <v>22.37777777777778</v>
      </c>
      <c r="Z42" s="177">
        <f t="shared" si="28"/>
        <v>19.351464646464645</v>
      </c>
      <c r="AA42" s="10"/>
      <c r="AB42" s="357" t="str">
        <f>VLOOKUP($B42,'2007-2020 Metadata'!$A$4:$S$214,MATCH("Urban Area /Monitoring Zone",'2007-2020 Metadata'!$A$4:$S$4,0),FALSE)</f>
        <v>Auckland - Western</v>
      </c>
      <c r="AC42" s="259" t="str">
        <f>VLOOKUP(B42,'2007-2020 Metadata'!$A$6:$A$214,1,FALSE)</f>
        <v>AUC056</v>
      </c>
      <c r="AD42" s="256" t="str">
        <f>VLOOKUP($AC42,'2007-2020 Metadata'!$A$6:$S$214,9,FALSE)</f>
        <v>Waitakere</v>
      </c>
      <c r="AE42" s="263">
        <f>IF(ISBLANK(VLOOKUP($AC42,'2007-2020 Metadata'!$A$6:$S$214,19,FALSE)),"",VLOOKUP($AC42,'2007-2020 Metadata'!$A$6:$S$214,19,FALSE))</f>
        <v>3</v>
      </c>
      <c r="AF42" s="257" t="str">
        <f>VLOOKUP($B42,'2007-2020 Metadata'!$A$4:$S$214,MATCH("Site type",'2007-2020 Metadata'!$A$4:$S$4,0),FALSE)</f>
        <v>Local</v>
      </c>
      <c r="AG42" s="258">
        <f>MIN(AVERAGE(D$40:D$42),AVERAGE(E$40:E$42),AVERAGE(F$40:F$42),AVERAGE(G$40:G$42),AVERAGE(H$40:H$42),AVERAGE(I$40:I$42),AVERAGE(J$40:J$42),AVERAGE(K$40:K$42),AVERAGE(L$40:L$42),AVERAGE(M$40:M$42),AVERAGE(N$40:N$42),AVERAGE(O$40:O$42))</f>
        <v>8.3333333333333339</v>
      </c>
      <c r="AH42" s="258">
        <f>MAX(AVERAGE(D$40:D$42),AVERAGE(E$40:E$42),AVERAGE(F$40:F$42),AVERAGE(G$40:G$42),AVERAGE(H$40:H$42),AVERAGE(I$40:I$42),AVERAGE(J$40:J$42),AVERAGE(K$40:K$42),AVERAGE(L$40:L$42),AVERAGE(M$40:M$42),AVERAGE(N$40:N$42),AVERAGE(O$40:O$42))</f>
        <v>24.433333333333334</v>
      </c>
      <c r="AI42" s="177">
        <f t="shared" si="29"/>
        <v>19.351464646464645</v>
      </c>
    </row>
    <row r="43" spans="1:35" ht="12" customHeight="1" x14ac:dyDescent="0.15">
      <c r="A43" s="31"/>
      <c r="B43" s="35" t="s">
        <v>78</v>
      </c>
      <c r="C43" s="104">
        <f>IF(VLOOKUP($B43,'Monthly Summary 2012'!$B$7:$Q$221,14,FALSE)=0,"",VLOOKUP($B43,'Monthly Summary 2012'!$B$7:$Q$221,14,FALSE))</f>
        <v>6.1</v>
      </c>
      <c r="D43" s="36">
        <v>5.5</v>
      </c>
      <c r="E43" s="36">
        <v>5.0999999999999996</v>
      </c>
      <c r="F43" s="36">
        <v>8.1999999999999993</v>
      </c>
      <c r="G43" s="36">
        <v>10.6</v>
      </c>
      <c r="H43" s="36">
        <v>17.899999999999999</v>
      </c>
      <c r="I43" s="36">
        <v>14.7</v>
      </c>
      <c r="J43" s="36">
        <v>14.3</v>
      </c>
      <c r="K43" s="36">
        <v>13.5</v>
      </c>
      <c r="L43" s="36">
        <v>9.6</v>
      </c>
      <c r="M43" s="36">
        <v>5.9</v>
      </c>
      <c r="N43" s="36">
        <v>6</v>
      </c>
      <c r="O43" s="36">
        <v>4.2</v>
      </c>
      <c r="P43" s="37">
        <f t="shared" si="18"/>
        <v>9.625</v>
      </c>
      <c r="Q43" s="38">
        <f t="shared" si="19"/>
        <v>1</v>
      </c>
      <c r="R43" s="260">
        <f t="shared" si="20"/>
        <v>6.2666666666666657</v>
      </c>
      <c r="S43" s="261">
        <f t="shared" si="21"/>
        <v>1</v>
      </c>
      <c r="T43" s="260">
        <f t="shared" si="22"/>
        <v>12.466666666666667</v>
      </c>
      <c r="U43" s="265">
        <f t="shared" si="23"/>
        <v>1</v>
      </c>
      <c r="V43" s="262">
        <f t="shared" si="24"/>
        <v>9.625</v>
      </c>
      <c r="W43" s="261">
        <f t="shared" si="25"/>
        <v>1</v>
      </c>
      <c r="X43" s="177">
        <f t="shared" si="26"/>
        <v>15.311111111111108</v>
      </c>
      <c r="Y43" s="177">
        <f t="shared" si="27"/>
        <v>22.37777777777778</v>
      </c>
      <c r="Z43" s="177">
        <f t="shared" si="28"/>
        <v>19.351464646464645</v>
      </c>
      <c r="AA43" s="10"/>
      <c r="AB43" s="357" t="str">
        <f>VLOOKUP($B43,'2007-2020 Metadata'!$A$4:$S$214,MATCH("Urban Area /Monitoring Zone",'2007-2020 Metadata'!$A$4:$S$4,0),FALSE)</f>
        <v>Auckland - Western</v>
      </c>
      <c r="AC43" s="259" t="str">
        <f>VLOOKUP(B43,'2007-2020 Metadata'!$A$6:$A$214,1,FALSE)</f>
        <v>AUC057</v>
      </c>
      <c r="AD43" s="256" t="str">
        <f>VLOOKUP($AC43,'2007-2020 Metadata'!$A$6:$S$214,9,FALSE)</f>
        <v>Waitakere</v>
      </c>
      <c r="AE43" s="263">
        <f>IF(ISBLANK(VLOOKUP($AC43,'2007-2020 Metadata'!$A$6:$S$214,19,FALSE)),"",VLOOKUP($AC43,'2007-2020 Metadata'!$A$6:$S$214,19,FALSE))</f>
        <v>3</v>
      </c>
      <c r="AF43" s="257" t="str">
        <f>VLOOKUP($B43,'2007-2020 Metadata'!$A$4:$S$214,MATCH("Site type",'2007-2020 Metadata'!$A$4:$S$4,0),FALSE)</f>
        <v>Background</v>
      </c>
      <c r="AG43" s="258">
        <f>MIN(AVERAGE(D$43:D$45),AVERAGE(E$43:E$45),AVERAGE(F$43:F$45),AVERAGE(G$43:G$45),AVERAGE(H$43:H$45),AVERAGE(I$43:I$45),AVERAGE(J$43:J$45),AVERAGE(K$43:K$45),AVERAGE(L$43:L$45),AVERAGE(M$43:M$45),AVERAGE(N$43:N$45),AVERAGE(O$43:O$45))</f>
        <v>4.95</v>
      </c>
      <c r="AH43" s="258">
        <f>MAX(AVERAGE(D$43:D$45),AVERAGE(E$43:E$45),AVERAGE(F$43:F$45),AVERAGE(G$43:G$45),AVERAGE(H$43:H$45),AVERAGE(I$43:I$45),AVERAGE(J$43:J$45),AVERAGE(K$43:K$45),AVERAGE(L$43:L$45),AVERAGE(M$43:M$45),AVERAGE(N$43:N$45),AVERAGE(O$43:O$45))</f>
        <v>15.733333333333334</v>
      </c>
      <c r="AI43" s="177">
        <f t="shared" si="29"/>
        <v>19.351464646464645</v>
      </c>
    </row>
    <row r="44" spans="1:35" ht="12" customHeight="1" x14ac:dyDescent="0.15">
      <c r="A44" s="31"/>
      <c r="B44" s="40" t="s">
        <v>79</v>
      </c>
      <c r="C44" s="104">
        <f>IF(VLOOKUP($B44,'Monthly Summary 2012'!$B$7:$Q$221,14,FALSE)=0,"",VLOOKUP($B44,'Monthly Summary 2012'!$B$7:$Q$221,14,FALSE))</f>
        <v>6.5</v>
      </c>
      <c r="D44" s="36">
        <v>5.8</v>
      </c>
      <c r="E44" s="36">
        <v>5.5</v>
      </c>
      <c r="F44" s="36">
        <v>7.8</v>
      </c>
      <c r="G44" s="36">
        <v>11.8</v>
      </c>
      <c r="H44" s="36">
        <v>15.5</v>
      </c>
      <c r="I44" s="36">
        <v>14.2</v>
      </c>
      <c r="J44" s="36">
        <v>13.4</v>
      </c>
      <c r="K44" s="36">
        <v>12.7</v>
      </c>
      <c r="L44" s="36">
        <v>7.8</v>
      </c>
      <c r="M44" s="36">
        <v>4.8</v>
      </c>
      <c r="N44" s="36">
        <v>7.3</v>
      </c>
      <c r="O44" s="36"/>
      <c r="P44" s="37">
        <f t="shared" si="18"/>
        <v>9.6909090909090914</v>
      </c>
      <c r="Q44" s="38">
        <f t="shared" si="19"/>
        <v>0.91666666666666663</v>
      </c>
      <c r="R44" s="260">
        <f t="shared" si="20"/>
        <v>6.3666666666666671</v>
      </c>
      <c r="S44" s="261">
        <f t="shared" si="21"/>
        <v>1</v>
      </c>
      <c r="T44" s="260">
        <f t="shared" si="22"/>
        <v>11.299999999999999</v>
      </c>
      <c r="U44" s="265">
        <f t="shared" si="23"/>
        <v>1</v>
      </c>
      <c r="V44" s="262">
        <f t="shared" si="24"/>
        <v>9.6909090909090914</v>
      </c>
      <c r="W44" s="261">
        <f t="shared" si="25"/>
        <v>0.91666666666666663</v>
      </c>
      <c r="X44" s="177">
        <f t="shared" si="26"/>
        <v>15.311111111111108</v>
      </c>
      <c r="Y44" s="177">
        <f t="shared" si="27"/>
        <v>22.37777777777778</v>
      </c>
      <c r="Z44" s="177">
        <f t="shared" si="28"/>
        <v>19.351464646464645</v>
      </c>
      <c r="AA44" s="10"/>
      <c r="AB44" s="357" t="str">
        <f>VLOOKUP($B44,'2007-2020 Metadata'!$A$4:$S$214,MATCH("Urban Area /Monitoring Zone",'2007-2020 Metadata'!$A$4:$S$4,0),FALSE)</f>
        <v>Auckland - Western</v>
      </c>
      <c r="AC44" s="259" t="str">
        <f>VLOOKUP(B44,'2007-2020 Metadata'!$A$6:$A$214,1,FALSE)</f>
        <v>AUC058</v>
      </c>
      <c r="AD44" s="256" t="str">
        <f>VLOOKUP($AC44,'2007-2020 Metadata'!$A$6:$S$214,9,FALSE)</f>
        <v>Waitakere</v>
      </c>
      <c r="AE44" s="263">
        <f>IF(ISBLANK(VLOOKUP($AC44,'2007-2020 Metadata'!$A$6:$S$214,19,FALSE)),"",VLOOKUP($AC44,'2007-2020 Metadata'!$A$6:$S$214,19,FALSE))</f>
        <v>3</v>
      </c>
      <c r="AF44" s="257" t="str">
        <f>VLOOKUP($B44,'2007-2020 Metadata'!$A$4:$S$214,MATCH("Site type",'2007-2020 Metadata'!$A$4:$S$4,0),FALSE)</f>
        <v>Background</v>
      </c>
      <c r="AG44" s="258">
        <f>MIN(AVERAGE(D$43:D$45),AVERAGE(E$43:E$45),AVERAGE(F$43:F$45),AVERAGE(G$43:G$45),AVERAGE(H$43:H$45),AVERAGE(I$43:I$45),AVERAGE(J$43:J$45),AVERAGE(K$43:K$45),AVERAGE(L$43:L$45),AVERAGE(M$43:M$45),AVERAGE(N$43:N$45),AVERAGE(O$43:O$45))</f>
        <v>4.95</v>
      </c>
      <c r="AH44" s="258">
        <f>MAX(AVERAGE(D$43:D$45),AVERAGE(E$43:E$45),AVERAGE(F$43:F$45),AVERAGE(G$43:G$45),AVERAGE(H$43:H$45),AVERAGE(I$43:I$45),AVERAGE(J$43:J$45),AVERAGE(K$43:K$45),AVERAGE(L$43:L$45),AVERAGE(M$43:M$45),AVERAGE(N$43:N$45),AVERAGE(O$43:O$45))</f>
        <v>15.733333333333334</v>
      </c>
      <c r="AI44" s="177">
        <f t="shared" si="29"/>
        <v>19.351464646464645</v>
      </c>
    </row>
    <row r="45" spans="1:35" ht="12" customHeight="1" x14ac:dyDescent="0.15">
      <c r="A45" s="31"/>
      <c r="B45" s="40" t="s">
        <v>80</v>
      </c>
      <c r="C45" s="104">
        <f>IF(VLOOKUP($B45,'Monthly Summary 2012'!$B$7:$Q$221,14,FALSE)=0,"",VLOOKUP($B45,'Monthly Summary 2012'!$B$7:$Q$221,14,FALSE))</f>
        <v>6.9</v>
      </c>
      <c r="D45" s="36">
        <v>7</v>
      </c>
      <c r="E45" s="36">
        <v>5</v>
      </c>
      <c r="F45" s="36">
        <v>9.5</v>
      </c>
      <c r="G45" s="36">
        <v>12.2</v>
      </c>
      <c r="H45" s="36">
        <v>13.8</v>
      </c>
      <c r="I45" s="36">
        <v>14.1</v>
      </c>
      <c r="J45" s="36">
        <v>14</v>
      </c>
      <c r="K45" s="36">
        <v>11</v>
      </c>
      <c r="L45" s="36">
        <v>8.9</v>
      </c>
      <c r="M45" s="36">
        <v>4.3</v>
      </c>
      <c r="N45" s="36">
        <v>5.8</v>
      </c>
      <c r="O45" s="36">
        <v>5.7</v>
      </c>
      <c r="P45" s="37">
        <f t="shared" si="18"/>
        <v>9.2750000000000004</v>
      </c>
      <c r="Q45" s="38">
        <f t="shared" si="19"/>
        <v>1</v>
      </c>
      <c r="R45" s="260">
        <f t="shared" si="20"/>
        <v>7.166666666666667</v>
      </c>
      <c r="S45" s="261">
        <f t="shared" si="21"/>
        <v>1</v>
      </c>
      <c r="T45" s="260">
        <f t="shared" si="22"/>
        <v>11.299999999999999</v>
      </c>
      <c r="U45" s="265">
        <f t="shared" si="23"/>
        <v>1</v>
      </c>
      <c r="V45" s="262">
        <f t="shared" si="24"/>
        <v>9.2750000000000004</v>
      </c>
      <c r="W45" s="261">
        <f t="shared" si="25"/>
        <v>1</v>
      </c>
      <c r="X45" s="177">
        <f t="shared" si="26"/>
        <v>15.311111111111108</v>
      </c>
      <c r="Y45" s="177">
        <f t="shared" si="27"/>
        <v>22.37777777777778</v>
      </c>
      <c r="Z45" s="177">
        <f t="shared" si="28"/>
        <v>19.351464646464645</v>
      </c>
      <c r="AA45" s="10"/>
      <c r="AB45" s="357" t="str">
        <f>VLOOKUP($B45,'2007-2020 Metadata'!$A$4:$S$214,MATCH("Urban Area /Monitoring Zone",'2007-2020 Metadata'!$A$4:$S$4,0),FALSE)</f>
        <v>Auckland - Western</v>
      </c>
      <c r="AC45" s="259" t="str">
        <f>VLOOKUP(B45,'2007-2020 Metadata'!$A$6:$A$214,1,FALSE)</f>
        <v>AUC059</v>
      </c>
      <c r="AD45" s="256" t="str">
        <f>VLOOKUP($AC45,'2007-2020 Metadata'!$A$6:$S$214,9,FALSE)</f>
        <v>Waitakere</v>
      </c>
      <c r="AE45" s="263">
        <f>IF(ISBLANK(VLOOKUP($AC45,'2007-2020 Metadata'!$A$6:$S$214,19,FALSE)),"",VLOOKUP($AC45,'2007-2020 Metadata'!$A$6:$S$214,19,FALSE))</f>
        <v>3</v>
      </c>
      <c r="AF45" s="257" t="str">
        <f>VLOOKUP($B45,'2007-2020 Metadata'!$A$4:$S$214,MATCH("Site type",'2007-2020 Metadata'!$A$4:$S$4,0),FALSE)</f>
        <v>Background</v>
      </c>
      <c r="AG45" s="258">
        <f>MIN(AVERAGE(D$43:D$45),AVERAGE(E$43:E$45),AVERAGE(F$43:F$45),AVERAGE(G$43:G$45),AVERAGE(H$43:H$45),AVERAGE(I$43:I$45),AVERAGE(J$43:J$45),AVERAGE(K$43:K$45),AVERAGE(L$43:L$45),AVERAGE(M$43:M$45),AVERAGE(N$43:N$45),AVERAGE(O$43:O$45))</f>
        <v>4.95</v>
      </c>
      <c r="AH45" s="258">
        <f>MAX(AVERAGE(D$43:D$45),AVERAGE(E$43:E$45),AVERAGE(F$43:F$45),AVERAGE(G$43:G$45),AVERAGE(H$43:H$45),AVERAGE(I$43:I$45),AVERAGE(J$43:J$45),AVERAGE(K$43:K$45),AVERAGE(L$43:L$45),AVERAGE(M$43:M$45),AVERAGE(N$43:N$45),AVERAGE(O$43:O$45))</f>
        <v>15.733333333333334</v>
      </c>
      <c r="AI45" s="177">
        <f t="shared" si="29"/>
        <v>19.351464646464645</v>
      </c>
    </row>
    <row r="46" spans="1:35" ht="12" customHeight="1" x14ac:dyDescent="0.15">
      <c r="A46" s="31"/>
      <c r="B46" s="40" t="s">
        <v>81</v>
      </c>
      <c r="C46" s="104">
        <f>IF(VLOOKUP($B46,'Monthly Summary 2012'!$B$7:$Q$221,14,FALSE)=0,"",VLOOKUP($B46,'Monthly Summary 2012'!$B$7:$Q$221,14,FALSE))</f>
        <v>27.5</v>
      </c>
      <c r="D46" s="36">
        <v>24.7</v>
      </c>
      <c r="E46" s="36">
        <v>36.700000000000003</v>
      </c>
      <c r="F46" s="36">
        <v>37.9</v>
      </c>
      <c r="G46" s="36">
        <v>43.9</v>
      </c>
      <c r="H46" s="36">
        <v>47.1</v>
      </c>
      <c r="I46" s="36">
        <v>45.7</v>
      </c>
      <c r="J46" s="36">
        <v>41.8</v>
      </c>
      <c r="K46" s="36">
        <v>49.9</v>
      </c>
      <c r="L46" s="36">
        <v>39</v>
      </c>
      <c r="M46" s="36">
        <v>40.799999999999997</v>
      </c>
      <c r="N46" s="36">
        <v>32</v>
      </c>
      <c r="O46" s="36">
        <v>26.1</v>
      </c>
      <c r="P46" s="37">
        <f t="shared" si="18"/>
        <v>38.800000000000004</v>
      </c>
      <c r="Q46" s="38">
        <f t="shared" si="19"/>
        <v>1</v>
      </c>
      <c r="R46" s="140">
        <f t="shared" si="20"/>
        <v>33.1</v>
      </c>
      <c r="S46" s="150">
        <f t="shared" si="21"/>
        <v>1</v>
      </c>
      <c r="T46" s="140">
        <f t="shared" si="22"/>
        <v>43.566666666666663</v>
      </c>
      <c r="U46" s="9">
        <f t="shared" si="23"/>
        <v>1</v>
      </c>
      <c r="V46" s="141">
        <f t="shared" si="24"/>
        <v>38.800000000000004</v>
      </c>
      <c r="W46" s="142">
        <f t="shared" si="25"/>
        <v>1</v>
      </c>
      <c r="X46" s="144">
        <f t="shared" si="26"/>
        <v>25.800000000000004</v>
      </c>
      <c r="Y46" s="144">
        <f t="shared" si="27"/>
        <v>37.946153846153841</v>
      </c>
      <c r="Z46" s="144">
        <f t="shared" si="28"/>
        <v>32.202855477855479</v>
      </c>
      <c r="AA46" s="10"/>
      <c r="AB46" s="357" t="str">
        <f>VLOOKUP($B46,'2007-2020 Metadata'!$A$4:$S$214,MATCH("Urban Area /Monitoring Zone",'2007-2020 Metadata'!$A$4:$S$4,0),FALSE)</f>
        <v>Auckland - Central</v>
      </c>
      <c r="AC46" s="87" t="str">
        <f>VLOOKUP(B46,'2007-2020 Metadata'!$A$6:$A$214,1,FALSE)</f>
        <v>AUC060</v>
      </c>
      <c r="AD46" s="230" t="str">
        <f>VLOOKUP($AC46,'2007-2020 Metadata'!$A$6:$S$214,9,FALSE)</f>
        <v>Auckland</v>
      </c>
      <c r="AE46" s="248">
        <f>IF(ISBLANK(VLOOKUP($AC46,'2007-2020 Metadata'!$A$6:$S$214,19,FALSE)),"",VLOOKUP($AC46,'2007-2020 Metadata'!$A$6:$S$214,19,FALSE))</f>
        <v>3</v>
      </c>
      <c r="AF46" s="88" t="str">
        <f>VLOOKUP($B46,'2007-2020 Metadata'!$A$4:$S$214,MATCH("Site type",'2007-2020 Metadata'!$A$4:$S$4,0),FALSE)</f>
        <v>Local</v>
      </c>
      <c r="AG46" s="143">
        <f t="shared" ref="AG46:AG77" si="30">MIN($D46:$O46)</f>
        <v>24.7</v>
      </c>
      <c r="AH46" s="143">
        <f t="shared" ref="AH46:AH77" si="31">MAX($D46:$O46)</f>
        <v>49.9</v>
      </c>
      <c r="AI46" s="144">
        <f t="shared" si="29"/>
        <v>32.202855477855479</v>
      </c>
    </row>
    <row r="47" spans="1:35" ht="12" customHeight="1" x14ac:dyDescent="0.15">
      <c r="A47" s="31"/>
      <c r="B47" s="40" t="s">
        <v>82</v>
      </c>
      <c r="C47" s="104">
        <f>IF(VLOOKUP($B47,'Monthly Summary 2012'!$B$7:$Q$221,14,FALSE)=0,"",VLOOKUP($B47,'Monthly Summary 2012'!$B$7:$Q$221,14,FALSE))</f>
        <v>20.8</v>
      </c>
      <c r="D47" s="36">
        <v>18.399999999999999</v>
      </c>
      <c r="E47" s="36">
        <v>21.8</v>
      </c>
      <c r="F47" s="36">
        <v>28.4</v>
      </c>
      <c r="G47" s="36">
        <v>38.200000000000003</v>
      </c>
      <c r="H47" s="36">
        <v>46.1</v>
      </c>
      <c r="I47" s="36">
        <v>42.7</v>
      </c>
      <c r="J47" s="36">
        <v>36.700000000000003</v>
      </c>
      <c r="K47" s="36">
        <v>49.2</v>
      </c>
      <c r="L47" s="36">
        <v>32.799999999999997</v>
      </c>
      <c r="M47" s="36">
        <v>20.8</v>
      </c>
      <c r="N47" s="36">
        <v>30.7</v>
      </c>
      <c r="O47" s="36">
        <v>17.2</v>
      </c>
      <c r="P47" s="37">
        <f t="shared" si="18"/>
        <v>31.916666666666668</v>
      </c>
      <c r="Q47" s="38">
        <f t="shared" si="19"/>
        <v>1</v>
      </c>
      <c r="R47" s="140">
        <f t="shared" si="20"/>
        <v>22.866666666666664</v>
      </c>
      <c r="S47" s="150">
        <f t="shared" si="21"/>
        <v>1</v>
      </c>
      <c r="T47" s="140">
        <f t="shared" si="22"/>
        <v>39.56666666666667</v>
      </c>
      <c r="U47" s="9">
        <f t="shared" si="23"/>
        <v>1</v>
      </c>
      <c r="V47" s="141">
        <f t="shared" si="24"/>
        <v>31.916666666666668</v>
      </c>
      <c r="W47" s="142">
        <f t="shared" si="25"/>
        <v>1</v>
      </c>
      <c r="X47" s="144">
        <f t="shared" si="26"/>
        <v>25.800000000000004</v>
      </c>
      <c r="Y47" s="144">
        <f t="shared" si="27"/>
        <v>37.946153846153841</v>
      </c>
      <c r="Z47" s="144">
        <f t="shared" si="28"/>
        <v>32.202855477855479</v>
      </c>
      <c r="AA47" s="10"/>
      <c r="AB47" s="357" t="str">
        <f>VLOOKUP($B47,'2007-2020 Metadata'!$A$4:$S$214,MATCH("Urban Area /Monitoring Zone",'2007-2020 Metadata'!$A$4:$S$4,0),FALSE)</f>
        <v>Auckland - Central</v>
      </c>
      <c r="AC47" s="87" t="str">
        <f>VLOOKUP(B47,'2007-2020 Metadata'!$A$6:$A$214,1,FALSE)</f>
        <v>AUC061</v>
      </c>
      <c r="AD47" s="230" t="str">
        <f>VLOOKUP($AC47,'2007-2020 Metadata'!$A$6:$S$214,9,FALSE)</f>
        <v>Auckland</v>
      </c>
      <c r="AE47" s="248">
        <f>IF(ISBLANK(VLOOKUP($AC47,'2007-2020 Metadata'!$A$6:$S$214,19,FALSE)),"",VLOOKUP($AC47,'2007-2020 Metadata'!$A$6:$S$214,19,FALSE))</f>
        <v>3</v>
      </c>
      <c r="AF47" s="88" t="str">
        <f>VLOOKUP($B47,'2007-2020 Metadata'!$A$4:$S$214,MATCH("Site type",'2007-2020 Metadata'!$A$4:$S$4,0),FALSE)</f>
        <v>Local</v>
      </c>
      <c r="AG47" s="143">
        <f t="shared" si="30"/>
        <v>17.2</v>
      </c>
      <c r="AH47" s="143">
        <f t="shared" si="31"/>
        <v>49.2</v>
      </c>
      <c r="AI47" s="144">
        <f t="shared" si="29"/>
        <v>32.202855477855479</v>
      </c>
    </row>
    <row r="48" spans="1:35" ht="12" customHeight="1" x14ac:dyDescent="0.15">
      <c r="A48" s="31"/>
      <c r="B48" s="40" t="s">
        <v>83</v>
      </c>
      <c r="C48" s="104">
        <f>IF(VLOOKUP($B48,'Monthly Summary 2012'!$B$7:$Q$221,14,FALSE)=0,"",VLOOKUP($B48,'Monthly Summary 2012'!$B$7:$Q$221,14,FALSE))</f>
        <v>11.5</v>
      </c>
      <c r="D48" s="36">
        <v>12.8</v>
      </c>
      <c r="E48" s="36">
        <v>25.9</v>
      </c>
      <c r="F48" s="36">
        <v>24.4</v>
      </c>
      <c r="G48" s="36">
        <v>33.1</v>
      </c>
      <c r="H48" s="36">
        <v>35.200000000000003</v>
      </c>
      <c r="I48" s="36">
        <v>44.2</v>
      </c>
      <c r="J48" s="36">
        <v>39</v>
      </c>
      <c r="K48" s="36">
        <v>36.5</v>
      </c>
      <c r="L48" s="36">
        <v>28.4</v>
      </c>
      <c r="M48" s="36">
        <v>26.4</v>
      </c>
      <c r="N48" s="36">
        <v>29.7</v>
      </c>
      <c r="O48" s="36">
        <v>16.899999999999999</v>
      </c>
      <c r="P48" s="37">
        <f t="shared" si="18"/>
        <v>29.374999999999996</v>
      </c>
      <c r="Q48" s="38">
        <f t="shared" si="19"/>
        <v>1</v>
      </c>
      <c r="R48" s="140">
        <f t="shared" si="20"/>
        <v>21.033333333333335</v>
      </c>
      <c r="S48" s="150">
        <f t="shared" si="21"/>
        <v>1</v>
      </c>
      <c r="T48" s="140">
        <f t="shared" si="22"/>
        <v>34.633333333333333</v>
      </c>
      <c r="U48" s="9">
        <f t="shared" si="23"/>
        <v>1</v>
      </c>
      <c r="V48" s="141">
        <f t="shared" si="24"/>
        <v>29.374999999999996</v>
      </c>
      <c r="W48" s="142">
        <f t="shared" si="25"/>
        <v>1</v>
      </c>
      <c r="X48" s="144">
        <f t="shared" si="26"/>
        <v>25.800000000000004</v>
      </c>
      <c r="Y48" s="144">
        <f t="shared" si="27"/>
        <v>37.946153846153841</v>
      </c>
      <c r="Z48" s="144">
        <f t="shared" si="28"/>
        <v>32.202855477855479</v>
      </c>
      <c r="AA48" s="10"/>
      <c r="AB48" s="357" t="str">
        <f>VLOOKUP($B48,'2007-2020 Metadata'!$A$4:$S$214,MATCH("Urban Area /Monitoring Zone",'2007-2020 Metadata'!$A$4:$S$4,0),FALSE)</f>
        <v>Auckland - Central</v>
      </c>
      <c r="AC48" s="87" t="str">
        <f>VLOOKUP(B48,'2007-2020 Metadata'!$A$6:$A$214,1,FALSE)</f>
        <v>AUC062</v>
      </c>
      <c r="AD48" s="230" t="str">
        <f>VLOOKUP($AC48,'2007-2020 Metadata'!$A$6:$S$214,9,FALSE)</f>
        <v>Auckland</v>
      </c>
      <c r="AE48" s="248">
        <f>IF(ISBLANK(VLOOKUP($AC48,'2007-2020 Metadata'!$A$6:$S$214,19,FALSE)),"",VLOOKUP($AC48,'2007-2020 Metadata'!$A$6:$S$214,19,FALSE))</f>
        <v>2.5</v>
      </c>
      <c r="AF48" s="88" t="str">
        <f>VLOOKUP($B48,'2007-2020 Metadata'!$A$4:$S$214,MATCH("Site type",'2007-2020 Metadata'!$A$4:$S$4,0),FALSE)</f>
        <v>Local</v>
      </c>
      <c r="AG48" s="143">
        <f t="shared" si="30"/>
        <v>12.8</v>
      </c>
      <c r="AH48" s="143">
        <f t="shared" si="31"/>
        <v>44.2</v>
      </c>
      <c r="AI48" s="144">
        <f t="shared" si="29"/>
        <v>32.202855477855479</v>
      </c>
    </row>
    <row r="49" spans="1:35" ht="12" customHeight="1" x14ac:dyDescent="0.15">
      <c r="A49" s="31"/>
      <c r="B49" s="40" t="s">
        <v>84</v>
      </c>
      <c r="C49" s="104">
        <f>IF(VLOOKUP($B49,'Monthly Summary 2012'!$B$7:$Q$221,14,FALSE)=0,"",VLOOKUP($B49,'Monthly Summary 2012'!$B$7:$Q$221,14,FALSE))</f>
        <v>27.6</v>
      </c>
      <c r="D49" s="36">
        <v>29.8</v>
      </c>
      <c r="E49" s="36">
        <v>36.6</v>
      </c>
      <c r="F49" s="36">
        <v>40.6</v>
      </c>
      <c r="G49" s="36">
        <v>40.299999999999997</v>
      </c>
      <c r="H49" s="36">
        <v>47.2</v>
      </c>
      <c r="I49" s="36">
        <v>47.1</v>
      </c>
      <c r="J49" s="36">
        <v>38.700000000000003</v>
      </c>
      <c r="K49" s="36">
        <v>43.8</v>
      </c>
      <c r="L49" s="36">
        <v>31.8</v>
      </c>
      <c r="M49" s="36">
        <v>27.5</v>
      </c>
      <c r="N49" s="36">
        <v>37</v>
      </c>
      <c r="O49" s="36">
        <v>27.9</v>
      </c>
      <c r="P49" s="37">
        <f t="shared" si="18"/>
        <v>37.358333333333334</v>
      </c>
      <c r="Q49" s="38">
        <f t="shared" si="19"/>
        <v>1</v>
      </c>
      <c r="R49" s="140">
        <f t="shared" si="20"/>
        <v>35.666666666666664</v>
      </c>
      <c r="S49" s="150">
        <f t="shared" si="21"/>
        <v>1</v>
      </c>
      <c r="T49" s="140">
        <f t="shared" si="22"/>
        <v>38.1</v>
      </c>
      <c r="U49" s="9">
        <f t="shared" si="23"/>
        <v>1</v>
      </c>
      <c r="V49" s="141">
        <f t="shared" si="24"/>
        <v>37.358333333333334</v>
      </c>
      <c r="W49" s="142">
        <f t="shared" si="25"/>
        <v>1</v>
      </c>
      <c r="X49" s="144">
        <f t="shared" si="26"/>
        <v>15.311111111111108</v>
      </c>
      <c r="Y49" s="144">
        <f t="shared" si="27"/>
        <v>22.37777777777778</v>
      </c>
      <c r="Z49" s="144">
        <f t="shared" si="28"/>
        <v>19.351464646464645</v>
      </c>
      <c r="AA49" s="10"/>
      <c r="AB49" s="357" t="str">
        <f>VLOOKUP($B49,'2007-2020 Metadata'!$A$4:$S$214,MATCH("Urban Area /Monitoring Zone",'2007-2020 Metadata'!$A$4:$S$4,0),FALSE)</f>
        <v>Auckland - Western</v>
      </c>
      <c r="AC49" s="87" t="str">
        <f>VLOOKUP(B49,'2007-2020 Metadata'!$A$6:$A$214,1,FALSE)</f>
        <v>AUC063</v>
      </c>
      <c r="AD49" s="230" t="str">
        <f>VLOOKUP($AC49,'2007-2020 Metadata'!$A$6:$S$214,9,FALSE)</f>
        <v>Waitakere</v>
      </c>
      <c r="AE49" s="248">
        <f>IF(ISBLANK(VLOOKUP($AC49,'2007-2020 Metadata'!$A$6:$S$214,19,FALSE)),"",VLOOKUP($AC49,'2007-2020 Metadata'!$A$6:$S$214,19,FALSE))</f>
        <v>3</v>
      </c>
      <c r="AF49" s="88" t="str">
        <f>VLOOKUP($B49,'2007-2020 Metadata'!$A$4:$S$214,MATCH("Site type",'2007-2020 Metadata'!$A$4:$S$4,0),FALSE)</f>
        <v>Local</v>
      </c>
      <c r="AG49" s="143">
        <f t="shared" si="30"/>
        <v>27.5</v>
      </c>
      <c r="AH49" s="143">
        <f t="shared" si="31"/>
        <v>47.2</v>
      </c>
      <c r="AI49" s="144">
        <f t="shared" si="29"/>
        <v>19.351464646464645</v>
      </c>
    </row>
    <row r="50" spans="1:35" ht="12" customHeight="1" x14ac:dyDescent="0.15">
      <c r="A50" s="31"/>
      <c r="B50" s="40" t="s">
        <v>85</v>
      </c>
      <c r="C50" s="104">
        <f>IF(VLOOKUP($B50,'Monthly Summary 2012'!$B$7:$Q$221,14,FALSE)=0,"",VLOOKUP($B50,'Monthly Summary 2012'!$B$7:$Q$221,14,FALSE))</f>
        <v>15.5</v>
      </c>
      <c r="D50" s="36">
        <v>11.6</v>
      </c>
      <c r="E50" s="36">
        <v>20.100000000000001</v>
      </c>
      <c r="F50" s="36">
        <v>27.4</v>
      </c>
      <c r="G50" s="36">
        <v>29.3</v>
      </c>
      <c r="H50" s="36">
        <v>38.799999999999997</v>
      </c>
      <c r="I50" s="36">
        <v>35.200000000000003</v>
      </c>
      <c r="J50" s="36">
        <v>32.700000000000003</v>
      </c>
      <c r="K50" s="36">
        <v>33.799999999999997</v>
      </c>
      <c r="L50" s="36">
        <v>25.7</v>
      </c>
      <c r="M50" s="36">
        <v>17.600000000000001</v>
      </c>
      <c r="N50" s="36">
        <v>22.1</v>
      </c>
      <c r="O50" s="36">
        <v>16.600000000000001</v>
      </c>
      <c r="P50" s="37">
        <f t="shared" si="18"/>
        <v>25.908333333333342</v>
      </c>
      <c r="Q50" s="38">
        <f t="shared" si="19"/>
        <v>1</v>
      </c>
      <c r="R50" s="140">
        <f t="shared" si="20"/>
        <v>19.7</v>
      </c>
      <c r="S50" s="150">
        <f t="shared" si="21"/>
        <v>1</v>
      </c>
      <c r="T50" s="140">
        <f t="shared" si="22"/>
        <v>30.733333333333334</v>
      </c>
      <c r="U50" s="9">
        <f t="shared" si="23"/>
        <v>1</v>
      </c>
      <c r="V50" s="141">
        <f t="shared" si="24"/>
        <v>25.908333333333342</v>
      </c>
      <c r="W50" s="142">
        <f t="shared" si="25"/>
        <v>1</v>
      </c>
      <c r="X50" s="144">
        <f t="shared" si="26"/>
        <v>25.800000000000004</v>
      </c>
      <c r="Y50" s="144">
        <f t="shared" si="27"/>
        <v>37.946153846153841</v>
      </c>
      <c r="Z50" s="144">
        <f t="shared" si="28"/>
        <v>32.202855477855479</v>
      </c>
      <c r="AA50" s="10"/>
      <c r="AB50" s="357" t="str">
        <f>VLOOKUP($B50,'2007-2020 Metadata'!$A$4:$S$214,MATCH("Urban Area /Monitoring Zone",'2007-2020 Metadata'!$A$4:$S$4,0),FALSE)</f>
        <v>Auckland - Central</v>
      </c>
      <c r="AC50" s="87" t="str">
        <f>VLOOKUP(B50,'2007-2020 Metadata'!$A$6:$A$214,1,FALSE)</f>
        <v>AUC064</v>
      </c>
      <c r="AD50" s="230" t="str">
        <f>VLOOKUP($AC50,'2007-2020 Metadata'!$A$6:$S$214,9,FALSE)</f>
        <v>Auckland</v>
      </c>
      <c r="AE50" s="248">
        <f>IF(ISBLANK(VLOOKUP($AC50,'2007-2020 Metadata'!$A$6:$S$214,19,FALSE)),"",VLOOKUP($AC50,'2007-2020 Metadata'!$A$6:$S$214,19,FALSE))</f>
        <v>3</v>
      </c>
      <c r="AF50" s="88" t="str">
        <f>VLOOKUP($B50,'2007-2020 Metadata'!$A$4:$S$214,MATCH("Site type",'2007-2020 Metadata'!$A$4:$S$4,0),FALSE)</f>
        <v>Local</v>
      </c>
      <c r="AG50" s="143">
        <f t="shared" si="30"/>
        <v>11.6</v>
      </c>
      <c r="AH50" s="143">
        <f t="shared" si="31"/>
        <v>38.799999999999997</v>
      </c>
      <c r="AI50" s="144">
        <f t="shared" si="29"/>
        <v>32.202855477855479</v>
      </c>
    </row>
    <row r="51" spans="1:35" ht="12" customHeight="1" x14ac:dyDescent="0.15">
      <c r="A51" s="31"/>
      <c r="B51" s="40" t="s">
        <v>86</v>
      </c>
      <c r="C51" s="104">
        <f>IF(VLOOKUP($B51,'Monthly Summary 2012'!$B$7:$Q$221,14,FALSE)=0,"",VLOOKUP($B51,'Monthly Summary 2012'!$B$7:$Q$221,14,FALSE))</f>
        <v>15.9</v>
      </c>
      <c r="D51" s="36">
        <v>19.8</v>
      </c>
      <c r="E51" s="36">
        <v>22.9</v>
      </c>
      <c r="F51" s="36">
        <v>28.3</v>
      </c>
      <c r="G51" s="36">
        <v>32.299999999999997</v>
      </c>
      <c r="H51" s="36">
        <v>40.6</v>
      </c>
      <c r="I51" s="36">
        <v>41</v>
      </c>
      <c r="J51" s="36">
        <v>35.200000000000003</v>
      </c>
      <c r="K51" s="36">
        <v>38.700000000000003</v>
      </c>
      <c r="L51" s="36">
        <v>31.4</v>
      </c>
      <c r="M51" s="36">
        <v>29.1</v>
      </c>
      <c r="N51" s="36">
        <v>28.1</v>
      </c>
      <c r="O51" s="36">
        <v>22</v>
      </c>
      <c r="P51" s="37">
        <f t="shared" si="18"/>
        <v>30.783333333333335</v>
      </c>
      <c r="Q51" s="38">
        <f t="shared" si="19"/>
        <v>1</v>
      </c>
      <c r="R51" s="140">
        <f t="shared" si="20"/>
        <v>23.666666666666668</v>
      </c>
      <c r="S51" s="150">
        <f t="shared" si="21"/>
        <v>1</v>
      </c>
      <c r="T51" s="140">
        <f t="shared" si="22"/>
        <v>35.1</v>
      </c>
      <c r="U51" s="9">
        <f t="shared" si="23"/>
        <v>1</v>
      </c>
      <c r="V51" s="141">
        <f t="shared" si="24"/>
        <v>30.783333333333335</v>
      </c>
      <c r="W51" s="142">
        <f t="shared" si="25"/>
        <v>1</v>
      </c>
      <c r="X51" s="144">
        <f t="shared" si="26"/>
        <v>21.785185185185188</v>
      </c>
      <c r="Y51" s="144">
        <f t="shared" si="27"/>
        <v>30.685185185185187</v>
      </c>
      <c r="Z51" s="144">
        <f t="shared" si="28"/>
        <v>26.641851851851854</v>
      </c>
      <c r="AA51" s="10"/>
      <c r="AB51" s="357" t="str">
        <f>VLOOKUP($B51,'2007-2020 Metadata'!$A$4:$S$214,MATCH("Urban Area /Monitoring Zone",'2007-2020 Metadata'!$A$4:$S$4,0),FALSE)</f>
        <v xml:space="preserve">Auckland - Southern </v>
      </c>
      <c r="AC51" s="87" t="str">
        <f>VLOOKUP(B51,'2007-2020 Metadata'!$A$6:$A$214,1,FALSE)</f>
        <v>AUC067</v>
      </c>
      <c r="AD51" s="230" t="str">
        <f>VLOOKUP($AC51,'2007-2020 Metadata'!$A$6:$S$214,9,FALSE)</f>
        <v>Manukau</v>
      </c>
      <c r="AE51" s="248">
        <f>IF(ISBLANK(VLOOKUP($AC51,'2007-2020 Metadata'!$A$6:$S$214,19,FALSE)),"",VLOOKUP($AC51,'2007-2020 Metadata'!$A$6:$S$214,19,FALSE))</f>
        <v>3</v>
      </c>
      <c r="AF51" s="88" t="str">
        <f>VLOOKUP($B51,'2007-2020 Metadata'!$A$4:$S$214,MATCH("Site type",'2007-2020 Metadata'!$A$4:$S$4,0),FALSE)</f>
        <v>SH</v>
      </c>
      <c r="AG51" s="143">
        <f t="shared" si="30"/>
        <v>19.8</v>
      </c>
      <c r="AH51" s="143">
        <f t="shared" si="31"/>
        <v>41</v>
      </c>
      <c r="AI51" s="144">
        <f t="shared" si="29"/>
        <v>26.641851851851854</v>
      </c>
    </row>
    <row r="52" spans="1:35" ht="12" customHeight="1" x14ac:dyDescent="0.15">
      <c r="A52" s="31"/>
      <c r="B52" s="40" t="s">
        <v>87</v>
      </c>
      <c r="C52" s="104">
        <f>IF(VLOOKUP($B52,'Monthly Summary 2012'!$B$7:$Q$221,14,FALSE)=0,"",VLOOKUP($B52,'Monthly Summary 2012'!$B$7:$Q$221,14,FALSE))</f>
        <v>33.799999999999997</v>
      </c>
      <c r="D52" s="36">
        <v>33.1</v>
      </c>
      <c r="E52" s="36">
        <v>42.8</v>
      </c>
      <c r="F52" s="36">
        <v>46.1</v>
      </c>
      <c r="G52" s="36">
        <v>52.3</v>
      </c>
      <c r="H52" s="36">
        <v>53.3</v>
      </c>
      <c r="I52" s="36">
        <v>60</v>
      </c>
      <c r="J52" s="36">
        <v>45.8</v>
      </c>
      <c r="K52" s="36">
        <v>63.8</v>
      </c>
      <c r="L52" s="36">
        <v>45.6</v>
      </c>
      <c r="M52" s="36">
        <v>41.3</v>
      </c>
      <c r="N52" s="36">
        <v>37.200000000000003</v>
      </c>
      <c r="O52" s="36">
        <v>30.4</v>
      </c>
      <c r="P52" s="37">
        <f t="shared" si="18"/>
        <v>45.975000000000001</v>
      </c>
      <c r="Q52" s="38">
        <f t="shared" si="19"/>
        <v>1</v>
      </c>
      <c r="R52" s="140">
        <f t="shared" si="20"/>
        <v>40.666666666666664</v>
      </c>
      <c r="S52" s="150">
        <f t="shared" si="21"/>
        <v>1</v>
      </c>
      <c r="T52" s="140">
        <f t="shared" si="22"/>
        <v>51.733333333333327</v>
      </c>
      <c r="U52" s="9">
        <f t="shared" si="23"/>
        <v>1</v>
      </c>
      <c r="V52" s="141">
        <f t="shared" si="24"/>
        <v>45.975000000000001</v>
      </c>
      <c r="W52" s="142">
        <f t="shared" si="25"/>
        <v>1</v>
      </c>
      <c r="X52" s="144">
        <f t="shared" si="26"/>
        <v>21.785185185185188</v>
      </c>
      <c r="Y52" s="144">
        <f t="shared" si="27"/>
        <v>30.685185185185187</v>
      </c>
      <c r="Z52" s="144">
        <f t="shared" si="28"/>
        <v>26.641851851851854</v>
      </c>
      <c r="AA52" s="10"/>
      <c r="AB52" s="357" t="str">
        <f>VLOOKUP($B52,'2007-2020 Metadata'!$A$4:$S$214,MATCH("Urban Area /Monitoring Zone",'2007-2020 Metadata'!$A$4:$S$4,0),FALSE)</f>
        <v xml:space="preserve">Auckland - Southern </v>
      </c>
      <c r="AC52" s="87" t="str">
        <f>VLOOKUP(B52,'2007-2020 Metadata'!$A$6:$A$214,1,FALSE)</f>
        <v>AUC068</v>
      </c>
      <c r="AD52" s="230" t="str">
        <f>VLOOKUP($AC52,'2007-2020 Metadata'!$A$6:$S$214,9,FALSE)</f>
        <v>Manukau</v>
      </c>
      <c r="AE52" s="248">
        <f>IF(ISBLANK(VLOOKUP($AC52,'2007-2020 Metadata'!$A$6:$S$214,19,FALSE)),"",VLOOKUP($AC52,'2007-2020 Metadata'!$A$6:$S$214,19,FALSE))</f>
        <v>3</v>
      </c>
      <c r="AF52" s="88" t="str">
        <f>VLOOKUP($B52,'2007-2020 Metadata'!$A$4:$S$214,MATCH("Site type",'2007-2020 Metadata'!$A$4:$S$4,0),FALSE)</f>
        <v>SH</v>
      </c>
      <c r="AG52" s="143">
        <f t="shared" si="30"/>
        <v>30.4</v>
      </c>
      <c r="AH52" s="143">
        <f t="shared" si="31"/>
        <v>63.8</v>
      </c>
      <c r="AI52" s="144">
        <f t="shared" si="29"/>
        <v>26.641851851851854</v>
      </c>
    </row>
    <row r="53" spans="1:35" ht="12" customHeight="1" x14ac:dyDescent="0.15">
      <c r="A53" s="31"/>
      <c r="B53" s="40" t="s">
        <v>88</v>
      </c>
      <c r="C53" s="104">
        <f>IF(VLOOKUP($B53,'Monthly Summary 2012'!$B$7:$Q$221,14,FALSE)=0,"",VLOOKUP($B53,'Monthly Summary 2012'!$B$7:$Q$221,14,FALSE))</f>
        <v>18.8</v>
      </c>
      <c r="D53" s="36">
        <v>21.1</v>
      </c>
      <c r="E53" s="36">
        <v>22.8</v>
      </c>
      <c r="F53" s="36">
        <v>32.6</v>
      </c>
      <c r="G53" s="36">
        <v>34</v>
      </c>
      <c r="H53" s="36">
        <v>34.4</v>
      </c>
      <c r="I53" s="36">
        <v>39.799999999999997</v>
      </c>
      <c r="J53" s="36">
        <v>33</v>
      </c>
      <c r="K53" s="36">
        <v>41.3</v>
      </c>
      <c r="L53" s="36">
        <v>28.5</v>
      </c>
      <c r="M53" s="36">
        <v>18.8</v>
      </c>
      <c r="N53" s="36">
        <v>27.3</v>
      </c>
      <c r="O53" s="36">
        <v>14</v>
      </c>
      <c r="P53" s="37">
        <f t="shared" si="18"/>
        <v>28.966666666666669</v>
      </c>
      <c r="Q53" s="38">
        <f t="shared" si="19"/>
        <v>1</v>
      </c>
      <c r="R53" s="140">
        <f t="shared" si="20"/>
        <v>25.5</v>
      </c>
      <c r="S53" s="150">
        <f t="shared" si="21"/>
        <v>1</v>
      </c>
      <c r="T53" s="140">
        <f t="shared" si="22"/>
        <v>34.266666666666666</v>
      </c>
      <c r="U53" s="9">
        <f t="shared" si="23"/>
        <v>1</v>
      </c>
      <c r="V53" s="141">
        <f t="shared" si="24"/>
        <v>28.966666666666669</v>
      </c>
      <c r="W53" s="142">
        <f t="shared" si="25"/>
        <v>1</v>
      </c>
      <c r="X53" s="144">
        <f t="shared" si="26"/>
        <v>21.785185185185188</v>
      </c>
      <c r="Y53" s="144">
        <f t="shared" si="27"/>
        <v>30.685185185185187</v>
      </c>
      <c r="Z53" s="144">
        <f t="shared" si="28"/>
        <v>26.641851851851854</v>
      </c>
      <c r="AA53" s="10"/>
      <c r="AB53" s="357" t="str">
        <f>VLOOKUP($B53,'2007-2020 Metadata'!$A$4:$S$214,MATCH("Urban Area /Monitoring Zone",'2007-2020 Metadata'!$A$4:$S$4,0),FALSE)</f>
        <v xml:space="preserve">Auckland - Southern </v>
      </c>
      <c r="AC53" s="87" t="str">
        <f>VLOOKUP(B53,'2007-2020 Metadata'!$A$6:$A$214,1,FALSE)</f>
        <v>AUC069</v>
      </c>
      <c r="AD53" s="230" t="str">
        <f>VLOOKUP($AC53,'2007-2020 Metadata'!$A$6:$S$214,9,FALSE)</f>
        <v>Manukau</v>
      </c>
      <c r="AE53" s="248">
        <f>IF(ISBLANK(VLOOKUP($AC53,'2007-2020 Metadata'!$A$6:$S$214,19,FALSE)),"",VLOOKUP($AC53,'2007-2020 Metadata'!$A$6:$S$214,19,FALSE))</f>
        <v>3</v>
      </c>
      <c r="AF53" s="88" t="str">
        <f>VLOOKUP($B53,'2007-2020 Metadata'!$A$4:$S$214,MATCH("Site type",'2007-2020 Metadata'!$A$4:$S$4,0),FALSE)</f>
        <v>Local</v>
      </c>
      <c r="AG53" s="143">
        <f t="shared" si="30"/>
        <v>14</v>
      </c>
      <c r="AH53" s="143">
        <f t="shared" si="31"/>
        <v>41.3</v>
      </c>
      <c r="AI53" s="144">
        <f t="shared" si="29"/>
        <v>26.641851851851854</v>
      </c>
    </row>
    <row r="54" spans="1:35" ht="12" customHeight="1" x14ac:dyDescent="0.15">
      <c r="A54" s="31"/>
      <c r="B54" s="40" t="s">
        <v>89</v>
      </c>
      <c r="C54" s="104" t="str">
        <f>IF(VLOOKUP($B54,'Monthly Summary 2012'!$B$7:$Q$221,14,FALSE)=0,"",VLOOKUP($B54,'Monthly Summary 2012'!$B$7:$Q$221,14,FALSE))</f>
        <v/>
      </c>
      <c r="D54" s="36">
        <v>8.9</v>
      </c>
      <c r="E54" s="36">
        <v>16.600000000000001</v>
      </c>
      <c r="F54" s="36">
        <v>16.899999999999999</v>
      </c>
      <c r="G54" s="36">
        <v>20.3</v>
      </c>
      <c r="H54" s="36">
        <v>24.7</v>
      </c>
      <c r="I54" s="36">
        <v>26.1</v>
      </c>
      <c r="J54" s="36">
        <v>24.2</v>
      </c>
      <c r="K54" s="36">
        <v>21.2</v>
      </c>
      <c r="L54" s="36">
        <v>18.7</v>
      </c>
      <c r="M54" s="36">
        <v>19</v>
      </c>
      <c r="N54" s="36">
        <v>14.3</v>
      </c>
      <c r="O54" s="36">
        <v>13.2</v>
      </c>
      <c r="P54" s="37">
        <f t="shared" si="18"/>
        <v>18.674999999999997</v>
      </c>
      <c r="Q54" s="38">
        <f t="shared" si="19"/>
        <v>1</v>
      </c>
      <c r="R54" s="140">
        <f t="shared" si="20"/>
        <v>14.133333333333333</v>
      </c>
      <c r="S54" s="150">
        <f t="shared" si="21"/>
        <v>1</v>
      </c>
      <c r="T54" s="140">
        <f t="shared" si="22"/>
        <v>21.366666666666664</v>
      </c>
      <c r="U54" s="9">
        <f t="shared" si="23"/>
        <v>1</v>
      </c>
      <c r="V54" s="141">
        <f t="shared" si="24"/>
        <v>18.674999999999997</v>
      </c>
      <c r="W54" s="142">
        <f t="shared" si="25"/>
        <v>1</v>
      </c>
      <c r="X54" s="144">
        <f t="shared" si="26"/>
        <v>21.785185185185188</v>
      </c>
      <c r="Y54" s="144">
        <f t="shared" si="27"/>
        <v>30.685185185185187</v>
      </c>
      <c r="Z54" s="144">
        <f t="shared" si="28"/>
        <v>26.641851851851854</v>
      </c>
      <c r="AA54" s="10"/>
      <c r="AB54" s="357" t="str">
        <f>VLOOKUP($B54,'2007-2020 Metadata'!$A$4:$S$214,MATCH("Urban Area /Monitoring Zone",'2007-2020 Metadata'!$A$4:$S$4,0),FALSE)</f>
        <v xml:space="preserve">Auckland - Southern </v>
      </c>
      <c r="AC54" s="87" t="str">
        <f>VLOOKUP(B54,'2007-2020 Metadata'!$A$6:$A$214,1,FALSE)</f>
        <v>AUC070</v>
      </c>
      <c r="AD54" s="230" t="str">
        <f>VLOOKUP($AC54,'2007-2020 Metadata'!$A$6:$S$214,9,FALSE)</f>
        <v>Manukau</v>
      </c>
      <c r="AE54" s="248">
        <f>IF(ISBLANK(VLOOKUP($AC54,'2007-2020 Metadata'!$A$6:$S$214,19,FALSE)),"",VLOOKUP($AC54,'2007-2020 Metadata'!$A$6:$S$214,19,FALSE))</f>
        <v>2.5</v>
      </c>
      <c r="AF54" s="88" t="str">
        <f>VLOOKUP($B54,'2007-2020 Metadata'!$A$4:$S$214,MATCH("Site type",'2007-2020 Metadata'!$A$4:$S$4,0),FALSE)</f>
        <v>Local</v>
      </c>
      <c r="AG54" s="143">
        <f t="shared" si="30"/>
        <v>8.9</v>
      </c>
      <c r="AH54" s="143">
        <f t="shared" si="31"/>
        <v>26.1</v>
      </c>
      <c r="AI54" s="144">
        <f t="shared" si="29"/>
        <v>26.641851851851854</v>
      </c>
    </row>
    <row r="55" spans="1:35" ht="12" customHeight="1" x14ac:dyDescent="0.15">
      <c r="A55" s="31"/>
      <c r="B55" s="40" t="s">
        <v>90</v>
      </c>
      <c r="C55" s="104">
        <f>IF(VLOOKUP($B55,'Monthly Summary 2012'!$B$7:$Q$221,14,FALSE)=0,"",VLOOKUP($B55,'Monthly Summary 2012'!$B$7:$Q$221,14,FALSE))</f>
        <v>18.8</v>
      </c>
      <c r="D55" s="36">
        <v>20.2</v>
      </c>
      <c r="E55" s="36">
        <v>31.9</v>
      </c>
      <c r="F55" s="36">
        <v>30.1</v>
      </c>
      <c r="G55" s="36">
        <v>34.299999999999997</v>
      </c>
      <c r="H55" s="36">
        <v>43.6</v>
      </c>
      <c r="I55" s="36">
        <v>44.8</v>
      </c>
      <c r="J55" s="36">
        <v>40.9</v>
      </c>
      <c r="K55" s="36">
        <v>43.8</v>
      </c>
      <c r="L55" s="36">
        <v>30.9</v>
      </c>
      <c r="M55" s="36">
        <v>25.8</v>
      </c>
      <c r="N55" s="36">
        <v>27.9</v>
      </c>
      <c r="O55" s="36">
        <v>17.5</v>
      </c>
      <c r="P55" s="37">
        <f t="shared" si="18"/>
        <v>32.641666666666659</v>
      </c>
      <c r="Q55" s="38">
        <f t="shared" si="19"/>
        <v>1</v>
      </c>
      <c r="R55" s="140">
        <f t="shared" si="20"/>
        <v>27.399999999999995</v>
      </c>
      <c r="S55" s="150">
        <f t="shared" si="21"/>
        <v>1</v>
      </c>
      <c r="T55" s="140">
        <f t="shared" si="22"/>
        <v>38.533333333333331</v>
      </c>
      <c r="U55" s="9">
        <f t="shared" si="23"/>
        <v>1</v>
      </c>
      <c r="V55" s="141">
        <f t="shared" si="24"/>
        <v>32.641666666666659</v>
      </c>
      <c r="W55" s="142">
        <f t="shared" si="25"/>
        <v>1</v>
      </c>
      <c r="X55" s="144">
        <f t="shared" si="26"/>
        <v>25.800000000000004</v>
      </c>
      <c r="Y55" s="144">
        <f t="shared" si="27"/>
        <v>37.946153846153841</v>
      </c>
      <c r="Z55" s="144">
        <f t="shared" si="28"/>
        <v>32.202855477855479</v>
      </c>
      <c r="AA55" s="10"/>
      <c r="AB55" s="357" t="str">
        <f>VLOOKUP($B55,'2007-2020 Metadata'!$A$4:$S$214,MATCH("Urban Area /Monitoring Zone",'2007-2020 Metadata'!$A$4:$S$4,0),FALSE)</f>
        <v>Auckland - Central</v>
      </c>
      <c r="AC55" s="87" t="str">
        <f>VLOOKUP(B55,'2007-2020 Metadata'!$A$6:$A$214,1,FALSE)</f>
        <v>AUC071</v>
      </c>
      <c r="AD55" s="230" t="str">
        <f>VLOOKUP($AC55,'2007-2020 Metadata'!$A$6:$S$214,9,FALSE)</f>
        <v>Auckland</v>
      </c>
      <c r="AE55" s="248">
        <f>IF(ISBLANK(VLOOKUP($AC55,'2007-2020 Metadata'!$A$6:$S$214,19,FALSE)),"",VLOOKUP($AC55,'2007-2020 Metadata'!$A$6:$S$214,19,FALSE))</f>
        <v>3</v>
      </c>
      <c r="AF55" s="88" t="str">
        <f>VLOOKUP($B55,'2007-2020 Metadata'!$A$4:$S$214,MATCH("Site type",'2007-2020 Metadata'!$A$4:$S$4,0),FALSE)</f>
        <v>Local</v>
      </c>
      <c r="AG55" s="143">
        <f t="shared" si="30"/>
        <v>17.5</v>
      </c>
      <c r="AH55" s="143">
        <f t="shared" si="31"/>
        <v>44.8</v>
      </c>
      <c r="AI55" s="144">
        <f t="shared" si="29"/>
        <v>32.202855477855479</v>
      </c>
    </row>
    <row r="56" spans="1:35" ht="12" customHeight="1" x14ac:dyDescent="0.15">
      <c r="A56" s="31"/>
      <c r="B56" s="40" t="s">
        <v>91</v>
      </c>
      <c r="C56" s="104">
        <f>IF(VLOOKUP($B56,'Monthly Summary 2012'!$B$7:$Q$221,14,FALSE)=0,"",VLOOKUP($B56,'Monthly Summary 2012'!$B$7:$Q$221,14,FALSE))</f>
        <v>15.5</v>
      </c>
      <c r="D56" s="36">
        <v>17.100000000000001</v>
      </c>
      <c r="E56" s="36">
        <v>17.5</v>
      </c>
      <c r="F56" s="36">
        <v>23.1</v>
      </c>
      <c r="G56" s="36">
        <v>22.4</v>
      </c>
      <c r="H56" s="36">
        <v>28.7</v>
      </c>
      <c r="I56" s="36">
        <v>34.700000000000003</v>
      </c>
      <c r="J56" s="36">
        <v>31.3</v>
      </c>
      <c r="K56" s="36">
        <v>27.8</v>
      </c>
      <c r="L56" s="36">
        <v>19.2</v>
      </c>
      <c r="M56" s="36">
        <v>22.6</v>
      </c>
      <c r="N56" s="36">
        <v>16.600000000000001</v>
      </c>
      <c r="O56" s="36">
        <v>11.5</v>
      </c>
      <c r="P56" s="37">
        <f t="shared" si="18"/>
        <v>22.708333333333332</v>
      </c>
      <c r="Q56" s="38">
        <f t="shared" si="19"/>
        <v>1</v>
      </c>
      <c r="R56" s="140">
        <f t="shared" si="20"/>
        <v>19.233333333333334</v>
      </c>
      <c r="S56" s="150">
        <f t="shared" si="21"/>
        <v>1</v>
      </c>
      <c r="T56" s="140">
        <f t="shared" si="22"/>
        <v>26.099999999999998</v>
      </c>
      <c r="U56" s="9">
        <f t="shared" si="23"/>
        <v>1</v>
      </c>
      <c r="V56" s="141">
        <f t="shared" si="24"/>
        <v>22.708333333333332</v>
      </c>
      <c r="W56" s="142">
        <f t="shared" si="25"/>
        <v>1</v>
      </c>
      <c r="X56" s="144">
        <f t="shared" si="26"/>
        <v>21.785185185185188</v>
      </c>
      <c r="Y56" s="144">
        <f t="shared" si="27"/>
        <v>30.685185185185187</v>
      </c>
      <c r="Z56" s="144">
        <f t="shared" si="28"/>
        <v>26.641851851851854</v>
      </c>
      <c r="AA56" s="10"/>
      <c r="AB56" s="357" t="str">
        <f>VLOOKUP($B56,'2007-2020 Metadata'!$A$4:$S$214,MATCH("Urban Area /Monitoring Zone",'2007-2020 Metadata'!$A$4:$S$4,0),FALSE)</f>
        <v xml:space="preserve">Auckland - Southern </v>
      </c>
      <c r="AC56" s="87" t="str">
        <f>VLOOKUP(B56,'2007-2020 Metadata'!$A$6:$A$214,1,FALSE)</f>
        <v>AUC072</v>
      </c>
      <c r="AD56" s="230" t="str">
        <f>VLOOKUP($AC56,'2007-2020 Metadata'!$A$6:$S$214,9,FALSE)</f>
        <v>Manukau</v>
      </c>
      <c r="AE56" s="248">
        <f>IF(ISBLANK(VLOOKUP($AC56,'2007-2020 Metadata'!$A$6:$S$214,19,FALSE)),"",VLOOKUP($AC56,'2007-2020 Metadata'!$A$6:$S$214,19,FALSE))</f>
        <v>3</v>
      </c>
      <c r="AF56" s="88" t="str">
        <f>VLOOKUP($B56,'2007-2020 Metadata'!$A$4:$S$214,MATCH("Site type",'2007-2020 Metadata'!$A$4:$S$4,0),FALSE)</f>
        <v>Local</v>
      </c>
      <c r="AG56" s="143">
        <f t="shared" si="30"/>
        <v>11.5</v>
      </c>
      <c r="AH56" s="143">
        <f t="shared" si="31"/>
        <v>34.700000000000003</v>
      </c>
      <c r="AI56" s="144">
        <f t="shared" si="29"/>
        <v>26.641851851851854</v>
      </c>
    </row>
    <row r="57" spans="1:35" ht="12" customHeight="1" x14ac:dyDescent="0.15">
      <c r="A57" s="31"/>
      <c r="B57" s="40" t="s">
        <v>92</v>
      </c>
      <c r="C57" s="104">
        <f>IF(VLOOKUP($B57,'Monthly Summary 2012'!$B$7:$Q$221,14,FALSE)=0,"",VLOOKUP($B57,'Monthly Summary 2012'!$B$7:$Q$221,14,FALSE))</f>
        <v>7.8</v>
      </c>
      <c r="D57" s="36">
        <v>5.5</v>
      </c>
      <c r="E57" s="36">
        <v>12.3</v>
      </c>
      <c r="F57" s="36">
        <v>9.3000000000000007</v>
      </c>
      <c r="G57" s="36">
        <v>17.100000000000001</v>
      </c>
      <c r="H57" s="36">
        <v>21.7</v>
      </c>
      <c r="I57" s="36">
        <v>24.7</v>
      </c>
      <c r="J57" s="36">
        <v>20.5</v>
      </c>
      <c r="K57" s="36">
        <v>19.3</v>
      </c>
      <c r="L57" s="36">
        <v>12.2</v>
      </c>
      <c r="M57" s="36">
        <v>10.7</v>
      </c>
      <c r="N57" s="36">
        <v>30.7</v>
      </c>
      <c r="O57" s="36">
        <v>5.9</v>
      </c>
      <c r="P57" s="37">
        <f t="shared" si="18"/>
        <v>15.824999999999998</v>
      </c>
      <c r="Q57" s="38">
        <f t="shared" si="19"/>
        <v>1</v>
      </c>
      <c r="R57" s="140">
        <f t="shared" si="20"/>
        <v>9.0333333333333332</v>
      </c>
      <c r="S57" s="150">
        <f t="shared" si="21"/>
        <v>1</v>
      </c>
      <c r="T57" s="140">
        <f t="shared" si="22"/>
        <v>17.333333333333332</v>
      </c>
      <c r="U57" s="9">
        <f t="shared" si="23"/>
        <v>1</v>
      </c>
      <c r="V57" s="141">
        <f t="shared" si="24"/>
        <v>15.824999999999998</v>
      </c>
      <c r="W57" s="142">
        <f t="shared" si="25"/>
        <v>1</v>
      </c>
      <c r="X57" s="144">
        <f t="shared" si="26"/>
        <v>21.785185185185188</v>
      </c>
      <c r="Y57" s="144">
        <f t="shared" si="27"/>
        <v>30.685185185185187</v>
      </c>
      <c r="Z57" s="144">
        <f t="shared" si="28"/>
        <v>26.641851851851854</v>
      </c>
      <c r="AA57" s="10"/>
      <c r="AB57" s="357" t="str">
        <f>VLOOKUP($B57,'2007-2020 Metadata'!$A$4:$S$214,MATCH("Urban Area /Monitoring Zone",'2007-2020 Metadata'!$A$4:$S$4,0),FALSE)</f>
        <v xml:space="preserve">Auckland - Southern </v>
      </c>
      <c r="AC57" s="87" t="str">
        <f>VLOOKUP(B57,'2007-2020 Metadata'!$A$6:$A$214,1,FALSE)</f>
        <v>AUC073</v>
      </c>
      <c r="AD57" s="230" t="str">
        <f>VLOOKUP($AC57,'2007-2020 Metadata'!$A$6:$S$214,9,FALSE)</f>
        <v>Manukau</v>
      </c>
      <c r="AE57" s="248">
        <f>IF(ISBLANK(VLOOKUP($AC57,'2007-2020 Metadata'!$A$6:$S$214,19,FALSE)),"",VLOOKUP($AC57,'2007-2020 Metadata'!$A$6:$S$214,19,FALSE))</f>
        <v>3</v>
      </c>
      <c r="AF57" s="88" t="str">
        <f>VLOOKUP($B57,'2007-2020 Metadata'!$A$4:$S$214,MATCH("Site type",'2007-2020 Metadata'!$A$4:$S$4,0),FALSE)</f>
        <v>Background</v>
      </c>
      <c r="AG57" s="143">
        <f t="shared" si="30"/>
        <v>5.5</v>
      </c>
      <c r="AH57" s="143">
        <f t="shared" si="31"/>
        <v>30.7</v>
      </c>
      <c r="AI57" s="144">
        <f t="shared" si="29"/>
        <v>26.641851851851854</v>
      </c>
    </row>
    <row r="58" spans="1:35" ht="12" customHeight="1" x14ac:dyDescent="0.15">
      <c r="A58" s="31"/>
      <c r="B58" s="40" t="s">
        <v>93</v>
      </c>
      <c r="C58" s="104">
        <f>IF(VLOOKUP($B58,'Monthly Summary 2012'!$B$7:$Q$221,14,FALSE)=0,"",VLOOKUP($B58,'Monthly Summary 2012'!$B$7:$Q$221,14,FALSE))</f>
        <v>18.600000000000001</v>
      </c>
      <c r="D58" s="36">
        <v>23.1</v>
      </c>
      <c r="E58" s="36">
        <v>27.5</v>
      </c>
      <c r="F58" s="36">
        <v>43.6</v>
      </c>
      <c r="G58" s="36">
        <v>41.9</v>
      </c>
      <c r="H58" s="36">
        <v>52.9</v>
      </c>
      <c r="I58" s="36">
        <v>49.1</v>
      </c>
      <c r="J58" s="36">
        <v>44.2</v>
      </c>
      <c r="K58" s="36">
        <v>53.6</v>
      </c>
      <c r="L58" s="36">
        <v>40.1</v>
      </c>
      <c r="M58" s="36">
        <v>28.1</v>
      </c>
      <c r="N58" s="36">
        <v>37</v>
      </c>
      <c r="O58" s="36">
        <v>20.5</v>
      </c>
      <c r="P58" s="37">
        <f t="shared" si="18"/>
        <v>38.466666666666676</v>
      </c>
      <c r="Q58" s="38">
        <f t="shared" si="19"/>
        <v>1</v>
      </c>
      <c r="R58" s="140">
        <f t="shared" si="20"/>
        <v>31.400000000000002</v>
      </c>
      <c r="S58" s="150">
        <f t="shared" si="21"/>
        <v>1</v>
      </c>
      <c r="T58" s="140">
        <f t="shared" si="22"/>
        <v>45.966666666666669</v>
      </c>
      <c r="U58" s="9">
        <f t="shared" si="23"/>
        <v>1</v>
      </c>
      <c r="V58" s="141">
        <f t="shared" si="24"/>
        <v>38.466666666666676</v>
      </c>
      <c r="W58" s="142">
        <f t="shared" si="25"/>
        <v>1</v>
      </c>
      <c r="X58" s="144">
        <f t="shared" si="26"/>
        <v>20.18333333333333</v>
      </c>
      <c r="Y58" s="144">
        <f t="shared" si="27"/>
        <v>32.160606060606057</v>
      </c>
      <c r="Z58" s="144">
        <f t="shared" si="28"/>
        <v>27.297258953168047</v>
      </c>
      <c r="AA58" s="10"/>
      <c r="AB58" s="357" t="str">
        <f>VLOOKUP($B58,'2007-2020 Metadata'!$A$4:$S$214,MATCH("Urban Area /Monitoring Zone",'2007-2020 Metadata'!$A$4:$S$4,0),FALSE)</f>
        <v>Auckland - Northern</v>
      </c>
      <c r="AC58" s="87" t="str">
        <f>VLOOKUP(B58,'2007-2020 Metadata'!$A$6:$A$214,1,FALSE)</f>
        <v>AUC170</v>
      </c>
      <c r="AD58" s="230" t="str">
        <f>VLOOKUP($AC58,'2007-2020 Metadata'!$A$6:$S$214,9,FALSE)</f>
        <v xml:space="preserve">North Shore </v>
      </c>
      <c r="AE58" s="248">
        <f>IF(ISBLANK(VLOOKUP($AC58,'2007-2020 Metadata'!$A$6:$S$214,19,FALSE)),"",VLOOKUP($AC58,'2007-2020 Metadata'!$A$6:$S$214,19,FALSE))</f>
        <v>3</v>
      </c>
      <c r="AF58" s="88" t="str">
        <f>VLOOKUP($B58,'2007-2020 Metadata'!$A$4:$S$214,MATCH("Site type",'2007-2020 Metadata'!$A$4:$S$4,0),FALSE)</f>
        <v>SH</v>
      </c>
      <c r="AG58" s="143">
        <f t="shared" si="30"/>
        <v>20.5</v>
      </c>
      <c r="AH58" s="143">
        <f t="shared" si="31"/>
        <v>53.6</v>
      </c>
      <c r="AI58" s="144">
        <f t="shared" si="29"/>
        <v>27.297258953168047</v>
      </c>
    </row>
    <row r="59" spans="1:35" ht="12" customHeight="1" x14ac:dyDescent="0.15">
      <c r="A59" s="31"/>
      <c r="B59" s="40" t="s">
        <v>94</v>
      </c>
      <c r="C59" s="104">
        <f>IF(VLOOKUP($B59,'Monthly Summary 2012'!$B$7:$Q$221,14,FALSE)=0,"",VLOOKUP($B59,'Monthly Summary 2012'!$B$7:$Q$221,14,FALSE))</f>
        <v>5.6</v>
      </c>
      <c r="D59" s="36">
        <v>5.6</v>
      </c>
      <c r="E59" s="36">
        <v>7.2</v>
      </c>
      <c r="F59" s="36">
        <v>9.1999999999999993</v>
      </c>
      <c r="G59" s="36"/>
      <c r="H59" s="36">
        <v>13.4</v>
      </c>
      <c r="I59" s="36">
        <v>14.9</v>
      </c>
      <c r="J59" s="36">
        <v>13.7</v>
      </c>
      <c r="K59" s="36">
        <v>12.5</v>
      </c>
      <c r="L59" s="36">
        <v>7.7</v>
      </c>
      <c r="M59" s="36">
        <v>8</v>
      </c>
      <c r="N59" s="36"/>
      <c r="O59" s="36">
        <v>4.8</v>
      </c>
      <c r="P59" s="37">
        <f t="shared" si="18"/>
        <v>9.6999999999999993</v>
      </c>
      <c r="Q59" s="38">
        <f t="shared" si="19"/>
        <v>0.83333333333333337</v>
      </c>
      <c r="R59" s="140">
        <f t="shared" si="20"/>
        <v>7.333333333333333</v>
      </c>
      <c r="S59" s="150">
        <f t="shared" si="21"/>
        <v>1</v>
      </c>
      <c r="T59" s="140">
        <f t="shared" si="22"/>
        <v>11.299999999999999</v>
      </c>
      <c r="U59" s="9">
        <f t="shared" si="23"/>
        <v>1</v>
      </c>
      <c r="V59" s="141">
        <f t="shared" si="24"/>
        <v>9.6999999999999993</v>
      </c>
      <c r="W59" s="142">
        <f t="shared" si="25"/>
        <v>0.83333333333333337</v>
      </c>
      <c r="X59" s="144">
        <f t="shared" si="26"/>
        <v>13.566666666666666</v>
      </c>
      <c r="Y59" s="144">
        <f t="shared" si="27"/>
        <v>21.833333333333332</v>
      </c>
      <c r="Z59" s="144">
        <f t="shared" si="28"/>
        <v>18.45</v>
      </c>
      <c r="AA59" s="10"/>
      <c r="AB59" s="357" t="str">
        <f>VLOOKUP($B59,'2007-2020 Metadata'!$A$4:$S$214,MATCH("Urban Area /Monitoring Zone",'2007-2020 Metadata'!$A$4:$S$4,0),FALSE)</f>
        <v>Whangarei</v>
      </c>
      <c r="AC59" s="87" t="str">
        <f>VLOOKUP(B59,'2007-2020 Metadata'!$A$6:$A$214,1,FALSE)</f>
        <v>AUC171</v>
      </c>
      <c r="AD59" s="230" t="str">
        <f>VLOOKUP($AC59,'2007-2020 Metadata'!$A$6:$S$214,9,FALSE)</f>
        <v>Whangarei</v>
      </c>
      <c r="AE59" s="248">
        <f>IF(ISBLANK(VLOOKUP($AC59,'2007-2020 Metadata'!$A$6:$S$214,19,FALSE)),"",VLOOKUP($AC59,'2007-2020 Metadata'!$A$6:$S$214,19,FALSE))</f>
        <v>3</v>
      </c>
      <c r="AF59" s="88" t="str">
        <f>VLOOKUP($B59,'2007-2020 Metadata'!$A$4:$S$214,MATCH("Site type",'2007-2020 Metadata'!$A$4:$S$4,0),FALSE)</f>
        <v>Background</v>
      </c>
      <c r="AG59" s="143">
        <f t="shared" si="30"/>
        <v>4.8</v>
      </c>
      <c r="AH59" s="143">
        <f t="shared" si="31"/>
        <v>14.9</v>
      </c>
      <c r="AI59" s="144">
        <f t="shared" si="29"/>
        <v>18.45</v>
      </c>
    </row>
    <row r="60" spans="1:35" ht="12" customHeight="1" x14ac:dyDescent="0.15">
      <c r="A60" s="31"/>
      <c r="B60" s="40" t="s">
        <v>32</v>
      </c>
      <c r="C60" s="104">
        <f>IF(VLOOKUP($B60,'Monthly Summary 2012'!$B$7:$Q$221,14,FALSE)=0,"",VLOOKUP($B60,'Monthly Summary 2012'!$B$7:$Q$221,14,FALSE))</f>
        <v>24.2</v>
      </c>
      <c r="D60" s="36">
        <v>25.5</v>
      </c>
      <c r="E60" s="36">
        <v>23.1</v>
      </c>
      <c r="F60" s="36">
        <v>34.799999999999997</v>
      </c>
      <c r="G60" s="36">
        <v>36.299999999999997</v>
      </c>
      <c r="H60" s="36">
        <v>36.299999999999997</v>
      </c>
      <c r="I60" s="36">
        <v>33.9</v>
      </c>
      <c r="J60" s="36">
        <v>30.4</v>
      </c>
      <c r="K60" s="36">
        <v>34.4</v>
      </c>
      <c r="L60" s="36">
        <v>28.8</v>
      </c>
      <c r="M60" s="36">
        <v>28.6</v>
      </c>
      <c r="N60" s="36">
        <v>26.1</v>
      </c>
      <c r="O60" s="36">
        <v>23.8</v>
      </c>
      <c r="P60" s="37">
        <f t="shared" si="18"/>
        <v>30.166666666666671</v>
      </c>
      <c r="Q60" s="38">
        <f t="shared" si="19"/>
        <v>1</v>
      </c>
      <c r="R60" s="140">
        <f t="shared" si="20"/>
        <v>27.8</v>
      </c>
      <c r="S60" s="150">
        <f t="shared" si="21"/>
        <v>1</v>
      </c>
      <c r="T60" s="140">
        <f t="shared" si="22"/>
        <v>31.2</v>
      </c>
      <c r="U60" s="9">
        <f t="shared" si="23"/>
        <v>1</v>
      </c>
      <c r="V60" s="141">
        <f t="shared" si="24"/>
        <v>30.166666666666671</v>
      </c>
      <c r="W60" s="142">
        <f t="shared" si="25"/>
        <v>1</v>
      </c>
      <c r="X60" s="144">
        <f t="shared" si="26"/>
        <v>26.363333333333333</v>
      </c>
      <c r="Y60" s="144">
        <f t="shared" si="27"/>
        <v>31.153333333333336</v>
      </c>
      <c r="Z60" s="144">
        <f t="shared" si="28"/>
        <v>28.5780303030303</v>
      </c>
      <c r="AA60" s="10"/>
      <c r="AB60" s="357" t="str">
        <f>VLOOKUP($B60,'2007-2020 Metadata'!$A$4:$S$214,MATCH("Urban Area /Monitoring Zone",'2007-2020 Metadata'!$A$4:$S$4,0),FALSE)</f>
        <v>Hamilton</v>
      </c>
      <c r="AC60" s="87" t="str">
        <f>VLOOKUP(B60,'2007-2020 Metadata'!$A$6:$A$214,1,FALSE)</f>
        <v>HAM001</v>
      </c>
      <c r="AD60" s="230" t="str">
        <f>VLOOKUP($AC60,'2007-2020 Metadata'!$A$6:$S$214,9,FALSE)</f>
        <v>Hamilton</v>
      </c>
      <c r="AE60" s="248">
        <f>IF(ISBLANK(VLOOKUP($AC60,'2007-2020 Metadata'!$A$6:$S$214,19,FALSE)),"",VLOOKUP($AC60,'2007-2020 Metadata'!$A$6:$S$214,19,FALSE))</f>
        <v>3.8</v>
      </c>
      <c r="AF60" s="88" t="str">
        <f>VLOOKUP($B60,'2007-2020 Metadata'!$A$4:$S$214,MATCH("Site type",'2007-2020 Metadata'!$A$4:$S$4,0),FALSE)</f>
        <v>SH</v>
      </c>
      <c r="AG60" s="143">
        <f t="shared" si="30"/>
        <v>23.1</v>
      </c>
      <c r="AH60" s="143">
        <f t="shared" si="31"/>
        <v>36.299999999999997</v>
      </c>
      <c r="AI60" s="144">
        <f t="shared" si="29"/>
        <v>28.5780303030303</v>
      </c>
    </row>
    <row r="61" spans="1:35" ht="12" customHeight="1" x14ac:dyDescent="0.15">
      <c r="A61" s="31"/>
      <c r="B61" s="40" t="s">
        <v>33</v>
      </c>
      <c r="C61" s="104">
        <f>IF(VLOOKUP($B61,'Monthly Summary 2012'!$B$7:$Q$221,14,FALSE)=0,"",VLOOKUP($B61,'Monthly Summary 2012'!$B$7:$Q$221,14,FALSE))</f>
        <v>19.100000000000001</v>
      </c>
      <c r="D61" s="36">
        <v>16.3</v>
      </c>
      <c r="E61" s="36">
        <v>20.399999999999999</v>
      </c>
      <c r="F61" s="36">
        <v>29.7</v>
      </c>
      <c r="G61" s="36">
        <v>29.9</v>
      </c>
      <c r="H61" s="36">
        <v>30.7</v>
      </c>
      <c r="I61" s="36">
        <v>39.299999999999997</v>
      </c>
      <c r="J61" s="36">
        <v>33.1</v>
      </c>
      <c r="K61" s="36">
        <v>29.1</v>
      </c>
      <c r="L61" s="36">
        <v>22.4</v>
      </c>
      <c r="M61" s="36">
        <v>23.8</v>
      </c>
      <c r="N61" s="36">
        <v>23.8</v>
      </c>
      <c r="O61" s="36">
        <v>18.600000000000001</v>
      </c>
      <c r="P61" s="37">
        <f t="shared" si="18"/>
        <v>26.425000000000001</v>
      </c>
      <c r="Q61" s="38">
        <f t="shared" si="19"/>
        <v>1</v>
      </c>
      <c r="R61" s="140">
        <f t="shared" si="20"/>
        <v>22.133333333333336</v>
      </c>
      <c r="S61" s="150">
        <f t="shared" si="21"/>
        <v>1</v>
      </c>
      <c r="T61" s="140">
        <f t="shared" si="22"/>
        <v>28.2</v>
      </c>
      <c r="U61" s="9">
        <f t="shared" si="23"/>
        <v>1</v>
      </c>
      <c r="V61" s="141">
        <f t="shared" si="24"/>
        <v>26.425000000000001</v>
      </c>
      <c r="W61" s="142">
        <f t="shared" si="25"/>
        <v>1</v>
      </c>
      <c r="X61" s="144">
        <f t="shared" si="26"/>
        <v>26.363333333333333</v>
      </c>
      <c r="Y61" s="144">
        <f t="shared" si="27"/>
        <v>31.153333333333336</v>
      </c>
      <c r="Z61" s="144">
        <f t="shared" si="28"/>
        <v>28.5780303030303</v>
      </c>
      <c r="AA61" s="10"/>
      <c r="AB61" s="357" t="str">
        <f>VLOOKUP($B61,'2007-2020 Metadata'!$A$4:$S$214,MATCH("Urban Area /Monitoring Zone",'2007-2020 Metadata'!$A$4:$S$4,0),FALSE)</f>
        <v>Hamilton</v>
      </c>
      <c r="AC61" s="87" t="str">
        <f>VLOOKUP(B61,'2007-2020 Metadata'!$A$6:$A$214,1,FALSE)</f>
        <v>HAM002</v>
      </c>
      <c r="AD61" s="230" t="str">
        <f>VLOOKUP($AC61,'2007-2020 Metadata'!$A$6:$S$214,9,FALSE)</f>
        <v>Hamilton</v>
      </c>
      <c r="AE61" s="248">
        <f>IF(ISBLANK(VLOOKUP($AC61,'2007-2020 Metadata'!$A$6:$S$214,19,FALSE)),"",VLOOKUP($AC61,'2007-2020 Metadata'!$A$6:$S$214,19,FALSE))</f>
        <v>2.6</v>
      </c>
      <c r="AF61" s="88" t="str">
        <f>VLOOKUP($B61,'2007-2020 Metadata'!$A$4:$S$214,MATCH("Site type",'2007-2020 Metadata'!$A$4:$S$4,0),FALSE)</f>
        <v>Local (ex SH)</v>
      </c>
      <c r="AG61" s="143">
        <f t="shared" si="30"/>
        <v>16.3</v>
      </c>
      <c r="AH61" s="143">
        <f t="shared" si="31"/>
        <v>39.299999999999997</v>
      </c>
      <c r="AI61" s="144">
        <f t="shared" si="29"/>
        <v>28.5780303030303</v>
      </c>
    </row>
    <row r="62" spans="1:35" ht="12" customHeight="1" x14ac:dyDescent="0.15">
      <c r="A62" s="31"/>
      <c r="B62" s="40" t="s">
        <v>34</v>
      </c>
      <c r="C62" s="104">
        <f>IF(VLOOKUP($B62,'Monthly Summary 2012'!$B$7:$Q$221,14,FALSE)=0,"",VLOOKUP($B62,'Monthly Summary 2012'!$B$7:$Q$221,14,FALSE))</f>
        <v>29.9</v>
      </c>
      <c r="D62" s="36">
        <v>32.6</v>
      </c>
      <c r="E62" s="36">
        <v>33.4</v>
      </c>
      <c r="F62" s="36">
        <v>33.4</v>
      </c>
      <c r="G62" s="36">
        <v>47.4</v>
      </c>
      <c r="H62" s="36">
        <v>45.6</v>
      </c>
      <c r="I62" s="36">
        <v>49.9</v>
      </c>
      <c r="J62" s="36">
        <v>43.4</v>
      </c>
      <c r="K62" s="36">
        <v>40.200000000000003</v>
      </c>
      <c r="L62" s="36">
        <v>42.3</v>
      </c>
      <c r="M62" s="36">
        <v>40.1</v>
      </c>
      <c r="N62" s="36">
        <v>30.7</v>
      </c>
      <c r="O62" s="36">
        <v>21.7</v>
      </c>
      <c r="P62" s="37">
        <f t="shared" si="18"/>
        <v>38.391666666666666</v>
      </c>
      <c r="Q62" s="38">
        <f t="shared" si="19"/>
        <v>1</v>
      </c>
      <c r="R62" s="140">
        <f t="shared" si="20"/>
        <v>33.133333333333333</v>
      </c>
      <c r="S62" s="150">
        <f t="shared" si="21"/>
        <v>1</v>
      </c>
      <c r="T62" s="140">
        <f t="shared" si="22"/>
        <v>41.966666666666661</v>
      </c>
      <c r="U62" s="9">
        <f t="shared" si="23"/>
        <v>1</v>
      </c>
      <c r="V62" s="141">
        <f t="shared" si="24"/>
        <v>38.391666666666666</v>
      </c>
      <c r="W62" s="142">
        <f t="shared" si="25"/>
        <v>1</v>
      </c>
      <c r="X62" s="144">
        <f t="shared" si="26"/>
        <v>26.363333333333333</v>
      </c>
      <c r="Y62" s="144">
        <f t="shared" si="27"/>
        <v>31.153333333333336</v>
      </c>
      <c r="Z62" s="144">
        <f t="shared" si="28"/>
        <v>28.5780303030303</v>
      </c>
      <c r="AA62" s="10"/>
      <c r="AB62" s="357" t="str">
        <f>VLOOKUP($B62,'2007-2020 Metadata'!$A$4:$S$214,MATCH("Urban Area /Monitoring Zone",'2007-2020 Metadata'!$A$4:$S$4,0),FALSE)</f>
        <v>Hamilton</v>
      </c>
      <c r="AC62" s="87" t="str">
        <f>VLOOKUP(B62,'2007-2020 Metadata'!$A$6:$A$214,1,FALSE)</f>
        <v>HAM003</v>
      </c>
      <c r="AD62" s="230" t="str">
        <f>VLOOKUP($AC62,'2007-2020 Metadata'!$A$6:$S$214,9,FALSE)</f>
        <v>Hamilton</v>
      </c>
      <c r="AE62" s="248">
        <f>IF(ISBLANK(VLOOKUP($AC62,'2007-2020 Metadata'!$A$6:$S$214,19,FALSE)),"",VLOOKUP($AC62,'2007-2020 Metadata'!$A$6:$S$214,19,FALSE))</f>
        <v>2.9</v>
      </c>
      <c r="AF62" s="88" t="str">
        <f>VLOOKUP($B62,'2007-2020 Metadata'!$A$4:$S$214,MATCH("Site type",'2007-2020 Metadata'!$A$4:$S$4,0),FALSE)</f>
        <v>SH</v>
      </c>
      <c r="AG62" s="143">
        <f t="shared" si="30"/>
        <v>21.7</v>
      </c>
      <c r="AH62" s="143">
        <f t="shared" si="31"/>
        <v>49.9</v>
      </c>
      <c r="AI62" s="144">
        <f t="shared" si="29"/>
        <v>28.5780303030303</v>
      </c>
    </row>
    <row r="63" spans="1:35" ht="12" customHeight="1" x14ac:dyDescent="0.15">
      <c r="A63" s="31"/>
      <c r="B63" s="40" t="s">
        <v>35</v>
      </c>
      <c r="C63" s="104">
        <f>IF(VLOOKUP($B63,'Monthly Summary 2012'!$B$7:$Q$221,14,FALSE)=0,"",VLOOKUP($B63,'Monthly Summary 2012'!$B$7:$Q$221,14,FALSE))</f>
        <v>18.399999999999999</v>
      </c>
      <c r="D63" s="36">
        <v>23.6</v>
      </c>
      <c r="E63" s="36">
        <v>27.4</v>
      </c>
      <c r="F63" s="36">
        <v>37.6</v>
      </c>
      <c r="G63" s="36">
        <v>34.5</v>
      </c>
      <c r="H63" s="36">
        <v>30.5</v>
      </c>
      <c r="I63" s="36">
        <v>35.799999999999997</v>
      </c>
      <c r="J63" s="36">
        <v>34.799999999999997</v>
      </c>
      <c r="K63" s="36">
        <v>26.5</v>
      </c>
      <c r="L63" s="36">
        <v>23.8</v>
      </c>
      <c r="M63" s="36">
        <v>24.3</v>
      </c>
      <c r="N63" s="36">
        <v>29.3</v>
      </c>
      <c r="O63" s="36">
        <v>19.7</v>
      </c>
      <c r="P63" s="37">
        <f t="shared" si="18"/>
        <v>28.983333333333334</v>
      </c>
      <c r="Q63" s="38">
        <f t="shared" si="19"/>
        <v>1</v>
      </c>
      <c r="R63" s="140">
        <f t="shared" si="20"/>
        <v>29.533333333333331</v>
      </c>
      <c r="S63" s="150">
        <f t="shared" si="21"/>
        <v>1</v>
      </c>
      <c r="T63" s="140">
        <f t="shared" si="22"/>
        <v>28.366666666666664</v>
      </c>
      <c r="U63" s="9">
        <f t="shared" si="23"/>
        <v>1</v>
      </c>
      <c r="V63" s="141">
        <f t="shared" si="24"/>
        <v>28.983333333333334</v>
      </c>
      <c r="W63" s="142">
        <f t="shared" si="25"/>
        <v>1</v>
      </c>
      <c r="X63" s="144">
        <f t="shared" si="26"/>
        <v>26.363333333333333</v>
      </c>
      <c r="Y63" s="144">
        <f t="shared" si="27"/>
        <v>31.153333333333336</v>
      </c>
      <c r="Z63" s="144">
        <f t="shared" si="28"/>
        <v>28.5780303030303</v>
      </c>
      <c r="AA63" s="10"/>
      <c r="AB63" s="357" t="str">
        <f>VLOOKUP($B63,'2007-2020 Metadata'!$A$4:$S$214,MATCH("Urban Area /Monitoring Zone",'2007-2020 Metadata'!$A$4:$S$4,0),FALSE)</f>
        <v>Cambridge</v>
      </c>
      <c r="AC63" s="87" t="str">
        <f>VLOOKUP(B63,'2007-2020 Metadata'!$A$6:$A$214,1,FALSE)</f>
        <v>HAM004</v>
      </c>
      <c r="AD63" s="230" t="str">
        <f>VLOOKUP($AC63,'2007-2020 Metadata'!$A$6:$S$214,9,FALSE)</f>
        <v>Hamilton</v>
      </c>
      <c r="AE63" s="248">
        <f>IF(ISBLANK(VLOOKUP($AC63,'2007-2020 Metadata'!$A$6:$S$214,19,FALSE)),"",VLOOKUP($AC63,'2007-2020 Metadata'!$A$6:$S$214,19,FALSE))</f>
        <v>3</v>
      </c>
      <c r="AF63" s="88" t="str">
        <f>VLOOKUP($B63,'2007-2020 Metadata'!$A$4:$S$214,MATCH("Site type",'2007-2020 Metadata'!$A$4:$S$4,0),FALSE)</f>
        <v>Local (ex SH)</v>
      </c>
      <c r="AG63" s="143">
        <f t="shared" si="30"/>
        <v>19.7</v>
      </c>
      <c r="AH63" s="143">
        <f t="shared" si="31"/>
        <v>37.6</v>
      </c>
      <c r="AI63" s="144">
        <f t="shared" si="29"/>
        <v>28.5780303030303</v>
      </c>
    </row>
    <row r="64" spans="1:35" ht="12" customHeight="1" x14ac:dyDescent="0.15">
      <c r="A64" s="31"/>
      <c r="B64" s="40" t="s">
        <v>36</v>
      </c>
      <c r="C64" s="104">
        <f>IF(VLOOKUP($B64,'Monthly Summary 2012'!$B$7:$Q$221,14,FALSE)=0,"",VLOOKUP($B64,'Monthly Summary 2012'!$B$7:$Q$221,14,FALSE))</f>
        <v>12.3</v>
      </c>
      <c r="D64" s="36">
        <v>14.2</v>
      </c>
      <c r="E64" s="36">
        <v>16.399999999999999</v>
      </c>
      <c r="F64" s="36">
        <v>19.399999999999999</v>
      </c>
      <c r="G64" s="36">
        <v>18.2</v>
      </c>
      <c r="H64" s="36">
        <v>21.7</v>
      </c>
      <c r="I64" s="36">
        <v>21.2</v>
      </c>
      <c r="J64" s="36">
        <v>22.3</v>
      </c>
      <c r="K64" s="36">
        <v>19.3</v>
      </c>
      <c r="L64" s="36">
        <v>16.7</v>
      </c>
      <c r="M64" s="36">
        <v>10.4</v>
      </c>
      <c r="N64" s="36">
        <v>13.6</v>
      </c>
      <c r="O64" s="36">
        <v>12.3</v>
      </c>
      <c r="P64" s="37">
        <f t="shared" si="18"/>
        <v>17.141666666666669</v>
      </c>
      <c r="Q64" s="38">
        <f t="shared" si="19"/>
        <v>1</v>
      </c>
      <c r="R64" s="140">
        <f t="shared" si="20"/>
        <v>16.666666666666668</v>
      </c>
      <c r="S64" s="150">
        <f t="shared" si="21"/>
        <v>1</v>
      </c>
      <c r="T64" s="140">
        <f t="shared" si="22"/>
        <v>19.433333333333334</v>
      </c>
      <c r="U64" s="9">
        <f t="shared" si="23"/>
        <v>1</v>
      </c>
      <c r="V64" s="141">
        <f t="shared" si="24"/>
        <v>17.141666666666669</v>
      </c>
      <c r="W64" s="142">
        <f t="shared" si="25"/>
        <v>1</v>
      </c>
      <c r="X64" s="144">
        <f t="shared" si="26"/>
        <v>16.666666666666668</v>
      </c>
      <c r="Y64" s="144">
        <f t="shared" si="27"/>
        <v>19.433333333333334</v>
      </c>
      <c r="Z64" s="144">
        <f t="shared" si="28"/>
        <v>17.141666666666669</v>
      </c>
      <c r="AA64" s="10"/>
      <c r="AB64" s="357" t="str">
        <f>VLOOKUP($B64,'2007-2020 Metadata'!$A$4:$S$214,MATCH("Urban Area /Monitoring Zone",'2007-2020 Metadata'!$A$4:$S$4,0),FALSE)</f>
        <v>Taupo</v>
      </c>
      <c r="AC64" s="87" t="str">
        <f>VLOOKUP(B64,'2007-2020 Metadata'!$A$6:$A$214,1,FALSE)</f>
        <v>HAM005</v>
      </c>
      <c r="AD64" s="230" t="str">
        <f>VLOOKUP($AC64,'2007-2020 Metadata'!$A$6:$S$214,9,FALSE)</f>
        <v>Taupo</v>
      </c>
      <c r="AE64" s="248">
        <f>IF(ISBLANK(VLOOKUP($AC64,'2007-2020 Metadata'!$A$6:$S$214,19,FALSE)),"",VLOOKUP($AC64,'2007-2020 Metadata'!$A$6:$S$214,19,FALSE))</f>
        <v>3.5</v>
      </c>
      <c r="AF64" s="88" t="str">
        <f>VLOOKUP($B64,'2007-2020 Metadata'!$A$4:$S$214,MATCH("Site type",'2007-2020 Metadata'!$A$4:$S$4,0),FALSE)</f>
        <v>Local (ex SH)</v>
      </c>
      <c r="AG64" s="143">
        <f t="shared" si="30"/>
        <v>10.4</v>
      </c>
      <c r="AH64" s="143">
        <f t="shared" si="31"/>
        <v>22.3</v>
      </c>
      <c r="AI64" s="144">
        <f t="shared" si="29"/>
        <v>17.141666666666669</v>
      </c>
    </row>
    <row r="65" spans="1:35" ht="12" customHeight="1" x14ac:dyDescent="0.15">
      <c r="A65" s="31"/>
      <c r="B65" s="40" t="s">
        <v>37</v>
      </c>
      <c r="C65" s="104">
        <f>IF(VLOOKUP($B65,'Monthly Summary 2012'!$B$7:$Q$221,14,FALSE)=0,"",VLOOKUP($B65,'Monthly Summary 2012'!$B$7:$Q$221,14,FALSE))</f>
        <v>7.5</v>
      </c>
      <c r="D65" s="36">
        <v>8</v>
      </c>
      <c r="E65" s="36">
        <v>14.2</v>
      </c>
      <c r="F65" s="36">
        <v>21.7</v>
      </c>
      <c r="G65" s="36">
        <v>22.4</v>
      </c>
      <c r="H65" s="36">
        <v>27.8</v>
      </c>
      <c r="I65" s="36">
        <v>28.6</v>
      </c>
      <c r="J65" s="36">
        <v>26.2</v>
      </c>
      <c r="K65" s="36">
        <v>26.2</v>
      </c>
      <c r="L65" s="36">
        <v>16.399999999999999</v>
      </c>
      <c r="M65" s="36"/>
      <c r="N65" s="36"/>
      <c r="O65" s="36"/>
      <c r="P65" s="37">
        <f t="shared" si="18"/>
        <v>21.277777777777775</v>
      </c>
      <c r="Q65" s="38">
        <f t="shared" si="19"/>
        <v>0.75</v>
      </c>
      <c r="R65" s="140">
        <f t="shared" si="20"/>
        <v>14.633333333333333</v>
      </c>
      <c r="S65" s="150">
        <f t="shared" si="21"/>
        <v>1</v>
      </c>
      <c r="T65" s="140">
        <f t="shared" si="22"/>
        <v>22.933333333333334</v>
      </c>
      <c r="U65" s="9">
        <f t="shared" si="23"/>
        <v>1</v>
      </c>
      <c r="V65" s="141">
        <f t="shared" si="24"/>
        <v>21.277777777777775</v>
      </c>
      <c r="W65" s="142">
        <f t="shared" si="25"/>
        <v>0.75</v>
      </c>
      <c r="X65" s="144">
        <f t="shared" si="26"/>
        <v>11.491666666666667</v>
      </c>
      <c r="Y65" s="144">
        <f t="shared" si="27"/>
        <v>16.016666666666666</v>
      </c>
      <c r="Z65" s="144">
        <f t="shared" si="28"/>
        <v>21.277777777777775</v>
      </c>
      <c r="AA65" s="10"/>
      <c r="AB65" s="357" t="str">
        <f>VLOOKUP($B65,'2007-2020 Metadata'!$A$4:$S$214,MATCH("Urban Area /Monitoring Zone",'2007-2020 Metadata'!$A$4:$S$4,0),FALSE)</f>
        <v>Rotorua</v>
      </c>
      <c r="AC65" s="87" t="str">
        <f>VLOOKUP(B65,'2007-2020 Metadata'!$A$6:$A$214,1,FALSE)</f>
        <v>HAM006</v>
      </c>
      <c r="AD65" s="230" t="str">
        <f>VLOOKUP($AC65,'2007-2020 Metadata'!$A$6:$S$214,9,FALSE)</f>
        <v>Rotorua</v>
      </c>
      <c r="AE65" s="248">
        <f>IF(ISBLANK(VLOOKUP($AC65,'2007-2020 Metadata'!$A$6:$S$214,19,FALSE)),"",VLOOKUP($AC65,'2007-2020 Metadata'!$A$6:$S$214,19,FALSE))</f>
        <v>3</v>
      </c>
      <c r="AF65" s="88" t="str">
        <f>VLOOKUP($B65,'2007-2020 Metadata'!$A$4:$S$214,MATCH("Site type",'2007-2020 Metadata'!$A$4:$S$4,0),FALSE)</f>
        <v>SH</v>
      </c>
      <c r="AG65" s="143">
        <f t="shared" si="30"/>
        <v>8</v>
      </c>
      <c r="AH65" s="143">
        <f t="shared" si="31"/>
        <v>28.6</v>
      </c>
      <c r="AI65" s="144">
        <f t="shared" si="29"/>
        <v>21.277777777777775</v>
      </c>
    </row>
    <row r="66" spans="1:35" ht="12" customHeight="1" x14ac:dyDescent="0.15">
      <c r="A66" s="31"/>
      <c r="B66" s="40" t="s">
        <v>39</v>
      </c>
      <c r="C66" s="104">
        <f>IF(VLOOKUP($B66,'Monthly Summary 2012'!$B$7:$Q$221,14,FALSE)=0,"",VLOOKUP($B66,'Monthly Summary 2012'!$B$7:$Q$221,14,FALSE))</f>
        <v>19.2</v>
      </c>
      <c r="D66" s="36">
        <v>19.100000000000001</v>
      </c>
      <c r="E66" s="36">
        <v>23</v>
      </c>
      <c r="F66" s="36">
        <v>28.1</v>
      </c>
      <c r="G66" s="36">
        <v>31.9</v>
      </c>
      <c r="H66" s="36">
        <v>41.5</v>
      </c>
      <c r="I66" s="36">
        <v>41</v>
      </c>
      <c r="J66" s="36">
        <v>34.700000000000003</v>
      </c>
      <c r="K66" s="36">
        <v>34.4</v>
      </c>
      <c r="L66" s="36">
        <v>25.2</v>
      </c>
      <c r="M66" s="36">
        <v>21.8</v>
      </c>
      <c r="N66" s="36">
        <v>27.2</v>
      </c>
      <c r="O66" s="36">
        <v>22.1</v>
      </c>
      <c r="P66" s="37">
        <f t="shared" si="18"/>
        <v>29.166666666666671</v>
      </c>
      <c r="Q66" s="38">
        <f t="shared" si="19"/>
        <v>1</v>
      </c>
      <c r="R66" s="140">
        <f t="shared" si="20"/>
        <v>23.400000000000002</v>
      </c>
      <c r="S66" s="150">
        <f t="shared" si="21"/>
        <v>1</v>
      </c>
      <c r="T66" s="140">
        <f t="shared" si="22"/>
        <v>31.433333333333334</v>
      </c>
      <c r="U66" s="9">
        <f t="shared" si="23"/>
        <v>1</v>
      </c>
      <c r="V66" s="141">
        <f t="shared" si="24"/>
        <v>29.166666666666671</v>
      </c>
      <c r="W66" s="142">
        <f t="shared" si="25"/>
        <v>1</v>
      </c>
      <c r="X66" s="144">
        <f t="shared" si="26"/>
        <v>20.061904761904763</v>
      </c>
      <c r="Y66" s="144">
        <f t="shared" si="27"/>
        <v>24.983333333333331</v>
      </c>
      <c r="Z66" s="144">
        <f t="shared" si="28"/>
        <v>23.017460317460319</v>
      </c>
      <c r="AA66" s="10"/>
      <c r="AB66" s="357" t="str">
        <f>VLOOKUP($B66,'2007-2020 Metadata'!$A$4:$S$214,MATCH("Urban Area /Monitoring Zone",'2007-2020 Metadata'!$A$4:$S$4,0),FALSE)</f>
        <v>Tauranga</v>
      </c>
      <c r="AC66" s="87" t="str">
        <f>VLOOKUP(B66,'2007-2020 Metadata'!$A$6:$A$214,1,FALSE)</f>
        <v>HAM007</v>
      </c>
      <c r="AD66" s="230" t="str">
        <f>VLOOKUP($AC66,'2007-2020 Metadata'!$A$6:$S$214,9,FALSE)</f>
        <v>Tauranga</v>
      </c>
      <c r="AE66" s="248">
        <f>IF(ISBLANK(VLOOKUP($AC66,'2007-2020 Metadata'!$A$6:$S$214,19,FALSE)),"",VLOOKUP($AC66,'2007-2020 Metadata'!$A$6:$S$214,19,FALSE))</f>
        <v>2.9</v>
      </c>
      <c r="AF66" s="88" t="str">
        <f>VLOOKUP($B66,'2007-2020 Metadata'!$A$4:$S$214,MATCH("Site type",'2007-2020 Metadata'!$A$4:$S$4,0),FALSE)</f>
        <v>SH</v>
      </c>
      <c r="AG66" s="143">
        <f t="shared" si="30"/>
        <v>19.100000000000001</v>
      </c>
      <c r="AH66" s="143">
        <f t="shared" si="31"/>
        <v>41.5</v>
      </c>
      <c r="AI66" s="144">
        <f t="shared" si="29"/>
        <v>23.017460317460319</v>
      </c>
    </row>
    <row r="67" spans="1:35" ht="12" customHeight="1" x14ac:dyDescent="0.15">
      <c r="A67" s="31"/>
      <c r="B67" s="40" t="s">
        <v>40</v>
      </c>
      <c r="C67" s="104">
        <f>IF(VLOOKUP($B67,'Monthly Summary 2012'!$B$7:$Q$221,14,FALSE)=0,"",VLOOKUP($B67,'Monthly Summary 2012'!$B$7:$Q$221,14,FALSE))</f>
        <v>20.6</v>
      </c>
      <c r="D67" s="36">
        <v>23.1</v>
      </c>
      <c r="E67" s="36">
        <v>21.4</v>
      </c>
      <c r="F67" s="36">
        <v>24.6</v>
      </c>
      <c r="G67" s="36">
        <v>36.5</v>
      </c>
      <c r="H67" s="36">
        <v>43.7</v>
      </c>
      <c r="I67" s="36">
        <v>38.299999999999997</v>
      </c>
      <c r="J67" s="36">
        <v>34.5</v>
      </c>
      <c r="K67" s="36">
        <v>32.5</v>
      </c>
      <c r="L67" s="36">
        <v>31</v>
      </c>
      <c r="M67" s="36">
        <v>19.100000000000001</v>
      </c>
      <c r="N67" s="36">
        <v>25.4</v>
      </c>
      <c r="O67" s="36">
        <v>14.9</v>
      </c>
      <c r="P67" s="37">
        <f t="shared" si="18"/>
        <v>28.75</v>
      </c>
      <c r="Q67" s="38">
        <f t="shared" si="19"/>
        <v>1</v>
      </c>
      <c r="R67" s="140">
        <f t="shared" si="20"/>
        <v>23.033333333333331</v>
      </c>
      <c r="S67" s="150">
        <f t="shared" si="21"/>
        <v>1</v>
      </c>
      <c r="T67" s="140">
        <f t="shared" si="22"/>
        <v>32.666666666666664</v>
      </c>
      <c r="U67" s="9">
        <f t="shared" si="23"/>
        <v>1</v>
      </c>
      <c r="V67" s="141">
        <f t="shared" si="24"/>
        <v>28.75</v>
      </c>
      <c r="W67" s="142">
        <f t="shared" si="25"/>
        <v>1</v>
      </c>
      <c r="X67" s="144">
        <f t="shared" si="26"/>
        <v>20.061904761904763</v>
      </c>
      <c r="Y67" s="144">
        <f t="shared" si="27"/>
        <v>24.983333333333331</v>
      </c>
      <c r="Z67" s="144">
        <f t="shared" si="28"/>
        <v>23.017460317460319</v>
      </c>
      <c r="AA67" s="10"/>
      <c r="AB67" s="357" t="str">
        <f>VLOOKUP($B67,'2007-2020 Metadata'!$A$4:$S$214,MATCH("Urban Area /Monitoring Zone",'2007-2020 Metadata'!$A$4:$S$4,0),FALSE)</f>
        <v>Tauranga</v>
      </c>
      <c r="AC67" s="87" t="str">
        <f>VLOOKUP(B67,'2007-2020 Metadata'!$A$6:$A$214,1,FALSE)</f>
        <v>HAM008</v>
      </c>
      <c r="AD67" s="230" t="str">
        <f>VLOOKUP($AC67,'2007-2020 Metadata'!$A$6:$S$214,9,FALSE)</f>
        <v>Tauranga</v>
      </c>
      <c r="AE67" s="248">
        <f>IF(ISBLANK(VLOOKUP($AC67,'2007-2020 Metadata'!$A$6:$S$214,19,FALSE)),"",VLOOKUP($AC67,'2007-2020 Metadata'!$A$6:$S$214,19,FALSE))</f>
        <v>2.9</v>
      </c>
      <c r="AF67" s="88" t="str">
        <f>VLOOKUP($B67,'2007-2020 Metadata'!$A$4:$S$214,MATCH("Site type",'2007-2020 Metadata'!$A$4:$S$4,0),FALSE)</f>
        <v>SH</v>
      </c>
      <c r="AG67" s="143">
        <f t="shared" si="30"/>
        <v>14.9</v>
      </c>
      <c r="AH67" s="143">
        <f t="shared" si="31"/>
        <v>43.7</v>
      </c>
      <c r="AI67" s="144">
        <f t="shared" si="29"/>
        <v>23.017460317460319</v>
      </c>
    </row>
    <row r="68" spans="1:35" ht="12" customHeight="1" x14ac:dyDescent="0.15">
      <c r="A68" s="31"/>
      <c r="B68" s="40" t="s">
        <v>41</v>
      </c>
      <c r="C68" s="104">
        <f>IF(VLOOKUP($B68,'Monthly Summary 2012'!$B$7:$Q$221,14,FALSE)=0,"",VLOOKUP($B68,'Monthly Summary 2012'!$B$7:$Q$221,14,FALSE))</f>
        <v>22.2</v>
      </c>
      <c r="D68" s="36">
        <v>21.6</v>
      </c>
      <c r="E68" s="36">
        <v>21.1</v>
      </c>
      <c r="F68" s="36">
        <v>28.3</v>
      </c>
      <c r="G68" s="36">
        <v>30.3</v>
      </c>
      <c r="H68" s="36">
        <v>34</v>
      </c>
      <c r="I68" s="36">
        <v>38.700000000000003</v>
      </c>
      <c r="J68" s="36">
        <v>30.2</v>
      </c>
      <c r="K68" s="36">
        <v>31</v>
      </c>
      <c r="L68" s="36">
        <v>27.3</v>
      </c>
      <c r="M68" s="36">
        <v>21.6</v>
      </c>
      <c r="N68" s="36">
        <v>26.9</v>
      </c>
      <c r="O68" s="36">
        <v>17.7</v>
      </c>
      <c r="P68" s="37">
        <f t="shared" si="18"/>
        <v>27.391666666666666</v>
      </c>
      <c r="Q68" s="38">
        <f t="shared" si="19"/>
        <v>1</v>
      </c>
      <c r="R68" s="140">
        <f t="shared" si="20"/>
        <v>23.666666666666668</v>
      </c>
      <c r="S68" s="150">
        <f t="shared" si="21"/>
        <v>1</v>
      </c>
      <c r="T68" s="140">
        <f t="shared" si="22"/>
        <v>29.5</v>
      </c>
      <c r="U68" s="9">
        <f t="shared" si="23"/>
        <v>1</v>
      </c>
      <c r="V68" s="141">
        <f t="shared" si="24"/>
        <v>27.391666666666666</v>
      </c>
      <c r="W68" s="142">
        <f t="shared" si="25"/>
        <v>1</v>
      </c>
      <c r="X68" s="144">
        <f t="shared" si="26"/>
        <v>20.061904761904763</v>
      </c>
      <c r="Y68" s="144">
        <f t="shared" si="27"/>
        <v>24.983333333333331</v>
      </c>
      <c r="Z68" s="144">
        <f t="shared" si="28"/>
        <v>23.017460317460319</v>
      </c>
      <c r="AA68" s="10"/>
      <c r="AB68" s="357" t="str">
        <f>VLOOKUP($B68,'2007-2020 Metadata'!$A$4:$S$214,MATCH("Urban Area /Monitoring Zone",'2007-2020 Metadata'!$A$4:$S$4,0),FALSE)</f>
        <v>Tauranga</v>
      </c>
      <c r="AC68" s="87" t="str">
        <f>VLOOKUP(B68,'2007-2020 Metadata'!$A$6:$A$214,1,FALSE)</f>
        <v>HAM010</v>
      </c>
      <c r="AD68" s="230" t="str">
        <f>VLOOKUP($AC68,'2007-2020 Metadata'!$A$6:$S$214,9,FALSE)</f>
        <v>Tauranga</v>
      </c>
      <c r="AE68" s="248">
        <f>IF(ISBLANK(VLOOKUP($AC68,'2007-2020 Metadata'!$A$6:$S$214,19,FALSE)),"",VLOOKUP($AC68,'2007-2020 Metadata'!$A$6:$S$214,19,FALSE))</f>
        <v>2.7</v>
      </c>
      <c r="AF68" s="88" t="str">
        <f>VLOOKUP($B68,'2007-2020 Metadata'!$A$4:$S$214,MATCH("Site type",'2007-2020 Metadata'!$A$4:$S$4,0),FALSE)</f>
        <v>SH</v>
      </c>
      <c r="AG68" s="143">
        <f t="shared" si="30"/>
        <v>17.7</v>
      </c>
      <c r="AH68" s="143">
        <f t="shared" si="31"/>
        <v>38.700000000000003</v>
      </c>
      <c r="AI68" s="144">
        <f t="shared" si="29"/>
        <v>23.017460317460319</v>
      </c>
    </row>
    <row r="69" spans="1:35" ht="12" customHeight="1" x14ac:dyDescent="0.15">
      <c r="A69" s="31"/>
      <c r="B69" s="40" t="s">
        <v>95</v>
      </c>
      <c r="C69" s="104">
        <f>IF(VLOOKUP($B69,'Monthly Summary 2012'!$B$7:$Q$221,14,FALSE)=0,"",VLOOKUP($B69,'Monthly Summary 2012'!$B$7:$Q$221,14,FALSE))</f>
        <v>14.5</v>
      </c>
      <c r="D69" s="36">
        <v>13.9</v>
      </c>
      <c r="E69" s="36">
        <v>14.8</v>
      </c>
      <c r="F69" s="36">
        <v>25.1</v>
      </c>
      <c r="G69" s="36">
        <v>21</v>
      </c>
      <c r="H69" s="36">
        <v>27.6</v>
      </c>
      <c r="I69" s="36">
        <v>30.2</v>
      </c>
      <c r="J69" s="36">
        <v>26.1</v>
      </c>
      <c r="K69" s="36">
        <v>26.3</v>
      </c>
      <c r="L69" s="36">
        <v>20.2</v>
      </c>
      <c r="M69" s="36">
        <v>12.5</v>
      </c>
      <c r="N69" s="36">
        <v>19.100000000000001</v>
      </c>
      <c r="O69" s="36">
        <v>10.8</v>
      </c>
      <c r="P69" s="37">
        <f t="shared" si="18"/>
        <v>20.633333333333333</v>
      </c>
      <c r="Q69" s="38">
        <f t="shared" si="19"/>
        <v>1</v>
      </c>
      <c r="R69" s="140">
        <f t="shared" si="20"/>
        <v>17.933333333333334</v>
      </c>
      <c r="S69" s="150">
        <f t="shared" si="21"/>
        <v>1</v>
      </c>
      <c r="T69" s="140">
        <f t="shared" si="22"/>
        <v>24.200000000000003</v>
      </c>
      <c r="U69" s="9">
        <f t="shared" si="23"/>
        <v>1</v>
      </c>
      <c r="V69" s="141">
        <f t="shared" si="24"/>
        <v>20.633333333333333</v>
      </c>
      <c r="W69" s="142">
        <f t="shared" si="25"/>
        <v>1</v>
      </c>
      <c r="X69" s="144">
        <f t="shared" si="26"/>
        <v>26.363333333333333</v>
      </c>
      <c r="Y69" s="144">
        <f t="shared" si="27"/>
        <v>31.153333333333336</v>
      </c>
      <c r="Z69" s="144">
        <f t="shared" si="28"/>
        <v>28.5780303030303</v>
      </c>
      <c r="AA69" s="10"/>
      <c r="AB69" s="357" t="str">
        <f>VLOOKUP($B69,'2007-2020 Metadata'!$A$4:$S$214,MATCH("Urban Area /Monitoring Zone",'2007-2020 Metadata'!$A$4:$S$4,0),FALSE)</f>
        <v>Hamilton</v>
      </c>
      <c r="AC69" s="87" t="str">
        <f>VLOOKUP(B69,'2007-2020 Metadata'!$A$6:$A$214,1,FALSE)</f>
        <v>HAM012</v>
      </c>
      <c r="AD69" s="230" t="str">
        <f>VLOOKUP($AC69,'2007-2020 Metadata'!$A$6:$S$214,9,FALSE)</f>
        <v>Hamilton</v>
      </c>
      <c r="AE69" s="248">
        <f>IF(ISBLANK(VLOOKUP($AC69,'2007-2020 Metadata'!$A$6:$S$214,19,FALSE)),"",VLOOKUP($AC69,'2007-2020 Metadata'!$A$6:$S$214,19,FALSE))</f>
        <v>2.8</v>
      </c>
      <c r="AF69" s="88" t="str">
        <f>VLOOKUP($B69,'2007-2020 Metadata'!$A$4:$S$214,MATCH("Site type",'2007-2020 Metadata'!$A$4:$S$4,0),FALSE)</f>
        <v>Local (ex SH)</v>
      </c>
      <c r="AG69" s="143">
        <f t="shared" si="30"/>
        <v>10.8</v>
      </c>
      <c r="AH69" s="143">
        <f t="shared" si="31"/>
        <v>30.2</v>
      </c>
      <c r="AI69" s="144">
        <f t="shared" si="29"/>
        <v>28.5780303030303</v>
      </c>
    </row>
    <row r="70" spans="1:35" ht="12" customHeight="1" x14ac:dyDescent="0.15">
      <c r="A70" s="31"/>
      <c r="B70" s="40" t="s">
        <v>96</v>
      </c>
      <c r="C70" s="104">
        <f>IF(VLOOKUP($B70,'Monthly Summary 2012'!$B$7:$Q$221,14,FALSE)=0,"",VLOOKUP($B70,'Monthly Summary 2012'!$B$7:$Q$221,14,FALSE))</f>
        <v>26.4</v>
      </c>
      <c r="D70" s="36">
        <v>27.9</v>
      </c>
      <c r="E70" s="36">
        <v>37.799999999999997</v>
      </c>
      <c r="F70" s="36">
        <v>43.8</v>
      </c>
      <c r="G70" s="36">
        <v>44.6</v>
      </c>
      <c r="H70" s="36">
        <v>45.3</v>
      </c>
      <c r="I70" s="36">
        <v>54.6</v>
      </c>
      <c r="J70" s="36">
        <v>49.9</v>
      </c>
      <c r="K70" s="36">
        <v>50.7</v>
      </c>
      <c r="L70" s="36">
        <v>43.7</v>
      </c>
      <c r="M70" s="36">
        <v>38.799999999999997</v>
      </c>
      <c r="N70" s="36">
        <v>34</v>
      </c>
      <c r="O70" s="36">
        <v>26.2</v>
      </c>
      <c r="P70" s="37">
        <f t="shared" si="18"/>
        <v>41.441666666666663</v>
      </c>
      <c r="Q70" s="38">
        <f t="shared" si="19"/>
        <v>1</v>
      </c>
      <c r="R70" s="140">
        <f t="shared" si="20"/>
        <v>36.499999999999993</v>
      </c>
      <c r="S70" s="150">
        <f t="shared" si="21"/>
        <v>1</v>
      </c>
      <c r="T70" s="140">
        <f t="shared" si="22"/>
        <v>48.1</v>
      </c>
      <c r="U70" s="9">
        <f t="shared" si="23"/>
        <v>1</v>
      </c>
      <c r="V70" s="141">
        <f t="shared" si="24"/>
        <v>41.441666666666663</v>
      </c>
      <c r="W70" s="142">
        <f t="shared" si="25"/>
        <v>1</v>
      </c>
      <c r="X70" s="144">
        <f t="shared" si="26"/>
        <v>26.363333333333333</v>
      </c>
      <c r="Y70" s="144">
        <f t="shared" si="27"/>
        <v>31.153333333333336</v>
      </c>
      <c r="Z70" s="144">
        <f t="shared" si="28"/>
        <v>28.5780303030303</v>
      </c>
      <c r="AA70" s="10"/>
      <c r="AB70" s="357" t="str">
        <f>VLOOKUP($B70,'2007-2020 Metadata'!$A$4:$S$214,MATCH("Urban Area /Monitoring Zone",'2007-2020 Metadata'!$A$4:$S$4,0),FALSE)</f>
        <v>Hamilton</v>
      </c>
      <c r="AC70" s="87" t="str">
        <f>VLOOKUP(B70,'2007-2020 Metadata'!$A$6:$A$214,1,FALSE)</f>
        <v>HAM013</v>
      </c>
      <c r="AD70" s="230" t="str">
        <f>VLOOKUP($AC70,'2007-2020 Metadata'!$A$6:$S$214,9,FALSE)</f>
        <v>Hamilton</v>
      </c>
      <c r="AE70" s="248">
        <f>IF(ISBLANK(VLOOKUP($AC70,'2007-2020 Metadata'!$A$6:$S$214,19,FALSE)),"",VLOOKUP($AC70,'2007-2020 Metadata'!$A$6:$S$214,19,FALSE))</f>
        <v>2.8</v>
      </c>
      <c r="AF70" s="88" t="str">
        <f>VLOOKUP($B70,'2007-2020 Metadata'!$A$4:$S$214,MATCH("Site type",'2007-2020 Metadata'!$A$4:$S$4,0),FALSE)</f>
        <v>SH</v>
      </c>
      <c r="AG70" s="143">
        <f t="shared" si="30"/>
        <v>26.2</v>
      </c>
      <c r="AH70" s="143">
        <f t="shared" si="31"/>
        <v>54.6</v>
      </c>
      <c r="AI70" s="144">
        <f t="shared" si="29"/>
        <v>28.5780303030303</v>
      </c>
    </row>
    <row r="71" spans="1:35" ht="12" customHeight="1" x14ac:dyDescent="0.15">
      <c r="A71" s="31"/>
      <c r="B71" s="40" t="s">
        <v>97</v>
      </c>
      <c r="C71" s="104">
        <f>IF(VLOOKUP($B71,'Monthly Summary 2012'!$B$7:$Q$221,14,FALSE)=0,"",VLOOKUP($B71,'Monthly Summary 2012'!$B$7:$Q$221,14,FALSE))</f>
        <v>27.9</v>
      </c>
      <c r="D71" s="36">
        <v>32.299999999999997</v>
      </c>
      <c r="E71" s="36">
        <v>34.1</v>
      </c>
      <c r="F71" s="36">
        <v>36.700000000000003</v>
      </c>
      <c r="G71" s="36">
        <v>39.9</v>
      </c>
      <c r="H71" s="36">
        <v>43.7</v>
      </c>
      <c r="I71" s="36">
        <v>48.1</v>
      </c>
      <c r="J71" s="36">
        <v>42.9</v>
      </c>
      <c r="K71" s="36">
        <v>37.9</v>
      </c>
      <c r="L71" s="36"/>
      <c r="M71" s="36">
        <v>27.5</v>
      </c>
      <c r="N71" s="36">
        <v>27.5</v>
      </c>
      <c r="O71" s="36">
        <v>11.8</v>
      </c>
      <c r="P71" s="37">
        <f t="shared" ref="P71:P102" si="32">(AVERAGE(D71:O71))</f>
        <v>34.763636363636358</v>
      </c>
      <c r="Q71" s="38">
        <f t="shared" ref="Q71:Q102" si="33">COUNT(D71:O71)/COUNT($D$6:$O$6)</f>
        <v>0.91666666666666663</v>
      </c>
      <c r="R71" s="140">
        <f t="shared" ref="R71:R102" si="34">IF($S71=0%,"",IF($S71&gt;66%,AVERAGE($D71:$F71),"-"))</f>
        <v>34.366666666666667</v>
      </c>
      <c r="S71" s="150">
        <f t="shared" ref="S71:S102" si="35">COUNT(D71:F71)/3</f>
        <v>1</v>
      </c>
      <c r="T71" s="140">
        <f t="shared" ref="T71:T102" si="36">IF($U71=0%,"",IF($U71&gt;66%,AVERAGE($J71:$L71),"-"))</f>
        <v>40.4</v>
      </c>
      <c r="U71" s="9">
        <f t="shared" ref="U71:U102" si="37">COUNT(J71:L71)/3</f>
        <v>0.66666666666666663</v>
      </c>
      <c r="V71" s="141">
        <f t="shared" ref="V71:V102" si="38">IF(AND(($S71&gt;33%),($U71&gt;33%),($W71&gt;=75%)),AVERAGE($D71:$O71),"-")</f>
        <v>34.763636363636358</v>
      </c>
      <c r="W71" s="142">
        <f t="shared" ref="W71:W102" si="39">Q71</f>
        <v>0.91666666666666663</v>
      </c>
      <c r="X71" s="354">
        <f t="shared" ref="X71:X106" si="40">IF(VLOOKUP($B71,$AC$6:$AI$158,3,FALSE)="",$R71,IF(ISERROR(AVERAGEIF($AD$6:$AD$158,VLOOKUP($B71,$AC$6:$AI$158,2,FALSE),$R$6:$R$158)),"",AVERAGEIF($AD$6:$AD$158,VLOOKUP($B71,$AC$6:$AI$158,2,FALSE),$R$6:$R$158)))</f>
        <v>26.363333333333333</v>
      </c>
      <c r="Y71" s="354">
        <f t="shared" ref="Y71:Y102" si="41">IF(VLOOKUP($B71,$AC$6:$AI$158,3,FALSE)="",$T71,IF(ISERROR(AVERAGEIF($AD$6:$AD$158,VLOOKUP($B71,$AC$6:$AI$158,2,FALSE),$T$6:$T$158)),"",AVERAGEIF($AD$6:$AD$158,VLOOKUP($B71,$AC$6:$AI$158,2,FALSE),$T$6:$T$158)))</f>
        <v>31.153333333333336</v>
      </c>
      <c r="Z71" s="354">
        <f t="shared" ref="Z71:Z106" si="42">IF(VLOOKUP($B71,$AC$6:$AI$158,3,FALSE)="",$V71,IF(ISERROR(AVERAGEIF($AD$6:$AD$158,VLOOKUP($B71,$AC$6:$AI$158,2,FALSE),$V$6:$V$158)),"",AVERAGEIF($AD$6:$AD$158,VLOOKUP($B71,$AC$6:$AI$158,2,FALSE),$V$6:$V$158)))</f>
        <v>28.5780303030303</v>
      </c>
      <c r="AA71" s="10"/>
      <c r="AB71" s="357" t="str">
        <f>VLOOKUP($B71,'2007-2020 Metadata'!$A$4:$S$214,MATCH("Urban Area /Monitoring Zone",'2007-2020 Metadata'!$A$4:$S$4,0),FALSE)</f>
        <v>Hamilton</v>
      </c>
      <c r="AC71" s="87" t="str">
        <f>VLOOKUP(B71,'2007-2020 Metadata'!$A$6:$A$214,1,FALSE)</f>
        <v>HAM014</v>
      </c>
      <c r="AD71" s="356" t="str">
        <f>VLOOKUP($AC71,'2007-2020 Metadata'!$A$6:$S$214,9,FALSE)</f>
        <v>Hamilton</v>
      </c>
      <c r="AE71" s="358">
        <f>IF(ISBLANK(VLOOKUP($AC71,'2007-2020 Metadata'!$A$6:$S$214,19,FALSE)),"",VLOOKUP($AC71,'2007-2020 Metadata'!$A$6:$S$214,19,FALSE))</f>
        <v>2.2000000000000002</v>
      </c>
      <c r="AF71" s="355" t="str">
        <f>VLOOKUP($B71,'2007-2020 Metadata'!$A$4:$S$214,MATCH("Site type",'2007-2020 Metadata'!$A$4:$S$4,0),FALSE)</f>
        <v>Local</v>
      </c>
      <c r="AG71" s="364">
        <f t="shared" si="30"/>
        <v>11.8</v>
      </c>
      <c r="AH71" s="364">
        <f t="shared" si="31"/>
        <v>48.1</v>
      </c>
      <c r="AI71" s="354">
        <f t="shared" ref="AI71:AI102" si="43">IF($W71&gt;=75%,$Z71," ")</f>
        <v>28.5780303030303</v>
      </c>
    </row>
    <row r="72" spans="1:35" ht="12" customHeight="1" x14ac:dyDescent="0.15">
      <c r="A72" s="31"/>
      <c r="B72" s="40" t="s">
        <v>98</v>
      </c>
      <c r="C72" s="104">
        <f>IF(VLOOKUP($B72,'Monthly Summary 2012'!$B$7:$Q$221,14,FALSE)=0,"",VLOOKUP($B72,'Monthly Summary 2012'!$B$7:$Q$221,14,FALSE))</f>
        <v>23.7</v>
      </c>
      <c r="D72" s="36">
        <v>26.9</v>
      </c>
      <c r="E72" s="36">
        <v>28.1</v>
      </c>
      <c r="F72" s="36">
        <v>34.9</v>
      </c>
      <c r="G72" s="36">
        <v>33.200000000000003</v>
      </c>
      <c r="H72" s="36">
        <v>35.700000000000003</v>
      </c>
      <c r="I72" s="36">
        <v>34.5</v>
      </c>
      <c r="J72" s="36">
        <v>33.200000000000003</v>
      </c>
      <c r="K72" s="36">
        <v>29.5</v>
      </c>
      <c r="L72" s="36">
        <v>27.3</v>
      </c>
      <c r="M72" s="36">
        <v>23.9</v>
      </c>
      <c r="N72" s="36">
        <v>23.3</v>
      </c>
      <c r="O72" s="36">
        <v>16.3</v>
      </c>
      <c r="P72" s="37">
        <f t="shared" si="32"/>
        <v>28.900000000000002</v>
      </c>
      <c r="Q72" s="38">
        <f t="shared" si="33"/>
        <v>1</v>
      </c>
      <c r="R72" s="140">
        <f t="shared" si="34"/>
        <v>29.966666666666669</v>
      </c>
      <c r="S72" s="150">
        <f t="shared" si="35"/>
        <v>1</v>
      </c>
      <c r="T72" s="140">
        <f t="shared" si="36"/>
        <v>30</v>
      </c>
      <c r="U72" s="9">
        <f t="shared" si="37"/>
        <v>1</v>
      </c>
      <c r="V72" s="141">
        <f t="shared" si="38"/>
        <v>28.900000000000002</v>
      </c>
      <c r="W72" s="142">
        <f t="shared" si="39"/>
        <v>1</v>
      </c>
      <c r="X72" s="354">
        <f t="shared" si="40"/>
        <v>26.363333333333333</v>
      </c>
      <c r="Y72" s="354">
        <f t="shared" si="41"/>
        <v>31.153333333333336</v>
      </c>
      <c r="Z72" s="354">
        <f t="shared" si="42"/>
        <v>28.5780303030303</v>
      </c>
      <c r="AA72" s="10"/>
      <c r="AB72" s="357" t="str">
        <f>VLOOKUP($B72,'2007-2020 Metadata'!$A$4:$S$214,MATCH("Urban Area /Monitoring Zone",'2007-2020 Metadata'!$A$4:$S$4,0),FALSE)</f>
        <v>Hamilton</v>
      </c>
      <c r="AC72" s="87" t="str">
        <f>VLOOKUP(B72,'2007-2020 Metadata'!$A$6:$A$214,1,FALSE)</f>
        <v>HAM015</v>
      </c>
      <c r="AD72" s="356" t="str">
        <f>VLOOKUP($AC72,'2007-2020 Metadata'!$A$6:$S$214,9,FALSE)</f>
        <v>Hamilton</v>
      </c>
      <c r="AE72" s="358">
        <f>IF(ISBLANK(VLOOKUP($AC72,'2007-2020 Metadata'!$A$6:$S$214,19,FALSE)),"",VLOOKUP($AC72,'2007-2020 Metadata'!$A$6:$S$214,19,FALSE))</f>
        <v>2.7</v>
      </c>
      <c r="AF72" s="355" t="str">
        <f>VLOOKUP($B72,'2007-2020 Metadata'!$A$4:$S$214,MATCH("Site type",'2007-2020 Metadata'!$A$4:$S$4,0),FALSE)</f>
        <v>Local</v>
      </c>
      <c r="AG72" s="364">
        <f t="shared" si="30"/>
        <v>16.3</v>
      </c>
      <c r="AH72" s="364">
        <f t="shared" si="31"/>
        <v>35.700000000000003</v>
      </c>
      <c r="AI72" s="354">
        <f t="shared" si="43"/>
        <v>28.5780303030303</v>
      </c>
    </row>
    <row r="73" spans="1:35" ht="12" customHeight="1" x14ac:dyDescent="0.15">
      <c r="A73" s="31"/>
      <c r="B73" s="40" t="s">
        <v>99</v>
      </c>
      <c r="C73" s="104">
        <f>IF(VLOOKUP($B73,'Monthly Summary 2012'!$B$7:$Q$221,14,FALSE)=0,"",VLOOKUP($B73,'Monthly Summary 2012'!$B$7:$Q$221,14,FALSE))</f>
        <v>16.100000000000001</v>
      </c>
      <c r="D73" s="36">
        <v>16.2</v>
      </c>
      <c r="E73" s="36">
        <v>17.5</v>
      </c>
      <c r="F73" s="36">
        <v>30.6</v>
      </c>
      <c r="G73" s="36">
        <v>27.4</v>
      </c>
      <c r="H73" s="36">
        <v>32.9</v>
      </c>
      <c r="I73" s="36">
        <v>36.700000000000003</v>
      </c>
      <c r="J73" s="36">
        <v>31.6</v>
      </c>
      <c r="K73" s="36">
        <v>29.1</v>
      </c>
      <c r="L73" s="36">
        <v>19.100000000000001</v>
      </c>
      <c r="M73" s="36">
        <v>16.600000000000001</v>
      </c>
      <c r="N73" s="36">
        <v>19.2</v>
      </c>
      <c r="O73" s="36">
        <v>11.1</v>
      </c>
      <c r="P73" s="37">
        <f t="shared" si="32"/>
        <v>24</v>
      </c>
      <c r="Q73" s="38">
        <f t="shared" si="33"/>
        <v>1</v>
      </c>
      <c r="R73" s="140">
        <f t="shared" si="34"/>
        <v>21.433333333333337</v>
      </c>
      <c r="S73" s="150">
        <f t="shared" si="35"/>
        <v>1</v>
      </c>
      <c r="T73" s="140">
        <f t="shared" si="36"/>
        <v>26.600000000000005</v>
      </c>
      <c r="U73" s="9">
        <f t="shared" si="37"/>
        <v>1</v>
      </c>
      <c r="V73" s="141">
        <f t="shared" si="38"/>
        <v>24</v>
      </c>
      <c r="W73" s="142">
        <f t="shared" si="39"/>
        <v>1</v>
      </c>
      <c r="X73" s="354">
        <f t="shared" si="40"/>
        <v>26.363333333333333</v>
      </c>
      <c r="Y73" s="354">
        <f t="shared" si="41"/>
        <v>31.153333333333336</v>
      </c>
      <c r="Z73" s="354">
        <f t="shared" si="42"/>
        <v>28.5780303030303</v>
      </c>
      <c r="AA73" s="10"/>
      <c r="AB73" s="357" t="str">
        <f>VLOOKUP($B73,'2007-2020 Metadata'!$A$4:$S$214,MATCH("Urban Area /Monitoring Zone",'2007-2020 Metadata'!$A$4:$S$4,0),FALSE)</f>
        <v>Hamilton</v>
      </c>
      <c r="AC73" s="87" t="str">
        <f>VLOOKUP(B73,'2007-2020 Metadata'!$A$6:$A$214,1,FALSE)</f>
        <v>HAM016</v>
      </c>
      <c r="AD73" s="356" t="str">
        <f>VLOOKUP($AC73,'2007-2020 Metadata'!$A$6:$S$214,9,FALSE)</f>
        <v>Hamilton</v>
      </c>
      <c r="AE73" s="358">
        <f>IF(ISBLANK(VLOOKUP($AC73,'2007-2020 Metadata'!$A$6:$S$214,19,FALSE)),"",VLOOKUP($AC73,'2007-2020 Metadata'!$A$6:$S$214,19,FALSE))</f>
        <v>2.6</v>
      </c>
      <c r="AF73" s="355" t="str">
        <f>VLOOKUP($B73,'2007-2020 Metadata'!$A$4:$S$214,MATCH("Site type",'2007-2020 Metadata'!$A$4:$S$4,0),FALSE)</f>
        <v>Local</v>
      </c>
      <c r="AG73" s="364">
        <f t="shared" si="30"/>
        <v>11.1</v>
      </c>
      <c r="AH73" s="364">
        <f t="shared" si="31"/>
        <v>36.700000000000003</v>
      </c>
      <c r="AI73" s="354">
        <f t="shared" si="43"/>
        <v>28.5780303030303</v>
      </c>
    </row>
    <row r="74" spans="1:35" ht="12" customHeight="1" x14ac:dyDescent="0.15">
      <c r="A74" s="31"/>
      <c r="B74" s="40" t="s">
        <v>100</v>
      </c>
      <c r="C74" s="104">
        <f>IF(VLOOKUP($B74,'Monthly Summary 2012'!$B$7:$Q$221,14,FALSE)=0,"",VLOOKUP($B74,'Monthly Summary 2012'!$B$7:$Q$221,14,FALSE))</f>
        <v>7.3</v>
      </c>
      <c r="D74" s="36">
        <v>7.7</v>
      </c>
      <c r="E74" s="36">
        <v>9.4</v>
      </c>
      <c r="F74" s="36">
        <v>15.4</v>
      </c>
      <c r="G74" s="36">
        <v>14.1</v>
      </c>
      <c r="H74" s="36">
        <v>16.899999999999999</v>
      </c>
      <c r="I74" s="36">
        <v>23.6</v>
      </c>
      <c r="J74" s="36">
        <v>15.9</v>
      </c>
      <c r="K74" s="36">
        <v>12.3</v>
      </c>
      <c r="L74" s="36">
        <v>9.3000000000000007</v>
      </c>
      <c r="M74" s="36">
        <v>7.9</v>
      </c>
      <c r="N74" s="36">
        <v>6.5</v>
      </c>
      <c r="O74" s="36">
        <v>5.9</v>
      </c>
      <c r="P74" s="37">
        <f t="shared" si="32"/>
        <v>12.075000000000001</v>
      </c>
      <c r="Q74" s="38">
        <f t="shared" si="33"/>
        <v>1</v>
      </c>
      <c r="R74" s="140">
        <f t="shared" si="34"/>
        <v>10.833333333333334</v>
      </c>
      <c r="S74" s="150">
        <f t="shared" si="35"/>
        <v>1</v>
      </c>
      <c r="T74" s="140">
        <f t="shared" si="36"/>
        <v>12.5</v>
      </c>
      <c r="U74" s="9">
        <f t="shared" si="37"/>
        <v>1</v>
      </c>
      <c r="V74" s="141">
        <f t="shared" si="38"/>
        <v>12.075000000000001</v>
      </c>
      <c r="W74" s="142">
        <f t="shared" si="39"/>
        <v>1</v>
      </c>
      <c r="X74" s="354">
        <f t="shared" si="40"/>
        <v>26.363333333333333</v>
      </c>
      <c r="Y74" s="354">
        <f t="shared" si="41"/>
        <v>31.153333333333336</v>
      </c>
      <c r="Z74" s="354">
        <f t="shared" si="42"/>
        <v>28.5780303030303</v>
      </c>
      <c r="AA74" s="10"/>
      <c r="AB74" s="357" t="str">
        <f>VLOOKUP($B74,'2007-2020 Metadata'!$A$4:$S$214,MATCH("Urban Area /Monitoring Zone",'2007-2020 Metadata'!$A$4:$S$4,0),FALSE)</f>
        <v>Hamilton</v>
      </c>
      <c r="AC74" s="87" t="str">
        <f>VLOOKUP(B74,'2007-2020 Metadata'!$A$6:$A$214,1,FALSE)</f>
        <v>HAM017</v>
      </c>
      <c r="AD74" s="356" t="str">
        <f>VLOOKUP($AC74,'2007-2020 Metadata'!$A$6:$S$214,9,FALSE)</f>
        <v>Hamilton</v>
      </c>
      <c r="AE74" s="358">
        <f>IF(ISBLANK(VLOOKUP($AC74,'2007-2020 Metadata'!$A$6:$S$214,19,FALSE)),"",VLOOKUP($AC74,'2007-2020 Metadata'!$A$6:$S$214,19,FALSE))</f>
        <v>5</v>
      </c>
      <c r="AF74" s="355" t="str">
        <f>VLOOKUP($B74,'2007-2020 Metadata'!$A$4:$S$214,MATCH("Site type",'2007-2020 Metadata'!$A$4:$S$4,0),FALSE)</f>
        <v>Background</v>
      </c>
      <c r="AG74" s="364">
        <f t="shared" si="30"/>
        <v>5.9</v>
      </c>
      <c r="AH74" s="364">
        <f t="shared" si="31"/>
        <v>23.6</v>
      </c>
      <c r="AI74" s="354">
        <f t="shared" si="43"/>
        <v>28.5780303030303</v>
      </c>
    </row>
    <row r="75" spans="1:35" ht="12" customHeight="1" x14ac:dyDescent="0.15">
      <c r="A75" s="31"/>
      <c r="B75" s="40" t="s">
        <v>101</v>
      </c>
      <c r="C75" s="104">
        <f>IF(VLOOKUP($B75,'Monthly Summary 2012'!$B$7:$Q$221,14,FALSE)=0,"",VLOOKUP($B75,'Monthly Summary 2012'!$B$7:$Q$221,14,FALSE))</f>
        <v>23.6</v>
      </c>
      <c r="D75" s="36">
        <v>23</v>
      </c>
      <c r="E75" s="36">
        <v>21.9</v>
      </c>
      <c r="F75" s="36">
        <v>28.4</v>
      </c>
      <c r="G75" s="36">
        <v>28.8</v>
      </c>
      <c r="H75" s="36"/>
      <c r="I75" s="36"/>
      <c r="J75" s="36"/>
      <c r="K75" s="36">
        <v>29.4</v>
      </c>
      <c r="L75" s="36">
        <v>20.5</v>
      </c>
      <c r="M75" s="36">
        <v>25.5</v>
      </c>
      <c r="N75" s="36">
        <v>22.7</v>
      </c>
      <c r="O75" s="36">
        <v>23.8</v>
      </c>
      <c r="P75" s="37">
        <f t="shared" si="32"/>
        <v>24.888888888888889</v>
      </c>
      <c r="Q75" s="38">
        <f t="shared" si="33"/>
        <v>0.75</v>
      </c>
      <c r="R75" s="140">
        <f t="shared" si="34"/>
        <v>24.433333333333334</v>
      </c>
      <c r="S75" s="150">
        <f t="shared" si="35"/>
        <v>1</v>
      </c>
      <c r="T75" s="140">
        <f t="shared" si="36"/>
        <v>24.95</v>
      </c>
      <c r="U75" s="9">
        <f t="shared" si="37"/>
        <v>0.66666666666666663</v>
      </c>
      <c r="V75" s="141">
        <f t="shared" si="38"/>
        <v>24.888888888888889</v>
      </c>
      <c r="W75" s="142">
        <f t="shared" si="39"/>
        <v>0.75</v>
      </c>
      <c r="X75" s="354">
        <f t="shared" si="40"/>
        <v>20.061904761904763</v>
      </c>
      <c r="Y75" s="354">
        <f t="shared" si="41"/>
        <v>24.983333333333331</v>
      </c>
      <c r="Z75" s="354">
        <f t="shared" si="42"/>
        <v>23.017460317460319</v>
      </c>
      <c r="AA75" s="10"/>
      <c r="AB75" s="357" t="str">
        <f>VLOOKUP($B75,'2007-2020 Metadata'!$A$4:$S$214,MATCH("Urban Area /Monitoring Zone",'2007-2020 Metadata'!$A$4:$S$4,0),FALSE)</f>
        <v>Tauranga</v>
      </c>
      <c r="AC75" s="87" t="str">
        <f>VLOOKUP(B75,'2007-2020 Metadata'!$A$6:$A$214,1,FALSE)</f>
        <v>HAM018</v>
      </c>
      <c r="AD75" s="356" t="str">
        <f>VLOOKUP($AC75,'2007-2020 Metadata'!$A$6:$S$214,9,FALSE)</f>
        <v>Tauranga</v>
      </c>
      <c r="AE75" s="358">
        <f>IF(ISBLANK(VLOOKUP($AC75,'2007-2020 Metadata'!$A$6:$S$214,19,FALSE)),"",VLOOKUP($AC75,'2007-2020 Metadata'!$A$6:$S$214,19,FALSE))</f>
        <v>2.5</v>
      </c>
      <c r="AF75" s="355" t="str">
        <f>VLOOKUP($B75,'2007-2020 Metadata'!$A$4:$S$214,MATCH("Site type",'2007-2020 Metadata'!$A$4:$S$4,0),FALSE)</f>
        <v>SH</v>
      </c>
      <c r="AG75" s="364">
        <f t="shared" si="30"/>
        <v>20.5</v>
      </c>
      <c r="AH75" s="364">
        <f t="shared" si="31"/>
        <v>29.4</v>
      </c>
      <c r="AI75" s="354">
        <f t="shared" si="43"/>
        <v>23.017460317460319</v>
      </c>
    </row>
    <row r="76" spans="1:35" ht="12" customHeight="1" x14ac:dyDescent="0.15">
      <c r="A76" s="31"/>
      <c r="B76" s="40" t="s">
        <v>102</v>
      </c>
      <c r="C76" s="104">
        <f>IF(VLOOKUP($B76,'Monthly Summary 2012'!$B$7:$Q$221,14,FALSE)=0,"",VLOOKUP($B76,'Monthly Summary 2012'!$B$7:$Q$221,14,FALSE))</f>
        <v>13.3</v>
      </c>
      <c r="D76" s="36">
        <v>15</v>
      </c>
      <c r="E76" s="36">
        <v>17.899999999999999</v>
      </c>
      <c r="F76" s="36">
        <v>23</v>
      </c>
      <c r="G76" s="36">
        <v>21.6</v>
      </c>
      <c r="H76" s="36">
        <v>28.1</v>
      </c>
      <c r="I76" s="36">
        <v>30.3</v>
      </c>
      <c r="J76" s="36">
        <v>22</v>
      </c>
      <c r="K76" s="36">
        <v>26.5</v>
      </c>
      <c r="L76" s="36">
        <v>18.899999999999999</v>
      </c>
      <c r="M76" s="36">
        <v>16.3</v>
      </c>
      <c r="N76" s="36">
        <v>17.3</v>
      </c>
      <c r="O76" s="36">
        <v>13.5</v>
      </c>
      <c r="P76" s="37">
        <f t="shared" si="32"/>
        <v>20.866666666666671</v>
      </c>
      <c r="Q76" s="38">
        <f t="shared" si="33"/>
        <v>1</v>
      </c>
      <c r="R76" s="140">
        <f t="shared" si="34"/>
        <v>18.633333333333333</v>
      </c>
      <c r="S76" s="150">
        <f t="shared" si="35"/>
        <v>1</v>
      </c>
      <c r="T76" s="140">
        <f t="shared" si="36"/>
        <v>22.466666666666669</v>
      </c>
      <c r="U76" s="9">
        <f t="shared" si="37"/>
        <v>1</v>
      </c>
      <c r="V76" s="141">
        <f t="shared" si="38"/>
        <v>20.866666666666671</v>
      </c>
      <c r="W76" s="142">
        <f t="shared" si="39"/>
        <v>1</v>
      </c>
      <c r="X76" s="354">
        <f t="shared" si="40"/>
        <v>20.061904761904763</v>
      </c>
      <c r="Y76" s="354">
        <f t="shared" si="41"/>
        <v>24.983333333333331</v>
      </c>
      <c r="Z76" s="354">
        <f t="shared" si="42"/>
        <v>23.017460317460319</v>
      </c>
      <c r="AA76" s="10"/>
      <c r="AB76" s="357" t="str">
        <f>VLOOKUP($B76,'2007-2020 Metadata'!$A$4:$S$214,MATCH("Urban Area /Monitoring Zone",'2007-2020 Metadata'!$A$4:$S$4,0),FALSE)</f>
        <v>Tauranga</v>
      </c>
      <c r="AC76" s="87" t="str">
        <f>VLOOKUP(B76,'2007-2020 Metadata'!$A$6:$A$214,1,FALSE)</f>
        <v>HAM019</v>
      </c>
      <c r="AD76" s="356" t="str">
        <f>VLOOKUP($AC76,'2007-2020 Metadata'!$A$6:$S$214,9,FALSE)</f>
        <v>Tauranga</v>
      </c>
      <c r="AE76" s="358">
        <f>IF(ISBLANK(VLOOKUP($AC76,'2007-2020 Metadata'!$A$6:$S$214,19,FALSE)),"",VLOOKUP($AC76,'2007-2020 Metadata'!$A$6:$S$214,19,FALSE))</f>
        <v>2.7</v>
      </c>
      <c r="AF76" s="355" t="str">
        <f>VLOOKUP($B76,'2007-2020 Metadata'!$A$4:$S$214,MATCH("Site type",'2007-2020 Metadata'!$A$4:$S$4,0),FALSE)</f>
        <v>Local</v>
      </c>
      <c r="AG76" s="364">
        <f t="shared" si="30"/>
        <v>13.5</v>
      </c>
      <c r="AH76" s="364">
        <f t="shared" si="31"/>
        <v>30.3</v>
      </c>
      <c r="AI76" s="354">
        <f t="shared" si="43"/>
        <v>23.017460317460319</v>
      </c>
    </row>
    <row r="77" spans="1:35" ht="12" customHeight="1" x14ac:dyDescent="0.15">
      <c r="A77" s="31"/>
      <c r="B77" s="40" t="s">
        <v>103</v>
      </c>
      <c r="C77" s="104">
        <f>IF(VLOOKUP($B77,'Monthly Summary 2012'!$B$7:$Q$221,14,FALSE)=0,"",VLOOKUP($B77,'Monthly Summary 2012'!$B$7:$Q$221,14,FALSE))</f>
        <v>11.5</v>
      </c>
      <c r="D77" s="36">
        <v>15</v>
      </c>
      <c r="E77" s="36">
        <v>13.7</v>
      </c>
      <c r="F77" s="36">
        <v>22.4</v>
      </c>
      <c r="G77" s="36">
        <v>21.9</v>
      </c>
      <c r="H77" s="36">
        <v>26.5</v>
      </c>
      <c r="I77" s="36">
        <v>27</v>
      </c>
      <c r="J77" s="36">
        <v>26.2</v>
      </c>
      <c r="K77" s="36">
        <v>25.4</v>
      </c>
      <c r="L77" s="36">
        <v>15.3</v>
      </c>
      <c r="M77" s="36">
        <v>11.7</v>
      </c>
      <c r="N77" s="36">
        <v>18.100000000000001</v>
      </c>
      <c r="O77" s="36">
        <v>13.7</v>
      </c>
      <c r="P77" s="37">
        <f t="shared" si="32"/>
        <v>19.741666666666664</v>
      </c>
      <c r="Q77" s="38">
        <f t="shared" si="33"/>
        <v>1</v>
      </c>
      <c r="R77" s="140">
        <f t="shared" si="34"/>
        <v>17.033333333333331</v>
      </c>
      <c r="S77" s="150">
        <f t="shared" si="35"/>
        <v>1</v>
      </c>
      <c r="T77" s="140">
        <f t="shared" si="36"/>
        <v>22.299999999999997</v>
      </c>
      <c r="U77" s="9">
        <f t="shared" si="37"/>
        <v>1</v>
      </c>
      <c r="V77" s="141">
        <f t="shared" si="38"/>
        <v>19.741666666666664</v>
      </c>
      <c r="W77" s="142">
        <f t="shared" si="39"/>
        <v>1</v>
      </c>
      <c r="X77" s="144">
        <f t="shared" si="40"/>
        <v>20.061904761904763</v>
      </c>
      <c r="Y77" s="144">
        <f t="shared" si="41"/>
        <v>24.983333333333331</v>
      </c>
      <c r="Z77" s="144">
        <f t="shared" si="42"/>
        <v>23.017460317460319</v>
      </c>
      <c r="AA77" s="10"/>
      <c r="AB77" s="357" t="str">
        <f>VLOOKUP($B77,'2007-2020 Metadata'!$A$4:$S$214,MATCH("Urban Area /Monitoring Zone",'2007-2020 Metadata'!$A$4:$S$4,0),FALSE)</f>
        <v>Tauranga</v>
      </c>
      <c r="AC77" s="87" t="str">
        <f>VLOOKUP(B77,'2007-2020 Metadata'!$A$6:$A$214,1,FALSE)</f>
        <v>HAM020</v>
      </c>
      <c r="AD77" s="230" t="str">
        <f>VLOOKUP($AC77,'2007-2020 Metadata'!$A$6:$S$214,9,FALSE)</f>
        <v>Tauranga</v>
      </c>
      <c r="AE77" s="248">
        <f>IF(ISBLANK(VLOOKUP($AC77,'2007-2020 Metadata'!$A$6:$S$214,19,FALSE)),"",VLOOKUP($AC77,'2007-2020 Metadata'!$A$6:$S$214,19,FALSE))</f>
        <v>2.8</v>
      </c>
      <c r="AF77" s="88" t="str">
        <f>VLOOKUP($B77,'2007-2020 Metadata'!$A$4:$S$214,MATCH("Site type",'2007-2020 Metadata'!$A$4:$S$4,0),FALSE)</f>
        <v>Local</v>
      </c>
      <c r="AG77" s="143">
        <f t="shared" si="30"/>
        <v>11.7</v>
      </c>
      <c r="AH77" s="143">
        <f t="shared" si="31"/>
        <v>27</v>
      </c>
      <c r="AI77" s="144">
        <f t="shared" si="43"/>
        <v>23.017460317460319</v>
      </c>
    </row>
    <row r="78" spans="1:35" ht="12" customHeight="1" x14ac:dyDescent="0.15">
      <c r="A78" s="31"/>
      <c r="B78" s="40" t="s">
        <v>104</v>
      </c>
      <c r="C78" s="104">
        <f>IF(VLOOKUP($B78,'Monthly Summary 2012'!$B$7:$Q$221,14,FALSE)=0,"",VLOOKUP($B78,'Monthly Summary 2012'!$B$7:$Q$221,14,FALSE))</f>
        <v>5.7</v>
      </c>
      <c r="D78" s="36">
        <v>9.3000000000000007</v>
      </c>
      <c r="E78" s="36">
        <v>8.4</v>
      </c>
      <c r="F78" s="36">
        <v>13</v>
      </c>
      <c r="G78" s="36">
        <v>9.3000000000000007</v>
      </c>
      <c r="H78" s="36">
        <v>15.1</v>
      </c>
      <c r="I78" s="36">
        <v>13.3</v>
      </c>
      <c r="J78" s="36">
        <v>13.5</v>
      </c>
      <c r="K78" s="36">
        <v>12.6</v>
      </c>
      <c r="L78" s="36">
        <v>8.6</v>
      </c>
      <c r="M78" s="36">
        <v>8.1999999999999993</v>
      </c>
      <c r="N78" s="36">
        <v>6</v>
      </c>
      <c r="O78" s="36">
        <v>6.5</v>
      </c>
      <c r="P78" s="37">
        <f t="shared" si="32"/>
        <v>10.316666666666666</v>
      </c>
      <c r="Q78" s="38">
        <f t="shared" si="33"/>
        <v>1</v>
      </c>
      <c r="R78" s="140">
        <f t="shared" si="34"/>
        <v>10.233333333333334</v>
      </c>
      <c r="S78" s="150">
        <f t="shared" si="35"/>
        <v>1</v>
      </c>
      <c r="T78" s="140">
        <f t="shared" si="36"/>
        <v>11.566666666666668</v>
      </c>
      <c r="U78" s="9">
        <f t="shared" si="37"/>
        <v>1</v>
      </c>
      <c r="V78" s="141">
        <f t="shared" si="38"/>
        <v>10.316666666666666</v>
      </c>
      <c r="W78" s="142">
        <f t="shared" si="39"/>
        <v>1</v>
      </c>
      <c r="X78" s="144">
        <f t="shared" si="40"/>
        <v>20.061904761904763</v>
      </c>
      <c r="Y78" s="144">
        <f t="shared" si="41"/>
        <v>24.983333333333331</v>
      </c>
      <c r="Z78" s="144">
        <f t="shared" si="42"/>
        <v>23.017460317460319</v>
      </c>
      <c r="AA78" s="10"/>
      <c r="AB78" s="357" t="str">
        <f>VLOOKUP($B78,'2007-2020 Metadata'!$A$4:$S$214,MATCH("Urban Area /Monitoring Zone",'2007-2020 Metadata'!$A$4:$S$4,0),FALSE)</f>
        <v>Tauranga</v>
      </c>
      <c r="AC78" s="87" t="str">
        <f>VLOOKUP(B78,'2007-2020 Metadata'!$A$6:$A$214,1,FALSE)</f>
        <v>HAM021</v>
      </c>
      <c r="AD78" s="230" t="str">
        <f>VLOOKUP($AC78,'2007-2020 Metadata'!$A$6:$S$214,9,FALSE)</f>
        <v>Tauranga</v>
      </c>
      <c r="AE78" s="248">
        <f>IF(ISBLANK(VLOOKUP($AC78,'2007-2020 Metadata'!$A$6:$S$214,19,FALSE)),"",VLOOKUP($AC78,'2007-2020 Metadata'!$A$6:$S$214,19,FALSE))</f>
        <v>3</v>
      </c>
      <c r="AF78" s="88" t="str">
        <f>VLOOKUP($B78,'2007-2020 Metadata'!$A$4:$S$214,MATCH("Site type",'2007-2020 Metadata'!$A$4:$S$4,0),FALSE)</f>
        <v>Background</v>
      </c>
      <c r="AG78" s="143">
        <f t="shared" ref="AG78:AG103" si="44">MIN($D78:$O78)</f>
        <v>6</v>
      </c>
      <c r="AH78" s="143">
        <f t="shared" ref="AH78:AH103" si="45">MAX($D78:$O78)</f>
        <v>15.1</v>
      </c>
      <c r="AI78" s="144">
        <f t="shared" si="43"/>
        <v>23.017460317460319</v>
      </c>
    </row>
    <row r="79" spans="1:35" ht="12" customHeight="1" x14ac:dyDescent="0.15">
      <c r="A79" s="31"/>
      <c r="B79" s="40" t="s">
        <v>105</v>
      </c>
      <c r="C79" s="104">
        <f>IF(VLOOKUP($B79,'Monthly Summary 2012'!$B$7:$Q$221,14,FALSE)=0,"",VLOOKUP($B79,'Monthly Summary 2012'!$B$7:$Q$221,14,FALSE))</f>
        <v>13.1</v>
      </c>
      <c r="D79" s="363">
        <v>13.4</v>
      </c>
      <c r="E79" s="363">
        <v>15.7</v>
      </c>
      <c r="F79" s="36">
        <v>21.6</v>
      </c>
      <c r="G79" s="36">
        <v>20.6</v>
      </c>
      <c r="H79" s="36">
        <v>21.2</v>
      </c>
      <c r="I79" s="36">
        <v>25.1</v>
      </c>
      <c r="J79" s="36"/>
      <c r="K79" s="36">
        <v>21</v>
      </c>
      <c r="L79" s="36">
        <v>14.7</v>
      </c>
      <c r="M79" s="36">
        <v>12.8</v>
      </c>
      <c r="N79" s="36"/>
      <c r="O79" s="36"/>
      <c r="P79" s="37">
        <f t="shared" si="32"/>
        <v>18.455555555555559</v>
      </c>
      <c r="Q79" s="38">
        <f t="shared" si="33"/>
        <v>0.75</v>
      </c>
      <c r="R79" s="140">
        <f t="shared" si="34"/>
        <v>16.900000000000002</v>
      </c>
      <c r="S79" s="150">
        <f t="shared" si="35"/>
        <v>1</v>
      </c>
      <c r="T79" s="140">
        <f t="shared" si="36"/>
        <v>17.850000000000001</v>
      </c>
      <c r="U79" s="9">
        <f t="shared" si="37"/>
        <v>0.66666666666666663</v>
      </c>
      <c r="V79" s="141">
        <f t="shared" si="38"/>
        <v>18.455555555555559</v>
      </c>
      <c r="W79" s="142">
        <f t="shared" si="39"/>
        <v>0.75</v>
      </c>
      <c r="X79" s="144">
        <f t="shared" si="40"/>
        <v>16.900000000000002</v>
      </c>
      <c r="Y79" s="144">
        <f t="shared" si="41"/>
        <v>17.850000000000001</v>
      </c>
      <c r="Z79" s="144">
        <f t="shared" si="42"/>
        <v>18.455555555555559</v>
      </c>
      <c r="AA79" s="10"/>
      <c r="AB79" s="357" t="str">
        <f>VLOOKUP($B79,'2007-2020 Metadata'!$A$4:$S$214,MATCH("Urban Area /Monitoring Zone",'2007-2020 Metadata'!$A$4:$S$4,0),FALSE)</f>
        <v>Te Awamutu</v>
      </c>
      <c r="AC79" s="87" t="str">
        <f>VLOOKUP(B79,'2007-2020 Metadata'!$A$6:$A$214,1,FALSE)</f>
        <v>HAM022</v>
      </c>
      <c r="AD79" s="230" t="str">
        <f>VLOOKUP($AC79,'2007-2020 Metadata'!$A$6:$S$214,9,FALSE)</f>
        <v>Te Awamutu</v>
      </c>
      <c r="AE79" s="248">
        <f>IF(ISBLANK(VLOOKUP($AC79,'2007-2020 Metadata'!$A$6:$S$214,19,FALSE)),"",VLOOKUP($AC79,'2007-2020 Metadata'!$A$6:$S$214,19,FALSE))</f>
        <v>3</v>
      </c>
      <c r="AF79" s="88" t="str">
        <f>VLOOKUP($B79,'2007-2020 Metadata'!$A$4:$S$214,MATCH("Site type",'2007-2020 Metadata'!$A$4:$S$4,0),FALSE)</f>
        <v>SH</v>
      </c>
      <c r="AG79" s="143">
        <f t="shared" si="44"/>
        <v>12.8</v>
      </c>
      <c r="AH79" s="143">
        <f t="shared" si="45"/>
        <v>25.1</v>
      </c>
      <c r="AI79" s="144">
        <f t="shared" si="43"/>
        <v>18.455555555555559</v>
      </c>
    </row>
    <row r="80" spans="1:35" ht="12" customHeight="1" x14ac:dyDescent="0.15">
      <c r="A80" s="31"/>
      <c r="B80" s="40" t="s">
        <v>106</v>
      </c>
      <c r="C80" s="104">
        <f>IF(VLOOKUP($B80,'Monthly Summary 2012'!$B$7:$Q$221,14,FALSE)=0,"",VLOOKUP($B80,'Monthly Summary 2012'!$B$7:$Q$221,14,FALSE))</f>
        <v>2.9</v>
      </c>
      <c r="D80" s="36"/>
      <c r="E80" s="36">
        <v>6.8</v>
      </c>
      <c r="F80" s="36">
        <v>9.9</v>
      </c>
      <c r="G80" s="36">
        <v>8.4</v>
      </c>
      <c r="H80" s="36">
        <v>14.3</v>
      </c>
      <c r="I80" s="36">
        <v>12.4</v>
      </c>
      <c r="J80" s="36">
        <v>9.1</v>
      </c>
      <c r="K80" s="36">
        <v>9.1</v>
      </c>
      <c r="L80" s="36"/>
      <c r="M80" s="36"/>
      <c r="N80" s="36"/>
      <c r="O80" s="36"/>
      <c r="P80" s="37">
        <f t="shared" si="32"/>
        <v>10</v>
      </c>
      <c r="Q80" s="38">
        <f t="shared" si="33"/>
        <v>0.58333333333333337</v>
      </c>
      <c r="R80" s="140">
        <f t="shared" si="34"/>
        <v>8.35</v>
      </c>
      <c r="S80" s="150">
        <f t="shared" si="35"/>
        <v>0.66666666666666663</v>
      </c>
      <c r="T80" s="140">
        <f t="shared" si="36"/>
        <v>9.1</v>
      </c>
      <c r="U80" s="9">
        <f t="shared" si="37"/>
        <v>0.66666666666666663</v>
      </c>
      <c r="V80" s="141" t="str">
        <f t="shared" si="38"/>
        <v>-</v>
      </c>
      <c r="W80" s="142">
        <f t="shared" si="39"/>
        <v>0.58333333333333337</v>
      </c>
      <c r="X80" s="144">
        <f t="shared" si="40"/>
        <v>11.491666666666667</v>
      </c>
      <c r="Y80" s="144">
        <f t="shared" si="41"/>
        <v>16.016666666666666</v>
      </c>
      <c r="Z80" s="144">
        <f t="shared" si="42"/>
        <v>21.277777777777775</v>
      </c>
      <c r="AA80" s="10"/>
      <c r="AB80" s="357" t="str">
        <f>VLOOKUP($B80,'2007-2020 Metadata'!$A$4:$S$214,MATCH("Urban Area /Monitoring Zone",'2007-2020 Metadata'!$A$4:$S$4,0),FALSE)</f>
        <v>Rotorua</v>
      </c>
      <c r="AC80" s="87" t="str">
        <f>VLOOKUP(B80,'2007-2020 Metadata'!$A$6:$A$214,1,FALSE)</f>
        <v>HAM023</v>
      </c>
      <c r="AD80" s="230" t="str">
        <f>VLOOKUP($AC80,'2007-2020 Metadata'!$A$6:$S$214,9,FALSE)</f>
        <v>Rotorua</v>
      </c>
      <c r="AE80" s="248">
        <f>IF(ISBLANK(VLOOKUP($AC80,'2007-2020 Metadata'!$A$6:$S$214,19,FALSE)),"",VLOOKUP($AC80,'2007-2020 Metadata'!$A$6:$S$214,19,FALSE))</f>
        <v>2.5</v>
      </c>
      <c r="AF80" s="88" t="str">
        <f>VLOOKUP($B80,'2007-2020 Metadata'!$A$4:$S$214,MATCH("Site type",'2007-2020 Metadata'!$A$4:$S$4,0),FALSE)</f>
        <v>Background</v>
      </c>
      <c r="AG80" s="143">
        <f t="shared" si="44"/>
        <v>6.8</v>
      </c>
      <c r="AH80" s="143">
        <f t="shared" si="45"/>
        <v>14.3</v>
      </c>
      <c r="AI80" s="144" t="str">
        <f t="shared" si="43"/>
        <v xml:space="preserve"> </v>
      </c>
    </row>
    <row r="81" spans="1:35" ht="12" customHeight="1" x14ac:dyDescent="0.15">
      <c r="A81" s="31"/>
      <c r="B81" s="40" t="s">
        <v>42</v>
      </c>
      <c r="C81" s="104">
        <f>IF(VLOOKUP($B81,'Monthly Summary 2012'!$B$7:$Q$221,14,FALSE)=0,"",VLOOKUP($B81,'Monthly Summary 2012'!$B$7:$Q$221,14,FALSE))</f>
        <v>10</v>
      </c>
      <c r="D81" s="36">
        <v>12.1</v>
      </c>
      <c r="E81" s="36">
        <v>10.8</v>
      </c>
      <c r="F81" s="36">
        <v>15.7</v>
      </c>
      <c r="G81" s="36">
        <v>18.100000000000001</v>
      </c>
      <c r="H81" s="36">
        <v>21.1</v>
      </c>
      <c r="I81" s="36">
        <v>20.6</v>
      </c>
      <c r="J81" s="36">
        <v>20.399999999999999</v>
      </c>
      <c r="K81" s="36">
        <v>16.600000000000001</v>
      </c>
      <c r="L81" s="36">
        <v>15.9</v>
      </c>
      <c r="M81" s="36">
        <v>16.899999999999999</v>
      </c>
      <c r="N81" s="36">
        <v>12.5</v>
      </c>
      <c r="O81" s="36">
        <v>13.2</v>
      </c>
      <c r="P81" s="37">
        <f t="shared" si="32"/>
        <v>16.158333333333335</v>
      </c>
      <c r="Q81" s="38">
        <f t="shared" si="33"/>
        <v>1</v>
      </c>
      <c r="R81" s="140">
        <f t="shared" si="34"/>
        <v>12.866666666666665</v>
      </c>
      <c r="S81" s="150">
        <f t="shared" si="35"/>
        <v>1</v>
      </c>
      <c r="T81" s="140">
        <f t="shared" si="36"/>
        <v>17.633333333333333</v>
      </c>
      <c r="U81" s="9">
        <f t="shared" si="37"/>
        <v>1</v>
      </c>
      <c r="V81" s="141">
        <f t="shared" si="38"/>
        <v>16.158333333333335</v>
      </c>
      <c r="W81" s="142">
        <f t="shared" si="39"/>
        <v>1</v>
      </c>
      <c r="X81" s="144">
        <f t="shared" si="40"/>
        <v>12.866666666666665</v>
      </c>
      <c r="Y81" s="144">
        <f t="shared" si="41"/>
        <v>17.633333333333333</v>
      </c>
      <c r="Z81" s="144">
        <f t="shared" si="42"/>
        <v>16.158333333333335</v>
      </c>
      <c r="AA81" s="10"/>
      <c r="AB81" s="357" t="str">
        <f>VLOOKUP($B81,'2007-2020 Metadata'!$A$4:$S$214,MATCH("Urban Area /Monitoring Zone",'2007-2020 Metadata'!$A$4:$S$4,0),FALSE)</f>
        <v>Gisborne</v>
      </c>
      <c r="AC81" s="87" t="str">
        <f>VLOOKUP(B81,'2007-2020 Metadata'!$A$6:$A$214,1,FALSE)</f>
        <v>NAP001</v>
      </c>
      <c r="AD81" s="230" t="str">
        <f>VLOOKUP($AC81,'2007-2020 Metadata'!$A$6:$S$214,9,FALSE)</f>
        <v>Gisborne</v>
      </c>
      <c r="AE81" s="248">
        <f>IF(ISBLANK(VLOOKUP($AC81,'2007-2020 Metadata'!$A$6:$S$214,19,FALSE)),"",VLOOKUP($AC81,'2007-2020 Metadata'!$A$6:$S$214,19,FALSE))</f>
        <v>3</v>
      </c>
      <c r="AF81" s="88" t="str">
        <f>VLOOKUP($B81,'2007-2020 Metadata'!$A$4:$S$214,MATCH("Site type",'2007-2020 Metadata'!$A$4:$S$4,0),FALSE)</f>
        <v>SH</v>
      </c>
      <c r="AG81" s="143">
        <f t="shared" si="44"/>
        <v>10.8</v>
      </c>
      <c r="AH81" s="143">
        <f t="shared" si="45"/>
        <v>21.1</v>
      </c>
      <c r="AI81" s="144">
        <f t="shared" si="43"/>
        <v>16.158333333333335</v>
      </c>
    </row>
    <row r="82" spans="1:35" ht="12" customHeight="1" x14ac:dyDescent="0.15">
      <c r="A82" s="31"/>
      <c r="B82" s="40" t="s">
        <v>43</v>
      </c>
      <c r="C82" s="104">
        <f>IF(VLOOKUP($B82,'Monthly Summary 2012'!$B$7:$Q$221,14,FALSE)=0,"",VLOOKUP($B82,'Monthly Summary 2012'!$B$7:$Q$221,14,FALSE))</f>
        <v>12.1</v>
      </c>
      <c r="D82" s="36">
        <v>15.6</v>
      </c>
      <c r="E82" s="36">
        <v>11.1</v>
      </c>
      <c r="F82" s="36">
        <v>21</v>
      </c>
      <c r="G82" s="36">
        <v>19.100000000000001</v>
      </c>
      <c r="H82" s="36"/>
      <c r="I82" s="36">
        <v>26.8</v>
      </c>
      <c r="J82" s="36">
        <v>22.9</v>
      </c>
      <c r="K82" s="36">
        <v>21.2</v>
      </c>
      <c r="L82" s="36"/>
      <c r="M82" s="36">
        <v>14.1</v>
      </c>
      <c r="N82" s="36">
        <v>11.8</v>
      </c>
      <c r="O82" s="36">
        <v>10.5</v>
      </c>
      <c r="P82" s="37">
        <f t="shared" si="32"/>
        <v>17.41</v>
      </c>
      <c r="Q82" s="38">
        <f t="shared" si="33"/>
        <v>0.83333333333333337</v>
      </c>
      <c r="R82" s="140">
        <f t="shared" si="34"/>
        <v>15.9</v>
      </c>
      <c r="S82" s="150">
        <f t="shared" si="35"/>
        <v>1</v>
      </c>
      <c r="T82" s="140">
        <f t="shared" si="36"/>
        <v>22.049999999999997</v>
      </c>
      <c r="U82" s="9">
        <f t="shared" si="37"/>
        <v>0.66666666666666663</v>
      </c>
      <c r="V82" s="141">
        <f t="shared" si="38"/>
        <v>17.41</v>
      </c>
      <c r="W82" s="142">
        <f t="shared" si="39"/>
        <v>0.83333333333333337</v>
      </c>
      <c r="X82" s="144">
        <f t="shared" si="40"/>
        <v>17</v>
      </c>
      <c r="Y82" s="144">
        <f t="shared" si="41"/>
        <v>21.288888888888888</v>
      </c>
      <c r="Z82" s="144">
        <f t="shared" si="42"/>
        <v>17.405757575757576</v>
      </c>
      <c r="AA82" s="10"/>
      <c r="AB82" s="357" t="str">
        <f>VLOOKUP($B82,'2007-2020 Metadata'!$A$4:$S$214,MATCH("Urban Area /Monitoring Zone",'2007-2020 Metadata'!$A$4:$S$4,0),FALSE)</f>
        <v>Napier</v>
      </c>
      <c r="AC82" s="87" t="str">
        <f>VLOOKUP(B82,'2007-2020 Metadata'!$A$6:$A$214,1,FALSE)</f>
        <v>NAP002</v>
      </c>
      <c r="AD82" s="230" t="str">
        <f>VLOOKUP($AC82,'2007-2020 Metadata'!$A$6:$S$214,9,FALSE)</f>
        <v>Napier</v>
      </c>
      <c r="AE82" s="248">
        <f>IF(ISBLANK(VLOOKUP($AC82,'2007-2020 Metadata'!$A$6:$S$214,19,FALSE)),"",VLOOKUP($AC82,'2007-2020 Metadata'!$A$6:$S$214,19,FALSE))</f>
        <v>3</v>
      </c>
      <c r="AF82" s="88" t="str">
        <f>VLOOKUP($B82,'2007-2020 Metadata'!$A$4:$S$214,MATCH("Site type",'2007-2020 Metadata'!$A$4:$S$4,0),FALSE)</f>
        <v>SH</v>
      </c>
      <c r="AG82" s="143">
        <f t="shared" si="44"/>
        <v>10.5</v>
      </c>
      <c r="AH82" s="143">
        <f t="shared" si="45"/>
        <v>26.8</v>
      </c>
      <c r="AI82" s="144">
        <f t="shared" si="43"/>
        <v>17.405757575757576</v>
      </c>
    </row>
    <row r="83" spans="1:35" ht="12" customHeight="1" x14ac:dyDescent="0.15">
      <c r="A83" s="31"/>
      <c r="B83" s="40" t="s">
        <v>44</v>
      </c>
      <c r="C83" s="104">
        <f>IF(VLOOKUP($B83,'Monthly Summary 2012'!$B$7:$Q$221,14,FALSE)=0,"",VLOOKUP($B83,'Monthly Summary 2012'!$B$7:$Q$221,14,FALSE))</f>
        <v>20.399999999999999</v>
      </c>
      <c r="D83" s="36">
        <v>25.7</v>
      </c>
      <c r="E83" s="36">
        <v>24.2</v>
      </c>
      <c r="F83" s="36">
        <v>29.4</v>
      </c>
      <c r="G83" s="36">
        <v>27.6</v>
      </c>
      <c r="H83" s="36"/>
      <c r="I83" s="36">
        <v>29.9</v>
      </c>
      <c r="J83" s="36">
        <v>34.4</v>
      </c>
      <c r="K83" s="36">
        <v>30.8</v>
      </c>
      <c r="L83" s="36">
        <v>15.7</v>
      </c>
      <c r="M83" s="36">
        <v>22.5</v>
      </c>
      <c r="N83" s="36">
        <v>19.399999999999999</v>
      </c>
      <c r="O83" s="36">
        <v>15.7</v>
      </c>
      <c r="P83" s="37">
        <f t="shared" si="32"/>
        <v>25.027272727272727</v>
      </c>
      <c r="Q83" s="38">
        <f t="shared" si="33"/>
        <v>0.91666666666666663</v>
      </c>
      <c r="R83" s="140">
        <f t="shared" si="34"/>
        <v>26.433333333333334</v>
      </c>
      <c r="S83" s="150">
        <f t="shared" si="35"/>
        <v>1</v>
      </c>
      <c r="T83" s="140">
        <f t="shared" si="36"/>
        <v>26.966666666666669</v>
      </c>
      <c r="U83" s="9">
        <f t="shared" si="37"/>
        <v>1</v>
      </c>
      <c r="V83" s="141">
        <f t="shared" si="38"/>
        <v>25.027272727272727</v>
      </c>
      <c r="W83" s="142">
        <f t="shared" si="39"/>
        <v>0.91666666666666663</v>
      </c>
      <c r="X83" s="144">
        <f t="shared" si="40"/>
        <v>17</v>
      </c>
      <c r="Y83" s="144">
        <f t="shared" si="41"/>
        <v>21.288888888888888</v>
      </c>
      <c r="Z83" s="144">
        <f t="shared" si="42"/>
        <v>17.405757575757576</v>
      </c>
      <c r="AA83" s="10"/>
      <c r="AB83" s="357" t="str">
        <f>VLOOKUP($B83,'2007-2020 Metadata'!$A$4:$S$214,MATCH("Urban Area /Monitoring Zone",'2007-2020 Metadata'!$A$4:$S$4,0),FALSE)</f>
        <v>Napier</v>
      </c>
      <c r="AC83" s="87" t="str">
        <f>VLOOKUP(B83,'2007-2020 Metadata'!$A$6:$A$214,1,FALSE)</f>
        <v>NAP003</v>
      </c>
      <c r="AD83" s="230" t="str">
        <f>VLOOKUP($AC83,'2007-2020 Metadata'!$A$6:$S$214,9,FALSE)</f>
        <v>Napier</v>
      </c>
      <c r="AE83" s="248">
        <f>IF(ISBLANK(VLOOKUP($AC83,'2007-2020 Metadata'!$A$6:$S$214,19,FALSE)),"",VLOOKUP($AC83,'2007-2020 Metadata'!$A$6:$S$214,19,FALSE))</f>
        <v>3</v>
      </c>
      <c r="AF83" s="88" t="str">
        <f>VLOOKUP($B83,'2007-2020 Metadata'!$A$4:$S$214,MATCH("Site type",'2007-2020 Metadata'!$A$4:$S$4,0),FALSE)</f>
        <v>SH</v>
      </c>
      <c r="AG83" s="143">
        <f t="shared" si="44"/>
        <v>15.7</v>
      </c>
      <c r="AH83" s="143">
        <f t="shared" si="45"/>
        <v>34.4</v>
      </c>
      <c r="AI83" s="144">
        <f t="shared" si="43"/>
        <v>17.405757575757576</v>
      </c>
    </row>
    <row r="84" spans="1:35" ht="12" customHeight="1" x14ac:dyDescent="0.15">
      <c r="A84" s="31"/>
      <c r="B84" s="40" t="s">
        <v>45</v>
      </c>
      <c r="C84" s="104">
        <f>IF(VLOOKUP($B84,'Monthly Summary 2012'!$B$7:$Q$221,14,FALSE)=0,"",VLOOKUP($B84,'Monthly Summary 2012'!$B$7:$Q$221,14,FALSE))</f>
        <v>7.4</v>
      </c>
      <c r="D84" s="36"/>
      <c r="E84" s="36"/>
      <c r="F84" s="36">
        <v>24.2</v>
      </c>
      <c r="G84" s="36">
        <v>28.1</v>
      </c>
      <c r="H84" s="36"/>
      <c r="I84" s="36">
        <v>26.7</v>
      </c>
      <c r="J84" s="36">
        <v>28.3</v>
      </c>
      <c r="K84" s="36">
        <v>28.1</v>
      </c>
      <c r="L84" s="36"/>
      <c r="M84" s="36">
        <v>15.9</v>
      </c>
      <c r="N84" s="36">
        <v>17.899999999999999</v>
      </c>
      <c r="O84" s="36">
        <v>13.9</v>
      </c>
      <c r="P84" s="37">
        <f t="shared" si="32"/>
        <v>22.887500000000003</v>
      </c>
      <c r="Q84" s="38">
        <f t="shared" si="33"/>
        <v>0.66666666666666663</v>
      </c>
      <c r="R84" s="140" t="str">
        <f t="shared" si="34"/>
        <v>-</v>
      </c>
      <c r="S84" s="150">
        <f t="shared" si="35"/>
        <v>0.33333333333333331</v>
      </c>
      <c r="T84" s="140">
        <f t="shared" si="36"/>
        <v>28.200000000000003</v>
      </c>
      <c r="U84" s="9">
        <f t="shared" si="37"/>
        <v>0.66666666666666663</v>
      </c>
      <c r="V84" s="141" t="str">
        <f t="shared" si="38"/>
        <v>-</v>
      </c>
      <c r="W84" s="142">
        <f t="shared" si="39"/>
        <v>0.66666666666666663</v>
      </c>
      <c r="X84" s="144">
        <f t="shared" si="40"/>
        <v>8.2000000000000011</v>
      </c>
      <c r="Y84" s="144">
        <f t="shared" si="41"/>
        <v>21.85</v>
      </c>
      <c r="Z84" s="144">
        <f t="shared" si="42"/>
        <v>10.690000000000001</v>
      </c>
      <c r="AA84" s="10"/>
      <c r="AB84" s="357" t="str">
        <f>VLOOKUP($B84,'2007-2020 Metadata'!$A$4:$S$214,MATCH("Urban Area /Monitoring Zone",'2007-2020 Metadata'!$A$4:$S$4,0),FALSE)</f>
        <v>Hastings</v>
      </c>
      <c r="AC84" s="87" t="str">
        <f>VLOOKUP(B84,'2007-2020 Metadata'!$A$6:$A$214,1,FALSE)</f>
        <v>NAP004</v>
      </c>
      <c r="AD84" s="230" t="str">
        <f>VLOOKUP($AC84,'2007-2020 Metadata'!$A$6:$S$214,9,FALSE)</f>
        <v>Hastings</v>
      </c>
      <c r="AE84" s="248">
        <f>IF(ISBLANK(VLOOKUP($AC84,'2007-2020 Metadata'!$A$6:$S$214,19,FALSE)),"",VLOOKUP($AC84,'2007-2020 Metadata'!$A$6:$S$214,19,FALSE))</f>
        <v>3</v>
      </c>
      <c r="AF84" s="88" t="str">
        <f>VLOOKUP($B84,'2007-2020 Metadata'!$A$4:$S$214,MATCH("Site type",'2007-2020 Metadata'!$A$4:$S$4,0),FALSE)</f>
        <v>SH</v>
      </c>
      <c r="AG84" s="143">
        <f t="shared" si="44"/>
        <v>13.9</v>
      </c>
      <c r="AH84" s="143">
        <f t="shared" si="45"/>
        <v>28.3</v>
      </c>
      <c r="AI84" s="144" t="str">
        <f t="shared" si="43"/>
        <v xml:space="preserve"> </v>
      </c>
    </row>
    <row r="85" spans="1:35" ht="12" customHeight="1" x14ac:dyDescent="0.15">
      <c r="A85" s="31"/>
      <c r="B85" s="40" t="s">
        <v>107</v>
      </c>
      <c r="C85" s="104">
        <f>IF(VLOOKUP($B85,'Monthly Summary 2012'!$B$7:$Q$221,14,FALSE)=0,"",VLOOKUP($B85,'Monthly Summary 2012'!$B$7:$Q$221,14,FALSE))</f>
        <v>7</v>
      </c>
      <c r="D85" s="36">
        <v>9</v>
      </c>
      <c r="E85" s="36">
        <v>5.7</v>
      </c>
      <c r="F85" s="36">
        <v>9.9</v>
      </c>
      <c r="G85" s="36">
        <v>13.3</v>
      </c>
      <c r="H85" s="36"/>
      <c r="I85" s="36">
        <v>17.5</v>
      </c>
      <c r="J85" s="36">
        <v>15.5</v>
      </c>
      <c r="K85" s="36">
        <v>15.5</v>
      </c>
      <c r="L85" s="36"/>
      <c r="M85" s="36">
        <v>9.5</v>
      </c>
      <c r="N85" s="36">
        <v>5.7</v>
      </c>
      <c r="O85" s="36">
        <v>5.3</v>
      </c>
      <c r="P85" s="37">
        <f t="shared" si="32"/>
        <v>10.690000000000001</v>
      </c>
      <c r="Q85" s="38">
        <f t="shared" si="33"/>
        <v>0.83333333333333337</v>
      </c>
      <c r="R85" s="140">
        <f t="shared" si="34"/>
        <v>8.2000000000000011</v>
      </c>
      <c r="S85" s="150">
        <f t="shared" si="35"/>
        <v>1</v>
      </c>
      <c r="T85" s="140">
        <f t="shared" si="36"/>
        <v>15.5</v>
      </c>
      <c r="U85" s="9">
        <f t="shared" si="37"/>
        <v>0.66666666666666663</v>
      </c>
      <c r="V85" s="141">
        <f t="shared" si="38"/>
        <v>10.690000000000001</v>
      </c>
      <c r="W85" s="142">
        <f t="shared" si="39"/>
        <v>0.83333333333333337</v>
      </c>
      <c r="X85" s="144">
        <f t="shared" si="40"/>
        <v>8.2000000000000011</v>
      </c>
      <c r="Y85" s="144">
        <f t="shared" si="41"/>
        <v>21.85</v>
      </c>
      <c r="Z85" s="144">
        <f t="shared" si="42"/>
        <v>10.690000000000001</v>
      </c>
      <c r="AA85" s="10"/>
      <c r="AB85" s="357" t="str">
        <f>VLOOKUP($B85,'2007-2020 Metadata'!$A$4:$S$214,MATCH("Urban Area /Monitoring Zone",'2007-2020 Metadata'!$A$4:$S$4,0),FALSE)</f>
        <v>Hastings</v>
      </c>
      <c r="AC85" s="87" t="str">
        <f>VLOOKUP(B85,'2007-2020 Metadata'!$A$6:$A$214,1,FALSE)</f>
        <v>NAP005</v>
      </c>
      <c r="AD85" s="230" t="str">
        <f>VLOOKUP($AC85,'2007-2020 Metadata'!$A$6:$S$214,9,FALSE)</f>
        <v>Hastings</v>
      </c>
      <c r="AE85" s="248">
        <f>IF(ISBLANK(VLOOKUP($AC85,'2007-2020 Metadata'!$A$6:$S$214,19,FALSE)),"",VLOOKUP($AC85,'2007-2020 Metadata'!$A$6:$S$214,19,FALSE))</f>
        <v>2.7</v>
      </c>
      <c r="AF85" s="88" t="str">
        <f>VLOOKUP($B85,'2007-2020 Metadata'!$A$4:$S$214,MATCH("Site type",'2007-2020 Metadata'!$A$4:$S$4,0),FALSE)</f>
        <v>Background</v>
      </c>
      <c r="AG85" s="143">
        <f t="shared" si="44"/>
        <v>5.3</v>
      </c>
      <c r="AH85" s="143">
        <f t="shared" si="45"/>
        <v>17.5</v>
      </c>
      <c r="AI85" s="144">
        <f t="shared" si="43"/>
        <v>10.690000000000001</v>
      </c>
    </row>
    <row r="86" spans="1:35" ht="12" customHeight="1" x14ac:dyDescent="0.15">
      <c r="A86" s="31"/>
      <c r="B86" s="40" t="s">
        <v>108</v>
      </c>
      <c r="C86" s="104">
        <f>IF(VLOOKUP($B86,'Monthly Summary 2012'!$B$7:$Q$221,14,FALSE)=0,"",VLOOKUP($B86,'Monthly Summary 2012'!$B$7:$Q$221,14,FALSE))</f>
        <v>6.1</v>
      </c>
      <c r="D86" s="36">
        <v>8.1999999999999993</v>
      </c>
      <c r="E86" s="36">
        <v>6.6</v>
      </c>
      <c r="F86" s="36">
        <v>11.2</v>
      </c>
      <c r="G86" s="36">
        <v>10.7</v>
      </c>
      <c r="H86" s="36"/>
      <c r="I86" s="36">
        <v>15.1</v>
      </c>
      <c r="J86" s="36">
        <v>16.100000000000001</v>
      </c>
      <c r="K86" s="36">
        <v>13.6</v>
      </c>
      <c r="L86" s="36"/>
      <c r="M86" s="36">
        <v>5.6</v>
      </c>
      <c r="N86" s="36">
        <v>5.5</v>
      </c>
      <c r="O86" s="36">
        <v>5.2</v>
      </c>
      <c r="P86" s="37">
        <f t="shared" si="32"/>
        <v>9.7799999999999994</v>
      </c>
      <c r="Q86" s="38">
        <f t="shared" si="33"/>
        <v>0.83333333333333337</v>
      </c>
      <c r="R86" s="140">
        <f t="shared" si="34"/>
        <v>8.6666666666666661</v>
      </c>
      <c r="S86" s="150">
        <f t="shared" si="35"/>
        <v>1</v>
      </c>
      <c r="T86" s="140">
        <f t="shared" si="36"/>
        <v>14.850000000000001</v>
      </c>
      <c r="U86" s="9">
        <f t="shared" si="37"/>
        <v>0.66666666666666663</v>
      </c>
      <c r="V86" s="141">
        <f t="shared" si="38"/>
        <v>9.7799999999999994</v>
      </c>
      <c r="W86" s="142">
        <f t="shared" si="39"/>
        <v>0.83333333333333337</v>
      </c>
      <c r="X86" s="144">
        <f t="shared" si="40"/>
        <v>17</v>
      </c>
      <c r="Y86" s="144">
        <f t="shared" si="41"/>
        <v>21.288888888888888</v>
      </c>
      <c r="Z86" s="144">
        <f t="shared" si="42"/>
        <v>17.405757575757576</v>
      </c>
      <c r="AA86" s="10"/>
      <c r="AB86" s="357" t="str">
        <f>VLOOKUP($B86,'2007-2020 Metadata'!$A$4:$S$214,MATCH("Urban Area /Monitoring Zone",'2007-2020 Metadata'!$A$4:$S$4,0),FALSE)</f>
        <v>Napier</v>
      </c>
      <c r="AC86" s="87" t="str">
        <f>VLOOKUP(B86,'2007-2020 Metadata'!$A$6:$A$214,1,FALSE)</f>
        <v>NAP006</v>
      </c>
      <c r="AD86" s="230" t="str">
        <f>VLOOKUP($AC86,'2007-2020 Metadata'!$A$6:$S$214,9,FALSE)</f>
        <v>Napier</v>
      </c>
      <c r="AE86" s="248">
        <f>IF(ISBLANK(VLOOKUP($AC86,'2007-2020 Metadata'!$A$6:$S$214,19,FALSE)),"",VLOOKUP($AC86,'2007-2020 Metadata'!$A$6:$S$214,19,FALSE))</f>
        <v>3</v>
      </c>
      <c r="AF86" s="88" t="str">
        <f>VLOOKUP($B86,'2007-2020 Metadata'!$A$4:$S$214,MATCH("Site type",'2007-2020 Metadata'!$A$4:$S$4,0),FALSE)</f>
        <v>Background</v>
      </c>
      <c r="AG86" s="143">
        <f t="shared" si="44"/>
        <v>5.2</v>
      </c>
      <c r="AH86" s="143">
        <f t="shared" si="45"/>
        <v>16.100000000000001</v>
      </c>
      <c r="AI86" s="144">
        <f t="shared" si="43"/>
        <v>17.405757575757576</v>
      </c>
    </row>
    <row r="87" spans="1:35" ht="12" customHeight="1" x14ac:dyDescent="0.15">
      <c r="A87" s="31"/>
      <c r="B87" s="40" t="s">
        <v>46</v>
      </c>
      <c r="C87" s="104" t="str">
        <f>IF(VLOOKUP($B87,'Monthly Summary 2012'!$B$7:$Q$221,14,FALSE)=0,"",VLOOKUP($B87,'Monthly Summary 2012'!$B$7:$Q$221,14,FALSE))</f>
        <v/>
      </c>
      <c r="D87" s="36"/>
      <c r="E87" s="36"/>
      <c r="F87" s="36"/>
      <c r="G87" s="36">
        <v>8.8000000000000007</v>
      </c>
      <c r="H87" s="36">
        <v>22.3</v>
      </c>
      <c r="I87" s="36">
        <v>20.3</v>
      </c>
      <c r="J87" s="36">
        <v>20.5</v>
      </c>
      <c r="K87" s="36">
        <v>18.8</v>
      </c>
      <c r="L87" s="36">
        <v>20.5</v>
      </c>
      <c r="M87" s="36">
        <v>19.600000000000001</v>
      </c>
      <c r="N87" s="36">
        <v>17.100000000000001</v>
      </c>
      <c r="O87" s="36">
        <v>12.8</v>
      </c>
      <c r="P87" s="37">
        <f t="shared" si="32"/>
        <v>17.855555555555558</v>
      </c>
      <c r="Q87" s="38">
        <f t="shared" si="33"/>
        <v>0.75</v>
      </c>
      <c r="R87" s="140" t="str">
        <f t="shared" si="34"/>
        <v/>
      </c>
      <c r="S87" s="150">
        <f t="shared" si="35"/>
        <v>0</v>
      </c>
      <c r="T87" s="140">
        <f t="shared" si="36"/>
        <v>19.933333333333334</v>
      </c>
      <c r="U87" s="9">
        <f t="shared" si="37"/>
        <v>1</v>
      </c>
      <c r="V87" s="141" t="str">
        <f t="shared" si="38"/>
        <v>-</v>
      </c>
      <c r="W87" s="142">
        <f t="shared" si="39"/>
        <v>0.75</v>
      </c>
      <c r="X87" s="144" t="str">
        <f t="shared" si="40"/>
        <v/>
      </c>
      <c r="Y87" s="144">
        <f t="shared" si="41"/>
        <v>14.5</v>
      </c>
      <c r="Z87" s="144" t="str">
        <f t="shared" si="42"/>
        <v/>
      </c>
      <c r="AA87" s="10"/>
      <c r="AB87" s="357" t="str">
        <f>VLOOKUP($B87,'2007-2020 Metadata'!$A$4:$S$214,MATCH("Urban Area /Monitoring Zone",'2007-2020 Metadata'!$A$4:$S$4,0),FALSE)</f>
        <v>New Plymouth</v>
      </c>
      <c r="AC87" s="87" t="str">
        <f>VLOOKUP(B87,'2007-2020 Metadata'!$A$6:$A$214,1,FALSE)</f>
        <v>WAN001</v>
      </c>
      <c r="AD87" s="230" t="str">
        <f>VLOOKUP($AC87,'2007-2020 Metadata'!$A$6:$S$214,9,FALSE)</f>
        <v>New Plymouth</v>
      </c>
      <c r="AE87" s="248">
        <f>IF(ISBLANK(VLOOKUP($AC87,'2007-2020 Metadata'!$A$6:$S$214,19,FALSE)),"",VLOOKUP($AC87,'2007-2020 Metadata'!$A$6:$S$214,19,FALSE))</f>
        <v>3</v>
      </c>
      <c r="AF87" s="88" t="str">
        <f>VLOOKUP($B87,'2007-2020 Metadata'!$A$4:$S$214,MATCH("Site type",'2007-2020 Metadata'!$A$4:$S$4,0),FALSE)</f>
        <v>SH</v>
      </c>
      <c r="AG87" s="143">
        <f t="shared" si="44"/>
        <v>8.8000000000000007</v>
      </c>
      <c r="AH87" s="143">
        <f t="shared" si="45"/>
        <v>22.3</v>
      </c>
      <c r="AI87" s="144" t="str">
        <f t="shared" si="43"/>
        <v/>
      </c>
    </row>
    <row r="88" spans="1:35" ht="12" customHeight="1" x14ac:dyDescent="0.15">
      <c r="A88" s="31"/>
      <c r="B88" s="40" t="s">
        <v>48</v>
      </c>
      <c r="C88" s="104">
        <f>IF(VLOOKUP($B88,'Monthly Summary 2012'!$B$7:$Q$221,14,FALSE)=0,"",VLOOKUP($B88,'Monthly Summary 2012'!$B$7:$Q$221,14,FALSE))</f>
        <v>10.7</v>
      </c>
      <c r="D88" s="36">
        <v>16.3</v>
      </c>
      <c r="E88" s="36">
        <v>17.8</v>
      </c>
      <c r="F88" s="36">
        <v>23.5</v>
      </c>
      <c r="G88" s="36">
        <v>23.8</v>
      </c>
      <c r="H88" s="36">
        <v>32.200000000000003</v>
      </c>
      <c r="I88" s="36">
        <v>33.1</v>
      </c>
      <c r="J88" s="36">
        <v>27.8</v>
      </c>
      <c r="K88" s="36">
        <v>23.5</v>
      </c>
      <c r="L88" s="36">
        <v>19.8</v>
      </c>
      <c r="M88" s="36">
        <v>16.399999999999999</v>
      </c>
      <c r="N88" s="36">
        <v>18.399999999999999</v>
      </c>
      <c r="O88" s="36">
        <v>14.8</v>
      </c>
      <c r="P88" s="37">
        <f t="shared" si="32"/>
        <v>22.283333333333335</v>
      </c>
      <c r="Q88" s="38">
        <f t="shared" si="33"/>
        <v>1</v>
      </c>
      <c r="R88" s="140">
        <f t="shared" si="34"/>
        <v>19.2</v>
      </c>
      <c r="S88" s="150">
        <f t="shared" si="35"/>
        <v>1</v>
      </c>
      <c r="T88" s="140">
        <f t="shared" si="36"/>
        <v>23.7</v>
      </c>
      <c r="U88" s="9">
        <f t="shared" si="37"/>
        <v>1</v>
      </c>
      <c r="V88" s="141">
        <f t="shared" si="38"/>
        <v>22.283333333333335</v>
      </c>
      <c r="W88" s="142">
        <f t="shared" si="39"/>
        <v>1</v>
      </c>
      <c r="X88" s="144">
        <f t="shared" si="40"/>
        <v>15.753333333333334</v>
      </c>
      <c r="Y88" s="144">
        <f t="shared" si="41"/>
        <v>19.580000000000002</v>
      </c>
      <c r="Z88" s="144">
        <f t="shared" si="42"/>
        <v>18.101666666666667</v>
      </c>
      <c r="AA88" s="10"/>
      <c r="AB88" s="357" t="str">
        <f>VLOOKUP($B88,'2007-2020 Metadata'!$A$4:$S$214,MATCH("Urban Area /Monitoring Zone",'2007-2020 Metadata'!$A$4:$S$4,0),FALSE)</f>
        <v>Palmerston North</v>
      </c>
      <c r="AC88" s="87" t="str">
        <f>VLOOKUP(B88,'2007-2020 Metadata'!$A$6:$A$214,1,FALSE)</f>
        <v>WAN004</v>
      </c>
      <c r="AD88" s="230" t="str">
        <f>VLOOKUP($AC88,'2007-2020 Metadata'!$A$6:$S$214,9,FALSE)</f>
        <v>Palmerston North</v>
      </c>
      <c r="AE88" s="248">
        <f>IF(ISBLANK(VLOOKUP($AC88,'2007-2020 Metadata'!$A$6:$S$214,19,FALSE)),"",VLOOKUP($AC88,'2007-2020 Metadata'!$A$6:$S$214,19,FALSE))</f>
        <v>3</v>
      </c>
      <c r="AF88" s="88" t="str">
        <f>VLOOKUP($B88,'2007-2020 Metadata'!$A$4:$S$214,MATCH("Site type",'2007-2020 Metadata'!$A$4:$S$4,0),FALSE)</f>
        <v>SH</v>
      </c>
      <c r="AG88" s="143">
        <f t="shared" si="44"/>
        <v>14.8</v>
      </c>
      <c r="AH88" s="143">
        <f t="shared" si="45"/>
        <v>33.1</v>
      </c>
      <c r="AI88" s="144">
        <f t="shared" si="43"/>
        <v>18.101666666666667</v>
      </c>
    </row>
    <row r="89" spans="1:35" ht="12" customHeight="1" x14ac:dyDescent="0.15">
      <c r="A89" s="31"/>
      <c r="B89" s="40" t="s">
        <v>109</v>
      </c>
      <c r="C89" s="104">
        <f>IF(VLOOKUP($B89,'Monthly Summary 2012'!$B$7:$Q$221,14,FALSE)=0,"",VLOOKUP($B89,'Monthly Summary 2012'!$B$7:$Q$221,14,FALSE))</f>
        <v>4.0999999999999996</v>
      </c>
      <c r="D89" s="36">
        <v>6.1</v>
      </c>
      <c r="E89" s="36">
        <v>9.4</v>
      </c>
      <c r="F89" s="36">
        <v>17.899999999999999</v>
      </c>
      <c r="G89" s="36">
        <v>14.3</v>
      </c>
      <c r="H89" s="36">
        <v>18.7</v>
      </c>
      <c r="I89" s="36">
        <v>20.2</v>
      </c>
      <c r="J89" s="36">
        <v>13.7</v>
      </c>
      <c r="K89" s="36">
        <v>14.1</v>
      </c>
      <c r="L89" s="36">
        <v>9</v>
      </c>
      <c r="M89" s="36">
        <v>14.7</v>
      </c>
      <c r="N89" s="36">
        <v>9.5</v>
      </c>
      <c r="O89" s="36">
        <v>7.1</v>
      </c>
      <c r="P89" s="37">
        <f t="shared" si="32"/>
        <v>12.891666666666666</v>
      </c>
      <c r="Q89" s="38">
        <f t="shared" si="33"/>
        <v>1</v>
      </c>
      <c r="R89" s="140">
        <f t="shared" si="34"/>
        <v>11.133333333333333</v>
      </c>
      <c r="S89" s="150">
        <f t="shared" si="35"/>
        <v>1</v>
      </c>
      <c r="T89" s="140">
        <f t="shared" si="36"/>
        <v>12.266666666666666</v>
      </c>
      <c r="U89" s="9">
        <f t="shared" si="37"/>
        <v>1</v>
      </c>
      <c r="V89" s="141">
        <f t="shared" si="38"/>
        <v>12.891666666666666</v>
      </c>
      <c r="W89" s="142">
        <f t="shared" si="39"/>
        <v>1</v>
      </c>
      <c r="X89" s="144">
        <f t="shared" si="40"/>
        <v>15.753333333333334</v>
      </c>
      <c r="Y89" s="144">
        <f t="shared" si="41"/>
        <v>19.580000000000002</v>
      </c>
      <c r="Z89" s="144">
        <f t="shared" si="42"/>
        <v>18.101666666666667</v>
      </c>
      <c r="AA89" s="10"/>
      <c r="AB89" s="357" t="str">
        <f>VLOOKUP($B89,'2007-2020 Metadata'!$A$4:$S$214,MATCH("Urban Area /Monitoring Zone",'2007-2020 Metadata'!$A$4:$S$4,0),FALSE)</f>
        <v>Palmerston North</v>
      </c>
      <c r="AC89" s="87" t="str">
        <f>VLOOKUP(B89,'2007-2020 Metadata'!$A$6:$A$214,1,FALSE)</f>
        <v>WAN005</v>
      </c>
      <c r="AD89" s="230" t="str">
        <f>VLOOKUP($AC89,'2007-2020 Metadata'!$A$6:$S$214,9,FALSE)</f>
        <v>Palmerston North</v>
      </c>
      <c r="AE89" s="248">
        <f>IF(ISBLANK(VLOOKUP($AC89,'2007-2020 Metadata'!$A$6:$S$214,19,FALSE)),"",VLOOKUP($AC89,'2007-2020 Metadata'!$A$6:$S$214,19,FALSE))</f>
        <v>2.5</v>
      </c>
      <c r="AF89" s="88" t="str">
        <f>VLOOKUP($B89,'2007-2020 Metadata'!$A$4:$S$214,MATCH("Site type",'2007-2020 Metadata'!$A$4:$S$4,0),FALSE)</f>
        <v>SH</v>
      </c>
      <c r="AG89" s="143">
        <f t="shared" si="44"/>
        <v>6.1</v>
      </c>
      <c r="AH89" s="143">
        <f t="shared" si="45"/>
        <v>20.2</v>
      </c>
      <c r="AI89" s="144">
        <f t="shared" si="43"/>
        <v>18.101666666666667</v>
      </c>
    </row>
    <row r="90" spans="1:35" ht="12" customHeight="1" x14ac:dyDescent="0.15">
      <c r="A90" s="31"/>
      <c r="B90" s="40" t="s">
        <v>110</v>
      </c>
      <c r="C90" s="104">
        <f>IF(VLOOKUP($B90,'Monthly Summary 2012'!$B$7:$Q$221,14,FALSE)=0,"",VLOOKUP($B90,'Monthly Summary 2012'!$B$7:$Q$221,14,FALSE))</f>
        <v>10.7</v>
      </c>
      <c r="D90" s="36">
        <v>20.2</v>
      </c>
      <c r="E90" s="36">
        <v>19.3</v>
      </c>
      <c r="F90" s="36">
        <v>26.2</v>
      </c>
      <c r="G90" s="36">
        <v>26.5</v>
      </c>
      <c r="H90" s="36">
        <v>31.2</v>
      </c>
      <c r="I90" s="36">
        <v>38.4</v>
      </c>
      <c r="J90" s="36">
        <v>29.4</v>
      </c>
      <c r="K90" s="36">
        <v>25.1</v>
      </c>
      <c r="L90" s="36">
        <v>19.600000000000001</v>
      </c>
      <c r="M90" s="36">
        <v>17.2</v>
      </c>
      <c r="N90" s="36">
        <v>19.100000000000001</v>
      </c>
      <c r="O90" s="36">
        <v>11.8</v>
      </c>
      <c r="P90" s="37">
        <f t="shared" si="32"/>
        <v>23.666666666666668</v>
      </c>
      <c r="Q90" s="38">
        <f t="shared" si="33"/>
        <v>1</v>
      </c>
      <c r="R90" s="140">
        <f t="shared" si="34"/>
        <v>21.900000000000002</v>
      </c>
      <c r="S90" s="150">
        <f t="shared" si="35"/>
        <v>1</v>
      </c>
      <c r="T90" s="140">
        <f t="shared" si="36"/>
        <v>24.7</v>
      </c>
      <c r="U90" s="9">
        <f t="shared" si="37"/>
        <v>1</v>
      </c>
      <c r="V90" s="141">
        <f t="shared" si="38"/>
        <v>23.666666666666668</v>
      </c>
      <c r="W90" s="142">
        <f t="shared" si="39"/>
        <v>1</v>
      </c>
      <c r="X90" s="144">
        <f t="shared" si="40"/>
        <v>15.753333333333334</v>
      </c>
      <c r="Y90" s="144">
        <f t="shared" si="41"/>
        <v>19.580000000000002</v>
      </c>
      <c r="Z90" s="144">
        <f t="shared" si="42"/>
        <v>18.101666666666667</v>
      </c>
      <c r="AA90" s="10"/>
      <c r="AB90" s="357" t="str">
        <f>VLOOKUP($B90,'2007-2020 Metadata'!$A$4:$S$214,MATCH("Urban Area /Monitoring Zone",'2007-2020 Metadata'!$A$4:$S$4,0),FALSE)</f>
        <v>Palmerston North</v>
      </c>
      <c r="AC90" s="87" t="str">
        <f>VLOOKUP(B90,'2007-2020 Metadata'!$A$6:$A$214,1,FALSE)</f>
        <v>WAN006</v>
      </c>
      <c r="AD90" s="230" t="str">
        <f>VLOOKUP($AC90,'2007-2020 Metadata'!$A$6:$S$214,9,FALSE)</f>
        <v>Palmerston North</v>
      </c>
      <c r="AE90" s="248">
        <f>IF(ISBLANK(VLOOKUP($AC90,'2007-2020 Metadata'!$A$6:$S$214,19,FALSE)),"",VLOOKUP($AC90,'2007-2020 Metadata'!$A$6:$S$214,19,FALSE))</f>
        <v>2.5</v>
      </c>
      <c r="AF90" s="88" t="str">
        <f>VLOOKUP($B90,'2007-2020 Metadata'!$A$4:$S$214,MATCH("Site type",'2007-2020 Metadata'!$A$4:$S$4,0),FALSE)</f>
        <v>SH</v>
      </c>
      <c r="AG90" s="143">
        <f t="shared" si="44"/>
        <v>11.8</v>
      </c>
      <c r="AH90" s="143">
        <f t="shared" si="45"/>
        <v>38.4</v>
      </c>
      <c r="AI90" s="144">
        <f t="shared" si="43"/>
        <v>18.101666666666667</v>
      </c>
    </row>
    <row r="91" spans="1:35" ht="12" customHeight="1" x14ac:dyDescent="0.15">
      <c r="A91" s="31"/>
      <c r="B91" s="40" t="s">
        <v>111</v>
      </c>
      <c r="C91" s="104">
        <f>IF(VLOOKUP($B91,'Monthly Summary 2012'!$B$7:$Q$221,14,FALSE)=0,"",VLOOKUP($B91,'Monthly Summary 2012'!$B$7:$Q$221,14,FALSE))</f>
        <v>6.3</v>
      </c>
      <c r="D91" s="36">
        <v>7.1</v>
      </c>
      <c r="E91" s="36">
        <v>13.5</v>
      </c>
      <c r="F91" s="36">
        <v>20.6</v>
      </c>
      <c r="G91" s="36">
        <v>18.399999999999999</v>
      </c>
      <c r="H91" s="36">
        <v>23</v>
      </c>
      <c r="I91" s="36">
        <v>26.4</v>
      </c>
      <c r="J91" s="36">
        <v>21.4</v>
      </c>
      <c r="K91" s="36">
        <v>18.7</v>
      </c>
      <c r="L91" s="36">
        <v>15.3</v>
      </c>
      <c r="M91" s="36">
        <v>5.8</v>
      </c>
      <c r="N91" s="36">
        <v>13</v>
      </c>
      <c r="O91" s="36">
        <v>10.6</v>
      </c>
      <c r="P91" s="37">
        <f t="shared" si="32"/>
        <v>16.150000000000002</v>
      </c>
      <c r="Q91" s="38">
        <f t="shared" si="33"/>
        <v>1</v>
      </c>
      <c r="R91" s="140">
        <f t="shared" si="34"/>
        <v>13.733333333333334</v>
      </c>
      <c r="S91" s="150">
        <f t="shared" si="35"/>
        <v>1</v>
      </c>
      <c r="T91" s="140">
        <f t="shared" si="36"/>
        <v>18.466666666666665</v>
      </c>
      <c r="U91" s="9">
        <f t="shared" si="37"/>
        <v>1</v>
      </c>
      <c r="V91" s="141">
        <f t="shared" si="38"/>
        <v>16.150000000000002</v>
      </c>
      <c r="W91" s="142">
        <f t="shared" si="39"/>
        <v>1</v>
      </c>
      <c r="X91" s="144">
        <f t="shared" si="40"/>
        <v>15.753333333333334</v>
      </c>
      <c r="Y91" s="144">
        <f t="shared" si="41"/>
        <v>19.580000000000002</v>
      </c>
      <c r="Z91" s="144">
        <f t="shared" si="42"/>
        <v>18.101666666666667</v>
      </c>
      <c r="AA91" s="10"/>
      <c r="AB91" s="357" t="str">
        <f>VLOOKUP($B91,'2007-2020 Metadata'!$A$4:$S$214,MATCH("Urban Area /Monitoring Zone",'2007-2020 Metadata'!$A$4:$S$4,0),FALSE)</f>
        <v>Palmerston North</v>
      </c>
      <c r="AC91" s="87" t="str">
        <f>VLOOKUP(B91,'2007-2020 Metadata'!$A$6:$A$214,1,FALSE)</f>
        <v>WAN007</v>
      </c>
      <c r="AD91" s="230" t="str">
        <f>VLOOKUP($AC91,'2007-2020 Metadata'!$A$6:$S$214,9,FALSE)</f>
        <v>Palmerston North</v>
      </c>
      <c r="AE91" s="248">
        <f>IF(ISBLANK(VLOOKUP($AC91,'2007-2020 Metadata'!$A$6:$S$214,19,FALSE)),"",VLOOKUP($AC91,'2007-2020 Metadata'!$A$6:$S$214,19,FALSE))</f>
        <v>2.5</v>
      </c>
      <c r="AF91" s="88" t="str">
        <f>VLOOKUP($B91,'2007-2020 Metadata'!$A$4:$S$214,MATCH("Site type",'2007-2020 Metadata'!$A$4:$S$4,0),FALSE)</f>
        <v>Local</v>
      </c>
      <c r="AG91" s="143">
        <f t="shared" si="44"/>
        <v>5.8</v>
      </c>
      <c r="AH91" s="143">
        <f t="shared" si="45"/>
        <v>26.4</v>
      </c>
      <c r="AI91" s="144">
        <f t="shared" si="43"/>
        <v>18.101666666666667</v>
      </c>
    </row>
    <row r="92" spans="1:35" ht="12" customHeight="1" x14ac:dyDescent="0.15">
      <c r="A92" s="31"/>
      <c r="B92" s="40" t="s">
        <v>112</v>
      </c>
      <c r="C92" s="104">
        <f>IF(VLOOKUP($B92,'Monthly Summary 2012'!$B$7:$Q$221,14,FALSE)=0,"",VLOOKUP($B92,'Monthly Summary 2012'!$B$7:$Q$221,14,FALSE))</f>
        <v>9.1999999999999993</v>
      </c>
      <c r="D92" s="36">
        <v>11</v>
      </c>
      <c r="E92" s="36">
        <v>11.4</v>
      </c>
      <c r="F92" s="36">
        <v>16</v>
      </c>
      <c r="G92" s="36">
        <v>16.7</v>
      </c>
      <c r="H92" s="36">
        <v>19.5</v>
      </c>
      <c r="I92" s="36">
        <v>17.8</v>
      </c>
      <c r="J92" s="36">
        <v>20.2</v>
      </c>
      <c r="K92" s="36">
        <v>17.7</v>
      </c>
      <c r="L92" s="36">
        <v>18.399999999999999</v>
      </c>
      <c r="M92" s="36">
        <v>16.899999999999999</v>
      </c>
      <c r="N92" s="36">
        <v>8.8000000000000007</v>
      </c>
      <c r="O92" s="36">
        <v>11.8</v>
      </c>
      <c r="P92" s="37">
        <f t="shared" si="32"/>
        <v>15.516666666666667</v>
      </c>
      <c r="Q92" s="38">
        <f t="shared" si="33"/>
        <v>1</v>
      </c>
      <c r="R92" s="140">
        <f t="shared" si="34"/>
        <v>12.799999999999999</v>
      </c>
      <c r="S92" s="150">
        <f t="shared" si="35"/>
        <v>1</v>
      </c>
      <c r="T92" s="140">
        <f t="shared" si="36"/>
        <v>18.766666666666666</v>
      </c>
      <c r="U92" s="9">
        <f t="shared" si="37"/>
        <v>1</v>
      </c>
      <c r="V92" s="141">
        <f t="shared" si="38"/>
        <v>15.516666666666667</v>
      </c>
      <c r="W92" s="142">
        <f t="shared" si="39"/>
        <v>1</v>
      </c>
      <c r="X92" s="144">
        <f t="shared" si="40"/>
        <v>15.753333333333334</v>
      </c>
      <c r="Y92" s="144">
        <f t="shared" si="41"/>
        <v>19.580000000000002</v>
      </c>
      <c r="Z92" s="144">
        <f t="shared" si="42"/>
        <v>18.101666666666667</v>
      </c>
      <c r="AA92" s="10"/>
      <c r="AB92" s="357" t="str">
        <f>VLOOKUP($B92,'2007-2020 Metadata'!$A$4:$S$214,MATCH("Urban Area /Monitoring Zone",'2007-2020 Metadata'!$A$4:$S$4,0),FALSE)</f>
        <v>Palmerston North</v>
      </c>
      <c r="AC92" s="87" t="str">
        <f>VLOOKUP(B92,'2007-2020 Metadata'!$A$6:$A$214,1,FALSE)</f>
        <v>WAN008</v>
      </c>
      <c r="AD92" s="230" t="str">
        <f>VLOOKUP($AC92,'2007-2020 Metadata'!$A$6:$S$214,9,FALSE)</f>
        <v>Palmerston North</v>
      </c>
      <c r="AE92" s="248">
        <f>IF(ISBLANK(VLOOKUP($AC92,'2007-2020 Metadata'!$A$6:$S$214,19,FALSE)),"",VLOOKUP($AC92,'2007-2020 Metadata'!$A$6:$S$214,19,FALSE))</f>
        <v>2.5</v>
      </c>
      <c r="AF92" s="88" t="str">
        <f>VLOOKUP($B92,'2007-2020 Metadata'!$A$4:$S$214,MATCH("Site type",'2007-2020 Metadata'!$A$4:$S$4,0),FALSE)</f>
        <v>Background</v>
      </c>
      <c r="AG92" s="143">
        <f t="shared" si="44"/>
        <v>8.8000000000000007</v>
      </c>
      <c r="AH92" s="143">
        <f t="shared" si="45"/>
        <v>20.2</v>
      </c>
      <c r="AI92" s="144">
        <f t="shared" si="43"/>
        <v>18.101666666666667</v>
      </c>
    </row>
    <row r="93" spans="1:35" ht="12" customHeight="1" x14ac:dyDescent="0.15">
      <c r="A93" s="31"/>
      <c r="B93" s="40" t="s">
        <v>113</v>
      </c>
      <c r="C93" s="104">
        <f>IF(VLOOKUP($B93,'Monthly Summary 2012'!$B$7:$Q$221,14,FALSE)=0,"",VLOOKUP($B93,'Monthly Summary 2012'!$B$7:$Q$221,14,FALSE))</f>
        <v>6.1</v>
      </c>
      <c r="D93" s="36"/>
      <c r="E93" s="36"/>
      <c r="F93" s="36">
        <v>8.1999999999999993</v>
      </c>
      <c r="G93" s="36"/>
      <c r="H93" s="36"/>
      <c r="I93" s="36">
        <v>11.2</v>
      </c>
      <c r="J93" s="36">
        <v>10.1</v>
      </c>
      <c r="K93" s="36">
        <v>8.6999999999999993</v>
      </c>
      <c r="L93" s="36">
        <v>8.4</v>
      </c>
      <c r="M93" s="36">
        <v>6.2</v>
      </c>
      <c r="N93" s="36">
        <v>8.3000000000000007</v>
      </c>
      <c r="O93" s="36"/>
      <c r="P93" s="37">
        <f t="shared" si="32"/>
        <v>8.7285714285714295</v>
      </c>
      <c r="Q93" s="38">
        <f t="shared" si="33"/>
        <v>0.58333333333333337</v>
      </c>
      <c r="R93" s="140" t="str">
        <f t="shared" si="34"/>
        <v>-</v>
      </c>
      <c r="S93" s="150">
        <f t="shared" si="35"/>
        <v>0.33333333333333331</v>
      </c>
      <c r="T93" s="140">
        <f t="shared" si="36"/>
        <v>9.0666666666666647</v>
      </c>
      <c r="U93" s="9">
        <f t="shared" si="37"/>
        <v>1</v>
      </c>
      <c r="V93" s="141" t="str">
        <f t="shared" si="38"/>
        <v>-</v>
      </c>
      <c r="W93" s="142">
        <f t="shared" si="39"/>
        <v>0.58333333333333337</v>
      </c>
      <c r="X93" s="144" t="str">
        <f t="shared" si="40"/>
        <v/>
      </c>
      <c r="Y93" s="144">
        <f t="shared" si="41"/>
        <v>14.5</v>
      </c>
      <c r="Z93" s="144" t="str">
        <f t="shared" si="42"/>
        <v/>
      </c>
      <c r="AA93" s="10"/>
      <c r="AB93" s="357" t="str">
        <f>VLOOKUP($B93,'2007-2020 Metadata'!$A$4:$S$214,MATCH("Urban Area /Monitoring Zone",'2007-2020 Metadata'!$A$4:$S$4,0),FALSE)</f>
        <v>New Plymouth</v>
      </c>
      <c r="AC93" s="87" t="str">
        <f>VLOOKUP(B93,'2007-2020 Metadata'!$A$6:$A$214,1,FALSE)</f>
        <v>WAN009</v>
      </c>
      <c r="AD93" s="230" t="str">
        <f>VLOOKUP($AC93,'2007-2020 Metadata'!$A$6:$S$214,9,FALSE)</f>
        <v>New Plymouth</v>
      </c>
      <c r="AE93" s="248">
        <f>IF(ISBLANK(VLOOKUP($AC93,'2007-2020 Metadata'!$A$6:$S$214,19,FALSE)),"",VLOOKUP($AC93,'2007-2020 Metadata'!$A$6:$S$214,19,FALSE))</f>
        <v>2.5</v>
      </c>
      <c r="AF93" s="88" t="str">
        <f>VLOOKUP($B93,'2007-2020 Metadata'!$A$4:$S$214,MATCH("Site type",'2007-2020 Metadata'!$A$4:$S$4,0),FALSE)</f>
        <v>Background</v>
      </c>
      <c r="AG93" s="143">
        <f t="shared" si="44"/>
        <v>6.2</v>
      </c>
      <c r="AH93" s="143">
        <f t="shared" si="45"/>
        <v>11.2</v>
      </c>
      <c r="AI93" s="144" t="str">
        <f t="shared" si="43"/>
        <v xml:space="preserve"> </v>
      </c>
    </row>
    <row r="94" spans="1:35" ht="12" customHeight="1" x14ac:dyDescent="0.15">
      <c r="A94" s="31"/>
      <c r="B94" s="40" t="s">
        <v>114</v>
      </c>
      <c r="C94" s="104">
        <f>IF(VLOOKUP($B94,'Monthly Summary 2012'!$B$7:$Q$221,14,FALSE)=0,"",VLOOKUP($B94,'Monthly Summary 2012'!$B$7:$Q$221,14,FALSE))</f>
        <v>16.5</v>
      </c>
      <c r="D94" s="36">
        <v>18.100000000000001</v>
      </c>
      <c r="E94" s="36">
        <v>15.6</v>
      </c>
      <c r="F94" s="36">
        <v>28.2</v>
      </c>
      <c r="G94" s="36">
        <v>23</v>
      </c>
      <c r="H94" s="36">
        <v>26.3</v>
      </c>
      <c r="I94" s="36">
        <v>28.5</v>
      </c>
      <c r="J94" s="36">
        <v>27.3</v>
      </c>
      <c r="K94" s="36">
        <v>27</v>
      </c>
      <c r="L94" s="36">
        <v>21.2</v>
      </c>
      <c r="M94" s="36">
        <v>18.399999999999999</v>
      </c>
      <c r="N94" s="36">
        <v>22</v>
      </c>
      <c r="O94" s="36">
        <v>13.1</v>
      </c>
      <c r="P94" s="37">
        <f t="shared" si="32"/>
        <v>22.391666666666666</v>
      </c>
      <c r="Q94" s="38">
        <f t="shared" si="33"/>
        <v>1</v>
      </c>
      <c r="R94" s="140">
        <f t="shared" si="34"/>
        <v>20.633333333333336</v>
      </c>
      <c r="S94" s="150">
        <f t="shared" si="35"/>
        <v>1</v>
      </c>
      <c r="T94" s="140">
        <f t="shared" si="36"/>
        <v>25.166666666666668</v>
      </c>
      <c r="U94" s="9">
        <f t="shared" si="37"/>
        <v>1</v>
      </c>
      <c r="V94" s="141">
        <f t="shared" si="38"/>
        <v>22.391666666666666</v>
      </c>
      <c r="W94" s="142">
        <f t="shared" si="39"/>
        <v>1</v>
      </c>
      <c r="X94" s="144">
        <f t="shared" si="40"/>
        <v>20.633333333333336</v>
      </c>
      <c r="Y94" s="144">
        <f t="shared" si="41"/>
        <v>25.166666666666668</v>
      </c>
      <c r="Z94" s="144">
        <f t="shared" si="42"/>
        <v>22.391666666666666</v>
      </c>
      <c r="AA94" s="10"/>
      <c r="AB94" s="357" t="str">
        <f>VLOOKUP($B94,'2007-2020 Metadata'!$A$4:$S$214,MATCH("Urban Area /Monitoring Zone",'2007-2020 Metadata'!$A$4:$S$4,0),FALSE)</f>
        <v>Whanganui</v>
      </c>
      <c r="AC94" s="87" t="str">
        <f>VLOOKUP(B94,'2007-2020 Metadata'!$A$6:$A$214,1,FALSE)</f>
        <v>WAN010</v>
      </c>
      <c r="AD94" s="230" t="str">
        <f>VLOOKUP($AC94,'2007-2020 Metadata'!$A$6:$S$214,9,FALSE)</f>
        <v>Whanganui</v>
      </c>
      <c r="AE94" s="248">
        <f>IF(ISBLANK(VLOOKUP($AC94,'2007-2020 Metadata'!$A$6:$S$214,19,FALSE)),"",VLOOKUP($AC94,'2007-2020 Metadata'!$A$6:$S$214,19,FALSE))</f>
        <v>3</v>
      </c>
      <c r="AF94" s="88" t="str">
        <f>VLOOKUP($B94,'2007-2020 Metadata'!$A$4:$S$214,MATCH("Site type",'2007-2020 Metadata'!$A$4:$S$4,0),FALSE)</f>
        <v>SH</v>
      </c>
      <c r="AG94" s="143">
        <f t="shared" si="44"/>
        <v>13.1</v>
      </c>
      <c r="AH94" s="143">
        <f t="shared" si="45"/>
        <v>28.5</v>
      </c>
      <c r="AI94" s="144">
        <f t="shared" si="43"/>
        <v>22.391666666666666</v>
      </c>
    </row>
    <row r="95" spans="1:35" ht="12" customHeight="1" x14ac:dyDescent="0.15">
      <c r="A95" s="31"/>
      <c r="B95" s="40" t="s">
        <v>49</v>
      </c>
      <c r="C95" s="104">
        <f>IF(VLOOKUP($B95,'Monthly Summary 2012'!$B$7:$Q$221,14,FALSE)=0,"",VLOOKUP($B95,'Monthly Summary 2012'!$B$7:$Q$221,14,FALSE))</f>
        <v>18.7</v>
      </c>
      <c r="D95" s="36">
        <v>18.2</v>
      </c>
      <c r="E95" s="36">
        <v>26</v>
      </c>
      <c r="F95" s="36">
        <v>25.5</v>
      </c>
      <c r="G95" s="36">
        <v>27.7</v>
      </c>
      <c r="H95" s="36">
        <v>30.9</v>
      </c>
      <c r="I95" s="36">
        <v>36.5</v>
      </c>
      <c r="J95" s="36">
        <v>32.5</v>
      </c>
      <c r="K95" s="36">
        <v>28</v>
      </c>
      <c r="L95" s="36">
        <v>25.7</v>
      </c>
      <c r="M95" s="36">
        <v>18.399999999999999</v>
      </c>
      <c r="N95" s="36">
        <v>23.2</v>
      </c>
      <c r="O95" s="36">
        <v>11.9</v>
      </c>
      <c r="P95" s="37">
        <f t="shared" si="32"/>
        <v>25.374999999999996</v>
      </c>
      <c r="Q95" s="38">
        <f t="shared" si="33"/>
        <v>1</v>
      </c>
      <c r="R95" s="140">
        <f t="shared" si="34"/>
        <v>23.233333333333334</v>
      </c>
      <c r="S95" s="150">
        <f t="shared" si="35"/>
        <v>1</v>
      </c>
      <c r="T95" s="140">
        <f t="shared" si="36"/>
        <v>28.733333333333334</v>
      </c>
      <c r="U95" s="9">
        <f t="shared" si="37"/>
        <v>1</v>
      </c>
      <c r="V95" s="141">
        <f t="shared" si="38"/>
        <v>25.374999999999996</v>
      </c>
      <c r="W95" s="142">
        <f t="shared" si="39"/>
        <v>1</v>
      </c>
      <c r="X95" s="144">
        <f t="shared" si="40"/>
        <v>17.399999999999999</v>
      </c>
      <c r="Y95" s="144">
        <f t="shared" si="41"/>
        <v>23.486666666666672</v>
      </c>
      <c r="Z95" s="144">
        <f t="shared" si="42"/>
        <v>19.914999999999999</v>
      </c>
      <c r="AA95" s="10"/>
      <c r="AB95" s="357" t="str">
        <f>VLOOKUP($B95,'2007-2020 Metadata'!$A$4:$S$214,MATCH("Urban Area /Monitoring Zone",'2007-2020 Metadata'!$A$4:$S$4,0),FALSE)</f>
        <v>Lower Hutt</v>
      </c>
      <c r="AC95" s="87" t="str">
        <f>VLOOKUP(B95,'2007-2020 Metadata'!$A$6:$A$214,1,FALSE)</f>
        <v>WEL002</v>
      </c>
      <c r="AD95" s="230" t="str">
        <f>VLOOKUP($AC95,'2007-2020 Metadata'!$A$6:$S$214,9,FALSE)</f>
        <v>Lower Hutt</v>
      </c>
      <c r="AE95" s="248">
        <f>IF(ISBLANK(VLOOKUP($AC95,'2007-2020 Metadata'!$A$6:$S$214,19,FALSE)),"",VLOOKUP($AC95,'2007-2020 Metadata'!$A$6:$S$214,19,FALSE))</f>
        <v>3.2</v>
      </c>
      <c r="AF95" s="88" t="str">
        <f>VLOOKUP($B95,'2007-2020 Metadata'!$A$4:$S$214,MATCH("Site type",'2007-2020 Metadata'!$A$4:$S$4,0),FALSE)</f>
        <v>SH</v>
      </c>
      <c r="AG95" s="143">
        <f t="shared" si="44"/>
        <v>11.9</v>
      </c>
      <c r="AH95" s="143">
        <f t="shared" si="45"/>
        <v>36.5</v>
      </c>
      <c r="AI95" s="144">
        <f t="shared" si="43"/>
        <v>19.914999999999999</v>
      </c>
    </row>
    <row r="96" spans="1:35" ht="12" customHeight="1" x14ac:dyDescent="0.15">
      <c r="A96" s="31"/>
      <c r="B96" s="40" t="s">
        <v>50</v>
      </c>
      <c r="C96" s="104">
        <f>IF(VLOOKUP($B96,'Monthly Summary 2012'!$B$7:$Q$221,14,FALSE)=0,"",VLOOKUP($B96,'Monthly Summary 2012'!$B$7:$Q$221,14,FALSE))</f>
        <v>8.6999999999999993</v>
      </c>
      <c r="D96" s="36">
        <v>11.1</v>
      </c>
      <c r="E96" s="36">
        <v>11.4</v>
      </c>
      <c r="F96" s="36">
        <v>12.8</v>
      </c>
      <c r="G96" s="36">
        <v>14.6</v>
      </c>
      <c r="H96" s="36">
        <v>20.6</v>
      </c>
      <c r="I96" s="36">
        <v>21.5</v>
      </c>
      <c r="J96" s="36">
        <v>21.2</v>
      </c>
      <c r="K96" s="36">
        <v>20</v>
      </c>
      <c r="L96" s="36">
        <v>11.7</v>
      </c>
      <c r="M96" s="36">
        <v>8.5</v>
      </c>
      <c r="N96" s="36">
        <v>9.5</v>
      </c>
      <c r="O96" s="36">
        <v>6.4</v>
      </c>
      <c r="P96" s="37">
        <f t="shared" si="32"/>
        <v>14.108333333333333</v>
      </c>
      <c r="Q96" s="38">
        <f t="shared" si="33"/>
        <v>1</v>
      </c>
      <c r="R96" s="140">
        <f t="shared" si="34"/>
        <v>11.766666666666666</v>
      </c>
      <c r="S96" s="150">
        <f t="shared" si="35"/>
        <v>1</v>
      </c>
      <c r="T96" s="140">
        <f t="shared" si="36"/>
        <v>17.633333333333336</v>
      </c>
      <c r="U96" s="9">
        <f t="shared" si="37"/>
        <v>1</v>
      </c>
      <c r="V96" s="141">
        <f t="shared" si="38"/>
        <v>14.108333333333333</v>
      </c>
      <c r="W96" s="142">
        <f t="shared" si="39"/>
        <v>1</v>
      </c>
      <c r="X96" s="144">
        <f t="shared" si="40"/>
        <v>17.399999999999999</v>
      </c>
      <c r="Y96" s="144">
        <f t="shared" si="41"/>
        <v>23.486666666666672</v>
      </c>
      <c r="Z96" s="144">
        <f t="shared" si="42"/>
        <v>19.914999999999999</v>
      </c>
      <c r="AA96" s="10"/>
      <c r="AB96" s="357" t="str">
        <f>VLOOKUP($B96,'2007-2020 Metadata'!$A$4:$S$214,MATCH("Urban Area /Monitoring Zone",'2007-2020 Metadata'!$A$4:$S$4,0),FALSE)</f>
        <v>Lower Hutt</v>
      </c>
      <c r="AC96" s="87" t="str">
        <f>VLOOKUP(B96,'2007-2020 Metadata'!$A$6:$A$214,1,FALSE)</f>
        <v>WEL003</v>
      </c>
      <c r="AD96" s="230" t="str">
        <f>VLOOKUP($AC96,'2007-2020 Metadata'!$A$6:$S$214,9,FALSE)</f>
        <v>Lower Hutt</v>
      </c>
      <c r="AE96" s="248">
        <f>IF(ISBLANK(VLOOKUP($AC96,'2007-2020 Metadata'!$A$6:$S$214,19,FALSE)),"",VLOOKUP($AC96,'2007-2020 Metadata'!$A$6:$S$214,19,FALSE))</f>
        <v>3.3</v>
      </c>
      <c r="AF96" s="88" t="str">
        <f>VLOOKUP($B96,'2007-2020 Metadata'!$A$4:$S$214,MATCH("Site type",'2007-2020 Metadata'!$A$4:$S$4,0),FALSE)</f>
        <v>SH</v>
      </c>
      <c r="AG96" s="143">
        <f t="shared" si="44"/>
        <v>6.4</v>
      </c>
      <c r="AH96" s="143">
        <f t="shared" si="45"/>
        <v>21.5</v>
      </c>
      <c r="AI96" s="144">
        <f t="shared" si="43"/>
        <v>19.914999999999999</v>
      </c>
    </row>
    <row r="97" spans="1:36" ht="12" customHeight="1" x14ac:dyDescent="0.15">
      <c r="A97" s="31"/>
      <c r="B97" s="40" t="s">
        <v>52</v>
      </c>
      <c r="C97" s="104">
        <f>IF(VLOOKUP($B97,'Monthly Summary 2012'!$B$7:$Q$221,14,FALSE)=0,"",VLOOKUP($B97,'Monthly Summary 2012'!$B$7:$Q$221,14,FALSE))</f>
        <v>16.5</v>
      </c>
      <c r="D97" s="36">
        <v>16.100000000000001</v>
      </c>
      <c r="E97" s="36">
        <v>18.399999999999999</v>
      </c>
      <c r="F97" s="36">
        <v>22.3</v>
      </c>
      <c r="G97" s="36">
        <v>21.7</v>
      </c>
      <c r="H97" s="36">
        <v>24.7</v>
      </c>
      <c r="I97" s="36">
        <v>27.4</v>
      </c>
      <c r="J97" s="36">
        <v>24</v>
      </c>
      <c r="K97" s="36">
        <v>22.4</v>
      </c>
      <c r="L97" s="36">
        <v>19.399999999999999</v>
      </c>
      <c r="M97" s="36">
        <v>20.3</v>
      </c>
      <c r="N97" s="36">
        <v>21.6</v>
      </c>
      <c r="O97" s="36">
        <v>12.1</v>
      </c>
      <c r="P97" s="37">
        <f t="shared" si="32"/>
        <v>20.866666666666667</v>
      </c>
      <c r="Q97" s="38">
        <f t="shared" si="33"/>
        <v>1</v>
      </c>
      <c r="R97" s="140">
        <f t="shared" si="34"/>
        <v>18.933333333333334</v>
      </c>
      <c r="S97" s="150">
        <f t="shared" si="35"/>
        <v>1</v>
      </c>
      <c r="T97" s="140">
        <f t="shared" si="36"/>
        <v>21.933333333333334</v>
      </c>
      <c r="U97" s="9">
        <f t="shared" si="37"/>
        <v>1</v>
      </c>
      <c r="V97" s="141">
        <f t="shared" si="38"/>
        <v>20.866666666666667</v>
      </c>
      <c r="W97" s="142">
        <f t="shared" si="39"/>
        <v>1</v>
      </c>
      <c r="X97" s="144">
        <f t="shared" si="40"/>
        <v>13.233333333333334</v>
      </c>
      <c r="Y97" s="144">
        <f t="shared" si="41"/>
        <v>16.583333333333336</v>
      </c>
      <c r="Z97" s="144">
        <f t="shared" si="42"/>
        <v>14.729166666666668</v>
      </c>
      <c r="AA97" s="10"/>
      <c r="AB97" s="357" t="str">
        <f>VLOOKUP($B97,'2007-2020 Metadata'!$A$4:$S$214,MATCH("Urban Area /Monitoring Zone",'2007-2020 Metadata'!$A$4:$S$4,0),FALSE)</f>
        <v>Porirua</v>
      </c>
      <c r="AC97" s="87" t="str">
        <f>VLOOKUP(B97,'2007-2020 Metadata'!$A$6:$A$214,1,FALSE)</f>
        <v>WEL005</v>
      </c>
      <c r="AD97" s="230" t="str">
        <f>VLOOKUP($AC97,'2007-2020 Metadata'!$A$6:$S$214,9,FALSE)</f>
        <v>Porirua</v>
      </c>
      <c r="AE97" s="248">
        <f>IF(ISBLANK(VLOOKUP($AC97,'2007-2020 Metadata'!$A$6:$S$214,19,FALSE)),"",VLOOKUP($AC97,'2007-2020 Metadata'!$A$6:$S$214,19,FALSE))</f>
        <v>3.2</v>
      </c>
      <c r="AF97" s="88" t="str">
        <f>VLOOKUP($B97,'2007-2020 Metadata'!$A$4:$S$214,MATCH("Site type",'2007-2020 Metadata'!$A$4:$S$4,0),FALSE)</f>
        <v>SH</v>
      </c>
      <c r="AG97" s="143">
        <f t="shared" si="44"/>
        <v>12.1</v>
      </c>
      <c r="AH97" s="143">
        <f t="shared" si="45"/>
        <v>27.4</v>
      </c>
      <c r="AI97" s="144">
        <f t="shared" si="43"/>
        <v>14.729166666666668</v>
      </c>
    </row>
    <row r="98" spans="1:36" ht="12" customHeight="1" x14ac:dyDescent="0.15">
      <c r="A98" s="31"/>
      <c r="B98" s="40" t="s">
        <v>53</v>
      </c>
      <c r="C98" s="104">
        <f>IF(VLOOKUP($B98,'Monthly Summary 2012'!$B$7:$Q$221,14,FALSE)=0,"",VLOOKUP($B98,'Monthly Summary 2012'!$B$7:$Q$221,14,FALSE))</f>
        <v>12.4</v>
      </c>
      <c r="D98" s="36">
        <v>13.7</v>
      </c>
      <c r="E98" s="36">
        <v>18.8</v>
      </c>
      <c r="F98" s="36">
        <v>18.399999999999999</v>
      </c>
      <c r="G98" s="36">
        <v>21.7</v>
      </c>
      <c r="H98" s="36">
        <v>23</v>
      </c>
      <c r="I98" s="36">
        <v>28.2</v>
      </c>
      <c r="J98" s="36">
        <v>25.5</v>
      </c>
      <c r="K98" s="36">
        <v>19.600000000000001</v>
      </c>
      <c r="L98" s="36">
        <v>17.100000000000001</v>
      </c>
      <c r="M98" s="36">
        <v>15.2</v>
      </c>
      <c r="N98" s="36">
        <v>18.3</v>
      </c>
      <c r="O98" s="36">
        <v>9</v>
      </c>
      <c r="P98" s="37">
        <f t="shared" si="32"/>
        <v>19.041666666666668</v>
      </c>
      <c r="Q98" s="38">
        <f t="shared" si="33"/>
        <v>1</v>
      </c>
      <c r="R98" s="140">
        <f t="shared" si="34"/>
        <v>16.966666666666665</v>
      </c>
      <c r="S98" s="150">
        <f t="shared" si="35"/>
        <v>1</v>
      </c>
      <c r="T98" s="140">
        <f t="shared" si="36"/>
        <v>20.733333333333334</v>
      </c>
      <c r="U98" s="9">
        <f t="shared" si="37"/>
        <v>1</v>
      </c>
      <c r="V98" s="141">
        <f t="shared" si="38"/>
        <v>19.041666666666668</v>
      </c>
      <c r="W98" s="142">
        <f t="shared" si="39"/>
        <v>1</v>
      </c>
      <c r="X98" s="144">
        <f t="shared" si="40"/>
        <v>20.469696969696969</v>
      </c>
      <c r="Y98" s="144">
        <f t="shared" si="41"/>
        <v>23.765151515151516</v>
      </c>
      <c r="Z98" s="144">
        <f t="shared" si="42"/>
        <v>22.567975206611571</v>
      </c>
      <c r="AA98" s="10"/>
      <c r="AB98" s="357" t="str">
        <f>VLOOKUP($B98,'2007-2020 Metadata'!$A$4:$S$214,MATCH("Urban Area /Monitoring Zone",'2007-2020 Metadata'!$A$4:$S$4,0),FALSE)</f>
        <v>Wellington</v>
      </c>
      <c r="AC98" s="87" t="str">
        <f>VLOOKUP(B98,'2007-2020 Metadata'!$A$6:$A$214,1,FALSE)</f>
        <v>WEL007</v>
      </c>
      <c r="AD98" s="230" t="str">
        <f>VLOOKUP($AC98,'2007-2020 Metadata'!$A$6:$S$214,9,FALSE)</f>
        <v>Wellington</v>
      </c>
      <c r="AE98" s="248">
        <f>IF(ISBLANK(VLOOKUP($AC98,'2007-2020 Metadata'!$A$6:$S$214,19,FALSE)),"",VLOOKUP($AC98,'2007-2020 Metadata'!$A$6:$S$214,19,FALSE))</f>
        <v>1</v>
      </c>
      <c r="AF98" s="88" t="str">
        <f>VLOOKUP($B98,'2007-2020 Metadata'!$A$4:$S$214,MATCH("Site type",'2007-2020 Metadata'!$A$4:$S$4,0),FALSE)</f>
        <v>SH</v>
      </c>
      <c r="AG98" s="143">
        <f t="shared" si="44"/>
        <v>9</v>
      </c>
      <c r="AH98" s="143">
        <f t="shared" si="45"/>
        <v>28.2</v>
      </c>
      <c r="AI98" s="144">
        <f t="shared" si="43"/>
        <v>22.567975206611571</v>
      </c>
    </row>
    <row r="99" spans="1:36" ht="12" customHeight="1" x14ac:dyDescent="0.15">
      <c r="A99" s="31"/>
      <c r="B99" s="40" t="s">
        <v>54</v>
      </c>
      <c r="C99" s="104">
        <f>IF(VLOOKUP($B99,'Monthly Summary 2012'!$B$7:$Q$221,14,FALSE)=0,"",VLOOKUP($B99,'Monthly Summary 2012'!$B$7:$Q$221,14,FALSE))</f>
        <v>26.3</v>
      </c>
      <c r="D99" s="36">
        <v>31.4</v>
      </c>
      <c r="E99" s="36">
        <v>32.200000000000003</v>
      </c>
      <c r="F99" s="36">
        <v>37.200000000000003</v>
      </c>
      <c r="G99" s="36">
        <v>41.2</v>
      </c>
      <c r="H99" s="36">
        <v>41.4</v>
      </c>
      <c r="I99" s="36">
        <v>47.4</v>
      </c>
      <c r="J99" s="36">
        <v>43.4</v>
      </c>
      <c r="K99" s="36">
        <v>37.299999999999997</v>
      </c>
      <c r="L99" s="36">
        <v>36.4</v>
      </c>
      <c r="M99" s="36">
        <v>36.299999999999997</v>
      </c>
      <c r="N99" s="36">
        <v>29.5</v>
      </c>
      <c r="O99" s="36">
        <v>26.4</v>
      </c>
      <c r="P99" s="37">
        <f t="shared" si="32"/>
        <v>36.674999999999997</v>
      </c>
      <c r="Q99" s="38">
        <f t="shared" si="33"/>
        <v>1</v>
      </c>
      <c r="R99" s="140">
        <f t="shared" si="34"/>
        <v>33.6</v>
      </c>
      <c r="S99" s="150">
        <f t="shared" si="35"/>
        <v>1</v>
      </c>
      <c r="T99" s="140">
        <f t="shared" si="36"/>
        <v>39.033333333333331</v>
      </c>
      <c r="U99" s="9">
        <f t="shared" si="37"/>
        <v>1</v>
      </c>
      <c r="V99" s="141">
        <f t="shared" si="38"/>
        <v>36.674999999999997</v>
      </c>
      <c r="W99" s="142">
        <f t="shared" si="39"/>
        <v>1</v>
      </c>
      <c r="X99" s="144">
        <f t="shared" si="40"/>
        <v>20.469696969696969</v>
      </c>
      <c r="Y99" s="144">
        <f t="shared" si="41"/>
        <v>23.765151515151516</v>
      </c>
      <c r="Z99" s="144">
        <f t="shared" si="42"/>
        <v>22.567975206611571</v>
      </c>
      <c r="AA99" s="10"/>
      <c r="AB99" s="357" t="str">
        <f>VLOOKUP($B99,'2007-2020 Metadata'!$A$4:$S$214,MATCH("Urban Area /Monitoring Zone",'2007-2020 Metadata'!$A$4:$S$4,0),FALSE)</f>
        <v>Wellington</v>
      </c>
      <c r="AC99" s="87" t="str">
        <f>VLOOKUP(B99,'2007-2020 Metadata'!$A$6:$A$214,1,FALSE)</f>
        <v>WEL008</v>
      </c>
      <c r="AD99" s="230" t="str">
        <f>VLOOKUP($AC99,'2007-2020 Metadata'!$A$6:$S$214,9,FALSE)</f>
        <v>Wellington</v>
      </c>
      <c r="AE99" s="248">
        <f>IF(ISBLANK(VLOOKUP($AC99,'2007-2020 Metadata'!$A$6:$S$214,19,FALSE)),"",VLOOKUP($AC99,'2007-2020 Metadata'!$A$6:$S$214,19,FALSE))</f>
        <v>3.1</v>
      </c>
      <c r="AF99" s="88" t="str">
        <f>VLOOKUP($B99,'2007-2020 Metadata'!$A$4:$S$214,MATCH("Site type",'2007-2020 Metadata'!$A$4:$S$4,0),FALSE)</f>
        <v>SH</v>
      </c>
      <c r="AG99" s="143">
        <f t="shared" si="44"/>
        <v>26.4</v>
      </c>
      <c r="AH99" s="143">
        <f t="shared" si="45"/>
        <v>47.4</v>
      </c>
      <c r="AI99" s="144">
        <f t="shared" si="43"/>
        <v>22.567975206611571</v>
      </c>
    </row>
    <row r="100" spans="1:36" ht="12" customHeight="1" x14ac:dyDescent="0.15">
      <c r="A100" s="31"/>
      <c r="B100" s="40" t="s">
        <v>55</v>
      </c>
      <c r="C100" s="104" t="str">
        <f>IF(VLOOKUP($B100,'Monthly Summary 2012'!$B$7:$Q$221,14,FALSE)=0,"",VLOOKUP($B100,'Monthly Summary 2012'!$B$7:$Q$221,14,FALSE))</f>
        <v/>
      </c>
      <c r="D100" s="36"/>
      <c r="E100" s="36">
        <v>21.8</v>
      </c>
      <c r="F100" s="36"/>
      <c r="G100" s="36">
        <v>25.8</v>
      </c>
      <c r="H100" s="36"/>
      <c r="I100" s="36"/>
      <c r="J100" s="36"/>
      <c r="K100" s="36">
        <v>29.8</v>
      </c>
      <c r="L100" s="36"/>
      <c r="M100" s="36">
        <v>24.4</v>
      </c>
      <c r="N100" s="36">
        <v>20</v>
      </c>
      <c r="O100" s="36"/>
      <c r="P100" s="37">
        <f t="shared" si="32"/>
        <v>24.360000000000003</v>
      </c>
      <c r="Q100" s="38">
        <f t="shared" si="33"/>
        <v>0.41666666666666669</v>
      </c>
      <c r="R100" s="140" t="str">
        <f t="shared" si="34"/>
        <v>-</v>
      </c>
      <c r="S100" s="150">
        <f t="shared" si="35"/>
        <v>0.33333333333333331</v>
      </c>
      <c r="T100" s="140" t="str">
        <f t="shared" si="36"/>
        <v>-</v>
      </c>
      <c r="U100" s="9">
        <f t="shared" si="37"/>
        <v>0.33333333333333331</v>
      </c>
      <c r="V100" s="141" t="str">
        <f t="shared" si="38"/>
        <v>-</v>
      </c>
      <c r="W100" s="142">
        <f t="shared" si="39"/>
        <v>0.41666666666666669</v>
      </c>
      <c r="X100" s="144">
        <f t="shared" si="40"/>
        <v>12.133333333333333</v>
      </c>
      <c r="Y100" s="144">
        <f t="shared" si="41"/>
        <v>20.766666666666669</v>
      </c>
      <c r="Z100" s="144">
        <f t="shared" si="42"/>
        <v>18.205454545454543</v>
      </c>
      <c r="AA100" s="10"/>
      <c r="AB100" s="357" t="str">
        <f>VLOOKUP($B100,'2007-2020 Metadata'!$A$4:$S$214,MATCH("Urban Area /Monitoring Zone",'2007-2020 Metadata'!$A$4:$S$4,0),FALSE)</f>
        <v>Nelson</v>
      </c>
      <c r="AC100" s="87" t="str">
        <f>VLOOKUP(B100,'2007-2020 Metadata'!$A$6:$A$214,1,FALSE)</f>
        <v>WEL009</v>
      </c>
      <c r="AD100" s="230" t="str">
        <f>VLOOKUP($AC100,'2007-2020 Metadata'!$A$6:$S$214,9,FALSE)</f>
        <v>Nelson</v>
      </c>
      <c r="AE100" s="248">
        <f>IF(ISBLANK(VLOOKUP($AC100,'2007-2020 Metadata'!$A$6:$S$214,19,FALSE)),"",VLOOKUP($AC100,'2007-2020 Metadata'!$A$6:$S$214,19,FALSE))</f>
        <v>3</v>
      </c>
      <c r="AF100" s="88" t="str">
        <f>VLOOKUP($B100,'2007-2020 Metadata'!$A$4:$S$214,MATCH("Site type",'2007-2020 Metadata'!$A$4:$S$4,0),FALSE)</f>
        <v>SH</v>
      </c>
      <c r="AG100" s="143">
        <f t="shared" si="44"/>
        <v>20</v>
      </c>
      <c r="AH100" s="143">
        <f t="shared" si="45"/>
        <v>29.8</v>
      </c>
      <c r="AI100" s="144" t="str">
        <f t="shared" si="43"/>
        <v xml:space="preserve"> </v>
      </c>
    </row>
    <row r="101" spans="1:36" ht="12" customHeight="1" x14ac:dyDescent="0.15">
      <c r="A101" s="31"/>
      <c r="B101" s="40" t="s">
        <v>56</v>
      </c>
      <c r="C101" s="104">
        <f>IF(VLOOKUP($B101,'Monthly Summary 2012'!$B$7:$Q$221,14,FALSE)=0,"",VLOOKUP($B101,'Monthly Summary 2012'!$B$7:$Q$221,14,FALSE))</f>
        <v>14.3</v>
      </c>
      <c r="D101" s="36">
        <v>13.7</v>
      </c>
      <c r="E101" s="36">
        <v>13.7</v>
      </c>
      <c r="F101" s="36">
        <v>18.7</v>
      </c>
      <c r="G101" s="36">
        <v>41.4</v>
      </c>
      <c r="H101" s="36">
        <v>27.7</v>
      </c>
      <c r="I101" s="36">
        <v>28.9</v>
      </c>
      <c r="J101" s="36">
        <v>26.3</v>
      </c>
      <c r="K101" s="36">
        <v>24.6</v>
      </c>
      <c r="L101" s="36">
        <v>19.899999999999999</v>
      </c>
      <c r="M101" s="36">
        <v>19.399999999999999</v>
      </c>
      <c r="N101" s="36">
        <v>13.1</v>
      </c>
      <c r="O101" s="36"/>
      <c r="P101" s="37">
        <f t="shared" si="32"/>
        <v>22.490909090909092</v>
      </c>
      <c r="Q101" s="38">
        <f t="shared" si="33"/>
        <v>0.91666666666666663</v>
      </c>
      <c r="R101" s="140">
        <f t="shared" si="34"/>
        <v>15.366666666666665</v>
      </c>
      <c r="S101" s="150">
        <f t="shared" si="35"/>
        <v>1</v>
      </c>
      <c r="T101" s="140">
        <f t="shared" si="36"/>
        <v>23.600000000000005</v>
      </c>
      <c r="U101" s="9">
        <f t="shared" si="37"/>
        <v>1</v>
      </c>
      <c r="V101" s="141">
        <f t="shared" si="38"/>
        <v>22.490909090909092</v>
      </c>
      <c r="W101" s="142">
        <f t="shared" si="39"/>
        <v>0.91666666666666663</v>
      </c>
      <c r="X101" s="144">
        <f t="shared" si="40"/>
        <v>12.133333333333333</v>
      </c>
      <c r="Y101" s="144">
        <f t="shared" si="41"/>
        <v>20.766666666666669</v>
      </c>
      <c r="Z101" s="144">
        <f t="shared" si="42"/>
        <v>18.205454545454543</v>
      </c>
      <c r="AA101" s="10"/>
      <c r="AB101" s="357" t="str">
        <f>VLOOKUP($B101,'2007-2020 Metadata'!$A$4:$S$214,MATCH("Urban Area /Monitoring Zone",'2007-2020 Metadata'!$A$4:$S$4,0),FALSE)</f>
        <v>Nelson</v>
      </c>
      <c r="AC101" s="87" t="str">
        <f>VLOOKUP(B101,'2007-2020 Metadata'!$A$6:$A$214,1,FALSE)</f>
        <v>WEL010</v>
      </c>
      <c r="AD101" s="230" t="str">
        <f>VLOOKUP($AC101,'2007-2020 Metadata'!$A$6:$S$214,9,FALSE)</f>
        <v>Nelson</v>
      </c>
      <c r="AE101" s="248">
        <f>IF(ISBLANK(VLOOKUP($AC101,'2007-2020 Metadata'!$A$6:$S$214,19,FALSE)),"",VLOOKUP($AC101,'2007-2020 Metadata'!$A$6:$S$214,19,FALSE))</f>
        <v>2.4</v>
      </c>
      <c r="AF101" s="88" t="str">
        <f>VLOOKUP($B101,'2007-2020 Metadata'!$A$4:$S$214,MATCH("Site type",'2007-2020 Metadata'!$A$4:$S$4,0),FALSE)</f>
        <v>SH</v>
      </c>
      <c r="AG101" s="143">
        <f t="shared" si="44"/>
        <v>13.1</v>
      </c>
      <c r="AH101" s="143">
        <f t="shared" si="45"/>
        <v>41.4</v>
      </c>
      <c r="AI101" s="144">
        <f t="shared" si="43"/>
        <v>18.205454545454543</v>
      </c>
    </row>
    <row r="102" spans="1:36" ht="12" customHeight="1" x14ac:dyDescent="0.15">
      <c r="A102" s="31"/>
      <c r="B102" s="40" t="s">
        <v>57</v>
      </c>
      <c r="C102" s="104">
        <f>IF(VLOOKUP($B102,'Monthly Summary 2012'!$B$7:$Q$221,14,FALSE)=0,"",VLOOKUP($B102,'Monthly Summary 2012'!$B$7:$Q$221,14,FALSE))</f>
        <v>6.7</v>
      </c>
      <c r="D102" s="36">
        <v>14.8</v>
      </c>
      <c r="E102" s="36">
        <v>14.9</v>
      </c>
      <c r="F102" s="36"/>
      <c r="G102" s="36">
        <v>19.3</v>
      </c>
      <c r="H102" s="36">
        <v>22.6</v>
      </c>
      <c r="I102" s="36">
        <v>24.5</v>
      </c>
      <c r="J102" s="36">
        <v>22.7</v>
      </c>
      <c r="K102" s="36">
        <v>21.4</v>
      </c>
      <c r="L102" s="36">
        <v>16.2</v>
      </c>
      <c r="M102" s="36">
        <v>13</v>
      </c>
      <c r="N102" s="36">
        <v>14.4</v>
      </c>
      <c r="O102" s="36"/>
      <c r="P102" s="37">
        <f t="shared" si="32"/>
        <v>18.38</v>
      </c>
      <c r="Q102" s="38">
        <f t="shared" si="33"/>
        <v>0.83333333333333337</v>
      </c>
      <c r="R102" s="140">
        <f t="shared" si="34"/>
        <v>14.850000000000001</v>
      </c>
      <c r="S102" s="150">
        <f t="shared" si="35"/>
        <v>0.66666666666666663</v>
      </c>
      <c r="T102" s="140">
        <f t="shared" si="36"/>
        <v>20.099999999999998</v>
      </c>
      <c r="U102" s="9">
        <f t="shared" si="37"/>
        <v>1</v>
      </c>
      <c r="V102" s="141">
        <f t="shared" si="38"/>
        <v>18.38</v>
      </c>
      <c r="W102" s="142">
        <f t="shared" si="39"/>
        <v>0.83333333333333337</v>
      </c>
      <c r="X102" s="144">
        <f t="shared" si="40"/>
        <v>14.850000000000001</v>
      </c>
      <c r="Y102" s="144">
        <f t="shared" si="41"/>
        <v>20.099999999999998</v>
      </c>
      <c r="Z102" s="144">
        <f t="shared" si="42"/>
        <v>18.38</v>
      </c>
      <c r="AA102" s="10"/>
      <c r="AB102" s="357" t="str">
        <f>VLOOKUP($B102,'2007-2020 Metadata'!$A$4:$S$214,MATCH("Urban Area /Monitoring Zone",'2007-2020 Metadata'!$A$4:$S$4,0),FALSE)</f>
        <v>Nelson</v>
      </c>
      <c r="AC102" s="87" t="str">
        <f>VLOOKUP(B102,'2007-2020 Metadata'!$A$6:$A$214,1,FALSE)</f>
        <v>WEL011</v>
      </c>
      <c r="AD102" s="230" t="str">
        <f>VLOOKUP($AC102,'2007-2020 Metadata'!$A$6:$S$214,9,FALSE)</f>
        <v>Tasman</v>
      </c>
      <c r="AE102" s="248">
        <f>IF(ISBLANK(VLOOKUP($AC102,'2007-2020 Metadata'!$A$6:$S$214,19,FALSE)),"",VLOOKUP($AC102,'2007-2020 Metadata'!$A$6:$S$214,19,FALSE))</f>
        <v>2.4</v>
      </c>
      <c r="AF102" s="88" t="str">
        <f>VLOOKUP($B102,'2007-2020 Metadata'!$A$4:$S$214,MATCH("Site type",'2007-2020 Metadata'!$A$4:$S$4,0),FALSE)</f>
        <v>SH</v>
      </c>
      <c r="AG102" s="143">
        <f t="shared" si="44"/>
        <v>13</v>
      </c>
      <c r="AH102" s="143">
        <f t="shared" si="45"/>
        <v>24.5</v>
      </c>
      <c r="AI102" s="144">
        <f t="shared" si="43"/>
        <v>18.38</v>
      </c>
    </row>
    <row r="103" spans="1:36" ht="12" customHeight="1" x14ac:dyDescent="0.15">
      <c r="A103" s="31"/>
      <c r="B103" s="40" t="s">
        <v>58</v>
      </c>
      <c r="C103" s="104">
        <f>IF(VLOOKUP($B103,'Monthly Summary 2012'!$B$7:$Q$221,14,FALSE)=0,"",VLOOKUP($B103,'Monthly Summary 2012'!$B$7:$Q$221,14,FALSE))</f>
        <v>9.8000000000000007</v>
      </c>
      <c r="D103" s="36">
        <v>9.8000000000000007</v>
      </c>
      <c r="E103" s="36"/>
      <c r="F103" s="36">
        <v>15.5</v>
      </c>
      <c r="G103" s="36">
        <v>18.2</v>
      </c>
      <c r="H103" s="36">
        <v>16.899999999999999</v>
      </c>
      <c r="I103" s="36">
        <v>24.3</v>
      </c>
      <c r="J103" s="36">
        <v>15.7</v>
      </c>
      <c r="K103" s="36">
        <v>18.5</v>
      </c>
      <c r="L103" s="36">
        <v>11.6</v>
      </c>
      <c r="M103" s="36">
        <v>10.9</v>
      </c>
      <c r="N103" s="36">
        <v>13.1</v>
      </c>
      <c r="O103" s="36">
        <v>9.9</v>
      </c>
      <c r="P103" s="37">
        <f t="shared" ref="P103:P134" si="46">(AVERAGE(D103:O103))</f>
        <v>14.945454545454545</v>
      </c>
      <c r="Q103" s="38">
        <f t="shared" ref="Q103:Q134" si="47">COUNT(D103:O103)/COUNT($D$6:$O$6)</f>
        <v>0.91666666666666663</v>
      </c>
      <c r="R103" s="140">
        <f t="shared" ref="R103:R134" si="48">IF($S103=0%,"",IF($S103&gt;66%,AVERAGE($D103:$F103),"-"))</f>
        <v>12.65</v>
      </c>
      <c r="S103" s="150">
        <f t="shared" ref="S103:S134" si="49">COUNT(D103:F103)/3</f>
        <v>0.66666666666666663</v>
      </c>
      <c r="T103" s="140">
        <f t="shared" ref="T103:T134" si="50">IF($U103=0%,"",IF($U103&gt;66%,AVERAGE($J103:$L103),"-"))</f>
        <v>15.266666666666667</v>
      </c>
      <c r="U103" s="9">
        <f t="shared" ref="U103:U134" si="51">COUNT(J103:L103)/3</f>
        <v>1</v>
      </c>
      <c r="V103" s="141">
        <f t="shared" ref="V103:V134" si="52">IF(AND(($S103&gt;33%),($U103&gt;33%),($W103&gt;=75%)),AVERAGE($D103:$O103),"-")</f>
        <v>14.945454545454545</v>
      </c>
      <c r="W103" s="142">
        <f t="shared" ref="W103:W134" si="53">Q103</f>
        <v>0.91666666666666663</v>
      </c>
      <c r="X103" s="144">
        <f t="shared" si="40"/>
        <v>12.65</v>
      </c>
      <c r="Y103" s="144">
        <f t="shared" ref="Y103:Y134" si="54">IF(VLOOKUP($B103,$AC$6:$AI$158,3,FALSE)="",$T103,IF(ISERROR(AVERAGEIF($AD$6:$AD$158,VLOOKUP($B103,$AC$6:$AI$158,2,FALSE),$T$6:$T$158)),"",AVERAGEIF($AD$6:$AD$158,VLOOKUP($B103,$AC$6:$AI$158,2,FALSE),$T$6:$T$158)))</f>
        <v>15.266666666666667</v>
      </c>
      <c r="Z103" s="144">
        <f t="shared" si="42"/>
        <v>14.945454545454545</v>
      </c>
      <c r="AA103" s="10"/>
      <c r="AB103" s="357" t="str">
        <f>VLOOKUP($B103,'2007-2020 Metadata'!$A$4:$S$214,MATCH("Urban Area /Monitoring Zone",'2007-2020 Metadata'!$A$4:$S$4,0),FALSE)</f>
        <v>Blenheim</v>
      </c>
      <c r="AC103" s="87" t="str">
        <f>VLOOKUP(B103,'2007-2020 Metadata'!$A$6:$A$214,1,FALSE)</f>
        <v>WEL012</v>
      </c>
      <c r="AD103" s="230" t="str">
        <f>VLOOKUP($AC103,'2007-2020 Metadata'!$A$6:$S$214,9,FALSE)</f>
        <v>Blenheim</v>
      </c>
      <c r="AE103" s="248">
        <f>IF(ISBLANK(VLOOKUP($AC103,'2007-2020 Metadata'!$A$6:$S$214,19,FALSE)),"",VLOOKUP($AC103,'2007-2020 Metadata'!$A$6:$S$214,19,FALSE))</f>
        <v>4.2</v>
      </c>
      <c r="AF103" s="88" t="str">
        <f>VLOOKUP($B103,'2007-2020 Metadata'!$A$4:$S$214,MATCH("Site type",'2007-2020 Metadata'!$A$4:$S$4,0),FALSE)</f>
        <v>SH</v>
      </c>
      <c r="AG103" s="143">
        <f t="shared" si="44"/>
        <v>9.8000000000000007</v>
      </c>
      <c r="AH103" s="143">
        <f t="shared" si="45"/>
        <v>24.3</v>
      </c>
      <c r="AI103" s="144">
        <f t="shared" ref="AI103:AI134" si="55">IF($W103&gt;=75%,$Z103," ")</f>
        <v>14.945454545454545</v>
      </c>
    </row>
    <row r="104" spans="1:36" ht="12" customHeight="1" x14ac:dyDescent="0.15">
      <c r="A104" s="31"/>
      <c r="B104" s="40" t="s">
        <v>119</v>
      </c>
      <c r="C104" s="104">
        <f>IF(VLOOKUP($B104,'Monthly Summary 2012'!$B$7:$Q$221,14,FALSE)=0,"",VLOOKUP($B104,'Monthly Summary 2012'!$B$7:$Q$221,14,FALSE))</f>
        <v>16.8</v>
      </c>
      <c r="D104" s="36">
        <v>13.9</v>
      </c>
      <c r="E104" s="36">
        <v>23.4</v>
      </c>
      <c r="F104" s="36">
        <v>24.7</v>
      </c>
      <c r="G104" s="36">
        <v>27.5</v>
      </c>
      <c r="H104" s="36">
        <v>31</v>
      </c>
      <c r="I104" s="36">
        <v>37.299999999999997</v>
      </c>
      <c r="J104" s="36">
        <v>34.799999999999997</v>
      </c>
      <c r="K104" s="36">
        <v>31</v>
      </c>
      <c r="L104" s="36">
        <v>23.2</v>
      </c>
      <c r="M104" s="36">
        <v>20.2</v>
      </c>
      <c r="N104" s="36">
        <v>25.8</v>
      </c>
      <c r="O104" s="36">
        <v>14.9</v>
      </c>
      <c r="P104" s="37">
        <f t="shared" si="46"/>
        <v>25.641666666666666</v>
      </c>
      <c r="Q104" s="38">
        <f t="shared" si="47"/>
        <v>1</v>
      </c>
      <c r="R104" s="260">
        <f t="shared" si="48"/>
        <v>20.666666666666668</v>
      </c>
      <c r="S104" s="261">
        <f t="shared" si="49"/>
        <v>1</v>
      </c>
      <c r="T104" s="260">
        <f t="shared" si="50"/>
        <v>29.666666666666668</v>
      </c>
      <c r="U104" s="265">
        <f t="shared" si="51"/>
        <v>1</v>
      </c>
      <c r="V104" s="262">
        <f t="shared" si="52"/>
        <v>25.641666666666666</v>
      </c>
      <c r="W104" s="261">
        <f t="shared" si="53"/>
        <v>1</v>
      </c>
      <c r="X104" s="359">
        <f t="shared" si="40"/>
        <v>20.469696969696969</v>
      </c>
      <c r="Y104" s="359">
        <f t="shared" si="54"/>
        <v>23.765151515151516</v>
      </c>
      <c r="Z104" s="359">
        <f t="shared" si="42"/>
        <v>22.567975206611571</v>
      </c>
      <c r="AA104" s="10"/>
      <c r="AB104" s="357" t="str">
        <f>VLOOKUP($B104,'2007-2020 Metadata'!$A$4:$S$214,MATCH("Urban Area /Monitoring Zone",'2007-2020 Metadata'!$A$4:$S$4,0),FALSE)</f>
        <v>Wellington</v>
      </c>
      <c r="AC104" s="259" t="str">
        <f>VLOOKUP(B104,'2007-2020 Metadata'!$A$6:$A$214,1,FALSE)</f>
        <v>WEL031</v>
      </c>
      <c r="AD104" s="361" t="str">
        <f>VLOOKUP($AC104,'2007-2020 Metadata'!$A$6:$S$214,9,FALSE)</f>
        <v>Wellington</v>
      </c>
      <c r="AE104" s="362">
        <f>IF(ISBLANK(VLOOKUP($AC104,'2007-2020 Metadata'!$A$6:$S$214,19,FALSE)),"",VLOOKUP($AC104,'2007-2020 Metadata'!$A$6:$S$214,19,FALSE))</f>
        <v>5.3</v>
      </c>
      <c r="AF104" s="360" t="str">
        <f>VLOOKUP($B104,'2007-2020 Metadata'!$A$4:$S$214,MATCH("Site type",'2007-2020 Metadata'!$A$4:$S$4,0),FALSE)</f>
        <v>SH</v>
      </c>
      <c r="AG104" s="365">
        <f>MIN(AVERAGE(D$104:D$106),AVERAGE(E$104:E$106),AVERAGE(F$104:F$106),AVERAGE(G$104:G$106),AVERAGE(H$104:H$106),AVERAGE(I$104:I$106),AVERAGE(J$104:J$106),AVERAGE(K$104:K$106),AVERAGE(L$104:L$106),AVERAGE(M$104:M$106),AVERAGE(N$104:N$106),AVERAGE(O$104:O$106))</f>
        <v>15.233333333333334</v>
      </c>
      <c r="AH104" s="365">
        <f>MAX(AVERAGE(D$104:D$106),AVERAGE(E$104:E$106),AVERAGE(F$104:F$106),AVERAGE(G$104:G$106),AVERAGE(H$104:H$106),AVERAGE(I$104:I$106),AVERAGE(J$104:J$106),AVERAGE(K$104:K$106),AVERAGE(L$104:L$106),AVERAGE(M$104:M$106),AVERAGE(N$104:N$106),AVERAGE(O$104:O$106))</f>
        <v>36.233333333333334</v>
      </c>
      <c r="AI104" s="359">
        <f t="shared" si="55"/>
        <v>22.567975206611571</v>
      </c>
    </row>
    <row r="105" spans="1:36" ht="12" customHeight="1" x14ac:dyDescent="0.15">
      <c r="A105" s="31"/>
      <c r="B105" s="40" t="s">
        <v>120</v>
      </c>
      <c r="C105" s="104">
        <f>IF(VLOOKUP($B105,'Monthly Summary 2012'!$B$7:$Q$221,14,FALSE)=0,"",VLOOKUP($B105,'Monthly Summary 2012'!$B$7:$Q$221,14,FALSE))</f>
        <v>16.600000000000001</v>
      </c>
      <c r="D105" s="36">
        <v>15.3</v>
      </c>
      <c r="E105" s="36">
        <v>22.4</v>
      </c>
      <c r="F105" s="36">
        <v>21.4</v>
      </c>
      <c r="G105" s="36">
        <v>29.2</v>
      </c>
      <c r="H105" s="36">
        <v>34.5</v>
      </c>
      <c r="I105" s="36">
        <v>38.200000000000003</v>
      </c>
      <c r="J105" s="36">
        <v>33.5</v>
      </c>
      <c r="K105" s="36">
        <v>29.6</v>
      </c>
      <c r="L105" s="36">
        <v>22.8</v>
      </c>
      <c r="M105" s="36">
        <v>20.9</v>
      </c>
      <c r="N105" s="36">
        <v>26.9</v>
      </c>
      <c r="O105" s="36">
        <v>15.5</v>
      </c>
      <c r="P105" s="37">
        <f t="shared" si="46"/>
        <v>25.849999999999998</v>
      </c>
      <c r="Q105" s="38">
        <f t="shared" si="47"/>
        <v>1</v>
      </c>
      <c r="R105" s="260">
        <f t="shared" si="48"/>
        <v>19.7</v>
      </c>
      <c r="S105" s="261">
        <f t="shared" si="49"/>
        <v>1</v>
      </c>
      <c r="T105" s="260">
        <f t="shared" si="50"/>
        <v>28.633333333333336</v>
      </c>
      <c r="U105" s="265">
        <f t="shared" si="51"/>
        <v>1</v>
      </c>
      <c r="V105" s="262">
        <f t="shared" si="52"/>
        <v>25.849999999999998</v>
      </c>
      <c r="W105" s="261">
        <f t="shared" si="53"/>
        <v>1</v>
      </c>
      <c r="X105" s="359">
        <f t="shared" si="40"/>
        <v>20.469696969696969</v>
      </c>
      <c r="Y105" s="359">
        <f t="shared" si="54"/>
        <v>23.765151515151516</v>
      </c>
      <c r="Z105" s="359">
        <f t="shared" si="42"/>
        <v>22.567975206611571</v>
      </c>
      <c r="AA105" s="10"/>
      <c r="AB105" s="357" t="str">
        <f>VLOOKUP($B105,'2007-2020 Metadata'!$A$4:$S$214,MATCH("Urban Area /Monitoring Zone",'2007-2020 Metadata'!$A$4:$S$4,0),FALSE)</f>
        <v>Wellington</v>
      </c>
      <c r="AC105" s="259" t="str">
        <f>VLOOKUP(B105,'2007-2020 Metadata'!$A$6:$A$214,1,FALSE)</f>
        <v>WEL032</v>
      </c>
      <c r="AD105" s="361" t="str">
        <f>VLOOKUP($AC105,'2007-2020 Metadata'!$A$6:$S$214,9,FALSE)</f>
        <v>Wellington</v>
      </c>
      <c r="AE105" s="362">
        <f>IF(ISBLANK(VLOOKUP($AC105,'2007-2020 Metadata'!$A$6:$S$214,19,FALSE)),"",VLOOKUP($AC105,'2007-2020 Metadata'!$A$6:$S$214,19,FALSE))</f>
        <v>5.3</v>
      </c>
      <c r="AF105" s="360" t="str">
        <f>VLOOKUP($B105,'2007-2020 Metadata'!$A$4:$S$214,MATCH("Site type",'2007-2020 Metadata'!$A$4:$S$4,0),FALSE)</f>
        <v>SH</v>
      </c>
      <c r="AG105" s="365">
        <f>MIN(AVERAGE(D$104:D$106),AVERAGE(E$104:E$106),AVERAGE(F$104:F$106),AVERAGE(G$104:G$106),AVERAGE(H$104:H$106),AVERAGE(I$104:I$106),AVERAGE(J$104:J$106),AVERAGE(K$104:K$106),AVERAGE(L$104:L$106),AVERAGE(M$104:M$106),AVERAGE(N$104:N$106),AVERAGE(O$104:O$106))</f>
        <v>15.233333333333334</v>
      </c>
      <c r="AH105" s="365">
        <f>MAX(AVERAGE(D$104:D$106),AVERAGE(E$104:E$106),AVERAGE(F$104:F$106),AVERAGE(G$104:G$106),AVERAGE(H$104:H$106),AVERAGE(I$104:I$106),AVERAGE(J$104:J$106),AVERAGE(K$104:K$106),AVERAGE(L$104:L$106),AVERAGE(M$104:M$106),AVERAGE(N$104:N$106),AVERAGE(O$104:O$106))</f>
        <v>36.233333333333334</v>
      </c>
      <c r="AI105" s="359">
        <f t="shared" si="55"/>
        <v>22.567975206611571</v>
      </c>
    </row>
    <row r="106" spans="1:36" ht="12" customHeight="1" x14ac:dyDescent="0.15">
      <c r="A106" s="31"/>
      <c r="B106" s="40" t="s">
        <v>121</v>
      </c>
      <c r="C106" s="104">
        <f>IF(VLOOKUP($B106,'Monthly Summary 2012'!$B$7:$Q$221,14,FALSE)=0,"",VLOOKUP($B106,'Monthly Summary 2012'!$B$7:$Q$221,14,FALSE))</f>
        <v>11.3</v>
      </c>
      <c r="D106" s="36">
        <v>18.100000000000001</v>
      </c>
      <c r="E106" s="36">
        <v>22</v>
      </c>
      <c r="F106" s="36">
        <v>22.8</v>
      </c>
      <c r="G106" s="36">
        <v>26.3</v>
      </c>
      <c r="H106" s="36">
        <v>33</v>
      </c>
      <c r="I106" s="36">
        <v>33.200000000000003</v>
      </c>
      <c r="J106" s="36">
        <v>32.200000000000003</v>
      </c>
      <c r="K106" s="36">
        <v>31.6</v>
      </c>
      <c r="L106" s="36">
        <v>25.4</v>
      </c>
      <c r="M106" s="36">
        <v>23.1</v>
      </c>
      <c r="N106" s="36">
        <v>27.3</v>
      </c>
      <c r="O106" s="36">
        <v>15.3</v>
      </c>
      <c r="P106" s="37">
        <f t="shared" si="46"/>
        <v>25.858333333333338</v>
      </c>
      <c r="Q106" s="38">
        <f t="shared" si="47"/>
        <v>1</v>
      </c>
      <c r="R106" s="260">
        <f t="shared" si="48"/>
        <v>20.966666666666669</v>
      </c>
      <c r="S106" s="261">
        <f t="shared" si="49"/>
        <v>1</v>
      </c>
      <c r="T106" s="260">
        <f t="shared" si="50"/>
        <v>29.733333333333334</v>
      </c>
      <c r="U106" s="265">
        <f t="shared" si="51"/>
        <v>1</v>
      </c>
      <c r="V106" s="262">
        <f t="shared" si="52"/>
        <v>25.858333333333338</v>
      </c>
      <c r="W106" s="261">
        <f t="shared" si="53"/>
        <v>1</v>
      </c>
      <c r="X106" s="359">
        <f t="shared" si="40"/>
        <v>20.469696969696969</v>
      </c>
      <c r="Y106" s="359">
        <f t="shared" si="54"/>
        <v>23.765151515151516</v>
      </c>
      <c r="Z106" s="359">
        <f t="shared" si="42"/>
        <v>22.567975206611571</v>
      </c>
      <c r="AA106" s="10"/>
      <c r="AB106" s="357" t="str">
        <f>VLOOKUP($B106,'2007-2020 Metadata'!$A$4:$S$214,MATCH("Urban Area /Monitoring Zone",'2007-2020 Metadata'!$A$4:$S$4,0),FALSE)</f>
        <v>Wellington</v>
      </c>
      <c r="AC106" s="259" t="str">
        <f>VLOOKUP(B106,'2007-2020 Metadata'!$A$6:$A$214,1,FALSE)</f>
        <v>WEL033</v>
      </c>
      <c r="AD106" s="361" t="str">
        <f>VLOOKUP($AC106,'2007-2020 Metadata'!$A$6:$S$214,9,FALSE)</f>
        <v>Wellington</v>
      </c>
      <c r="AE106" s="362">
        <f>IF(ISBLANK(VLOOKUP($AC106,'2007-2020 Metadata'!$A$6:$S$214,19,FALSE)),"",VLOOKUP($AC106,'2007-2020 Metadata'!$A$6:$S$214,19,FALSE))</f>
        <v>5.3</v>
      </c>
      <c r="AF106" s="360" t="str">
        <f>VLOOKUP($B106,'2007-2020 Metadata'!$A$4:$S$214,MATCH("Site type",'2007-2020 Metadata'!$A$4:$S$4,0),FALSE)</f>
        <v>SH</v>
      </c>
      <c r="AG106" s="365">
        <f>MIN(AVERAGE(D$104:D$106),AVERAGE(E$104:E$106),AVERAGE(F$104:F$106),AVERAGE(G$104:G$106),AVERAGE(H$104:H$106),AVERAGE(I$104:I$106),AVERAGE(J$104:J$106),AVERAGE(K$104:K$106),AVERAGE(L$104:L$106),AVERAGE(M$104:M$106),AVERAGE(N$104:N$106),AVERAGE(O$104:O$106))</f>
        <v>15.233333333333334</v>
      </c>
      <c r="AH106" s="365">
        <f>MAX(AVERAGE(D$104:D$106),AVERAGE(E$104:E$106),AVERAGE(F$104:F$106),AVERAGE(G$104:G$106),AVERAGE(H$104:H$106),AVERAGE(I$104:I$106),AVERAGE(J$104:J$106),AVERAGE(K$104:K$106),AVERAGE(L$104:L$106),AVERAGE(M$104:M$106),AVERAGE(N$104:N$106),AVERAGE(O$104:O$106))</f>
        <v>36.233333333333334</v>
      </c>
      <c r="AI106" s="359">
        <f t="shared" si="55"/>
        <v>22.567975206611571</v>
      </c>
    </row>
    <row r="107" spans="1:36" ht="12" customHeight="1" x14ac:dyDescent="0.15">
      <c r="A107" s="31"/>
      <c r="B107" s="40" t="s">
        <v>122</v>
      </c>
      <c r="C107" s="104" t="str">
        <f>IF(VLOOKUP($B107,'Monthly Summary 2012'!$B$7:$Q$221,14,FALSE)=0,"",VLOOKUP($B107,'Monthly Summary 2012'!$B$7:$Q$221,14,FALSE))</f>
        <v/>
      </c>
      <c r="D107" s="36">
        <v>7.9</v>
      </c>
      <c r="E107" s="36">
        <v>8</v>
      </c>
      <c r="F107" s="36">
        <v>12.2</v>
      </c>
      <c r="G107" s="36"/>
      <c r="H107" s="36"/>
      <c r="I107" s="36"/>
      <c r="J107" s="36"/>
      <c r="K107" s="36"/>
      <c r="L107" s="36"/>
      <c r="M107" s="36"/>
      <c r="N107" s="36"/>
      <c r="O107" s="36"/>
      <c r="P107" s="37">
        <f t="shared" si="46"/>
        <v>9.3666666666666671</v>
      </c>
      <c r="Q107" s="38">
        <f t="shared" si="47"/>
        <v>0.25</v>
      </c>
      <c r="R107" s="260">
        <f t="shared" si="48"/>
        <v>9.3666666666666671</v>
      </c>
      <c r="S107" s="261">
        <f t="shared" si="49"/>
        <v>1</v>
      </c>
      <c r="T107" s="260" t="str">
        <f t="shared" si="50"/>
        <v/>
      </c>
      <c r="U107" s="9">
        <f t="shared" si="51"/>
        <v>0</v>
      </c>
      <c r="V107" s="262" t="str">
        <f t="shared" si="52"/>
        <v>-</v>
      </c>
      <c r="W107" s="142">
        <f t="shared" si="53"/>
        <v>0.25</v>
      </c>
      <c r="X107" s="359" t="s">
        <v>493</v>
      </c>
      <c r="Y107" s="359" t="str">
        <f t="shared" si="54"/>
        <v/>
      </c>
      <c r="Z107" s="359" t="s">
        <v>493</v>
      </c>
      <c r="AA107" s="10"/>
      <c r="AB107" s="357" t="str">
        <f>VLOOKUP($B107,'2007-2020 Metadata'!$A$4:$S$214,MATCH("Urban Area /Monitoring Zone",'2007-2020 Metadata'!$A$4:$S$4,0),FALSE)</f>
        <v>Wellington</v>
      </c>
      <c r="AC107" s="259" t="str">
        <f>VLOOKUP(B107,'2007-2020 Metadata'!$A$6:$A$214,1,FALSE)</f>
        <v>WEL034</v>
      </c>
      <c r="AD107" s="361" t="str">
        <f>VLOOKUP($AC107,'2007-2020 Metadata'!$A$6:$S$214,9,FALSE)</f>
        <v>Tawa</v>
      </c>
      <c r="AE107" s="362">
        <f>IF(ISBLANK(VLOOKUP($AC107,'2007-2020 Metadata'!$A$6:$S$214,19,FALSE)),"",VLOOKUP($AC107,'2007-2020 Metadata'!$A$6:$S$214,19,FALSE))</f>
        <v>3.6</v>
      </c>
      <c r="AF107" s="360" t="str">
        <f>VLOOKUP($B107,'2007-2020 Metadata'!$A$4:$S$214,MATCH("Site type",'2007-2020 Metadata'!$A$4:$S$4,0),FALSE)</f>
        <v>Background</v>
      </c>
      <c r="AG107" s="365">
        <f>MIN(AVERAGE(D$107:D$109),AVERAGE(E$107:E$109))</f>
        <v>7.0666666666666673</v>
      </c>
      <c r="AH107" s="365">
        <f>MAX(AVERAGE(D$107:D$109))</f>
        <v>7.0666666666666673</v>
      </c>
      <c r="AI107" s="359" t="str">
        <f t="shared" si="55"/>
        <v xml:space="preserve"> </v>
      </c>
      <c r="AJ107" s="39" t="s">
        <v>545</v>
      </c>
    </row>
    <row r="108" spans="1:36" ht="12" customHeight="1" x14ac:dyDescent="0.15">
      <c r="A108" s="31"/>
      <c r="B108" s="40" t="s">
        <v>123</v>
      </c>
      <c r="C108" s="104" t="str">
        <f>IF(VLOOKUP($B108,'Monthly Summary 2012'!$B$7:$Q$221,14,FALSE)=0,"",VLOOKUP($B108,'Monthly Summary 2012'!$B$7:$Q$221,14,FALSE))</f>
        <v/>
      </c>
      <c r="D108" s="36">
        <v>7.9</v>
      </c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7">
        <f t="shared" si="46"/>
        <v>7.9</v>
      </c>
      <c r="Q108" s="38">
        <f t="shared" si="47"/>
        <v>8.3333333333333329E-2</v>
      </c>
      <c r="R108" s="260" t="str">
        <f t="shared" si="48"/>
        <v>-</v>
      </c>
      <c r="S108" s="150">
        <f t="shared" si="49"/>
        <v>0.33333333333333331</v>
      </c>
      <c r="T108" s="260" t="str">
        <f t="shared" si="50"/>
        <v/>
      </c>
      <c r="U108" s="9">
        <f t="shared" si="51"/>
        <v>0</v>
      </c>
      <c r="V108" s="262" t="str">
        <f t="shared" si="52"/>
        <v>-</v>
      </c>
      <c r="W108" s="142">
        <f t="shared" si="53"/>
        <v>8.3333333333333329E-2</v>
      </c>
      <c r="X108" s="359" t="s">
        <v>493</v>
      </c>
      <c r="Y108" s="359" t="str">
        <f t="shared" si="54"/>
        <v/>
      </c>
      <c r="Z108" s="359" t="s">
        <v>493</v>
      </c>
      <c r="AA108" s="10"/>
      <c r="AB108" s="357" t="str">
        <f>VLOOKUP($B108,'2007-2020 Metadata'!$A$4:$S$214,MATCH("Urban Area /Monitoring Zone",'2007-2020 Metadata'!$A$4:$S$4,0),FALSE)</f>
        <v>Wellington</v>
      </c>
      <c r="AC108" s="259" t="str">
        <f>VLOOKUP(B108,'2007-2020 Metadata'!$A$6:$A$214,1,FALSE)</f>
        <v>WEL035</v>
      </c>
      <c r="AD108" s="361" t="str">
        <f>VLOOKUP($AC108,'2007-2020 Metadata'!$A$6:$S$214,9,FALSE)</f>
        <v>Tawa</v>
      </c>
      <c r="AE108" s="362">
        <f>IF(ISBLANK(VLOOKUP($AC108,'2007-2020 Metadata'!$A$6:$S$214,19,FALSE)),"",VLOOKUP($AC108,'2007-2020 Metadata'!$A$6:$S$214,19,FALSE))</f>
        <v>3.6</v>
      </c>
      <c r="AF108" s="360" t="str">
        <f>VLOOKUP($B108,'2007-2020 Metadata'!$A$4:$S$214,MATCH("Site type",'2007-2020 Metadata'!$A$4:$S$4,0),FALSE)</f>
        <v>Background</v>
      </c>
      <c r="AG108" s="365">
        <f>MIN(AVERAGE(D$107:D$109),AVERAGE(E$107:E$109))</f>
        <v>7.0666666666666673</v>
      </c>
      <c r="AH108" s="365">
        <f>MAX(AVERAGE(D$107:D$109))</f>
        <v>7.0666666666666673</v>
      </c>
      <c r="AI108" s="359" t="str">
        <f t="shared" si="55"/>
        <v xml:space="preserve"> </v>
      </c>
      <c r="AJ108" s="39" t="s">
        <v>545</v>
      </c>
    </row>
    <row r="109" spans="1:36" ht="12" customHeight="1" x14ac:dyDescent="0.15">
      <c r="A109" s="31"/>
      <c r="B109" s="40" t="s">
        <v>124</v>
      </c>
      <c r="C109" s="104" t="str">
        <f>IF(VLOOKUP($B109,'Monthly Summary 2012'!$B$7:$Q$221,14,FALSE)=0,"",VLOOKUP($B109,'Monthly Summary 2012'!$B$7:$Q$221,14,FALSE))</f>
        <v/>
      </c>
      <c r="D109" s="36">
        <v>5.4</v>
      </c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7">
        <f t="shared" si="46"/>
        <v>5.4</v>
      </c>
      <c r="Q109" s="38">
        <f t="shared" si="47"/>
        <v>8.3333333333333329E-2</v>
      </c>
      <c r="R109" s="260" t="str">
        <f t="shared" si="48"/>
        <v>-</v>
      </c>
      <c r="S109" s="150">
        <f t="shared" si="49"/>
        <v>0.33333333333333331</v>
      </c>
      <c r="T109" s="260" t="str">
        <f t="shared" si="50"/>
        <v/>
      </c>
      <c r="U109" s="9">
        <f t="shared" si="51"/>
        <v>0</v>
      </c>
      <c r="V109" s="262" t="str">
        <f t="shared" si="52"/>
        <v>-</v>
      </c>
      <c r="W109" s="142">
        <f t="shared" si="53"/>
        <v>8.3333333333333329E-2</v>
      </c>
      <c r="X109" s="359" t="s">
        <v>493</v>
      </c>
      <c r="Y109" s="359" t="str">
        <f t="shared" si="54"/>
        <v/>
      </c>
      <c r="Z109" s="359" t="s">
        <v>493</v>
      </c>
      <c r="AA109" s="10"/>
      <c r="AB109" s="357" t="str">
        <f>VLOOKUP($B109,'2007-2020 Metadata'!$A$4:$S$214,MATCH("Urban Area /Monitoring Zone",'2007-2020 Metadata'!$A$4:$S$4,0),FALSE)</f>
        <v>Wellington</v>
      </c>
      <c r="AC109" s="259" t="str">
        <f>VLOOKUP(B109,'2007-2020 Metadata'!$A$6:$A$214,1,FALSE)</f>
        <v>WEL036</v>
      </c>
      <c r="AD109" s="361" t="str">
        <f>VLOOKUP($AC109,'2007-2020 Metadata'!$A$6:$S$214,9,FALSE)</f>
        <v>Tawa</v>
      </c>
      <c r="AE109" s="362">
        <f>IF(ISBLANK(VLOOKUP($AC109,'2007-2020 Metadata'!$A$6:$S$214,19,FALSE)),"",VLOOKUP($AC109,'2007-2020 Metadata'!$A$6:$S$214,19,FALSE))</f>
        <v>3.6</v>
      </c>
      <c r="AF109" s="360" t="str">
        <f>VLOOKUP($B109,'2007-2020 Metadata'!$A$4:$S$214,MATCH("Site type",'2007-2020 Metadata'!$A$4:$S$4,0),FALSE)</f>
        <v>Background</v>
      </c>
      <c r="AG109" s="365">
        <f>MIN(AVERAGE(D$107:D$109),AVERAGE(E$107:E$109))</f>
        <v>7.0666666666666673</v>
      </c>
      <c r="AH109" s="365">
        <f>MAX(AVERAGE(D$107:D$109))</f>
        <v>7.0666666666666673</v>
      </c>
      <c r="AI109" s="359" t="str">
        <f t="shared" si="55"/>
        <v xml:space="preserve"> </v>
      </c>
      <c r="AJ109" s="39" t="s">
        <v>545</v>
      </c>
    </row>
    <row r="110" spans="1:36" ht="12" customHeight="1" x14ac:dyDescent="0.15">
      <c r="A110" s="31"/>
      <c r="B110" s="40" t="s">
        <v>125</v>
      </c>
      <c r="C110" s="104">
        <f>IF(VLOOKUP($B110,'Monthly Summary 2012'!$B$7:$Q$221,14,FALSE)=0,"",VLOOKUP($B110,'Monthly Summary 2012'!$B$7:$Q$221,14,FALSE))</f>
        <v>8</v>
      </c>
      <c r="D110" s="36">
        <v>7.6</v>
      </c>
      <c r="E110" s="36">
        <v>8.6999999999999993</v>
      </c>
      <c r="F110" s="36">
        <v>11.7</v>
      </c>
      <c r="G110" s="36">
        <v>12.7</v>
      </c>
      <c r="H110" s="36">
        <v>15.4</v>
      </c>
      <c r="I110" s="36">
        <v>16.100000000000001</v>
      </c>
      <c r="J110" s="36">
        <v>14.5</v>
      </c>
      <c r="K110" s="36">
        <v>13.3</v>
      </c>
      <c r="L110" s="36">
        <v>10.8</v>
      </c>
      <c r="M110" s="36">
        <v>10.7</v>
      </c>
      <c r="N110" s="36">
        <v>10.8</v>
      </c>
      <c r="O110" s="36">
        <v>6.3</v>
      </c>
      <c r="P110" s="37">
        <f t="shared" si="46"/>
        <v>11.549999999999999</v>
      </c>
      <c r="Q110" s="38">
        <f t="shared" si="47"/>
        <v>1</v>
      </c>
      <c r="R110" s="140">
        <f t="shared" si="48"/>
        <v>9.3333333333333321</v>
      </c>
      <c r="S110" s="150">
        <f t="shared" si="49"/>
        <v>1</v>
      </c>
      <c r="T110" s="140">
        <f t="shared" si="50"/>
        <v>12.866666666666667</v>
      </c>
      <c r="U110" s="9">
        <f t="shared" si="51"/>
        <v>1</v>
      </c>
      <c r="V110" s="141">
        <f t="shared" si="52"/>
        <v>11.549999999999999</v>
      </c>
      <c r="W110" s="142">
        <f t="shared" si="53"/>
        <v>1</v>
      </c>
      <c r="X110" s="144">
        <f t="shared" ref="X110:X152" si="56">IF(VLOOKUP($B110,$AC$6:$AI$158,3,FALSE)="",$R110,IF(ISERROR(AVERAGEIF($AD$6:$AD$158,VLOOKUP($B110,$AC$6:$AI$158,2,FALSE),$R$6:$R$158)),"",AVERAGEIF($AD$6:$AD$158,VLOOKUP($B110,$AC$6:$AI$158,2,FALSE),$R$6:$R$158)))</f>
        <v>20.469696969696969</v>
      </c>
      <c r="Y110" s="144">
        <f t="shared" si="54"/>
        <v>23.765151515151516</v>
      </c>
      <c r="Z110" s="144">
        <f t="shared" ref="Z110:Z152" si="57">IF(VLOOKUP($B110,$AC$6:$AI$158,3,FALSE)="",$V110,IF(ISERROR(AVERAGEIF($AD$6:$AD$158,VLOOKUP($B110,$AC$6:$AI$158,2,FALSE),$V$6:$V$158)),"",AVERAGEIF($AD$6:$AD$158,VLOOKUP($B110,$AC$6:$AI$158,2,FALSE),$V$6:$V$158)))</f>
        <v>22.567975206611571</v>
      </c>
      <c r="AA110" s="10"/>
      <c r="AB110" s="357" t="str">
        <f>VLOOKUP($B110,'2007-2020 Metadata'!$A$4:$S$214,MATCH("Urban Area /Monitoring Zone",'2007-2020 Metadata'!$A$4:$S$4,0),FALSE)</f>
        <v>Wellington</v>
      </c>
      <c r="AC110" s="87" t="str">
        <f>VLOOKUP(B110,'2007-2020 Metadata'!$A$6:$A$214,1,FALSE)</f>
        <v>WEL047</v>
      </c>
      <c r="AD110" s="230" t="str">
        <f>VLOOKUP($AC110,'2007-2020 Metadata'!$A$6:$S$214,9,FALSE)</f>
        <v>Wellington</v>
      </c>
      <c r="AE110" s="248">
        <f>IF(ISBLANK(VLOOKUP($AC110,'2007-2020 Metadata'!$A$6:$S$214,19,FALSE)),"",VLOOKUP($AC110,'2007-2020 Metadata'!$A$6:$S$214,19,FALSE))</f>
        <v>3.5</v>
      </c>
      <c r="AF110" s="88" t="str">
        <f>VLOOKUP($B110,'2007-2020 Metadata'!$A$4:$S$214,MATCH("Site type",'2007-2020 Metadata'!$A$4:$S$4,0),FALSE)</f>
        <v>Local</v>
      </c>
      <c r="AG110" s="143">
        <f t="shared" ref="AG110:AG136" si="58">MIN($D110:$O110)</f>
        <v>6.3</v>
      </c>
      <c r="AH110" s="143">
        <f t="shared" ref="AH110:AH116" si="59">MAX($D110:$O110)</f>
        <v>16.100000000000001</v>
      </c>
      <c r="AI110" s="144">
        <f t="shared" si="55"/>
        <v>22.567975206611571</v>
      </c>
    </row>
    <row r="111" spans="1:36" ht="12" customHeight="1" x14ac:dyDescent="0.15">
      <c r="A111" s="31"/>
      <c r="B111" s="40" t="s">
        <v>126</v>
      </c>
      <c r="C111" s="104">
        <f>IF(VLOOKUP($B111,'Monthly Summary 2012'!$B$7:$Q$221,14,FALSE)=0,"",VLOOKUP($B111,'Monthly Summary 2012'!$B$7:$Q$221,14,FALSE))</f>
        <v>7.3</v>
      </c>
      <c r="D111" s="36">
        <v>7.5</v>
      </c>
      <c r="E111" s="36">
        <v>10.7</v>
      </c>
      <c r="F111" s="36">
        <v>12</v>
      </c>
      <c r="G111" s="36">
        <v>9.9</v>
      </c>
      <c r="H111" s="36"/>
      <c r="I111" s="36">
        <v>13</v>
      </c>
      <c r="J111" s="36">
        <v>7.1</v>
      </c>
      <c r="K111" s="36">
        <v>13</v>
      </c>
      <c r="L111" s="36">
        <v>9.9</v>
      </c>
      <c r="M111" s="36">
        <v>5.2</v>
      </c>
      <c r="N111" s="36">
        <v>7.5</v>
      </c>
      <c r="O111" s="36">
        <v>4.2</v>
      </c>
      <c r="P111" s="37">
        <f t="shared" si="46"/>
        <v>9.0909090909090917</v>
      </c>
      <c r="Q111" s="38">
        <f t="shared" si="47"/>
        <v>0.91666666666666663</v>
      </c>
      <c r="R111" s="140">
        <f t="shared" si="48"/>
        <v>10.066666666666666</v>
      </c>
      <c r="S111" s="150">
        <f t="shared" si="49"/>
        <v>1</v>
      </c>
      <c r="T111" s="140">
        <f t="shared" si="50"/>
        <v>10</v>
      </c>
      <c r="U111" s="9">
        <f t="shared" si="51"/>
        <v>1</v>
      </c>
      <c r="V111" s="141">
        <f t="shared" si="52"/>
        <v>9.0909090909090917</v>
      </c>
      <c r="W111" s="142">
        <f t="shared" si="53"/>
        <v>0.91666666666666663</v>
      </c>
      <c r="X111" s="144">
        <f t="shared" si="56"/>
        <v>20.469696969696969</v>
      </c>
      <c r="Y111" s="144">
        <f t="shared" si="54"/>
        <v>23.765151515151516</v>
      </c>
      <c r="Z111" s="144">
        <f t="shared" si="57"/>
        <v>22.567975206611571</v>
      </c>
      <c r="AA111" s="10"/>
      <c r="AB111" s="357" t="str">
        <f>VLOOKUP($B111,'2007-2020 Metadata'!$A$4:$S$214,MATCH("Urban Area /Monitoring Zone",'2007-2020 Metadata'!$A$4:$S$4,0),FALSE)</f>
        <v>Wellington</v>
      </c>
      <c r="AC111" s="87" t="str">
        <f>VLOOKUP(B111,'2007-2020 Metadata'!$A$6:$A$214,1,FALSE)</f>
        <v>WEL048</v>
      </c>
      <c r="AD111" s="230" t="str">
        <f>VLOOKUP($AC111,'2007-2020 Metadata'!$A$6:$S$214,9,FALSE)</f>
        <v>Wellington</v>
      </c>
      <c r="AE111" s="248">
        <f>IF(ISBLANK(VLOOKUP($AC111,'2007-2020 Metadata'!$A$6:$S$214,19,FALSE)),"",VLOOKUP($AC111,'2007-2020 Metadata'!$A$6:$S$214,19,FALSE))</f>
        <v>4</v>
      </c>
      <c r="AF111" s="88" t="str">
        <f>VLOOKUP($B111,'2007-2020 Metadata'!$A$4:$S$214,MATCH("Site type",'2007-2020 Metadata'!$A$4:$S$4,0),FALSE)</f>
        <v>Background</v>
      </c>
      <c r="AG111" s="143">
        <f t="shared" si="58"/>
        <v>4.2</v>
      </c>
      <c r="AH111" s="143">
        <f t="shared" si="59"/>
        <v>13</v>
      </c>
      <c r="AI111" s="144">
        <f t="shared" si="55"/>
        <v>22.567975206611571</v>
      </c>
    </row>
    <row r="112" spans="1:36" ht="12" customHeight="1" x14ac:dyDescent="0.15">
      <c r="A112" s="31"/>
      <c r="B112" s="40" t="s">
        <v>127</v>
      </c>
      <c r="C112" s="104">
        <f>IF(VLOOKUP($B112,'Monthly Summary 2012'!$B$7:$Q$221,14,FALSE)=0,"",VLOOKUP($B112,'Monthly Summary 2012'!$B$7:$Q$221,14,FALSE))</f>
        <v>26.2</v>
      </c>
      <c r="D112" s="36">
        <v>35.799999999999997</v>
      </c>
      <c r="E112" s="36">
        <v>39.299999999999997</v>
      </c>
      <c r="F112" s="36">
        <v>40.700000000000003</v>
      </c>
      <c r="G112" s="36">
        <v>48.8</v>
      </c>
      <c r="H112" s="36">
        <v>43.8</v>
      </c>
      <c r="I112" s="36">
        <v>50.1</v>
      </c>
      <c r="J112" s="36">
        <v>45.8</v>
      </c>
      <c r="K112" s="36">
        <v>44.9</v>
      </c>
      <c r="L112" s="36">
        <v>28.4</v>
      </c>
      <c r="M112" s="36">
        <v>35.6</v>
      </c>
      <c r="N112" s="36">
        <v>30.9</v>
      </c>
      <c r="O112" s="36">
        <v>21.6</v>
      </c>
      <c r="P112" s="37">
        <f t="shared" si="46"/>
        <v>38.80833333333333</v>
      </c>
      <c r="Q112" s="38">
        <f t="shared" si="47"/>
        <v>1</v>
      </c>
      <c r="R112" s="140">
        <f t="shared" si="48"/>
        <v>38.6</v>
      </c>
      <c r="S112" s="150">
        <f t="shared" si="49"/>
        <v>1</v>
      </c>
      <c r="T112" s="140">
        <f t="shared" si="50"/>
        <v>39.699999999999996</v>
      </c>
      <c r="U112" s="9">
        <f t="shared" si="51"/>
        <v>1</v>
      </c>
      <c r="V112" s="141">
        <f t="shared" si="52"/>
        <v>38.80833333333333</v>
      </c>
      <c r="W112" s="142">
        <f t="shared" si="53"/>
        <v>1</v>
      </c>
      <c r="X112" s="144">
        <f t="shared" si="56"/>
        <v>20.469696969696969</v>
      </c>
      <c r="Y112" s="144">
        <f t="shared" si="54"/>
        <v>23.765151515151516</v>
      </c>
      <c r="Z112" s="144">
        <f t="shared" si="57"/>
        <v>22.567975206611571</v>
      </c>
      <c r="AA112" s="10"/>
      <c r="AB112" s="357" t="str">
        <f>VLOOKUP($B112,'2007-2020 Metadata'!$A$4:$S$214,MATCH("Urban Area /Monitoring Zone",'2007-2020 Metadata'!$A$4:$S$4,0),FALSE)</f>
        <v>Wellington</v>
      </c>
      <c r="AC112" s="87" t="str">
        <f>VLOOKUP(B112,'2007-2020 Metadata'!$A$6:$A$214,1,FALSE)</f>
        <v>WEL049</v>
      </c>
      <c r="AD112" s="230" t="str">
        <f>VLOOKUP($AC112,'2007-2020 Metadata'!$A$6:$S$214,9,FALSE)</f>
        <v>Wellington</v>
      </c>
      <c r="AE112" s="248">
        <f>IF(ISBLANK(VLOOKUP($AC112,'2007-2020 Metadata'!$A$6:$S$214,19,FALSE)),"",VLOOKUP($AC112,'2007-2020 Metadata'!$A$6:$S$214,19,FALSE))</f>
        <v>4</v>
      </c>
      <c r="AF112" s="88" t="str">
        <f>VLOOKUP($B112,'2007-2020 Metadata'!$A$4:$S$214,MATCH("Site type",'2007-2020 Metadata'!$A$4:$S$4,0),FALSE)</f>
        <v>Local</v>
      </c>
      <c r="AG112" s="143">
        <f t="shared" si="58"/>
        <v>21.6</v>
      </c>
      <c r="AH112" s="143">
        <f t="shared" si="59"/>
        <v>50.1</v>
      </c>
      <c r="AI112" s="144">
        <f t="shared" si="55"/>
        <v>22.567975206611571</v>
      </c>
    </row>
    <row r="113" spans="1:36" ht="12" customHeight="1" x14ac:dyDescent="0.15">
      <c r="A113" s="31"/>
      <c r="B113" s="40" t="s">
        <v>128</v>
      </c>
      <c r="C113" s="104">
        <f>IF(VLOOKUP($B113,'Monthly Summary 2012'!$B$7:$Q$221,14,FALSE)=0,"",VLOOKUP($B113,'Monthly Summary 2012'!$B$7:$Q$221,14,FALSE))</f>
        <v>15.6</v>
      </c>
      <c r="D113" s="36">
        <v>17.899999999999999</v>
      </c>
      <c r="E113" s="36">
        <v>21.1</v>
      </c>
      <c r="F113" s="36">
        <v>21.6</v>
      </c>
      <c r="G113" s="36">
        <v>23.3</v>
      </c>
      <c r="H113" s="36">
        <v>23.8</v>
      </c>
      <c r="I113" s="36">
        <v>28.7</v>
      </c>
      <c r="J113" s="36">
        <v>25.5</v>
      </c>
      <c r="K113" s="36"/>
      <c r="L113" s="36">
        <v>12</v>
      </c>
      <c r="M113" s="36">
        <v>15.8</v>
      </c>
      <c r="N113" s="36">
        <v>26.1</v>
      </c>
      <c r="O113" s="36">
        <v>12.8</v>
      </c>
      <c r="P113" s="37">
        <f t="shared" si="46"/>
        <v>20.781818181818185</v>
      </c>
      <c r="Q113" s="38">
        <f t="shared" si="47"/>
        <v>0.91666666666666663</v>
      </c>
      <c r="R113" s="140">
        <f t="shared" si="48"/>
        <v>20.2</v>
      </c>
      <c r="S113" s="150">
        <f t="shared" si="49"/>
        <v>1</v>
      </c>
      <c r="T113" s="140">
        <f t="shared" si="50"/>
        <v>18.75</v>
      </c>
      <c r="U113" s="9">
        <f t="shared" si="51"/>
        <v>0.66666666666666663</v>
      </c>
      <c r="V113" s="141">
        <f t="shared" si="52"/>
        <v>20.781818181818185</v>
      </c>
      <c r="W113" s="142">
        <f t="shared" si="53"/>
        <v>0.91666666666666663</v>
      </c>
      <c r="X113" s="144">
        <f t="shared" si="56"/>
        <v>20.469696969696969</v>
      </c>
      <c r="Y113" s="144">
        <f t="shared" si="54"/>
        <v>23.765151515151516</v>
      </c>
      <c r="Z113" s="144">
        <f t="shared" si="57"/>
        <v>22.567975206611571</v>
      </c>
      <c r="AA113" s="10"/>
      <c r="AB113" s="357" t="str">
        <f>VLOOKUP($B113,'2007-2020 Metadata'!$A$4:$S$214,MATCH("Urban Area /Monitoring Zone",'2007-2020 Metadata'!$A$4:$S$4,0),FALSE)</f>
        <v>Wellington</v>
      </c>
      <c r="AC113" s="87" t="str">
        <f>VLOOKUP(B113,'2007-2020 Metadata'!$A$6:$A$214,1,FALSE)</f>
        <v>WEL050</v>
      </c>
      <c r="AD113" s="230" t="str">
        <f>VLOOKUP($AC113,'2007-2020 Metadata'!$A$6:$S$214,9,FALSE)</f>
        <v>Wellington</v>
      </c>
      <c r="AE113" s="248">
        <f>IF(ISBLANK(VLOOKUP($AC113,'2007-2020 Metadata'!$A$6:$S$214,19,FALSE)),"",VLOOKUP($AC113,'2007-2020 Metadata'!$A$6:$S$214,19,FALSE))</f>
        <v>4</v>
      </c>
      <c r="AF113" s="88" t="str">
        <f>VLOOKUP($B113,'2007-2020 Metadata'!$A$4:$S$214,MATCH("Site type",'2007-2020 Metadata'!$A$4:$S$4,0),FALSE)</f>
        <v>SH</v>
      </c>
      <c r="AG113" s="143">
        <f t="shared" si="58"/>
        <v>12</v>
      </c>
      <c r="AH113" s="143">
        <f t="shared" si="59"/>
        <v>28.7</v>
      </c>
      <c r="AI113" s="144">
        <f t="shared" si="55"/>
        <v>22.567975206611571</v>
      </c>
    </row>
    <row r="114" spans="1:36" ht="12" customHeight="1" x14ac:dyDescent="0.15">
      <c r="A114" s="31"/>
      <c r="B114" s="40" t="s">
        <v>129</v>
      </c>
      <c r="C114" s="104">
        <f>IF(VLOOKUP($B114,'Monthly Summary 2012'!$B$7:$Q$221,14,FALSE)=0,"",VLOOKUP($B114,'Monthly Summary 2012'!$B$7:$Q$221,14,FALSE))</f>
        <v>11.9</v>
      </c>
      <c r="D114" s="36">
        <v>11.4</v>
      </c>
      <c r="E114" s="36">
        <v>14.6</v>
      </c>
      <c r="F114" s="36">
        <v>16.100000000000001</v>
      </c>
      <c r="G114" s="36">
        <v>14.1</v>
      </c>
      <c r="H114" s="36">
        <v>19.399999999999999</v>
      </c>
      <c r="I114" s="36">
        <v>18.7</v>
      </c>
      <c r="J114" s="36">
        <v>15.5</v>
      </c>
      <c r="K114" s="36">
        <v>17.3</v>
      </c>
      <c r="L114" s="36">
        <v>9.9</v>
      </c>
      <c r="M114" s="36">
        <v>13.2</v>
      </c>
      <c r="N114" s="36">
        <v>9.1999999999999993</v>
      </c>
      <c r="O114" s="36">
        <v>9.1</v>
      </c>
      <c r="P114" s="37">
        <f t="shared" si="46"/>
        <v>14.041666666666664</v>
      </c>
      <c r="Q114" s="38">
        <f t="shared" si="47"/>
        <v>1</v>
      </c>
      <c r="R114" s="140">
        <f t="shared" si="48"/>
        <v>14.033333333333333</v>
      </c>
      <c r="S114" s="150">
        <f t="shared" si="49"/>
        <v>1</v>
      </c>
      <c r="T114" s="140">
        <f t="shared" si="50"/>
        <v>14.233333333333333</v>
      </c>
      <c r="U114" s="9">
        <f t="shared" si="51"/>
        <v>1</v>
      </c>
      <c r="V114" s="141">
        <f t="shared" si="52"/>
        <v>14.041666666666664</v>
      </c>
      <c r="W114" s="142">
        <f t="shared" si="53"/>
        <v>1</v>
      </c>
      <c r="X114" s="144">
        <f t="shared" si="56"/>
        <v>20.469696969696969</v>
      </c>
      <c r="Y114" s="144">
        <f t="shared" si="54"/>
        <v>23.765151515151516</v>
      </c>
      <c r="Z114" s="144">
        <f t="shared" si="57"/>
        <v>22.567975206611571</v>
      </c>
      <c r="AA114" s="10"/>
      <c r="AB114" s="357" t="str">
        <f>VLOOKUP($B114,'2007-2020 Metadata'!$A$4:$S$214,MATCH("Urban Area /Monitoring Zone",'2007-2020 Metadata'!$A$4:$S$4,0),FALSE)</f>
        <v>Wellington</v>
      </c>
      <c r="AC114" s="87" t="str">
        <f>VLOOKUP(B114,'2007-2020 Metadata'!$A$6:$A$214,1,FALSE)</f>
        <v>WEL051</v>
      </c>
      <c r="AD114" s="230" t="str">
        <f>VLOOKUP($AC114,'2007-2020 Metadata'!$A$6:$S$214,9,FALSE)</f>
        <v>Wellington</v>
      </c>
      <c r="AE114" s="248">
        <f>IF(ISBLANK(VLOOKUP($AC114,'2007-2020 Metadata'!$A$6:$S$214,19,FALSE)),"",VLOOKUP($AC114,'2007-2020 Metadata'!$A$6:$S$214,19,FALSE))</f>
        <v>4</v>
      </c>
      <c r="AF114" s="88" t="str">
        <f>VLOOKUP($B114,'2007-2020 Metadata'!$A$4:$S$214,MATCH("Site type",'2007-2020 Metadata'!$A$4:$S$4,0),FALSE)</f>
        <v>Local</v>
      </c>
      <c r="AG114" s="143">
        <f t="shared" si="58"/>
        <v>9.1</v>
      </c>
      <c r="AH114" s="143">
        <f t="shared" si="59"/>
        <v>19.399999999999999</v>
      </c>
      <c r="AI114" s="144">
        <f t="shared" si="55"/>
        <v>22.567975206611571</v>
      </c>
    </row>
    <row r="115" spans="1:36" ht="12" customHeight="1" x14ac:dyDescent="0.15">
      <c r="A115" s="31"/>
      <c r="B115" s="40" t="s">
        <v>130</v>
      </c>
      <c r="C115" s="104">
        <f>IF(VLOOKUP($B115,'Monthly Summary 2012'!$B$7:$Q$221,14,FALSE)=0,"",VLOOKUP($B115,'Monthly Summary 2012'!$B$7:$Q$221,14,FALSE))</f>
        <v>15.4</v>
      </c>
      <c r="D115" s="36">
        <v>13.7</v>
      </c>
      <c r="E115" s="36">
        <v>19.100000000000001</v>
      </c>
      <c r="F115" s="36">
        <v>24.5</v>
      </c>
      <c r="G115" s="36">
        <v>22.5</v>
      </c>
      <c r="H115" s="36">
        <v>28.5</v>
      </c>
      <c r="I115" s="36">
        <v>32.6</v>
      </c>
      <c r="J115" s="36">
        <v>32.5</v>
      </c>
      <c r="K115" s="36">
        <v>29.9</v>
      </c>
      <c r="L115" s="36">
        <v>15.3</v>
      </c>
      <c r="M115" s="36">
        <v>15.1</v>
      </c>
      <c r="N115" s="36">
        <v>15.4</v>
      </c>
      <c r="O115" s="36">
        <v>12.2</v>
      </c>
      <c r="P115" s="37">
        <f t="shared" si="46"/>
        <v>21.775000000000002</v>
      </c>
      <c r="Q115" s="38">
        <f t="shared" si="47"/>
        <v>1</v>
      </c>
      <c r="R115" s="140">
        <f t="shared" si="48"/>
        <v>19.099999999999998</v>
      </c>
      <c r="S115" s="150">
        <f t="shared" si="49"/>
        <v>1</v>
      </c>
      <c r="T115" s="140">
        <f t="shared" si="50"/>
        <v>25.900000000000002</v>
      </c>
      <c r="U115" s="9">
        <f t="shared" si="51"/>
        <v>1</v>
      </c>
      <c r="V115" s="141">
        <f t="shared" si="52"/>
        <v>21.775000000000002</v>
      </c>
      <c r="W115" s="142">
        <f t="shared" si="53"/>
        <v>1</v>
      </c>
      <c r="X115" s="144">
        <f t="shared" si="56"/>
        <v>17.399999999999999</v>
      </c>
      <c r="Y115" s="144">
        <f t="shared" si="54"/>
        <v>23.486666666666672</v>
      </c>
      <c r="Z115" s="144">
        <f t="shared" si="57"/>
        <v>19.914999999999999</v>
      </c>
      <c r="AA115" s="10"/>
      <c r="AB115" s="357" t="str">
        <f>VLOOKUP($B115,'2007-2020 Metadata'!$A$4:$S$214,MATCH("Urban Area /Monitoring Zone",'2007-2020 Metadata'!$A$4:$S$4,0),FALSE)</f>
        <v>Lower Hutt</v>
      </c>
      <c r="AC115" s="87" t="str">
        <f>VLOOKUP(B115,'2007-2020 Metadata'!$A$6:$A$214,1,FALSE)</f>
        <v>WEL052</v>
      </c>
      <c r="AD115" s="230" t="str">
        <f>VLOOKUP($AC115,'2007-2020 Metadata'!$A$6:$S$214,9,FALSE)</f>
        <v>Lower Hutt</v>
      </c>
      <c r="AE115" s="248">
        <f>IF(ISBLANK(VLOOKUP($AC115,'2007-2020 Metadata'!$A$6:$S$214,19,FALSE)),"",VLOOKUP($AC115,'2007-2020 Metadata'!$A$6:$S$214,19,FALSE))</f>
        <v>4</v>
      </c>
      <c r="AF115" s="88" t="str">
        <f>VLOOKUP($B115,'2007-2020 Metadata'!$A$4:$S$214,MATCH("Site type",'2007-2020 Metadata'!$A$4:$S$4,0),FALSE)</f>
        <v>SH</v>
      </c>
      <c r="AG115" s="143">
        <f t="shared" si="58"/>
        <v>12.2</v>
      </c>
      <c r="AH115" s="143">
        <f t="shared" si="59"/>
        <v>32.6</v>
      </c>
      <c r="AI115" s="144">
        <f t="shared" si="55"/>
        <v>19.914999999999999</v>
      </c>
    </row>
    <row r="116" spans="1:36" ht="12" customHeight="1" x14ac:dyDescent="0.15">
      <c r="A116" s="31"/>
      <c r="B116" s="40" t="s">
        <v>131</v>
      </c>
      <c r="C116" s="104">
        <f>IF(VLOOKUP($B116,'Monthly Summary 2012'!$B$7:$Q$221,14,FALSE)=0,"",VLOOKUP($B116,'Monthly Summary 2012'!$B$7:$Q$221,14,FALSE))</f>
        <v>14.4</v>
      </c>
      <c r="D116" s="36">
        <v>15.4</v>
      </c>
      <c r="E116" s="36">
        <v>22.8</v>
      </c>
      <c r="F116" s="36">
        <v>29.7</v>
      </c>
      <c r="G116" s="36">
        <v>28.1</v>
      </c>
      <c r="H116" s="36">
        <v>32.6</v>
      </c>
      <c r="I116" s="36">
        <v>34.5</v>
      </c>
      <c r="J116" s="36">
        <v>32.799999999999997</v>
      </c>
      <c r="K116" s="36">
        <v>32.200000000000003</v>
      </c>
      <c r="L116" s="36">
        <v>21.9</v>
      </c>
      <c r="M116" s="36">
        <v>25.1</v>
      </c>
      <c r="N116" s="36">
        <v>19.399999999999999</v>
      </c>
      <c r="O116" s="36">
        <v>13.8</v>
      </c>
      <c r="P116" s="37">
        <f t="shared" si="46"/>
        <v>25.691666666666663</v>
      </c>
      <c r="Q116" s="38">
        <f t="shared" si="47"/>
        <v>1</v>
      </c>
      <c r="R116" s="140">
        <f t="shared" si="48"/>
        <v>22.633333333333336</v>
      </c>
      <c r="S116" s="150">
        <f t="shared" si="49"/>
        <v>1</v>
      </c>
      <c r="T116" s="140">
        <f t="shared" si="50"/>
        <v>28.966666666666669</v>
      </c>
      <c r="U116" s="9">
        <f t="shared" si="51"/>
        <v>1</v>
      </c>
      <c r="V116" s="141">
        <f t="shared" si="52"/>
        <v>25.691666666666663</v>
      </c>
      <c r="W116" s="142">
        <f t="shared" si="53"/>
        <v>1</v>
      </c>
      <c r="X116" s="144">
        <f t="shared" si="56"/>
        <v>17.399999999999999</v>
      </c>
      <c r="Y116" s="144">
        <f t="shared" si="54"/>
        <v>23.486666666666672</v>
      </c>
      <c r="Z116" s="144">
        <f t="shared" si="57"/>
        <v>19.914999999999999</v>
      </c>
      <c r="AA116" s="10"/>
      <c r="AB116" s="357" t="str">
        <f>VLOOKUP($B116,'2007-2020 Metadata'!$A$4:$S$214,MATCH("Urban Area /Monitoring Zone",'2007-2020 Metadata'!$A$4:$S$4,0),FALSE)</f>
        <v>Lower Hutt</v>
      </c>
      <c r="AC116" s="87" t="str">
        <f>VLOOKUP(B116,'2007-2020 Metadata'!$A$6:$A$214,1,FALSE)</f>
        <v>WEL053</v>
      </c>
      <c r="AD116" s="230" t="str">
        <f>VLOOKUP($AC116,'2007-2020 Metadata'!$A$6:$S$214,9,FALSE)</f>
        <v>Lower Hutt</v>
      </c>
      <c r="AE116" s="248">
        <f>IF(ISBLANK(VLOOKUP($AC116,'2007-2020 Metadata'!$A$6:$S$214,19,FALSE)),"",VLOOKUP($AC116,'2007-2020 Metadata'!$A$6:$S$214,19,FALSE))</f>
        <v>4</v>
      </c>
      <c r="AF116" s="88" t="str">
        <f>VLOOKUP($B116,'2007-2020 Metadata'!$A$4:$S$214,MATCH("Site type",'2007-2020 Metadata'!$A$4:$S$4,0),FALSE)</f>
        <v>Local</v>
      </c>
      <c r="AG116" s="143">
        <f t="shared" si="58"/>
        <v>13.8</v>
      </c>
      <c r="AH116" s="143">
        <f t="shared" si="59"/>
        <v>34.5</v>
      </c>
      <c r="AI116" s="144">
        <f t="shared" si="55"/>
        <v>19.914999999999999</v>
      </c>
    </row>
    <row r="117" spans="1:36" ht="12" customHeight="1" x14ac:dyDescent="0.15">
      <c r="A117" s="31"/>
      <c r="B117" s="40" t="s">
        <v>132</v>
      </c>
      <c r="C117" s="104">
        <f>IF(VLOOKUP($B117,'Monthly Summary 2012'!$B$7:$Q$221,14,FALSE)=0,"",VLOOKUP($B117,'Monthly Summary 2012'!$B$7:$Q$221,14,FALSE))</f>
        <v>7.3</v>
      </c>
      <c r="D117" s="36">
        <v>8.5</v>
      </c>
      <c r="E117" s="36">
        <v>9.1999999999999993</v>
      </c>
      <c r="F117" s="36">
        <v>13.1</v>
      </c>
      <c r="G117" s="36">
        <v>14.3</v>
      </c>
      <c r="H117" s="36">
        <v>17.600000000000001</v>
      </c>
      <c r="I117" s="36">
        <v>22.6</v>
      </c>
      <c r="J117" s="36">
        <v>22.2</v>
      </c>
      <c r="K117" s="36">
        <v>15.5</v>
      </c>
      <c r="L117" s="36">
        <v>10.9</v>
      </c>
      <c r="M117" s="36">
        <v>5.4</v>
      </c>
      <c r="N117" s="36">
        <v>8.4</v>
      </c>
      <c r="O117" s="36">
        <v>3.8</v>
      </c>
      <c r="P117" s="37">
        <f t="shared" si="46"/>
        <v>12.625000000000002</v>
      </c>
      <c r="Q117" s="38">
        <f t="shared" si="47"/>
        <v>1</v>
      </c>
      <c r="R117" s="140">
        <f t="shared" si="48"/>
        <v>10.266666666666666</v>
      </c>
      <c r="S117" s="150">
        <f t="shared" si="49"/>
        <v>1</v>
      </c>
      <c r="T117" s="140">
        <f t="shared" si="50"/>
        <v>16.2</v>
      </c>
      <c r="U117" s="9">
        <f t="shared" si="51"/>
        <v>1</v>
      </c>
      <c r="V117" s="141">
        <f t="shared" si="52"/>
        <v>12.625000000000002</v>
      </c>
      <c r="W117" s="142">
        <f t="shared" si="53"/>
        <v>1</v>
      </c>
      <c r="X117" s="144">
        <f t="shared" si="56"/>
        <v>10.266666666666666</v>
      </c>
      <c r="Y117" s="144">
        <f t="shared" si="54"/>
        <v>16.2</v>
      </c>
      <c r="Z117" s="144">
        <f t="shared" si="57"/>
        <v>12.625000000000002</v>
      </c>
      <c r="AA117" s="10"/>
      <c r="AB117" s="357" t="str">
        <f>VLOOKUP($B117,'2007-2020 Metadata'!$A$4:$S$214,MATCH("Urban Area /Monitoring Zone",'2007-2020 Metadata'!$A$4:$S$4,0),FALSE)</f>
        <v>Lower Hutt</v>
      </c>
      <c r="AC117" s="87" t="str">
        <f>VLOOKUP(B117,'2007-2020 Metadata'!$A$6:$A$214,1,FALSE)</f>
        <v>WEL054</v>
      </c>
      <c r="AD117" s="230" t="str">
        <f>VLOOKUP($AC117,'2007-2020 Metadata'!$A$6:$S$214,9,FALSE)</f>
        <v>Lower Hutt</v>
      </c>
      <c r="AE117" s="248"/>
      <c r="AF117" s="88" t="str">
        <f>VLOOKUP($B117,'2007-2020 Metadata'!$A$4:$S$214,MATCH("Site type",'2007-2020 Metadata'!$A$4:$S$4,0),FALSE)</f>
        <v>Background</v>
      </c>
      <c r="AG117" s="143">
        <f t="shared" si="58"/>
        <v>3.8</v>
      </c>
      <c r="AH117" s="143">
        <f>MAX($D117:$O117)</f>
        <v>22.6</v>
      </c>
      <c r="AI117" s="144">
        <f t="shared" si="55"/>
        <v>12.625000000000002</v>
      </c>
      <c r="AJ117" s="39" t="s">
        <v>546</v>
      </c>
    </row>
    <row r="118" spans="1:36" ht="12" customHeight="1" x14ac:dyDescent="0.15">
      <c r="A118" s="31"/>
      <c r="B118" s="40" t="s">
        <v>133</v>
      </c>
      <c r="C118" s="104">
        <f>IF(VLOOKUP($B118,'Monthly Summary 2012'!$B$7:$Q$221,14,FALSE)=0,"",VLOOKUP($B118,'Monthly Summary 2012'!$B$7:$Q$221,14,FALSE))</f>
        <v>4.4000000000000004</v>
      </c>
      <c r="D118" s="36">
        <v>6.3</v>
      </c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7">
        <f t="shared" si="46"/>
        <v>6.3</v>
      </c>
      <c r="Q118" s="38">
        <f t="shared" si="47"/>
        <v>8.3333333333333329E-2</v>
      </c>
      <c r="R118" s="140" t="str">
        <f t="shared" si="48"/>
        <v>-</v>
      </c>
      <c r="S118" s="150">
        <f t="shared" si="49"/>
        <v>0.33333333333333331</v>
      </c>
      <c r="T118" s="140" t="str">
        <f t="shared" si="50"/>
        <v/>
      </c>
      <c r="U118" s="9">
        <f t="shared" si="51"/>
        <v>0</v>
      </c>
      <c r="V118" s="141" t="str">
        <f t="shared" si="52"/>
        <v>-</v>
      </c>
      <c r="W118" s="142">
        <f t="shared" si="53"/>
        <v>8.3333333333333329E-2</v>
      </c>
      <c r="X118" s="144" t="str">
        <f t="shared" si="56"/>
        <v>-</v>
      </c>
      <c r="Y118" s="144" t="str">
        <f t="shared" si="54"/>
        <v/>
      </c>
      <c r="Z118" s="144" t="str">
        <f t="shared" si="57"/>
        <v>-</v>
      </c>
      <c r="AA118" s="10"/>
      <c r="AB118" s="357" t="str">
        <f>VLOOKUP($B118,'2007-2020 Metadata'!$A$4:$S$214,MATCH("Urban Area /Monitoring Zone",'2007-2020 Metadata'!$A$4:$S$4,0),FALSE)</f>
        <v>Lower Hutt</v>
      </c>
      <c r="AC118" s="87" t="str">
        <f>VLOOKUP(B118,'2007-2020 Metadata'!$A$6:$A$214,1,FALSE)</f>
        <v>WEL055</v>
      </c>
      <c r="AD118" s="230" t="str">
        <f>VLOOKUP($AC118,'2007-2020 Metadata'!$A$6:$S$214,9,FALSE)</f>
        <v>Lower Hutt</v>
      </c>
      <c r="AE118" s="248"/>
      <c r="AF118" s="88" t="str">
        <f>VLOOKUP($B118,'2007-2020 Metadata'!$A$4:$S$214,MATCH("Site type",'2007-2020 Metadata'!$A$4:$S$4,0),FALSE)</f>
        <v>Background</v>
      </c>
      <c r="AG118" s="143">
        <f t="shared" si="58"/>
        <v>6.3</v>
      </c>
      <c r="AH118" s="143">
        <f>MAX($D118:$O118)</f>
        <v>6.3</v>
      </c>
      <c r="AI118" s="144" t="str">
        <f t="shared" si="55"/>
        <v xml:space="preserve"> </v>
      </c>
      <c r="AJ118" s="39" t="s">
        <v>546</v>
      </c>
    </row>
    <row r="119" spans="1:36" ht="12" customHeight="1" x14ac:dyDescent="0.15">
      <c r="A119" s="31"/>
      <c r="B119" s="40" t="s">
        <v>134</v>
      </c>
      <c r="C119" s="104">
        <f>IF(VLOOKUP($B119,'Monthly Summary 2012'!$B$7:$Q$221,14,FALSE)=0,"",VLOOKUP($B119,'Monthly Summary 2012'!$B$7:$Q$221,14,FALSE))</f>
        <v>7.1</v>
      </c>
      <c r="D119" s="36">
        <v>9.1999999999999993</v>
      </c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7">
        <f t="shared" si="46"/>
        <v>9.1999999999999993</v>
      </c>
      <c r="Q119" s="38">
        <f t="shared" si="47"/>
        <v>8.3333333333333329E-2</v>
      </c>
      <c r="R119" s="140" t="str">
        <f t="shared" si="48"/>
        <v>-</v>
      </c>
      <c r="S119" s="150">
        <f t="shared" si="49"/>
        <v>0.33333333333333331</v>
      </c>
      <c r="T119" s="140" t="str">
        <f t="shared" si="50"/>
        <v/>
      </c>
      <c r="U119" s="9">
        <f t="shared" si="51"/>
        <v>0</v>
      </c>
      <c r="V119" s="141" t="str">
        <f t="shared" si="52"/>
        <v>-</v>
      </c>
      <c r="W119" s="142">
        <f t="shared" si="53"/>
        <v>8.3333333333333329E-2</v>
      </c>
      <c r="X119" s="144" t="str">
        <f t="shared" si="56"/>
        <v>-</v>
      </c>
      <c r="Y119" s="144" t="str">
        <f t="shared" si="54"/>
        <v/>
      </c>
      <c r="Z119" s="144" t="str">
        <f t="shared" si="57"/>
        <v>-</v>
      </c>
      <c r="AA119" s="10"/>
      <c r="AB119" s="357" t="str">
        <f>VLOOKUP($B119,'2007-2020 Metadata'!$A$4:$S$214,MATCH("Urban Area /Monitoring Zone",'2007-2020 Metadata'!$A$4:$S$4,0),FALSE)</f>
        <v>Lower Hutt</v>
      </c>
      <c r="AC119" s="87" t="str">
        <f>VLOOKUP(B119,'2007-2020 Metadata'!$A$6:$A$214,1,FALSE)</f>
        <v>WEL056</v>
      </c>
      <c r="AD119" s="230" t="str">
        <f>VLOOKUP($AC119,'2007-2020 Metadata'!$A$6:$S$214,9,FALSE)</f>
        <v>Lower Hutt</v>
      </c>
      <c r="AE119" s="248"/>
      <c r="AF119" s="88" t="str">
        <f>VLOOKUP($B119,'2007-2020 Metadata'!$A$4:$S$214,MATCH("Site type",'2007-2020 Metadata'!$A$4:$S$4,0),FALSE)</f>
        <v>Background</v>
      </c>
      <c r="AG119" s="143">
        <f t="shared" si="58"/>
        <v>9.1999999999999993</v>
      </c>
      <c r="AH119" s="143">
        <f>MAX($D119:$O119)</f>
        <v>9.1999999999999993</v>
      </c>
      <c r="AI119" s="144" t="str">
        <f t="shared" si="55"/>
        <v xml:space="preserve"> </v>
      </c>
      <c r="AJ119" s="39" t="s">
        <v>546</v>
      </c>
    </row>
    <row r="120" spans="1:36" ht="12" customHeight="1" x14ac:dyDescent="0.15">
      <c r="A120" s="31"/>
      <c r="B120" s="40" t="s">
        <v>135</v>
      </c>
      <c r="C120" s="104">
        <f>IF(VLOOKUP($B120,'Monthly Summary 2012'!$B$7:$Q$221,14,FALSE)=0,"",VLOOKUP($B120,'Monthly Summary 2012'!$B$7:$Q$221,14,FALSE))</f>
        <v>16</v>
      </c>
      <c r="D120" s="36">
        <v>19.7</v>
      </c>
      <c r="E120" s="36">
        <v>21.8</v>
      </c>
      <c r="F120" s="36">
        <v>23</v>
      </c>
      <c r="G120" s="36">
        <v>22.3</v>
      </c>
      <c r="H120" s="36">
        <v>25.3</v>
      </c>
      <c r="I120" s="36">
        <v>28.1</v>
      </c>
      <c r="J120" s="36">
        <v>21.6</v>
      </c>
      <c r="K120" s="36">
        <v>23.8</v>
      </c>
      <c r="L120" s="36">
        <v>16.3</v>
      </c>
      <c r="M120" s="36">
        <v>21.2</v>
      </c>
      <c r="N120" s="36">
        <v>19.2</v>
      </c>
      <c r="O120" s="36">
        <v>14.1</v>
      </c>
      <c r="P120" s="37">
        <f t="shared" si="46"/>
        <v>21.366666666666664</v>
      </c>
      <c r="Q120" s="38">
        <f t="shared" si="47"/>
        <v>1</v>
      </c>
      <c r="R120" s="140">
        <f t="shared" si="48"/>
        <v>21.5</v>
      </c>
      <c r="S120" s="150">
        <f t="shared" si="49"/>
        <v>1</v>
      </c>
      <c r="T120" s="140">
        <f t="shared" si="50"/>
        <v>20.566666666666666</v>
      </c>
      <c r="U120" s="9">
        <f t="shared" si="51"/>
        <v>1</v>
      </c>
      <c r="V120" s="141">
        <f t="shared" si="52"/>
        <v>21.366666666666664</v>
      </c>
      <c r="W120" s="142">
        <f t="shared" si="53"/>
        <v>1</v>
      </c>
      <c r="X120" s="144">
        <f t="shared" si="56"/>
        <v>21.5</v>
      </c>
      <c r="Y120" s="144">
        <f t="shared" si="54"/>
        <v>20.566666666666666</v>
      </c>
      <c r="Z120" s="144">
        <f t="shared" si="57"/>
        <v>21.366666666666664</v>
      </c>
      <c r="AA120" s="10"/>
      <c r="AB120" s="357" t="str">
        <f>VLOOKUP($B120,'2007-2020 Metadata'!$A$4:$S$214,MATCH("Urban Area /Monitoring Zone",'2007-2020 Metadata'!$A$4:$S$4,0),FALSE)</f>
        <v>Upper Hutt</v>
      </c>
      <c r="AC120" s="87" t="str">
        <f>VLOOKUP(B120,'2007-2020 Metadata'!$A$6:$A$214,1,FALSE)</f>
        <v>WEL057</v>
      </c>
      <c r="AD120" s="230" t="str">
        <f>VLOOKUP($AC120,'2007-2020 Metadata'!$A$6:$S$214,9,FALSE)</f>
        <v>Upper Hutt</v>
      </c>
      <c r="AE120" s="248">
        <f>IF(ISBLANK(VLOOKUP($AC120,'2007-2020 Metadata'!$A$6:$S$214,19,FALSE)),"",VLOOKUP($AC120,'2007-2020 Metadata'!$A$6:$S$214,19,FALSE))</f>
        <v>4</v>
      </c>
      <c r="AF120" s="88" t="str">
        <f>VLOOKUP($B120,'2007-2020 Metadata'!$A$4:$S$214,MATCH("Site type",'2007-2020 Metadata'!$A$4:$S$4,0),FALSE)</f>
        <v>SH</v>
      </c>
      <c r="AG120" s="143">
        <f t="shared" si="58"/>
        <v>14.1</v>
      </c>
      <c r="AH120" s="143">
        <f t="shared" ref="AH120:AH136" si="60">MAX($D120:$O120)</f>
        <v>28.1</v>
      </c>
      <c r="AI120" s="144">
        <f t="shared" si="55"/>
        <v>21.366666666666664</v>
      </c>
    </row>
    <row r="121" spans="1:36" ht="12" customHeight="1" x14ac:dyDescent="0.15">
      <c r="A121" s="31"/>
      <c r="B121" s="40" t="s">
        <v>139</v>
      </c>
      <c r="C121" s="104">
        <f>IF(VLOOKUP($B121,'Monthly Summary 2012'!$B$7:$Q$221,14,FALSE)=0,"",VLOOKUP($B121,'Monthly Summary 2012'!$B$7:$Q$221,14,FALSE))</f>
        <v>13</v>
      </c>
      <c r="D121" s="36"/>
      <c r="E121" s="36">
        <v>12.5</v>
      </c>
      <c r="F121" s="36">
        <v>17.399999999999999</v>
      </c>
      <c r="G121" s="36">
        <v>16.7</v>
      </c>
      <c r="H121" s="36">
        <v>18.7</v>
      </c>
      <c r="I121" s="36">
        <v>22.7</v>
      </c>
      <c r="J121" s="36">
        <v>16.2</v>
      </c>
      <c r="K121" s="36">
        <v>20.6</v>
      </c>
      <c r="L121" s="36">
        <v>12.5</v>
      </c>
      <c r="M121" s="36">
        <v>12.7</v>
      </c>
      <c r="N121" s="36">
        <v>12.6</v>
      </c>
      <c r="O121" s="36">
        <v>9.4</v>
      </c>
      <c r="P121" s="37">
        <f t="shared" si="46"/>
        <v>15.636363636363637</v>
      </c>
      <c r="Q121" s="38">
        <f t="shared" si="47"/>
        <v>0.91666666666666663</v>
      </c>
      <c r="R121" s="140">
        <f t="shared" si="48"/>
        <v>14.95</v>
      </c>
      <c r="S121" s="150">
        <f t="shared" si="49"/>
        <v>0.66666666666666663</v>
      </c>
      <c r="T121" s="140">
        <f t="shared" si="50"/>
        <v>16.433333333333334</v>
      </c>
      <c r="U121" s="9">
        <f t="shared" si="51"/>
        <v>1</v>
      </c>
      <c r="V121" s="141">
        <f t="shared" si="52"/>
        <v>15.636363636363637</v>
      </c>
      <c r="W121" s="142">
        <f t="shared" si="53"/>
        <v>0.91666666666666663</v>
      </c>
      <c r="X121" s="144">
        <f t="shared" si="56"/>
        <v>15.475</v>
      </c>
      <c r="Y121" s="144">
        <f t="shared" si="54"/>
        <v>19.55</v>
      </c>
      <c r="Z121" s="144">
        <f t="shared" si="57"/>
        <v>17.259848484848487</v>
      </c>
      <c r="AA121" s="10"/>
      <c r="AB121" s="357" t="str">
        <f>VLOOKUP($B121,'2007-2020 Metadata'!$A$4:$S$214,MATCH("Urban Area /Monitoring Zone",'2007-2020 Metadata'!$A$4:$S$4,0),FALSE)</f>
        <v>Otaki</v>
      </c>
      <c r="AC121" s="87" t="str">
        <f>VLOOKUP(B121,'2007-2020 Metadata'!$A$6:$A$214,1,FALSE)</f>
        <v>WEL061</v>
      </c>
      <c r="AD121" s="230" t="str">
        <f>VLOOKUP($AC121,'2007-2020 Metadata'!$A$6:$S$214,9,FALSE)</f>
        <v>Kapiti Coast</v>
      </c>
      <c r="AE121" s="248">
        <f>IF(ISBLANK(VLOOKUP($AC121,'2007-2020 Metadata'!$A$6:$S$214,19,FALSE)),"",VLOOKUP($AC121,'2007-2020 Metadata'!$A$6:$S$214,19,FALSE))</f>
        <v>4</v>
      </c>
      <c r="AF121" s="88" t="str">
        <f>VLOOKUP($B121,'2007-2020 Metadata'!$A$4:$S$214,MATCH("Site type",'2007-2020 Metadata'!$A$4:$S$4,0),FALSE)</f>
        <v>SH</v>
      </c>
      <c r="AG121" s="143">
        <f t="shared" si="58"/>
        <v>9.4</v>
      </c>
      <c r="AH121" s="143">
        <f t="shared" si="60"/>
        <v>22.7</v>
      </c>
      <c r="AI121" s="144">
        <f t="shared" si="55"/>
        <v>17.259848484848487</v>
      </c>
    </row>
    <row r="122" spans="1:36" ht="12" customHeight="1" x14ac:dyDescent="0.15">
      <c r="A122" s="31"/>
      <c r="B122" s="40" t="s">
        <v>140</v>
      </c>
      <c r="C122" s="104">
        <f>IF(VLOOKUP($B122,'Monthly Summary 2012'!$B$7:$Q$221,14,FALSE)=0,"",VLOOKUP($B122,'Monthly Summary 2012'!$B$7:$Q$221,14,FALSE))</f>
        <v>6.5</v>
      </c>
      <c r="D122" s="36">
        <v>7.2</v>
      </c>
      <c r="E122" s="36">
        <v>8.6999999999999993</v>
      </c>
      <c r="F122" s="36">
        <v>10.8</v>
      </c>
      <c r="G122" s="36">
        <v>15.3</v>
      </c>
      <c r="H122" s="36">
        <v>16.100000000000001</v>
      </c>
      <c r="I122" s="36">
        <v>20.3</v>
      </c>
      <c r="J122" s="36">
        <v>23.6</v>
      </c>
      <c r="K122" s="36">
        <v>17.600000000000001</v>
      </c>
      <c r="L122" s="36">
        <v>12.6</v>
      </c>
      <c r="M122" s="36">
        <v>7</v>
      </c>
      <c r="N122" s="36"/>
      <c r="O122" s="36"/>
      <c r="P122" s="37">
        <f t="shared" si="46"/>
        <v>13.919999999999998</v>
      </c>
      <c r="Q122" s="38">
        <f t="shared" si="47"/>
        <v>0.83333333333333337</v>
      </c>
      <c r="R122" s="140">
        <f t="shared" si="48"/>
        <v>8.9</v>
      </c>
      <c r="S122" s="150">
        <f t="shared" si="49"/>
        <v>1</v>
      </c>
      <c r="T122" s="140">
        <f t="shared" si="50"/>
        <v>17.933333333333334</v>
      </c>
      <c r="U122" s="9">
        <f t="shared" si="51"/>
        <v>1</v>
      </c>
      <c r="V122" s="141">
        <f t="shared" si="52"/>
        <v>13.919999999999998</v>
      </c>
      <c r="W122" s="142">
        <f t="shared" si="53"/>
        <v>0.83333333333333337</v>
      </c>
      <c r="X122" s="144">
        <f t="shared" si="56"/>
        <v>12.133333333333333</v>
      </c>
      <c r="Y122" s="144">
        <f t="shared" si="54"/>
        <v>20.766666666666669</v>
      </c>
      <c r="Z122" s="144">
        <f t="shared" si="57"/>
        <v>18.205454545454543</v>
      </c>
      <c r="AA122" s="10"/>
      <c r="AB122" s="357" t="str">
        <f>VLOOKUP($B122,'2007-2020 Metadata'!$A$4:$S$214,MATCH("Urban Area /Monitoring Zone",'2007-2020 Metadata'!$A$4:$S$4,0),FALSE)</f>
        <v>Nelson</v>
      </c>
      <c r="AC122" s="87" t="str">
        <f>VLOOKUP(B122,'2007-2020 Metadata'!$A$6:$A$214,1,FALSE)</f>
        <v>WEL062</v>
      </c>
      <c r="AD122" s="230" t="str">
        <f>VLOOKUP($AC122,'2007-2020 Metadata'!$A$6:$S$214,9,FALSE)</f>
        <v>Nelson</v>
      </c>
      <c r="AE122" s="248">
        <f>IF(ISBLANK(VLOOKUP($AC122,'2007-2020 Metadata'!$A$6:$S$214,19,FALSE)),"",VLOOKUP($AC122,'2007-2020 Metadata'!$A$6:$S$214,19,FALSE))</f>
        <v>2.2000000000000002</v>
      </c>
      <c r="AF122" s="88" t="str">
        <f>VLOOKUP($B122,'2007-2020 Metadata'!$A$4:$S$214,MATCH("Site type",'2007-2020 Metadata'!$A$4:$S$4,0),FALSE)</f>
        <v>Background</v>
      </c>
      <c r="AG122" s="143">
        <f t="shared" si="58"/>
        <v>7</v>
      </c>
      <c r="AH122" s="143">
        <f t="shared" si="60"/>
        <v>23.6</v>
      </c>
      <c r="AI122" s="144">
        <f t="shared" si="55"/>
        <v>18.205454545454543</v>
      </c>
    </row>
    <row r="123" spans="1:36" ht="12" customHeight="1" x14ac:dyDescent="0.15">
      <c r="A123" s="31"/>
      <c r="B123" s="40" t="s">
        <v>141</v>
      </c>
      <c r="C123" s="104">
        <f>IF(VLOOKUP($B123,'Monthly Summary 2012'!$B$7:$Q$221,14,FALSE)=0,"",VLOOKUP($B123,'Monthly Summary 2012'!$B$7:$Q$221,14,FALSE))</f>
        <v>15.3</v>
      </c>
      <c r="D123" s="36">
        <v>13.3</v>
      </c>
      <c r="E123" s="36">
        <v>13.3</v>
      </c>
      <c r="F123" s="36">
        <v>21.4</v>
      </c>
      <c r="G123" s="36">
        <v>20.399999999999999</v>
      </c>
      <c r="H123" s="36">
        <v>19.399999999999999</v>
      </c>
      <c r="I123" s="36">
        <v>22.8</v>
      </c>
      <c r="J123" s="36">
        <v>26</v>
      </c>
      <c r="K123" s="36">
        <v>22.3</v>
      </c>
      <c r="L123" s="36">
        <v>19.7</v>
      </c>
      <c r="M123" s="36">
        <v>19.3</v>
      </c>
      <c r="N123" s="36">
        <v>16.399999999999999</v>
      </c>
      <c r="O123" s="36">
        <v>12.3</v>
      </c>
      <c r="P123" s="37">
        <f t="shared" si="46"/>
        <v>18.883333333333336</v>
      </c>
      <c r="Q123" s="38">
        <f t="shared" si="47"/>
        <v>1</v>
      </c>
      <c r="R123" s="140">
        <f t="shared" si="48"/>
        <v>16</v>
      </c>
      <c r="S123" s="150">
        <f t="shared" si="49"/>
        <v>1</v>
      </c>
      <c r="T123" s="140">
        <f t="shared" si="50"/>
        <v>22.666666666666668</v>
      </c>
      <c r="U123" s="9">
        <f t="shared" si="51"/>
        <v>1</v>
      </c>
      <c r="V123" s="141">
        <f t="shared" si="52"/>
        <v>18.883333333333336</v>
      </c>
      <c r="W123" s="142">
        <f t="shared" si="53"/>
        <v>1</v>
      </c>
      <c r="X123" s="144">
        <f t="shared" si="56"/>
        <v>15.475</v>
      </c>
      <c r="Y123" s="144">
        <f t="shared" si="54"/>
        <v>19.55</v>
      </c>
      <c r="Z123" s="144">
        <f t="shared" si="57"/>
        <v>17.259848484848487</v>
      </c>
      <c r="AA123" s="10"/>
      <c r="AB123" s="357" t="str">
        <f>VLOOKUP($B123,'2007-2020 Metadata'!$A$4:$S$214,MATCH("Urban Area /Monitoring Zone",'2007-2020 Metadata'!$A$4:$S$4,0),FALSE)</f>
        <v xml:space="preserve">Kapiti </v>
      </c>
      <c r="AC123" s="87" t="str">
        <f>VLOOKUP(B123,'2007-2020 Metadata'!$A$6:$A$214,1,FALSE)</f>
        <v>WEL063</v>
      </c>
      <c r="AD123" s="230" t="str">
        <f>VLOOKUP($AC123,'2007-2020 Metadata'!$A$6:$S$214,9,FALSE)</f>
        <v>Kapiti Coast</v>
      </c>
      <c r="AE123" s="248">
        <f>IF(ISBLANK(VLOOKUP($AC123,'2007-2020 Metadata'!$A$6:$S$214,19,FALSE)),"",VLOOKUP($AC123,'2007-2020 Metadata'!$A$6:$S$214,19,FALSE))</f>
        <v>3.5</v>
      </c>
      <c r="AF123" s="88" t="str">
        <f>VLOOKUP($B123,'2007-2020 Metadata'!$A$4:$S$214,MATCH("Site type",'2007-2020 Metadata'!$A$4:$S$4,0),FALSE)</f>
        <v>Local (ex SH)</v>
      </c>
      <c r="AG123" s="143">
        <f t="shared" si="58"/>
        <v>12.3</v>
      </c>
      <c r="AH123" s="143">
        <f t="shared" si="60"/>
        <v>26</v>
      </c>
      <c r="AI123" s="144">
        <f t="shared" si="55"/>
        <v>17.259848484848487</v>
      </c>
    </row>
    <row r="124" spans="1:36" ht="12" customHeight="1" x14ac:dyDescent="0.15">
      <c r="A124" s="31"/>
      <c r="B124" s="40" t="s">
        <v>142</v>
      </c>
      <c r="C124" s="104">
        <f>IF(VLOOKUP($B124,'Monthly Summary 2012'!$B$7:$Q$221,14,FALSE)=0,"",VLOOKUP($B124,'Monthly Summary 2012'!$B$7:$Q$221,14,FALSE))</f>
        <v>16.600000000000001</v>
      </c>
      <c r="D124" s="36">
        <v>16.3</v>
      </c>
      <c r="E124" s="36">
        <v>21.8</v>
      </c>
      <c r="F124" s="36">
        <v>25</v>
      </c>
      <c r="G124" s="36">
        <v>26.8</v>
      </c>
      <c r="H124" s="36">
        <v>28.8</v>
      </c>
      <c r="I124" s="36">
        <v>32.200000000000003</v>
      </c>
      <c r="J124" s="36">
        <v>8.1</v>
      </c>
      <c r="K124" s="36">
        <v>27.5</v>
      </c>
      <c r="L124" s="36">
        <v>18.600000000000001</v>
      </c>
      <c r="M124" s="36">
        <v>15.7</v>
      </c>
      <c r="N124" s="36">
        <v>17.2</v>
      </c>
      <c r="O124" s="36">
        <v>12.9</v>
      </c>
      <c r="P124" s="37">
        <f t="shared" si="46"/>
        <v>20.908333333333331</v>
      </c>
      <c r="Q124" s="38">
        <f t="shared" si="47"/>
        <v>1</v>
      </c>
      <c r="R124" s="140">
        <f t="shared" si="48"/>
        <v>21.033333333333335</v>
      </c>
      <c r="S124" s="150">
        <f t="shared" si="49"/>
        <v>1</v>
      </c>
      <c r="T124" s="140">
        <f t="shared" si="50"/>
        <v>18.066666666666666</v>
      </c>
      <c r="U124" s="9">
        <f t="shared" si="51"/>
        <v>1</v>
      </c>
      <c r="V124" s="141">
        <f t="shared" si="52"/>
        <v>20.908333333333331</v>
      </c>
      <c r="W124" s="142">
        <f t="shared" si="53"/>
        <v>1</v>
      </c>
      <c r="X124" s="144">
        <f t="shared" si="56"/>
        <v>20.469696969696969</v>
      </c>
      <c r="Y124" s="144">
        <f t="shared" si="54"/>
        <v>23.765151515151516</v>
      </c>
      <c r="Z124" s="144">
        <f t="shared" si="57"/>
        <v>22.567975206611571</v>
      </c>
      <c r="AA124" s="10"/>
      <c r="AB124" s="357" t="str">
        <f>VLOOKUP($B124,'2007-2020 Metadata'!$A$4:$S$214,MATCH("Urban Area /Monitoring Zone",'2007-2020 Metadata'!$A$4:$S$4,0),FALSE)</f>
        <v>Wellington</v>
      </c>
      <c r="AC124" s="87" t="str">
        <f>VLOOKUP(B124,'2007-2020 Metadata'!$A$6:$A$214,1,FALSE)</f>
        <v>WEL064</v>
      </c>
      <c r="AD124" s="230" t="str">
        <f>VLOOKUP($AC124,'2007-2020 Metadata'!$A$6:$S$214,9,FALSE)</f>
        <v>Wellington</v>
      </c>
      <c r="AE124" s="248">
        <f>IF(ISBLANK(VLOOKUP($AC124,'2007-2020 Metadata'!$A$6:$S$214,19,FALSE)),"",VLOOKUP($AC124,'2007-2020 Metadata'!$A$6:$S$214,19,FALSE))</f>
        <v>4</v>
      </c>
      <c r="AF124" s="88" t="str">
        <f>VLOOKUP($B124,'2007-2020 Metadata'!$A$4:$S$214,MATCH("Site type",'2007-2020 Metadata'!$A$4:$S$4,0),FALSE)</f>
        <v>SH</v>
      </c>
      <c r="AG124" s="143">
        <f t="shared" si="58"/>
        <v>8.1</v>
      </c>
      <c r="AH124" s="143">
        <f t="shared" si="60"/>
        <v>32.200000000000003</v>
      </c>
      <c r="AI124" s="144">
        <f t="shared" si="55"/>
        <v>22.567975206611571</v>
      </c>
    </row>
    <row r="125" spans="1:36" ht="12" customHeight="1" x14ac:dyDescent="0.15">
      <c r="A125" s="31"/>
      <c r="B125" s="40" t="s">
        <v>479</v>
      </c>
      <c r="C125" s="104"/>
      <c r="D125" s="36">
        <v>5.9</v>
      </c>
      <c r="E125" s="36">
        <v>8.3000000000000007</v>
      </c>
      <c r="F125" s="36">
        <v>8.4</v>
      </c>
      <c r="G125" s="36">
        <v>7.6</v>
      </c>
      <c r="H125" s="36">
        <v>10.1</v>
      </c>
      <c r="I125" s="36">
        <v>10.8</v>
      </c>
      <c r="J125" s="36">
        <v>18.8</v>
      </c>
      <c r="K125" s="36">
        <v>8.8000000000000007</v>
      </c>
      <c r="L125" s="36">
        <v>6.1</v>
      </c>
      <c r="M125" s="36">
        <v>5.9</v>
      </c>
      <c r="N125" s="36">
        <v>7</v>
      </c>
      <c r="O125" s="36">
        <v>5.4</v>
      </c>
      <c r="P125" s="37">
        <f t="shared" si="46"/>
        <v>8.5916666666666668</v>
      </c>
      <c r="Q125" s="38">
        <f t="shared" si="47"/>
        <v>1</v>
      </c>
      <c r="R125" s="140">
        <f t="shared" si="48"/>
        <v>7.5333333333333341</v>
      </c>
      <c r="S125" s="150">
        <f t="shared" si="49"/>
        <v>1</v>
      </c>
      <c r="T125" s="140">
        <f t="shared" si="50"/>
        <v>11.233333333333334</v>
      </c>
      <c r="U125" s="9">
        <f t="shared" si="51"/>
        <v>1</v>
      </c>
      <c r="V125" s="141">
        <f t="shared" si="52"/>
        <v>8.5916666666666668</v>
      </c>
      <c r="W125" s="142">
        <f t="shared" si="53"/>
        <v>1</v>
      </c>
      <c r="X125" s="144">
        <f t="shared" si="56"/>
        <v>13.233333333333334</v>
      </c>
      <c r="Y125" s="144">
        <f t="shared" si="54"/>
        <v>16.583333333333336</v>
      </c>
      <c r="Z125" s="144">
        <f t="shared" si="57"/>
        <v>14.729166666666668</v>
      </c>
      <c r="AA125" s="10"/>
      <c r="AB125" s="357" t="str">
        <f>VLOOKUP($B125,'2007-2020 Metadata'!$A$4:$S$214,MATCH("Urban Area /Monitoring Zone",'2007-2020 Metadata'!$A$4:$S$4,0),FALSE)</f>
        <v>Porirua</v>
      </c>
      <c r="AC125" s="87" t="str">
        <f>VLOOKUP(B125,'2007-2020 Metadata'!$A$6:$A$214,1,FALSE)</f>
        <v>WEL072</v>
      </c>
      <c r="AD125" s="230" t="str">
        <f>VLOOKUP($AC125,'2007-2020 Metadata'!$A$6:$S$214,9,FALSE)</f>
        <v>Porirua</v>
      </c>
      <c r="AE125" s="248">
        <f>IF(ISBLANK(VLOOKUP($AC125,'2007-2020 Metadata'!$A$6:$S$214,19,FALSE)),"",VLOOKUP($AC125,'2007-2020 Metadata'!$A$6:$S$214,19,FALSE))</f>
        <v>3</v>
      </c>
      <c r="AF125" s="88" t="str">
        <f>VLOOKUP($B125,'2007-2020 Metadata'!$A$4:$S$214,MATCH("Site type",'2007-2020 Metadata'!$A$4:$S$4,0),FALSE)</f>
        <v>Background</v>
      </c>
      <c r="AG125" s="143">
        <f t="shared" si="58"/>
        <v>5.4</v>
      </c>
      <c r="AH125" s="143">
        <f t="shared" si="60"/>
        <v>18.8</v>
      </c>
      <c r="AI125" s="144">
        <f t="shared" si="55"/>
        <v>14.729166666666668</v>
      </c>
    </row>
    <row r="126" spans="1:36" ht="12" customHeight="1" x14ac:dyDescent="0.15">
      <c r="A126" s="31"/>
      <c r="B126" s="40" t="s">
        <v>21</v>
      </c>
      <c r="C126" s="104">
        <f>IF(VLOOKUP(B126,'Monthly Summary 2012'!$B$7:$Q$221,14,FALSE)=0,"",VLOOKUP(B126,'Monthly Summary 2012'!$B$7:$Q$221,14,FALSE))</f>
        <v>9.9</v>
      </c>
      <c r="D126" s="36">
        <v>8</v>
      </c>
      <c r="E126" s="36">
        <v>10.199999999999999</v>
      </c>
      <c r="F126" s="36">
        <v>13.6</v>
      </c>
      <c r="G126" s="36">
        <v>14.1</v>
      </c>
      <c r="H126" s="36">
        <v>12.3</v>
      </c>
      <c r="I126" s="36">
        <v>13.5</v>
      </c>
      <c r="J126" s="36">
        <v>43.4</v>
      </c>
      <c r="K126" s="36">
        <v>15.5</v>
      </c>
      <c r="L126" s="36">
        <v>12.2</v>
      </c>
      <c r="M126" s="36">
        <v>10.9</v>
      </c>
      <c r="N126" s="36">
        <v>11.1</v>
      </c>
      <c r="O126" s="36">
        <v>6.3</v>
      </c>
      <c r="P126" s="37">
        <f t="shared" si="46"/>
        <v>14.258333333333333</v>
      </c>
      <c r="Q126" s="38">
        <f t="shared" si="47"/>
        <v>1</v>
      </c>
      <c r="R126" s="140">
        <f t="shared" si="48"/>
        <v>10.6</v>
      </c>
      <c r="S126" s="150">
        <f t="shared" si="49"/>
        <v>1</v>
      </c>
      <c r="T126" s="140">
        <f t="shared" si="50"/>
        <v>23.7</v>
      </c>
      <c r="U126" s="9">
        <f t="shared" si="51"/>
        <v>1</v>
      </c>
      <c r="V126" s="141">
        <f t="shared" si="52"/>
        <v>14.258333333333333</v>
      </c>
      <c r="W126" s="142">
        <f t="shared" si="53"/>
        <v>1</v>
      </c>
      <c r="X126" s="144">
        <f t="shared" si="56"/>
        <v>10.6</v>
      </c>
      <c r="Y126" s="144">
        <f t="shared" si="54"/>
        <v>23.7</v>
      </c>
      <c r="Z126" s="144">
        <f t="shared" si="57"/>
        <v>14.258333333333333</v>
      </c>
      <c r="AA126" s="10"/>
      <c r="AB126" s="357" t="str">
        <f>VLOOKUP($B126,'2007-2020 Metadata'!$A$4:$S$214,MATCH("Urban Area /Monitoring Zone",'2007-2020 Metadata'!$A$4:$S$4,0),FALSE)</f>
        <v>Greymouth</v>
      </c>
      <c r="AC126" s="87" t="str">
        <f>VLOOKUP(B126,'2007-2020 Metadata'!$A$6:$A$214,1,FALSE)</f>
        <v>CHR001</v>
      </c>
      <c r="AD126" s="230" t="str">
        <f>VLOOKUP($AC126,'2007-2020 Metadata'!$A$6:$S$214,9,FALSE)</f>
        <v>Greymouth</v>
      </c>
      <c r="AE126" s="248">
        <f>IF(ISBLANK(VLOOKUP($AC126,'2007-2020 Metadata'!$A$6:$S$214,19,FALSE)),"",VLOOKUP($AC126,'2007-2020 Metadata'!$A$6:$S$214,19,FALSE))</f>
        <v>2.2999999999999998</v>
      </c>
      <c r="AF126" s="88" t="str">
        <f>VLOOKUP($B126,'2007-2020 Metadata'!$A$4:$S$214,MATCH("Site type",'2007-2020 Metadata'!$A$4:$S$4,0),FALSE)</f>
        <v>SH</v>
      </c>
      <c r="AG126" s="143">
        <f t="shared" si="58"/>
        <v>6.3</v>
      </c>
      <c r="AH126" s="143">
        <f t="shared" si="60"/>
        <v>43.4</v>
      </c>
      <c r="AI126" s="144">
        <f t="shared" si="55"/>
        <v>14.258333333333333</v>
      </c>
    </row>
    <row r="127" spans="1:36" ht="12" customHeight="1" x14ac:dyDescent="0.15">
      <c r="A127" s="31"/>
      <c r="B127" s="40" t="s">
        <v>22</v>
      </c>
      <c r="C127" s="104">
        <f>IF(VLOOKUP(B127,'Monthly Summary 2012'!$B$7:$Q$221,14,FALSE)=0,"",VLOOKUP(B127,'Monthly Summary 2012'!$B$7:$Q$221,14,FALSE))</f>
        <v>23.4</v>
      </c>
      <c r="D127" s="36">
        <v>18.600000000000001</v>
      </c>
      <c r="E127" s="36">
        <v>29.3</v>
      </c>
      <c r="F127" s="36">
        <v>28.1</v>
      </c>
      <c r="G127" s="36">
        <v>39</v>
      </c>
      <c r="H127" s="36"/>
      <c r="I127" s="36">
        <v>39</v>
      </c>
      <c r="J127" s="36">
        <v>37.700000000000003</v>
      </c>
      <c r="K127" s="36">
        <v>33.1</v>
      </c>
      <c r="L127" s="36">
        <v>33.1</v>
      </c>
      <c r="M127" s="36">
        <v>21.7</v>
      </c>
      <c r="N127" s="36">
        <v>24.7</v>
      </c>
      <c r="O127" s="36">
        <v>13.8</v>
      </c>
      <c r="P127" s="37">
        <f t="shared" si="46"/>
        <v>28.918181818181814</v>
      </c>
      <c r="Q127" s="38">
        <f t="shared" si="47"/>
        <v>0.91666666666666663</v>
      </c>
      <c r="R127" s="140">
        <f t="shared" si="48"/>
        <v>25.333333333333332</v>
      </c>
      <c r="S127" s="150">
        <f t="shared" si="49"/>
        <v>1</v>
      </c>
      <c r="T127" s="140">
        <f t="shared" si="50"/>
        <v>34.633333333333333</v>
      </c>
      <c r="U127" s="9">
        <f t="shared" si="51"/>
        <v>1</v>
      </c>
      <c r="V127" s="141">
        <f t="shared" si="52"/>
        <v>28.918181818181814</v>
      </c>
      <c r="W127" s="142">
        <f t="shared" si="53"/>
        <v>0.91666666666666663</v>
      </c>
      <c r="X127" s="144">
        <f t="shared" si="56"/>
        <v>24.833333333333336</v>
      </c>
      <c r="Y127" s="144">
        <f t="shared" si="54"/>
        <v>33.876041666666659</v>
      </c>
      <c r="Z127" s="144">
        <f t="shared" si="57"/>
        <v>29.073541666666667</v>
      </c>
      <c r="AA127" s="10"/>
      <c r="AB127" s="357" t="str">
        <f>VLOOKUP($B127,'2007-2020 Metadata'!$A$4:$S$214,MATCH("Urban Area /Monitoring Zone",'2007-2020 Metadata'!$A$4:$S$4,0),FALSE)</f>
        <v>Christchurch</v>
      </c>
      <c r="AC127" s="87" t="str">
        <f>VLOOKUP(B127,'2007-2020 Metadata'!$A$6:$A$214,1,FALSE)</f>
        <v>CHR002</v>
      </c>
      <c r="AD127" s="230" t="str">
        <f>VLOOKUP($AC127,'2007-2020 Metadata'!$A$6:$S$214,9,FALSE)</f>
        <v>Christchurch</v>
      </c>
      <c r="AE127" s="248">
        <f>IF(ISBLANK(VLOOKUP($AC127,'2007-2020 Metadata'!$A$6:$S$214,19,FALSE)),"",VLOOKUP($AC127,'2007-2020 Metadata'!$A$6:$S$214,19,FALSE))</f>
        <v>3.2</v>
      </c>
      <c r="AF127" s="88" t="str">
        <f>VLOOKUP($B127,'2007-2020 Metadata'!$A$4:$S$214,MATCH("Site type",'2007-2020 Metadata'!$A$4:$S$4,0),FALSE)</f>
        <v>SH</v>
      </c>
      <c r="AG127" s="143">
        <f t="shared" si="58"/>
        <v>13.8</v>
      </c>
      <c r="AH127" s="143">
        <f t="shared" si="60"/>
        <v>39</v>
      </c>
      <c r="AI127" s="144">
        <f t="shared" si="55"/>
        <v>29.073541666666667</v>
      </c>
    </row>
    <row r="128" spans="1:36" ht="12" customHeight="1" x14ac:dyDescent="0.15">
      <c r="A128" s="31"/>
      <c r="B128" s="40" t="s">
        <v>23</v>
      </c>
      <c r="C128" s="104">
        <f>IF(VLOOKUP(B128,'Monthly Summary 2012'!$B$7:$Q$221,14,FALSE)=0,"",VLOOKUP(B128,'Monthly Summary 2012'!$B$7:$Q$221,14,FALSE))</f>
        <v>16.600000000000001</v>
      </c>
      <c r="D128" s="36">
        <v>12.8</v>
      </c>
      <c r="E128" s="36">
        <v>25.6</v>
      </c>
      <c r="F128" s="36">
        <v>25.8</v>
      </c>
      <c r="G128" s="36">
        <v>36.4</v>
      </c>
      <c r="H128" s="36"/>
      <c r="I128" s="36"/>
      <c r="J128" s="36">
        <v>23.6</v>
      </c>
      <c r="K128" s="36">
        <v>29.6</v>
      </c>
      <c r="L128" s="36">
        <v>29.2</v>
      </c>
      <c r="M128" s="36">
        <v>15.1</v>
      </c>
      <c r="N128" s="36">
        <v>21.8</v>
      </c>
      <c r="O128" s="36"/>
      <c r="P128" s="37">
        <f t="shared" si="46"/>
        <v>24.43333333333333</v>
      </c>
      <c r="Q128" s="38">
        <f t="shared" si="47"/>
        <v>0.75</v>
      </c>
      <c r="R128" s="140">
        <f t="shared" si="48"/>
        <v>21.400000000000002</v>
      </c>
      <c r="S128" s="150">
        <f t="shared" si="49"/>
        <v>1</v>
      </c>
      <c r="T128" s="140">
        <f t="shared" si="50"/>
        <v>27.466666666666669</v>
      </c>
      <c r="U128" s="9">
        <f t="shared" si="51"/>
        <v>1</v>
      </c>
      <c r="V128" s="141">
        <f t="shared" si="52"/>
        <v>24.43333333333333</v>
      </c>
      <c r="W128" s="142">
        <f t="shared" si="53"/>
        <v>0.75</v>
      </c>
      <c r="X128" s="144">
        <f t="shared" si="56"/>
        <v>24.833333333333336</v>
      </c>
      <c r="Y128" s="144">
        <f t="shared" si="54"/>
        <v>33.876041666666659</v>
      </c>
      <c r="Z128" s="144">
        <f t="shared" si="57"/>
        <v>29.073541666666667</v>
      </c>
      <c r="AA128" s="10"/>
      <c r="AB128" s="357" t="str">
        <f>VLOOKUP($B128,'2007-2020 Metadata'!$A$4:$S$214,MATCH("Urban Area /Monitoring Zone",'2007-2020 Metadata'!$A$4:$S$4,0),FALSE)</f>
        <v>Christchurch</v>
      </c>
      <c r="AC128" s="87" t="str">
        <f>VLOOKUP(B128,'2007-2020 Metadata'!$A$6:$A$214,1,FALSE)</f>
        <v>CHR003</v>
      </c>
      <c r="AD128" s="230" t="str">
        <f>VLOOKUP($AC128,'2007-2020 Metadata'!$A$6:$S$214,9,FALSE)</f>
        <v>Christchurch</v>
      </c>
      <c r="AE128" s="248">
        <f>IF(ISBLANK(VLOOKUP($AC128,'2007-2020 Metadata'!$A$6:$S$214,19,FALSE)),"",VLOOKUP($AC128,'2007-2020 Metadata'!$A$6:$S$214,19,FALSE))</f>
        <v>3.3</v>
      </c>
      <c r="AF128" s="88" t="str">
        <f>VLOOKUP($B128,'2007-2020 Metadata'!$A$4:$S$214,MATCH("Site type",'2007-2020 Metadata'!$A$4:$S$4,0),FALSE)</f>
        <v>SH</v>
      </c>
      <c r="AG128" s="143">
        <f t="shared" si="58"/>
        <v>12.8</v>
      </c>
      <c r="AH128" s="143">
        <f t="shared" si="60"/>
        <v>36.4</v>
      </c>
      <c r="AI128" s="144">
        <f t="shared" si="55"/>
        <v>29.073541666666667</v>
      </c>
    </row>
    <row r="129" spans="1:35" ht="12" customHeight="1" x14ac:dyDescent="0.15">
      <c r="A129" s="31"/>
      <c r="B129" s="40" t="s">
        <v>24</v>
      </c>
      <c r="C129" s="104">
        <f>IF(VLOOKUP(B129,'Monthly Summary 2012'!$B$7:$Q$221,14,FALSE)=0,"",VLOOKUP(B129,'Monthly Summary 2012'!$B$7:$Q$221,14,FALSE))</f>
        <v>7.5</v>
      </c>
      <c r="D129" s="36">
        <v>9.1999999999999993</v>
      </c>
      <c r="E129" s="36">
        <v>14.8</v>
      </c>
      <c r="F129" s="36"/>
      <c r="G129" s="36">
        <v>20.2</v>
      </c>
      <c r="H129" s="36">
        <v>12.1</v>
      </c>
      <c r="I129" s="36">
        <v>22.5</v>
      </c>
      <c r="J129" s="36">
        <v>42.2</v>
      </c>
      <c r="K129" s="36">
        <v>16.8</v>
      </c>
      <c r="L129" s="36">
        <v>15.1</v>
      </c>
      <c r="M129" s="36">
        <v>29.6</v>
      </c>
      <c r="N129" s="36">
        <v>9</v>
      </c>
      <c r="O129" s="36">
        <v>8.1</v>
      </c>
      <c r="P129" s="37">
        <f t="shared" si="46"/>
        <v>18.145454545454545</v>
      </c>
      <c r="Q129" s="38">
        <f t="shared" si="47"/>
        <v>0.91666666666666663</v>
      </c>
      <c r="R129" s="140">
        <f t="shared" si="48"/>
        <v>12</v>
      </c>
      <c r="S129" s="150">
        <f t="shared" si="49"/>
        <v>0.66666666666666663</v>
      </c>
      <c r="T129" s="140">
        <f t="shared" si="50"/>
        <v>24.7</v>
      </c>
      <c r="U129" s="9">
        <f t="shared" si="51"/>
        <v>1</v>
      </c>
      <c r="V129" s="141">
        <f t="shared" si="52"/>
        <v>18.145454545454545</v>
      </c>
      <c r="W129" s="142">
        <f t="shared" si="53"/>
        <v>0.91666666666666663</v>
      </c>
      <c r="X129" s="144">
        <f t="shared" si="56"/>
        <v>24.833333333333336</v>
      </c>
      <c r="Y129" s="144">
        <f t="shared" si="54"/>
        <v>33.876041666666659</v>
      </c>
      <c r="Z129" s="144">
        <f t="shared" si="57"/>
        <v>29.073541666666667</v>
      </c>
      <c r="AA129" s="10"/>
      <c r="AB129" s="357" t="str">
        <f>VLOOKUP($B129,'2007-2020 Metadata'!$A$4:$S$214,MATCH("Urban Area /Monitoring Zone",'2007-2020 Metadata'!$A$4:$S$4,0),FALSE)</f>
        <v>Christchurch</v>
      </c>
      <c r="AC129" s="87" t="str">
        <f>VLOOKUP(B129,'2007-2020 Metadata'!$A$6:$A$214,1,FALSE)</f>
        <v>CHR004</v>
      </c>
      <c r="AD129" s="230" t="str">
        <f>VLOOKUP($AC129,'2007-2020 Metadata'!$A$6:$S$214,9,FALSE)</f>
        <v>Christchurch</v>
      </c>
      <c r="AE129" s="248">
        <f>IF(ISBLANK(VLOOKUP($AC129,'2007-2020 Metadata'!$A$6:$S$214,19,FALSE)),"",VLOOKUP($AC129,'2007-2020 Metadata'!$A$6:$S$214,19,FALSE))</f>
        <v>3.1</v>
      </c>
      <c r="AF129" s="88" t="str">
        <f>VLOOKUP($B129,'2007-2020 Metadata'!$A$4:$S$214,MATCH("Site type",'2007-2020 Metadata'!$A$4:$S$4,0),FALSE)</f>
        <v>Background</v>
      </c>
      <c r="AG129" s="143">
        <f t="shared" si="58"/>
        <v>8.1</v>
      </c>
      <c r="AH129" s="143">
        <f t="shared" si="60"/>
        <v>42.2</v>
      </c>
      <c r="AI129" s="144">
        <f t="shared" si="55"/>
        <v>29.073541666666667</v>
      </c>
    </row>
    <row r="130" spans="1:35" ht="12" customHeight="1" x14ac:dyDescent="0.15">
      <c r="A130" s="31"/>
      <c r="B130" s="40" t="s">
        <v>25</v>
      </c>
      <c r="C130" s="104" t="str">
        <f>IF(VLOOKUP(B130,'Monthly Summary 2012'!$B$7:$Q$221,14,FALSE)=0,"",VLOOKUP(B130,'Monthly Summary 2012'!$B$7:$Q$221,14,FALSE))</f>
        <v/>
      </c>
      <c r="D130" s="36">
        <v>26.6</v>
      </c>
      <c r="E130" s="36">
        <v>31.2</v>
      </c>
      <c r="F130" s="36">
        <v>35.6</v>
      </c>
      <c r="G130" s="36">
        <v>37.700000000000003</v>
      </c>
      <c r="H130" s="36"/>
      <c r="I130" s="36">
        <v>39.1</v>
      </c>
      <c r="J130" s="36">
        <v>34</v>
      </c>
      <c r="K130" s="36">
        <v>39</v>
      </c>
      <c r="L130" s="36">
        <v>35.1</v>
      </c>
      <c r="M130" s="36">
        <v>16.3</v>
      </c>
      <c r="N130" s="36"/>
      <c r="O130" s="36">
        <v>25.6</v>
      </c>
      <c r="P130" s="37">
        <f t="shared" si="46"/>
        <v>32.020000000000003</v>
      </c>
      <c r="Q130" s="38">
        <f t="shared" si="47"/>
        <v>0.83333333333333337</v>
      </c>
      <c r="R130" s="140">
        <f t="shared" si="48"/>
        <v>31.133333333333336</v>
      </c>
      <c r="S130" s="150">
        <f t="shared" si="49"/>
        <v>1</v>
      </c>
      <c r="T130" s="140">
        <f t="shared" si="50"/>
        <v>36.033333333333331</v>
      </c>
      <c r="U130" s="9">
        <f t="shared" si="51"/>
        <v>1</v>
      </c>
      <c r="V130" s="141">
        <f t="shared" si="52"/>
        <v>32.020000000000003</v>
      </c>
      <c r="W130" s="142">
        <f t="shared" si="53"/>
        <v>0.83333333333333337</v>
      </c>
      <c r="X130" s="144">
        <f t="shared" si="56"/>
        <v>24.833333333333336</v>
      </c>
      <c r="Y130" s="144">
        <f t="shared" si="54"/>
        <v>33.876041666666659</v>
      </c>
      <c r="Z130" s="144">
        <f t="shared" si="57"/>
        <v>29.073541666666667</v>
      </c>
      <c r="AA130" s="10"/>
      <c r="AB130" s="357" t="str">
        <f>VLOOKUP($B130,'2007-2020 Metadata'!$A$4:$S$214,MATCH("Urban Area /Monitoring Zone",'2007-2020 Metadata'!$A$4:$S$4,0),FALSE)</f>
        <v>Christchurch</v>
      </c>
      <c r="AC130" s="87" t="str">
        <f>VLOOKUP(B130,'2007-2020 Metadata'!$A$6:$A$214,1,FALSE)</f>
        <v>CHR006</v>
      </c>
      <c r="AD130" s="230" t="str">
        <f>VLOOKUP($AC130,'2007-2020 Metadata'!$A$6:$S$214,9,FALSE)</f>
        <v>Christchurch</v>
      </c>
      <c r="AE130" s="248">
        <f>IF(ISBLANK(VLOOKUP($AC130,'2007-2020 Metadata'!$A$6:$S$214,19,FALSE)),"",VLOOKUP($AC130,'2007-2020 Metadata'!$A$6:$S$214,19,FALSE))</f>
        <v>3.4</v>
      </c>
      <c r="AF130" s="88" t="str">
        <f>VLOOKUP($B130,'2007-2020 Metadata'!$A$4:$S$214,MATCH("Site type",'2007-2020 Metadata'!$A$4:$S$4,0),FALSE)</f>
        <v>SH</v>
      </c>
      <c r="AG130" s="143">
        <f t="shared" si="58"/>
        <v>16.3</v>
      </c>
      <c r="AH130" s="143">
        <f t="shared" si="60"/>
        <v>39.1</v>
      </c>
      <c r="AI130" s="144">
        <f t="shared" si="55"/>
        <v>29.073541666666667</v>
      </c>
    </row>
    <row r="131" spans="1:35" ht="12" customHeight="1" x14ac:dyDescent="0.15">
      <c r="A131" s="31"/>
      <c r="B131" s="40" t="s">
        <v>143</v>
      </c>
      <c r="C131" s="104">
        <f>IF(VLOOKUP(B131,'Monthly Summary 2012'!$B$7:$Q$221,14,FALSE)=0,"",VLOOKUP(B131,'Monthly Summary 2012'!$B$7:$Q$221,14,FALSE))</f>
        <v>16.8</v>
      </c>
      <c r="D131" s="36">
        <v>13.6</v>
      </c>
      <c r="E131" s="36">
        <v>24</v>
      </c>
      <c r="F131" s="36">
        <v>24</v>
      </c>
      <c r="G131" s="36">
        <v>37.700000000000003</v>
      </c>
      <c r="H131" s="36"/>
      <c r="I131" s="36">
        <v>40.200000000000003</v>
      </c>
      <c r="J131" s="36">
        <v>36.299999999999997</v>
      </c>
      <c r="K131" s="36">
        <v>31.2</v>
      </c>
      <c r="L131" s="36">
        <v>28.5</v>
      </c>
      <c r="M131" s="36">
        <v>29.5</v>
      </c>
      <c r="N131" s="36">
        <v>19.7</v>
      </c>
      <c r="O131" s="36">
        <v>15.3</v>
      </c>
      <c r="P131" s="37">
        <f t="shared" si="46"/>
        <v>27.272727272727273</v>
      </c>
      <c r="Q131" s="38">
        <f t="shared" si="47"/>
        <v>0.91666666666666663</v>
      </c>
      <c r="R131" s="140">
        <f t="shared" si="48"/>
        <v>20.533333333333335</v>
      </c>
      <c r="S131" s="150">
        <f t="shared" si="49"/>
        <v>1</v>
      </c>
      <c r="T131" s="140">
        <f t="shared" si="50"/>
        <v>32</v>
      </c>
      <c r="U131" s="9">
        <f t="shared" si="51"/>
        <v>1</v>
      </c>
      <c r="V131" s="141">
        <f t="shared" si="52"/>
        <v>27.272727272727273</v>
      </c>
      <c r="W131" s="142">
        <f t="shared" si="53"/>
        <v>0.91666666666666663</v>
      </c>
      <c r="X131" s="354">
        <f t="shared" si="56"/>
        <v>24.833333333333336</v>
      </c>
      <c r="Y131" s="354">
        <f t="shared" si="54"/>
        <v>33.876041666666659</v>
      </c>
      <c r="Z131" s="354">
        <f t="shared" si="57"/>
        <v>29.073541666666667</v>
      </c>
      <c r="AA131" s="10"/>
      <c r="AB131" s="357" t="str">
        <f>VLOOKUP($B131,'2007-2020 Metadata'!$A$4:$S$214,MATCH("Urban Area /Monitoring Zone",'2007-2020 Metadata'!$A$4:$S$4,0),FALSE)</f>
        <v>Christchurch</v>
      </c>
      <c r="AC131" s="87" t="str">
        <f>VLOOKUP(B131,'2007-2020 Metadata'!$A$6:$A$214,1,FALSE)</f>
        <v>CHR011</v>
      </c>
      <c r="AD131" s="356" t="str">
        <f>VLOOKUP($AC131,'2007-2020 Metadata'!$A$6:$S$214,9,FALSE)</f>
        <v>Christchurch</v>
      </c>
      <c r="AE131" s="358">
        <f>IF(ISBLANK(VLOOKUP($AC131,'2007-2020 Metadata'!$A$6:$S$214,19,FALSE)),"",VLOOKUP($AC131,'2007-2020 Metadata'!$A$6:$S$214,19,FALSE))</f>
        <v>2.85</v>
      </c>
      <c r="AF131" s="355" t="str">
        <f>VLOOKUP($B131,'2007-2020 Metadata'!$A$4:$S$214,MATCH("Site type",'2007-2020 Metadata'!$A$4:$S$4,0),FALSE)</f>
        <v>SH</v>
      </c>
      <c r="AG131" s="364">
        <f t="shared" si="58"/>
        <v>13.6</v>
      </c>
      <c r="AH131" s="364">
        <f t="shared" si="60"/>
        <v>40.200000000000003</v>
      </c>
      <c r="AI131" s="354">
        <f t="shared" si="55"/>
        <v>29.073541666666667</v>
      </c>
    </row>
    <row r="132" spans="1:35" ht="12" customHeight="1" x14ac:dyDescent="0.15">
      <c r="A132" s="31"/>
      <c r="B132" s="40" t="s">
        <v>144</v>
      </c>
      <c r="C132" s="104">
        <f>IF(VLOOKUP(B132,'Monthly Summary 2012'!$B$7:$Q$221,14,FALSE)=0,"",VLOOKUP(B132,'Monthly Summary 2012'!$B$7:$Q$221,14,FALSE))</f>
        <v>12.5</v>
      </c>
      <c r="D132" s="36">
        <v>24.1</v>
      </c>
      <c r="E132" s="36">
        <v>26.7</v>
      </c>
      <c r="F132" s="36">
        <v>31.9</v>
      </c>
      <c r="G132" s="36">
        <v>37.700000000000003</v>
      </c>
      <c r="H132" s="36"/>
      <c r="I132" s="36">
        <v>35.9</v>
      </c>
      <c r="J132" s="36">
        <v>42.5</v>
      </c>
      <c r="K132" s="36">
        <v>30.8</v>
      </c>
      <c r="L132" s="36">
        <v>33.9</v>
      </c>
      <c r="M132" s="36">
        <v>12.2</v>
      </c>
      <c r="N132" s="36">
        <v>27</v>
      </c>
      <c r="O132" s="36">
        <v>23.4</v>
      </c>
      <c r="P132" s="37">
        <f t="shared" si="46"/>
        <v>29.645454545454541</v>
      </c>
      <c r="Q132" s="38">
        <f t="shared" si="47"/>
        <v>0.91666666666666663</v>
      </c>
      <c r="R132" s="140">
        <f t="shared" si="48"/>
        <v>27.566666666666663</v>
      </c>
      <c r="S132" s="150">
        <f t="shared" si="49"/>
        <v>1</v>
      </c>
      <c r="T132" s="140">
        <f t="shared" si="50"/>
        <v>35.733333333333327</v>
      </c>
      <c r="U132" s="9">
        <f t="shared" si="51"/>
        <v>1</v>
      </c>
      <c r="V132" s="141">
        <f t="shared" si="52"/>
        <v>29.645454545454541</v>
      </c>
      <c r="W132" s="142">
        <f t="shared" si="53"/>
        <v>0.91666666666666663</v>
      </c>
      <c r="X132" s="354">
        <f t="shared" si="56"/>
        <v>24.833333333333336</v>
      </c>
      <c r="Y132" s="354">
        <f t="shared" si="54"/>
        <v>33.876041666666659</v>
      </c>
      <c r="Z132" s="354">
        <f t="shared" si="57"/>
        <v>29.073541666666667</v>
      </c>
      <c r="AA132" s="10"/>
      <c r="AB132" s="357" t="str">
        <f>VLOOKUP($B132,'2007-2020 Metadata'!$A$4:$S$214,MATCH("Urban Area /Monitoring Zone",'2007-2020 Metadata'!$A$4:$S$4,0),FALSE)</f>
        <v>Christchurch</v>
      </c>
      <c r="AC132" s="87" t="str">
        <f>VLOOKUP(B132,'2007-2020 Metadata'!$A$6:$A$214,1,FALSE)</f>
        <v>CHR012</v>
      </c>
      <c r="AD132" s="356" t="str">
        <f>VLOOKUP($AC132,'2007-2020 Metadata'!$A$6:$S$214,9,FALSE)</f>
        <v>Christchurch</v>
      </c>
      <c r="AE132" s="358">
        <f>IF(ISBLANK(VLOOKUP($AC132,'2007-2020 Metadata'!$A$6:$S$214,19,FALSE)),"",VLOOKUP($AC132,'2007-2020 Metadata'!$A$6:$S$214,19,FALSE))</f>
        <v>3</v>
      </c>
      <c r="AF132" s="355" t="str">
        <f>VLOOKUP($B132,'2007-2020 Metadata'!$A$4:$S$214,MATCH("Site type",'2007-2020 Metadata'!$A$4:$S$4,0),FALSE)</f>
        <v>Local</v>
      </c>
      <c r="AG132" s="364">
        <f t="shared" si="58"/>
        <v>12.2</v>
      </c>
      <c r="AH132" s="364">
        <f t="shared" si="60"/>
        <v>42.5</v>
      </c>
      <c r="AI132" s="354">
        <f t="shared" si="55"/>
        <v>29.073541666666667</v>
      </c>
    </row>
    <row r="133" spans="1:35" ht="12" customHeight="1" x14ac:dyDescent="0.15">
      <c r="A133" s="31"/>
      <c r="B133" s="40" t="s">
        <v>145</v>
      </c>
      <c r="C133" s="104">
        <f>IF(VLOOKUP(B133,'Monthly Summary 2012'!$B$7:$Q$221,14,FALSE)=0,"",VLOOKUP(B133,'Monthly Summary 2012'!$B$7:$Q$221,14,FALSE))</f>
        <v>13.7</v>
      </c>
      <c r="D133" s="36">
        <v>24.8</v>
      </c>
      <c r="E133" s="36">
        <v>31.2</v>
      </c>
      <c r="F133" s="36">
        <v>32.299999999999997</v>
      </c>
      <c r="G133" s="36">
        <v>43</v>
      </c>
      <c r="H133" s="36"/>
      <c r="I133" s="36">
        <v>49</v>
      </c>
      <c r="J133" s="36">
        <v>52.5</v>
      </c>
      <c r="K133" s="36">
        <v>36.200000000000003</v>
      </c>
      <c r="L133" s="36">
        <v>32.5</v>
      </c>
      <c r="M133" s="36">
        <v>24.2</v>
      </c>
      <c r="N133" s="36">
        <v>26.6</v>
      </c>
      <c r="O133" s="36">
        <v>21</v>
      </c>
      <c r="P133" s="37">
        <f t="shared" si="46"/>
        <v>33.936363636363637</v>
      </c>
      <c r="Q133" s="38">
        <f t="shared" si="47"/>
        <v>0.91666666666666663</v>
      </c>
      <c r="R133" s="140">
        <f t="shared" si="48"/>
        <v>29.433333333333334</v>
      </c>
      <c r="S133" s="150">
        <f t="shared" si="49"/>
        <v>1</v>
      </c>
      <c r="T133" s="140">
        <f t="shared" si="50"/>
        <v>40.4</v>
      </c>
      <c r="U133" s="9">
        <f t="shared" si="51"/>
        <v>1</v>
      </c>
      <c r="V133" s="141">
        <f t="shared" si="52"/>
        <v>33.936363636363637</v>
      </c>
      <c r="W133" s="142">
        <f t="shared" si="53"/>
        <v>0.91666666666666663</v>
      </c>
      <c r="X133" s="354">
        <f t="shared" si="56"/>
        <v>24.833333333333336</v>
      </c>
      <c r="Y133" s="354">
        <f t="shared" si="54"/>
        <v>33.876041666666659</v>
      </c>
      <c r="Z133" s="354">
        <f t="shared" si="57"/>
        <v>29.073541666666667</v>
      </c>
      <c r="AA133" s="10"/>
      <c r="AB133" s="357" t="str">
        <f>VLOOKUP($B133,'2007-2020 Metadata'!$A$4:$S$214,MATCH("Urban Area /Monitoring Zone",'2007-2020 Metadata'!$A$4:$S$4,0),FALSE)</f>
        <v>Christchurch</v>
      </c>
      <c r="AC133" s="87" t="str">
        <f>VLOOKUP(B133,'2007-2020 Metadata'!$A$6:$A$214,1,FALSE)</f>
        <v>CHR013</v>
      </c>
      <c r="AD133" s="356" t="str">
        <f>VLOOKUP($AC133,'2007-2020 Metadata'!$A$6:$S$214,9,FALSE)</f>
        <v>Christchurch</v>
      </c>
      <c r="AE133" s="358">
        <f>IF(ISBLANK(VLOOKUP($AC133,'2007-2020 Metadata'!$A$6:$S$214,19,FALSE)),"",VLOOKUP($AC133,'2007-2020 Metadata'!$A$6:$S$214,19,FALSE))</f>
        <v>3.15</v>
      </c>
      <c r="AF133" s="355" t="str">
        <f>VLOOKUP($B133,'2007-2020 Metadata'!$A$4:$S$214,MATCH("Site type",'2007-2020 Metadata'!$A$4:$S$4,0),FALSE)</f>
        <v>SH</v>
      </c>
      <c r="AG133" s="364">
        <f t="shared" si="58"/>
        <v>21</v>
      </c>
      <c r="AH133" s="364">
        <f t="shared" si="60"/>
        <v>52.5</v>
      </c>
      <c r="AI133" s="354">
        <f t="shared" si="55"/>
        <v>29.073541666666667</v>
      </c>
    </row>
    <row r="134" spans="1:35" ht="12" customHeight="1" x14ac:dyDescent="0.15">
      <c r="A134" s="31"/>
      <c r="B134" s="40" t="s">
        <v>146</v>
      </c>
      <c r="C134" s="104">
        <f>IF(VLOOKUP(B134,'Monthly Summary 2012'!$B$7:$Q$221,14,FALSE)=0,"",VLOOKUP(B134,'Monthly Summary 2012'!$B$7:$Q$221,14,FALSE))</f>
        <v>15</v>
      </c>
      <c r="D134" s="36">
        <v>18.899999999999999</v>
      </c>
      <c r="E134" s="36">
        <v>26.4</v>
      </c>
      <c r="F134" s="36">
        <v>35.1</v>
      </c>
      <c r="G134" s="36">
        <v>36.299999999999997</v>
      </c>
      <c r="H134" s="36"/>
      <c r="I134" s="36">
        <v>44</v>
      </c>
      <c r="J134" s="36">
        <v>38.6</v>
      </c>
      <c r="K134" s="36">
        <v>39.799999999999997</v>
      </c>
      <c r="L134" s="36">
        <v>36.6</v>
      </c>
      <c r="M134" s="36">
        <v>27.3</v>
      </c>
      <c r="N134" s="36"/>
      <c r="O134" s="36"/>
      <c r="P134" s="37">
        <f t="shared" si="46"/>
        <v>33.666666666666664</v>
      </c>
      <c r="Q134" s="38">
        <f t="shared" si="47"/>
        <v>0.75</v>
      </c>
      <c r="R134" s="140">
        <f t="shared" si="48"/>
        <v>26.8</v>
      </c>
      <c r="S134" s="150">
        <f t="shared" si="49"/>
        <v>1</v>
      </c>
      <c r="T134" s="140">
        <f t="shared" si="50"/>
        <v>38.333333333333336</v>
      </c>
      <c r="U134" s="9">
        <f t="shared" si="51"/>
        <v>1</v>
      </c>
      <c r="V134" s="141">
        <f t="shared" si="52"/>
        <v>33.666666666666664</v>
      </c>
      <c r="W134" s="142">
        <f t="shared" si="53"/>
        <v>0.75</v>
      </c>
      <c r="X134" s="354">
        <f t="shared" si="56"/>
        <v>24.833333333333336</v>
      </c>
      <c r="Y134" s="354">
        <f t="shared" si="54"/>
        <v>33.876041666666659</v>
      </c>
      <c r="Z134" s="354">
        <f t="shared" si="57"/>
        <v>29.073541666666667</v>
      </c>
      <c r="AA134" s="10"/>
      <c r="AB134" s="357" t="str">
        <f>VLOOKUP($B134,'2007-2020 Metadata'!$A$4:$S$214,MATCH("Urban Area /Monitoring Zone",'2007-2020 Metadata'!$A$4:$S$4,0),FALSE)</f>
        <v>Christchurch</v>
      </c>
      <c r="AC134" s="87" t="str">
        <f>VLOOKUP(B134,'2007-2020 Metadata'!$A$6:$A$214,1,FALSE)</f>
        <v>CHR014</v>
      </c>
      <c r="AD134" s="356" t="str">
        <f>VLOOKUP($AC134,'2007-2020 Metadata'!$A$6:$S$214,9,FALSE)</f>
        <v>Christchurch</v>
      </c>
      <c r="AE134" s="358">
        <f>IF(ISBLANK(VLOOKUP($AC134,'2007-2020 Metadata'!$A$6:$S$214,19,FALSE)),"",VLOOKUP($AC134,'2007-2020 Metadata'!$A$6:$S$214,19,FALSE))</f>
        <v>2.9</v>
      </c>
      <c r="AF134" s="355" t="str">
        <f>VLOOKUP($B134,'2007-2020 Metadata'!$A$4:$S$214,MATCH("Site type",'2007-2020 Metadata'!$A$4:$S$4,0),FALSE)</f>
        <v>SH</v>
      </c>
      <c r="AG134" s="364">
        <f t="shared" si="58"/>
        <v>18.899999999999999</v>
      </c>
      <c r="AH134" s="364">
        <f t="shared" si="60"/>
        <v>44</v>
      </c>
      <c r="AI134" s="354">
        <f t="shared" si="55"/>
        <v>29.073541666666667</v>
      </c>
    </row>
    <row r="135" spans="1:35" ht="12" customHeight="1" x14ac:dyDescent="0.15">
      <c r="A135" s="31"/>
      <c r="B135" s="40" t="s">
        <v>147</v>
      </c>
      <c r="C135" s="104">
        <f>IF(VLOOKUP(B135,'Monthly Summary 2012'!$B$7:$Q$221,14,FALSE)=0,"",VLOOKUP(B135,'Monthly Summary 2012'!$B$7:$Q$221,14,FALSE))</f>
        <v>16.8</v>
      </c>
      <c r="D135" s="36">
        <v>20.100000000000001</v>
      </c>
      <c r="E135" s="36">
        <v>26.2</v>
      </c>
      <c r="F135" s="36">
        <v>26.7</v>
      </c>
      <c r="G135" s="36">
        <v>36.200000000000003</v>
      </c>
      <c r="H135" s="36"/>
      <c r="I135" s="36">
        <v>41.2</v>
      </c>
      <c r="J135" s="36">
        <v>46.4</v>
      </c>
      <c r="K135" s="36">
        <v>30.8</v>
      </c>
      <c r="L135" s="36">
        <v>32.6</v>
      </c>
      <c r="M135" s="36">
        <v>26</v>
      </c>
      <c r="N135" s="36">
        <v>22</v>
      </c>
      <c r="O135" s="36">
        <v>20.7</v>
      </c>
      <c r="P135" s="37">
        <f t="shared" ref="P135:P152" si="61">(AVERAGE(D135:O135))</f>
        <v>29.900000000000002</v>
      </c>
      <c r="Q135" s="38">
        <f t="shared" ref="Q135:Q152" si="62">COUNT(D135:O135)/COUNT($D$6:$O$6)</f>
        <v>0.91666666666666663</v>
      </c>
      <c r="R135" s="140">
        <f t="shared" ref="R135:R152" si="63">IF($S135=0%,"",IF($S135&gt;66%,AVERAGE($D135:$F135),"-"))</f>
        <v>24.333333333333332</v>
      </c>
      <c r="S135" s="150">
        <f t="shared" ref="S135:S152" si="64">COUNT(D135:F135)/3</f>
        <v>1</v>
      </c>
      <c r="T135" s="140">
        <f t="shared" ref="T135:T152" si="65">IF($U135=0%,"",IF($U135&gt;66%,AVERAGE($J135:$L135),"-"))</f>
        <v>36.6</v>
      </c>
      <c r="U135" s="9">
        <f t="shared" ref="U135:U152" si="66">COUNT(J135:L135)/3</f>
        <v>1</v>
      </c>
      <c r="V135" s="141">
        <f t="shared" ref="V135:V152" si="67">IF(AND(($S135&gt;33%),($U135&gt;33%),($W135&gt;=75%)),AVERAGE($D135:$O135),"-")</f>
        <v>29.900000000000002</v>
      </c>
      <c r="W135" s="142">
        <f t="shared" ref="W135:W152" si="68">Q135</f>
        <v>0.91666666666666663</v>
      </c>
      <c r="X135" s="354">
        <f t="shared" si="56"/>
        <v>24.833333333333336</v>
      </c>
      <c r="Y135" s="354">
        <f t="shared" ref="Y135:Y152" si="69">IF(VLOOKUP($B135,$AC$6:$AI$158,3,FALSE)="",$T135,IF(ISERROR(AVERAGEIF($AD$6:$AD$158,VLOOKUP($B135,$AC$6:$AI$158,2,FALSE),$T$6:$T$158)),"",AVERAGEIF($AD$6:$AD$158,VLOOKUP($B135,$AC$6:$AI$158,2,FALSE),$T$6:$T$158)))</f>
        <v>33.876041666666659</v>
      </c>
      <c r="Z135" s="354">
        <f t="shared" si="57"/>
        <v>29.073541666666667</v>
      </c>
      <c r="AA135" s="10"/>
      <c r="AB135" s="357" t="str">
        <f>VLOOKUP($B135,'2007-2020 Metadata'!$A$4:$S$214,MATCH("Urban Area /Monitoring Zone",'2007-2020 Metadata'!$A$4:$S$4,0),FALSE)</f>
        <v>Christchurch</v>
      </c>
      <c r="AC135" s="87" t="str">
        <f>VLOOKUP(B135,'2007-2020 Metadata'!$A$6:$A$214,1,FALSE)</f>
        <v>CHR015</v>
      </c>
      <c r="AD135" s="356" t="str">
        <f>VLOOKUP($AC135,'2007-2020 Metadata'!$A$6:$S$214,9,FALSE)</f>
        <v>Christchurch</v>
      </c>
      <c r="AE135" s="358">
        <f>IF(ISBLANK(VLOOKUP($AC135,'2007-2020 Metadata'!$A$6:$S$214,19,FALSE)),"",VLOOKUP($AC135,'2007-2020 Metadata'!$A$6:$S$214,19,FALSE))</f>
        <v>3.1</v>
      </c>
      <c r="AF135" s="355" t="str">
        <f>VLOOKUP($B135,'2007-2020 Metadata'!$A$4:$S$214,MATCH("Site type",'2007-2020 Metadata'!$A$4:$S$4,0),FALSE)</f>
        <v>Local</v>
      </c>
      <c r="AG135" s="364">
        <f t="shared" si="58"/>
        <v>20.100000000000001</v>
      </c>
      <c r="AH135" s="364">
        <f t="shared" si="60"/>
        <v>46.4</v>
      </c>
      <c r="AI135" s="354">
        <f t="shared" ref="AI135:AI152" si="70">IF($W135&gt;=75%,$Z135," ")</f>
        <v>29.073541666666667</v>
      </c>
    </row>
    <row r="136" spans="1:35" ht="12" customHeight="1" x14ac:dyDescent="0.15">
      <c r="A136" s="31"/>
      <c r="B136" s="40" t="s">
        <v>148</v>
      </c>
      <c r="C136" s="104">
        <f>IF(VLOOKUP(B136,'Monthly Summary 2012'!$B$7:$Q$221,14,FALSE)=0,"",VLOOKUP(B136,'Monthly Summary 2012'!$B$7:$Q$221,14,FALSE))</f>
        <v>19.2</v>
      </c>
      <c r="D136" s="36">
        <v>23.5</v>
      </c>
      <c r="E136" s="36"/>
      <c r="F136" s="36">
        <v>38.1</v>
      </c>
      <c r="G136" s="36">
        <v>37.700000000000003</v>
      </c>
      <c r="H136" s="36"/>
      <c r="I136" s="36">
        <v>48.2</v>
      </c>
      <c r="J136" s="36">
        <v>47.3</v>
      </c>
      <c r="K136" s="36">
        <v>40.5</v>
      </c>
      <c r="L136" s="36">
        <v>48</v>
      </c>
      <c r="M136" s="36">
        <v>35.200000000000003</v>
      </c>
      <c r="N136" s="36">
        <v>33.700000000000003</v>
      </c>
      <c r="O136" s="36">
        <v>22.7</v>
      </c>
      <c r="P136" s="37">
        <f t="shared" si="61"/>
        <v>37.489999999999995</v>
      </c>
      <c r="Q136" s="38">
        <f t="shared" si="62"/>
        <v>0.83333333333333337</v>
      </c>
      <c r="R136" s="140">
        <f t="shared" si="63"/>
        <v>30.8</v>
      </c>
      <c r="S136" s="150">
        <f t="shared" si="64"/>
        <v>0.66666666666666663</v>
      </c>
      <c r="T136" s="140">
        <f t="shared" si="65"/>
        <v>45.266666666666673</v>
      </c>
      <c r="U136" s="9">
        <f t="shared" si="66"/>
        <v>1</v>
      </c>
      <c r="V136" s="141">
        <f t="shared" si="67"/>
        <v>37.489999999999995</v>
      </c>
      <c r="W136" s="142">
        <f t="shared" si="68"/>
        <v>0.83333333333333337</v>
      </c>
      <c r="X136" s="354">
        <f t="shared" si="56"/>
        <v>24.833333333333336</v>
      </c>
      <c r="Y136" s="354">
        <f t="shared" si="69"/>
        <v>33.876041666666659</v>
      </c>
      <c r="Z136" s="354">
        <f t="shared" si="57"/>
        <v>29.073541666666667</v>
      </c>
      <c r="AA136" s="10"/>
      <c r="AB136" s="357" t="str">
        <f>VLOOKUP($B136,'2007-2020 Metadata'!$A$4:$S$214,MATCH("Urban Area /Monitoring Zone",'2007-2020 Metadata'!$A$4:$S$4,0),FALSE)</f>
        <v>Christchurch</v>
      </c>
      <c r="AC136" s="87" t="str">
        <f>VLOOKUP(B136,'2007-2020 Metadata'!$A$6:$A$214,1,FALSE)</f>
        <v>CHR016</v>
      </c>
      <c r="AD136" s="356" t="str">
        <f>VLOOKUP($AC136,'2007-2020 Metadata'!$A$6:$S$214,9,FALSE)</f>
        <v>Christchurch</v>
      </c>
      <c r="AE136" s="358">
        <f>IF(ISBLANK(VLOOKUP($AC136,'2007-2020 Metadata'!$A$6:$S$214,19,FALSE)),"",VLOOKUP($AC136,'2007-2020 Metadata'!$A$6:$S$214,19,FALSE))</f>
        <v>3</v>
      </c>
      <c r="AF136" s="355" t="str">
        <f>VLOOKUP($B136,'2007-2020 Metadata'!$A$4:$S$214,MATCH("Site type",'2007-2020 Metadata'!$A$4:$S$4,0),FALSE)</f>
        <v>Local</v>
      </c>
      <c r="AG136" s="364">
        <f t="shared" si="58"/>
        <v>22.7</v>
      </c>
      <c r="AH136" s="364">
        <f t="shared" si="60"/>
        <v>48.2</v>
      </c>
      <c r="AI136" s="354">
        <f t="shared" si="70"/>
        <v>29.073541666666667</v>
      </c>
    </row>
    <row r="137" spans="1:35" ht="12" customHeight="1" x14ac:dyDescent="0.15">
      <c r="A137" s="31"/>
      <c r="B137" s="40" t="s">
        <v>149</v>
      </c>
      <c r="C137" s="104">
        <f>IF(VLOOKUP(B137,'Monthly Summary 2012'!$B$7:$Q$221,14,FALSE)=0,"",VLOOKUP(B137,'Monthly Summary 2012'!$B$7:$Q$221,14,FALSE))</f>
        <v>31.8</v>
      </c>
      <c r="D137" s="36">
        <v>37.299999999999997</v>
      </c>
      <c r="E137" s="36"/>
      <c r="F137" s="36">
        <v>44.7</v>
      </c>
      <c r="G137" s="36">
        <v>39.700000000000003</v>
      </c>
      <c r="H137" s="36">
        <v>40.799999999999997</v>
      </c>
      <c r="I137" s="36">
        <v>47.8</v>
      </c>
      <c r="J137" s="36">
        <v>44.6</v>
      </c>
      <c r="K137" s="36">
        <v>42.2</v>
      </c>
      <c r="L137" s="36">
        <v>47.6</v>
      </c>
      <c r="M137" s="36">
        <v>43.7</v>
      </c>
      <c r="N137" s="36">
        <v>41.1</v>
      </c>
      <c r="O137" s="36">
        <v>33.200000000000003</v>
      </c>
      <c r="P137" s="37">
        <f t="shared" si="61"/>
        <v>42.06363636363637</v>
      </c>
      <c r="Q137" s="38">
        <f t="shared" si="62"/>
        <v>0.91666666666666663</v>
      </c>
      <c r="R137" s="260">
        <f t="shared" si="63"/>
        <v>41</v>
      </c>
      <c r="S137" s="261">
        <f t="shared" si="64"/>
        <v>0.66666666666666663</v>
      </c>
      <c r="T137" s="260">
        <f t="shared" si="65"/>
        <v>44.800000000000004</v>
      </c>
      <c r="U137" s="265">
        <f t="shared" si="66"/>
        <v>1</v>
      </c>
      <c r="V137" s="262">
        <f t="shared" si="67"/>
        <v>42.06363636363637</v>
      </c>
      <c r="W137" s="261">
        <f t="shared" si="68"/>
        <v>0.91666666666666663</v>
      </c>
      <c r="X137" s="359">
        <f t="shared" si="56"/>
        <v>24.833333333333336</v>
      </c>
      <c r="Y137" s="359">
        <f t="shared" si="69"/>
        <v>33.876041666666659</v>
      </c>
      <c r="Z137" s="359">
        <f t="shared" si="57"/>
        <v>29.073541666666667</v>
      </c>
      <c r="AA137" s="10"/>
      <c r="AB137" s="357" t="str">
        <f>VLOOKUP($B137,'2007-2020 Metadata'!$A$4:$S$214,MATCH("Urban Area /Monitoring Zone",'2007-2020 Metadata'!$A$4:$S$4,0),FALSE)</f>
        <v>Christchurch</v>
      </c>
      <c r="AC137" s="259" t="str">
        <f>VLOOKUP(B137,'2007-2020 Metadata'!$A$6:$A$214,1,FALSE)</f>
        <v>CHR017</v>
      </c>
      <c r="AD137" s="361" t="str">
        <f>VLOOKUP($AC137,'2007-2020 Metadata'!$A$6:$S$214,9,FALSE)</f>
        <v>Christchurch</v>
      </c>
      <c r="AE137" s="362">
        <f>IF(ISBLANK(VLOOKUP($AC137,'2007-2020 Metadata'!$A$6:$S$214,19,FALSE)),"",VLOOKUP($AC137,'2007-2020 Metadata'!$A$6:$S$214,19,FALSE))</f>
        <v>3</v>
      </c>
      <c r="AF137" s="360" t="str">
        <f>VLOOKUP($B137,'2007-2020 Metadata'!$A$4:$S$214,MATCH("Site type",'2007-2020 Metadata'!$A$4:$S$4,0),FALSE)</f>
        <v>Local</v>
      </c>
      <c r="AG137" s="365">
        <f>MIN(AVERAGE(D$137:D$139),AVERAGE(E$137:E$139),AVERAGE(F$137:F$139),AVERAGE(G$137:G$139),AVERAGE(H$137:H$139),AVERAGE(I$137:I$139),AVERAGE(J$137:J$139),AVERAGE(K$137:K$139),AVERAGE(L$137:L$139),AVERAGE(M$137:M$139),AVERAGE(N$137:N$139),AVERAGE(O$137:O$139))</f>
        <v>31.566666666666674</v>
      </c>
      <c r="AH137" s="365">
        <f>MAX(AVERAGE(D$137:D$139),AVERAGE(E$137:E$139),AVERAGE(F$137:F$139),AVERAGE(G$137:G$139),AVERAGE(H$137:H$139),AVERAGE(I$137:I$139),AVERAGE(J$137:J$139),AVERAGE(K$137:K$139),AVERAGE(L$137:L$139),AVERAGE(M$137:M$139),AVERAGE(N$137:N$139),AVERAGE(O$137:O$139))</f>
        <v>48.3</v>
      </c>
      <c r="AI137" s="359">
        <f t="shared" si="70"/>
        <v>29.073541666666667</v>
      </c>
    </row>
    <row r="138" spans="1:35" ht="12" customHeight="1" x14ac:dyDescent="0.15">
      <c r="A138" s="31"/>
      <c r="B138" s="40" t="s">
        <v>150</v>
      </c>
      <c r="C138" s="104">
        <f>IF(VLOOKUP(B138,'Monthly Summary 2012'!$B$7:$Q$221,14,FALSE)=0,"",VLOOKUP(B138,'Monthly Summary 2012'!$B$7:$Q$221,14,FALSE))</f>
        <v>34.5</v>
      </c>
      <c r="D138" s="36">
        <v>36.700000000000003</v>
      </c>
      <c r="E138" s="36">
        <v>31.3</v>
      </c>
      <c r="F138" s="36">
        <v>44</v>
      </c>
      <c r="G138" s="36">
        <v>42.2</v>
      </c>
      <c r="H138" s="36">
        <v>42.6</v>
      </c>
      <c r="I138" s="36">
        <v>47.2</v>
      </c>
      <c r="J138" s="36">
        <v>52</v>
      </c>
      <c r="K138" s="36">
        <v>52.2</v>
      </c>
      <c r="L138" s="36">
        <v>43.8</v>
      </c>
      <c r="M138" s="36">
        <v>38.1</v>
      </c>
      <c r="N138" s="36">
        <v>41.3</v>
      </c>
      <c r="O138" s="36">
        <v>31.1</v>
      </c>
      <c r="P138" s="37">
        <f t="shared" si="61"/>
        <v>41.875000000000007</v>
      </c>
      <c r="Q138" s="38">
        <f t="shared" si="62"/>
        <v>1</v>
      </c>
      <c r="R138" s="260">
        <f t="shared" si="63"/>
        <v>37.333333333333336</v>
      </c>
      <c r="S138" s="261">
        <f t="shared" si="64"/>
        <v>1</v>
      </c>
      <c r="T138" s="260">
        <f t="shared" si="65"/>
        <v>49.333333333333336</v>
      </c>
      <c r="U138" s="265">
        <f t="shared" si="66"/>
        <v>1</v>
      </c>
      <c r="V138" s="262">
        <f t="shared" si="67"/>
        <v>41.875000000000007</v>
      </c>
      <c r="W138" s="261">
        <f t="shared" si="68"/>
        <v>1</v>
      </c>
      <c r="X138" s="359">
        <f t="shared" si="56"/>
        <v>24.833333333333336</v>
      </c>
      <c r="Y138" s="359">
        <f t="shared" si="69"/>
        <v>33.876041666666659</v>
      </c>
      <c r="Z138" s="359">
        <f t="shared" si="57"/>
        <v>29.073541666666667</v>
      </c>
      <c r="AA138" s="10"/>
      <c r="AB138" s="357" t="str">
        <f>VLOOKUP($B138,'2007-2020 Metadata'!$A$4:$S$214,MATCH("Urban Area /Monitoring Zone",'2007-2020 Metadata'!$A$4:$S$4,0),FALSE)</f>
        <v>Christchurch</v>
      </c>
      <c r="AC138" s="259" t="str">
        <f>VLOOKUP(B138,'2007-2020 Metadata'!$A$6:$A$214,1,FALSE)</f>
        <v>CHR018</v>
      </c>
      <c r="AD138" s="361" t="str">
        <f>VLOOKUP($AC138,'2007-2020 Metadata'!$A$6:$S$214,9,FALSE)</f>
        <v>Christchurch</v>
      </c>
      <c r="AE138" s="362">
        <f>IF(ISBLANK(VLOOKUP($AC138,'2007-2020 Metadata'!$A$6:$S$214,19,FALSE)),"",VLOOKUP($AC138,'2007-2020 Metadata'!$A$6:$S$214,19,FALSE))</f>
        <v>3</v>
      </c>
      <c r="AF138" s="360" t="str">
        <f>VLOOKUP($B138,'2007-2020 Metadata'!$A$4:$S$214,MATCH("Site type",'2007-2020 Metadata'!$A$4:$S$4,0),FALSE)</f>
        <v>Local</v>
      </c>
      <c r="AG138" s="365">
        <f>MIN(AVERAGE(D$137:D$139),AVERAGE(E$137:E$139),AVERAGE(F$137:F$139),AVERAGE(G$137:G$139),AVERAGE(H$137:H$139),AVERAGE(I$137:I$139),AVERAGE(J$137:J$139),AVERAGE(K$137:K$139),AVERAGE(L$137:L$139),AVERAGE(M$137:M$139),AVERAGE(N$137:N$139),AVERAGE(O$137:O$139))</f>
        <v>31.566666666666674</v>
      </c>
      <c r="AH138" s="365">
        <f>MAX(AVERAGE(D$137:D$139),AVERAGE(E$137:E$139),AVERAGE(F$137:F$139),AVERAGE(G$137:G$139),AVERAGE(H$137:H$139),AVERAGE(I$137:I$139),AVERAGE(J$137:J$139),AVERAGE(K$137:K$139),AVERAGE(L$137:L$139),AVERAGE(M$137:M$139),AVERAGE(N$137:N$139),AVERAGE(O$137:O$139))</f>
        <v>48.3</v>
      </c>
      <c r="AI138" s="359">
        <f t="shared" si="70"/>
        <v>29.073541666666667</v>
      </c>
    </row>
    <row r="139" spans="1:35" ht="12" customHeight="1" x14ac:dyDescent="0.15">
      <c r="A139" s="31"/>
      <c r="B139" s="40" t="s">
        <v>151</v>
      </c>
      <c r="C139" s="104">
        <f>IF(VLOOKUP(B139,'Monthly Summary 2012'!$B$7:$Q$221,14,FALSE)=0,"",VLOOKUP(B139,'Monthly Summary 2012'!$B$7:$Q$221,14,FALSE))</f>
        <v>36</v>
      </c>
      <c r="D139" s="36">
        <v>35.5</v>
      </c>
      <c r="E139" s="36">
        <v>38.5</v>
      </c>
      <c r="F139" s="36">
        <v>45.6</v>
      </c>
      <c r="G139" s="36">
        <v>41.9</v>
      </c>
      <c r="H139" s="36">
        <v>44.3</v>
      </c>
      <c r="I139" s="36">
        <v>45</v>
      </c>
      <c r="J139" s="36"/>
      <c r="K139" s="36">
        <v>46.7</v>
      </c>
      <c r="L139" s="36">
        <v>39.799999999999997</v>
      </c>
      <c r="M139" s="36">
        <v>41.8</v>
      </c>
      <c r="N139" s="36">
        <v>39.9</v>
      </c>
      <c r="O139" s="36">
        <v>30.4</v>
      </c>
      <c r="P139" s="37">
        <f t="shared" si="61"/>
        <v>40.854545454545452</v>
      </c>
      <c r="Q139" s="38">
        <f t="shared" si="62"/>
        <v>0.91666666666666663</v>
      </c>
      <c r="R139" s="260">
        <f t="shared" si="63"/>
        <v>39.866666666666667</v>
      </c>
      <c r="S139" s="261">
        <f t="shared" si="64"/>
        <v>1</v>
      </c>
      <c r="T139" s="260">
        <f t="shared" si="65"/>
        <v>43.25</v>
      </c>
      <c r="U139" s="265">
        <f t="shared" si="66"/>
        <v>0.66666666666666663</v>
      </c>
      <c r="V139" s="262">
        <f t="shared" si="67"/>
        <v>40.854545454545452</v>
      </c>
      <c r="W139" s="261">
        <f t="shared" si="68"/>
        <v>0.91666666666666663</v>
      </c>
      <c r="X139" s="359">
        <f t="shared" si="56"/>
        <v>24.833333333333336</v>
      </c>
      <c r="Y139" s="359">
        <f t="shared" si="69"/>
        <v>33.876041666666659</v>
      </c>
      <c r="Z139" s="359">
        <f t="shared" si="57"/>
        <v>29.073541666666667</v>
      </c>
      <c r="AA139" s="10"/>
      <c r="AB139" s="357" t="str">
        <f>VLOOKUP($B139,'2007-2020 Metadata'!$A$4:$S$214,MATCH("Urban Area /Monitoring Zone",'2007-2020 Metadata'!$A$4:$S$4,0),FALSE)</f>
        <v>Christchurch</v>
      </c>
      <c r="AC139" s="259" t="str">
        <f>VLOOKUP(B139,'2007-2020 Metadata'!$A$6:$A$214,1,FALSE)</f>
        <v>CHR019</v>
      </c>
      <c r="AD139" s="361" t="str">
        <f>VLOOKUP($AC139,'2007-2020 Metadata'!$A$6:$S$214,9,FALSE)</f>
        <v>Christchurch</v>
      </c>
      <c r="AE139" s="362">
        <f>IF(ISBLANK(VLOOKUP($AC139,'2007-2020 Metadata'!$A$6:$S$214,19,FALSE)),"",VLOOKUP($AC139,'2007-2020 Metadata'!$A$6:$S$214,19,FALSE))</f>
        <v>3</v>
      </c>
      <c r="AF139" s="360" t="str">
        <f>VLOOKUP($B139,'2007-2020 Metadata'!$A$4:$S$214,MATCH("Site type",'2007-2020 Metadata'!$A$4:$S$4,0),FALSE)</f>
        <v>Local</v>
      </c>
      <c r="AG139" s="365">
        <f>MIN(AVERAGE(D$137:D$139),AVERAGE(E$137:E$139),AVERAGE(F$137:F$139),AVERAGE(G$137:G$139),AVERAGE(H$137:H$139),AVERAGE(I$137:I$139),AVERAGE(J$137:J$139),AVERAGE(K$137:K$139),AVERAGE(L$137:L$139),AVERAGE(M$137:M$139),AVERAGE(N$137:N$139),AVERAGE(O$137:O$139))</f>
        <v>31.566666666666674</v>
      </c>
      <c r="AH139" s="365">
        <f>MAX(AVERAGE(D$137:D$139),AVERAGE(E$137:E$139),AVERAGE(F$137:F$139),AVERAGE(G$137:G$139),AVERAGE(H$137:H$139),AVERAGE(I$137:I$139),AVERAGE(J$137:J$139),AVERAGE(K$137:K$139),AVERAGE(L$137:L$139),AVERAGE(M$137:M$139),AVERAGE(N$137:N$139),AVERAGE(O$137:O$139))</f>
        <v>48.3</v>
      </c>
      <c r="AI139" s="359">
        <f t="shared" si="70"/>
        <v>29.073541666666667</v>
      </c>
    </row>
    <row r="140" spans="1:35" ht="12" customHeight="1" x14ac:dyDescent="0.15">
      <c r="A140" s="31"/>
      <c r="B140" s="40" t="s">
        <v>152</v>
      </c>
      <c r="C140" s="104">
        <f>IF(VLOOKUP(B140,'Monthly Summary 2012'!$B$7:$Q$221,14,FALSE)=0,"",VLOOKUP(B140,'Monthly Summary 2012'!$B$7:$Q$221,14,FALSE))</f>
        <v>6.7</v>
      </c>
      <c r="D140" s="36">
        <v>9.1</v>
      </c>
      <c r="E140" s="36">
        <v>8.5</v>
      </c>
      <c r="F140" s="36"/>
      <c r="G140" s="36">
        <v>20.9</v>
      </c>
      <c r="H140" s="36">
        <v>20.399999999999999</v>
      </c>
      <c r="I140" s="36">
        <v>26.9</v>
      </c>
      <c r="J140" s="36">
        <v>21.4</v>
      </c>
      <c r="K140" s="36">
        <v>18.899999999999999</v>
      </c>
      <c r="L140" s="36">
        <v>14.9</v>
      </c>
      <c r="M140" s="36">
        <v>13.5</v>
      </c>
      <c r="N140" s="36">
        <v>8.1999999999999993</v>
      </c>
      <c r="O140" s="36">
        <v>7.4</v>
      </c>
      <c r="P140" s="37">
        <f t="shared" si="61"/>
        <v>15.463636363636363</v>
      </c>
      <c r="Q140" s="38">
        <f t="shared" si="62"/>
        <v>0.91666666666666663</v>
      </c>
      <c r="R140" s="260">
        <f t="shared" si="63"/>
        <v>8.8000000000000007</v>
      </c>
      <c r="S140" s="261">
        <f t="shared" si="64"/>
        <v>0.66666666666666663</v>
      </c>
      <c r="T140" s="260">
        <f t="shared" si="65"/>
        <v>18.399999999999999</v>
      </c>
      <c r="U140" s="265">
        <f t="shared" si="66"/>
        <v>1</v>
      </c>
      <c r="V140" s="262">
        <f t="shared" si="67"/>
        <v>15.463636363636363</v>
      </c>
      <c r="W140" s="261">
        <f t="shared" si="68"/>
        <v>0.91666666666666663</v>
      </c>
      <c r="X140" s="359">
        <f t="shared" si="56"/>
        <v>24.833333333333336</v>
      </c>
      <c r="Y140" s="359">
        <f t="shared" si="69"/>
        <v>33.876041666666659</v>
      </c>
      <c r="Z140" s="359">
        <f t="shared" si="57"/>
        <v>29.073541666666667</v>
      </c>
      <c r="AA140" s="10"/>
      <c r="AB140" s="357" t="str">
        <f>VLOOKUP($B140,'2007-2020 Metadata'!$A$4:$S$214,MATCH("Urban Area /Monitoring Zone",'2007-2020 Metadata'!$A$4:$S$4,0),FALSE)</f>
        <v>Christchurch</v>
      </c>
      <c r="AC140" s="259" t="str">
        <f>VLOOKUP(B140,'2007-2020 Metadata'!$A$6:$A$214,1,FALSE)</f>
        <v>CHR020</v>
      </c>
      <c r="AD140" s="361" t="str">
        <f>VLOOKUP($AC140,'2007-2020 Metadata'!$A$6:$S$214,9,FALSE)</f>
        <v>Christchurch</v>
      </c>
      <c r="AE140" s="362">
        <f>IF(ISBLANK(VLOOKUP($AC140,'2007-2020 Metadata'!$A$6:$S$214,19,FALSE)),"",VLOOKUP($AC140,'2007-2020 Metadata'!$A$6:$S$214,19,FALSE))</f>
        <v>3.5</v>
      </c>
      <c r="AF140" s="360" t="str">
        <f>VLOOKUP($B140,'2007-2020 Metadata'!$A$4:$S$214,MATCH("Site type",'2007-2020 Metadata'!$A$4:$S$4,0),FALSE)</f>
        <v>Background</v>
      </c>
      <c r="AG140" s="365">
        <f>MIN(AVERAGE(D$140:D$142),AVERAGE(E$140:E$142),AVERAGE(F$140:F$142),AVERAGE(G$140:G$142),AVERAGE(H$140:H$142),AVERAGE(I$140:I$142),AVERAGE(J$140:J$142),AVERAGE(K$140:K$142),AVERAGE(L$140:L$142),AVERAGE(M$140:M$142),AVERAGE(N$140:N$142),AVERAGE(O$140:O$142))</f>
        <v>7.0333333333333341</v>
      </c>
      <c r="AH140" s="365">
        <f>MAX(AVERAGE(D$140:D$142),AVERAGE(E$140:E$142),AVERAGE(F$140:F$142),AVERAGE(G$140:G$142),AVERAGE(H$140:H$142),AVERAGE(I$140:I$142),AVERAGE(J$140:J$142),AVERAGE(K$140:K$142),AVERAGE(L$140:L$142),AVERAGE(M$140:M$142),AVERAGE(N$140:N$142),AVERAGE(O$140:O$142))</f>
        <v>25.3</v>
      </c>
      <c r="AI140" s="359">
        <f t="shared" si="70"/>
        <v>29.073541666666667</v>
      </c>
    </row>
    <row r="141" spans="1:35" ht="12" customHeight="1" x14ac:dyDescent="0.15">
      <c r="A141" s="31"/>
      <c r="B141" s="40" t="s">
        <v>153</v>
      </c>
      <c r="C141" s="104">
        <f>IF(VLOOKUP(B141,'Monthly Summary 2012'!$B$7:$Q$221,14,FALSE)=0,"",VLOOKUP(B141,'Monthly Summary 2012'!$B$7:$Q$221,14,FALSE))</f>
        <v>6.9</v>
      </c>
      <c r="D141" s="36">
        <v>8</v>
      </c>
      <c r="E141" s="36">
        <v>9.6999999999999993</v>
      </c>
      <c r="F141" s="36">
        <v>13</v>
      </c>
      <c r="G141" s="36">
        <v>20.9</v>
      </c>
      <c r="H141" s="36">
        <v>23.1</v>
      </c>
      <c r="I141" s="36">
        <v>23.8</v>
      </c>
      <c r="J141" s="36">
        <v>22.9</v>
      </c>
      <c r="K141" s="36">
        <v>17</v>
      </c>
      <c r="L141" s="36">
        <v>16.399999999999999</v>
      </c>
      <c r="M141" s="36">
        <v>12.8</v>
      </c>
      <c r="N141" s="36">
        <v>7.9</v>
      </c>
      <c r="O141" s="36">
        <v>6.8</v>
      </c>
      <c r="P141" s="37">
        <f t="shared" si="61"/>
        <v>15.191666666666668</v>
      </c>
      <c r="Q141" s="38">
        <f t="shared" si="62"/>
        <v>1</v>
      </c>
      <c r="R141" s="260">
        <f t="shared" si="63"/>
        <v>10.233333333333333</v>
      </c>
      <c r="S141" s="261">
        <f t="shared" si="64"/>
        <v>1</v>
      </c>
      <c r="T141" s="260">
        <f t="shared" si="65"/>
        <v>18.766666666666666</v>
      </c>
      <c r="U141" s="265">
        <f t="shared" si="66"/>
        <v>1</v>
      </c>
      <c r="V141" s="262">
        <f t="shared" si="67"/>
        <v>15.191666666666668</v>
      </c>
      <c r="W141" s="261">
        <f t="shared" si="68"/>
        <v>1</v>
      </c>
      <c r="X141" s="359">
        <f t="shared" si="56"/>
        <v>24.833333333333336</v>
      </c>
      <c r="Y141" s="359">
        <f t="shared" si="69"/>
        <v>33.876041666666659</v>
      </c>
      <c r="Z141" s="359">
        <f t="shared" si="57"/>
        <v>29.073541666666667</v>
      </c>
      <c r="AA141" s="10"/>
      <c r="AB141" s="357" t="str">
        <f>VLOOKUP($B141,'2007-2020 Metadata'!$A$4:$S$214,MATCH("Urban Area /Monitoring Zone",'2007-2020 Metadata'!$A$4:$S$4,0),FALSE)</f>
        <v>Christchurch</v>
      </c>
      <c r="AC141" s="259" t="str">
        <f>VLOOKUP(B141,'2007-2020 Metadata'!$A$6:$A$214,1,FALSE)</f>
        <v>CHR021</v>
      </c>
      <c r="AD141" s="361" t="str">
        <f>VLOOKUP($AC141,'2007-2020 Metadata'!$A$6:$S$214,9,FALSE)</f>
        <v>Christchurch</v>
      </c>
      <c r="AE141" s="362">
        <f>IF(ISBLANK(VLOOKUP($AC141,'2007-2020 Metadata'!$A$6:$S$214,19,FALSE)),"",VLOOKUP($AC141,'2007-2020 Metadata'!$A$6:$S$214,19,FALSE))</f>
        <v>3.5</v>
      </c>
      <c r="AF141" s="360" t="str">
        <f>VLOOKUP($B141,'2007-2020 Metadata'!$A$4:$S$214,MATCH("Site type",'2007-2020 Metadata'!$A$4:$S$4,0),FALSE)</f>
        <v>Background</v>
      </c>
      <c r="AG141" s="365">
        <f>MIN(AVERAGE(D$140:D$142),AVERAGE(E$140:E$142),AVERAGE(F$140:F$142),AVERAGE(G$140:G$142),AVERAGE(H$140:H$142),AVERAGE(I$140:I$142),AVERAGE(J$140:J$142),AVERAGE(K$140:K$142),AVERAGE(L$140:L$142),AVERAGE(M$140:M$142),AVERAGE(N$140:N$142),AVERAGE(O$140:O$142))</f>
        <v>7.0333333333333341</v>
      </c>
      <c r="AH141" s="365">
        <f>MAX(AVERAGE(D$140:D$142),AVERAGE(E$140:E$142),AVERAGE(F$140:F$142),AVERAGE(G$140:G$142),AVERAGE(H$140:H$142),AVERAGE(I$140:I$142),AVERAGE(J$140:J$142),AVERAGE(K$140:K$142),AVERAGE(L$140:L$142),AVERAGE(M$140:M$142),AVERAGE(N$140:N$142),AVERAGE(O$140:O$142))</f>
        <v>25.3</v>
      </c>
      <c r="AI141" s="359">
        <f t="shared" si="70"/>
        <v>29.073541666666667</v>
      </c>
    </row>
    <row r="142" spans="1:35" ht="12" customHeight="1" x14ac:dyDescent="0.15">
      <c r="A142" s="31"/>
      <c r="B142" s="40" t="s">
        <v>154</v>
      </c>
      <c r="C142" s="104">
        <f>IF(VLOOKUP(B142,'Monthly Summary 2012'!$B$7:$Q$221,14,FALSE)=0,"",VLOOKUP(B142,'Monthly Summary 2012'!$B$7:$Q$221,14,FALSE))</f>
        <v>7.6</v>
      </c>
      <c r="D142" s="36">
        <v>8.9</v>
      </c>
      <c r="E142" s="36">
        <v>12.2</v>
      </c>
      <c r="F142" s="36">
        <v>11.2</v>
      </c>
      <c r="G142" s="36">
        <v>22.7</v>
      </c>
      <c r="H142" s="36">
        <v>21.1</v>
      </c>
      <c r="I142" s="36">
        <v>25.2</v>
      </c>
      <c r="J142" s="36"/>
      <c r="K142" s="36">
        <v>16.8</v>
      </c>
      <c r="L142" s="36">
        <v>15.8</v>
      </c>
      <c r="M142" s="36">
        <v>8.8000000000000007</v>
      </c>
      <c r="N142" s="36">
        <v>7.7</v>
      </c>
      <c r="O142" s="36">
        <v>6.9</v>
      </c>
      <c r="P142" s="37">
        <f t="shared" si="61"/>
        <v>14.3</v>
      </c>
      <c r="Q142" s="38">
        <f t="shared" si="62"/>
        <v>0.91666666666666663</v>
      </c>
      <c r="R142" s="260">
        <f t="shared" si="63"/>
        <v>10.766666666666666</v>
      </c>
      <c r="S142" s="261">
        <f t="shared" si="64"/>
        <v>1</v>
      </c>
      <c r="T142" s="260">
        <f t="shared" si="65"/>
        <v>16.3</v>
      </c>
      <c r="U142" s="265">
        <f t="shared" si="66"/>
        <v>0.66666666666666663</v>
      </c>
      <c r="V142" s="262">
        <f t="shared" si="67"/>
        <v>14.3</v>
      </c>
      <c r="W142" s="261">
        <f t="shared" si="68"/>
        <v>0.91666666666666663</v>
      </c>
      <c r="X142" s="359">
        <f t="shared" si="56"/>
        <v>24.833333333333336</v>
      </c>
      <c r="Y142" s="359">
        <f t="shared" si="69"/>
        <v>33.876041666666659</v>
      </c>
      <c r="Z142" s="359">
        <f t="shared" si="57"/>
        <v>29.073541666666667</v>
      </c>
      <c r="AA142" s="10"/>
      <c r="AB142" s="357" t="str">
        <f>VLOOKUP($B142,'2007-2020 Metadata'!$A$4:$S$214,MATCH("Urban Area /Monitoring Zone",'2007-2020 Metadata'!$A$4:$S$4,0),FALSE)</f>
        <v>Christchurch</v>
      </c>
      <c r="AC142" s="259" t="str">
        <f>VLOOKUP(B142,'2007-2020 Metadata'!$A$6:$A$214,1,FALSE)</f>
        <v>CHR022</v>
      </c>
      <c r="AD142" s="361" t="str">
        <f>VLOOKUP($AC142,'2007-2020 Metadata'!$A$6:$S$214,9,FALSE)</f>
        <v>Christchurch</v>
      </c>
      <c r="AE142" s="362">
        <f>IF(ISBLANK(VLOOKUP($AC142,'2007-2020 Metadata'!$A$6:$S$214,19,FALSE)),"",VLOOKUP($AC142,'2007-2020 Metadata'!$A$6:$S$214,19,FALSE))</f>
        <v>3.5</v>
      </c>
      <c r="AF142" s="360" t="str">
        <f>VLOOKUP($B142,'2007-2020 Metadata'!$A$4:$S$214,MATCH("Site type",'2007-2020 Metadata'!$A$4:$S$4,0),FALSE)</f>
        <v>Background</v>
      </c>
      <c r="AG142" s="365">
        <f>MIN(AVERAGE(D$140:D$142),AVERAGE(E$140:E$142),AVERAGE(F$140:F$142),AVERAGE(G$140:G$142),AVERAGE(H$140:H$142),AVERAGE(I$140:I$142),AVERAGE(J$140:J$142),AVERAGE(K$140:K$142),AVERAGE(L$140:L$142),AVERAGE(M$140:M$142),AVERAGE(N$140:N$142),AVERAGE(O$140:O$142))</f>
        <v>7.0333333333333341</v>
      </c>
      <c r="AH142" s="365">
        <f>MAX(AVERAGE(D$140:D$142),AVERAGE(E$140:E$142),AVERAGE(F$140:F$142),AVERAGE(G$140:G$142),AVERAGE(H$140:H$142),AVERAGE(I$140:I$142),AVERAGE(J$140:J$142),AVERAGE(K$140:K$142),AVERAGE(L$140:L$142),AVERAGE(M$140:M$142),AVERAGE(N$140:N$142),AVERAGE(O$140:O$142))</f>
        <v>25.3</v>
      </c>
      <c r="AI142" s="359">
        <f t="shared" si="70"/>
        <v>29.073541666666667</v>
      </c>
    </row>
    <row r="143" spans="1:35" ht="12" customHeight="1" x14ac:dyDescent="0.15">
      <c r="A143" s="31"/>
      <c r="B143" s="40" t="s">
        <v>26</v>
      </c>
      <c r="C143" s="104">
        <f>IF(VLOOKUP(B143,'Monthly Summary 2012'!$B$7:$Q$221,14,FALSE)=0,"",VLOOKUP(B143,'Monthly Summary 2012'!$B$7:$Q$221,14,FALSE))</f>
        <v>12.7</v>
      </c>
      <c r="D143" s="36">
        <v>19.5</v>
      </c>
      <c r="E143" s="36">
        <v>31.2</v>
      </c>
      <c r="F143" s="36">
        <v>29.4</v>
      </c>
      <c r="G143" s="36">
        <v>36.6</v>
      </c>
      <c r="H143" s="36">
        <v>32.4</v>
      </c>
      <c r="I143" s="36">
        <v>36.1</v>
      </c>
      <c r="J143" s="36">
        <v>19.8</v>
      </c>
      <c r="K143" s="36">
        <v>29.5</v>
      </c>
      <c r="L143" s="36">
        <v>25.8</v>
      </c>
      <c r="M143" s="36">
        <v>25.2</v>
      </c>
      <c r="N143" s="36">
        <v>22.5</v>
      </c>
      <c r="O143" s="36">
        <v>17.5</v>
      </c>
      <c r="P143" s="37">
        <f t="shared" si="61"/>
        <v>27.125</v>
      </c>
      <c r="Q143" s="38">
        <f t="shared" si="62"/>
        <v>1</v>
      </c>
      <c r="R143" s="140">
        <f t="shared" si="63"/>
        <v>26.7</v>
      </c>
      <c r="S143" s="150">
        <f t="shared" si="64"/>
        <v>1</v>
      </c>
      <c r="T143" s="140">
        <f t="shared" si="65"/>
        <v>25.033333333333331</v>
      </c>
      <c r="U143" s="9">
        <f t="shared" si="66"/>
        <v>1</v>
      </c>
      <c r="V143" s="141">
        <f t="shared" si="67"/>
        <v>27.125</v>
      </c>
      <c r="W143" s="142">
        <f t="shared" si="68"/>
        <v>1</v>
      </c>
      <c r="X143" s="144">
        <f t="shared" si="56"/>
        <v>17.538095238095234</v>
      </c>
      <c r="Y143" s="144">
        <f t="shared" si="69"/>
        <v>18.557142857142857</v>
      </c>
      <c r="Z143" s="144">
        <f t="shared" si="57"/>
        <v>17.748809523809523</v>
      </c>
      <c r="AA143" s="10"/>
      <c r="AB143" s="357" t="str">
        <f>VLOOKUP($B143,'2007-2020 Metadata'!$A$4:$S$214,MATCH("Urban Area /Monitoring Zone",'2007-2020 Metadata'!$A$4:$S$4,0),FALSE)</f>
        <v>Dunedin</v>
      </c>
      <c r="AC143" s="87" t="str">
        <f>VLOOKUP(B143,'2007-2020 Metadata'!$A$6:$A$214,1,FALSE)</f>
        <v>DUN001</v>
      </c>
      <c r="AD143" s="230" t="str">
        <f>VLOOKUP($AC143,'2007-2020 Metadata'!$A$6:$S$214,9,FALSE)</f>
        <v>Dunedin</v>
      </c>
      <c r="AE143" s="248">
        <f>IF(ISBLANK(VLOOKUP($AC143,'2007-2020 Metadata'!$A$6:$S$214,19,FALSE)),"",VLOOKUP($AC143,'2007-2020 Metadata'!$A$6:$S$214,19,FALSE))</f>
        <v>3</v>
      </c>
      <c r="AF143" s="88" t="str">
        <f>VLOOKUP($B143,'2007-2020 Metadata'!$A$4:$S$214,MATCH("Site type",'2007-2020 Metadata'!$A$4:$S$4,0),FALSE)</f>
        <v>SH</v>
      </c>
      <c r="AG143" s="143">
        <f t="shared" ref="AG143:AG152" si="71">MIN($D143:$O143)</f>
        <v>17.5</v>
      </c>
      <c r="AH143" s="143">
        <f t="shared" ref="AH143:AH152" si="72">MAX($D143:$O143)</f>
        <v>36.6</v>
      </c>
      <c r="AI143" s="144">
        <f t="shared" si="70"/>
        <v>17.748809523809523</v>
      </c>
    </row>
    <row r="144" spans="1:35" ht="12" customHeight="1" x14ac:dyDescent="0.15">
      <c r="A144" s="31"/>
      <c r="B144" s="40" t="s">
        <v>27</v>
      </c>
      <c r="C144" s="104">
        <f>IF(VLOOKUP(B144,'Monthly Summary 2012'!$B$7:$Q$221,14,FALSE)=0,"",VLOOKUP(B144,'Monthly Summary 2012'!$B$7:$Q$221,14,FALSE))</f>
        <v>11</v>
      </c>
      <c r="D144" s="36">
        <v>11.6</v>
      </c>
      <c r="E144" s="36">
        <v>14.7</v>
      </c>
      <c r="F144" s="36">
        <v>20.9</v>
      </c>
      <c r="G144" s="36">
        <v>19.899999999999999</v>
      </c>
      <c r="H144" s="36">
        <v>18.7</v>
      </c>
      <c r="I144" s="36">
        <v>16.5</v>
      </c>
      <c r="J144" s="36">
        <v>13.4</v>
      </c>
      <c r="K144" s="36">
        <v>19.600000000000001</v>
      </c>
      <c r="L144" s="36">
        <v>14.6</v>
      </c>
      <c r="M144" s="36">
        <v>14.4</v>
      </c>
      <c r="N144" s="36">
        <v>12</v>
      </c>
      <c r="O144" s="36">
        <v>10.5</v>
      </c>
      <c r="P144" s="37">
        <f t="shared" si="61"/>
        <v>15.566666666666668</v>
      </c>
      <c r="Q144" s="38">
        <f t="shared" si="62"/>
        <v>1</v>
      </c>
      <c r="R144" s="140">
        <f t="shared" si="63"/>
        <v>15.733333333333333</v>
      </c>
      <c r="S144" s="150">
        <f t="shared" si="64"/>
        <v>1</v>
      </c>
      <c r="T144" s="140">
        <f t="shared" si="65"/>
        <v>15.866666666666667</v>
      </c>
      <c r="U144" s="9">
        <f t="shared" si="66"/>
        <v>1</v>
      </c>
      <c r="V144" s="141">
        <f t="shared" si="67"/>
        <v>15.566666666666668</v>
      </c>
      <c r="W144" s="142">
        <f t="shared" si="68"/>
        <v>1</v>
      </c>
      <c r="X144" s="144">
        <f t="shared" si="56"/>
        <v>17.538095238095234</v>
      </c>
      <c r="Y144" s="144">
        <f t="shared" si="69"/>
        <v>18.557142857142857</v>
      </c>
      <c r="Z144" s="144">
        <f t="shared" si="57"/>
        <v>17.748809523809523</v>
      </c>
      <c r="AA144" s="10"/>
      <c r="AB144" s="357" t="str">
        <f>VLOOKUP($B144,'2007-2020 Metadata'!$A$4:$S$214,MATCH("Urban Area /Monitoring Zone",'2007-2020 Metadata'!$A$4:$S$4,0),FALSE)</f>
        <v>Dunedin</v>
      </c>
      <c r="AC144" s="87" t="str">
        <f>VLOOKUP(B144,'2007-2020 Metadata'!$A$6:$A$214,1,FALSE)</f>
        <v>DUN002</v>
      </c>
      <c r="AD144" s="230" t="str">
        <f>VLOOKUP($AC144,'2007-2020 Metadata'!$A$6:$S$214,9,FALSE)</f>
        <v>Dunedin</v>
      </c>
      <c r="AE144" s="248">
        <f>IF(ISBLANK(VLOOKUP($AC144,'2007-2020 Metadata'!$A$6:$S$214,19,FALSE)),"",VLOOKUP($AC144,'2007-2020 Metadata'!$A$6:$S$214,19,FALSE))</f>
        <v>3</v>
      </c>
      <c r="AF144" s="88" t="str">
        <f>VLOOKUP($B144,'2007-2020 Metadata'!$A$4:$S$214,MATCH("Site type",'2007-2020 Metadata'!$A$4:$S$4,0),FALSE)</f>
        <v>SH</v>
      </c>
      <c r="AG144" s="143">
        <f t="shared" si="71"/>
        <v>10.5</v>
      </c>
      <c r="AH144" s="143">
        <f t="shared" si="72"/>
        <v>20.9</v>
      </c>
      <c r="AI144" s="144">
        <f t="shared" si="70"/>
        <v>17.748809523809523</v>
      </c>
    </row>
    <row r="145" spans="1:35" ht="12" customHeight="1" x14ac:dyDescent="0.15">
      <c r="A145" s="31"/>
      <c r="B145" s="40" t="s">
        <v>29</v>
      </c>
      <c r="C145" s="104">
        <f>IF(VLOOKUP(B145,'Monthly Summary 2012'!$B$7:$Q$221,14,FALSE)=0,"",VLOOKUP(B145,'Monthly Summary 2012'!$B$7:$Q$221,14,FALSE))</f>
        <v>11.4</v>
      </c>
      <c r="D145" s="54">
        <v>13.6</v>
      </c>
      <c r="E145" s="54">
        <v>14.9</v>
      </c>
      <c r="F145" s="36">
        <v>19.600000000000001</v>
      </c>
      <c r="G145" s="36">
        <v>28.1</v>
      </c>
      <c r="H145" s="36">
        <v>25.1</v>
      </c>
      <c r="I145" s="36">
        <v>29.6</v>
      </c>
      <c r="J145" s="36">
        <v>8</v>
      </c>
      <c r="K145" s="36">
        <v>19.7</v>
      </c>
      <c r="L145" s="36">
        <v>22.6</v>
      </c>
      <c r="M145" s="36">
        <v>17</v>
      </c>
      <c r="N145" s="36"/>
      <c r="O145" s="36">
        <v>9.9</v>
      </c>
      <c r="P145" s="37">
        <f t="shared" si="61"/>
        <v>18.918181818181818</v>
      </c>
      <c r="Q145" s="38">
        <f t="shared" si="62"/>
        <v>0.91666666666666663</v>
      </c>
      <c r="R145" s="140">
        <f t="shared" si="63"/>
        <v>16.033333333333335</v>
      </c>
      <c r="S145" s="150">
        <f t="shared" si="64"/>
        <v>1</v>
      </c>
      <c r="T145" s="140">
        <f t="shared" si="65"/>
        <v>16.766666666666666</v>
      </c>
      <c r="U145" s="9">
        <f t="shared" si="66"/>
        <v>1</v>
      </c>
      <c r="V145" s="141">
        <f t="shared" si="67"/>
        <v>18.918181818181818</v>
      </c>
      <c r="W145" s="142">
        <f t="shared" si="68"/>
        <v>0.91666666666666663</v>
      </c>
      <c r="X145" s="144">
        <f t="shared" si="56"/>
        <v>16.033333333333335</v>
      </c>
      <c r="Y145" s="144">
        <f t="shared" si="69"/>
        <v>16.766666666666666</v>
      </c>
      <c r="Z145" s="144">
        <f t="shared" si="57"/>
        <v>18.918181818181818</v>
      </c>
      <c r="AA145" s="10"/>
      <c r="AB145" s="357" t="str">
        <f>VLOOKUP($B145,'2007-2020 Metadata'!$A$4:$S$214,MATCH("Urban Area /Monitoring Zone",'2007-2020 Metadata'!$A$4:$S$4,0),FALSE)</f>
        <v>Queenstown</v>
      </c>
      <c r="AC145" s="87" t="str">
        <f>VLOOKUP(B145,'2007-2020 Metadata'!$A$6:$A$214,1,FALSE)</f>
        <v>DUN004</v>
      </c>
      <c r="AD145" s="230" t="str">
        <f>VLOOKUP($AC145,'2007-2020 Metadata'!$A$6:$S$214,9,FALSE)</f>
        <v>Queenstown</v>
      </c>
      <c r="AE145" s="248">
        <f>IF(ISBLANK(VLOOKUP($AC145,'2007-2020 Metadata'!$A$6:$S$214,19,FALSE)),"",VLOOKUP($AC145,'2007-2020 Metadata'!$A$6:$S$214,19,FALSE))</f>
        <v>3</v>
      </c>
      <c r="AF145" s="88" t="str">
        <f>VLOOKUP($B145,'2007-2020 Metadata'!$A$4:$S$214,MATCH("Site type",'2007-2020 Metadata'!$A$4:$S$4,0),FALSE)</f>
        <v>SH</v>
      </c>
      <c r="AG145" s="143">
        <f t="shared" si="71"/>
        <v>8</v>
      </c>
      <c r="AH145" s="143">
        <f t="shared" si="72"/>
        <v>29.6</v>
      </c>
      <c r="AI145" s="144">
        <f t="shared" si="70"/>
        <v>18.918181818181818</v>
      </c>
    </row>
    <row r="146" spans="1:35" ht="12" customHeight="1" x14ac:dyDescent="0.15">
      <c r="A146" s="31"/>
      <c r="B146" s="40" t="s">
        <v>30</v>
      </c>
      <c r="C146" s="104" t="str">
        <f>IF(VLOOKUP(B146,'Monthly Summary 2012'!$B$7:$Q$221,14,FALSE)=0,"",VLOOKUP(B146,'Monthly Summary 2012'!$B$7:$Q$221,14,FALSE))</f>
        <v/>
      </c>
      <c r="D146" s="36"/>
      <c r="E146" s="36"/>
      <c r="F146" s="36">
        <v>25.9</v>
      </c>
      <c r="G146" s="36">
        <v>29.2</v>
      </c>
      <c r="H146" s="36">
        <v>30.7</v>
      </c>
      <c r="I146" s="36">
        <v>29.9</v>
      </c>
      <c r="J146" s="36">
        <v>28.4</v>
      </c>
      <c r="K146" s="36">
        <v>39.700000000000003</v>
      </c>
      <c r="L146" s="36">
        <v>17.399999999999999</v>
      </c>
      <c r="M146" s="36">
        <v>22.1</v>
      </c>
      <c r="N146" s="36">
        <v>23.1</v>
      </c>
      <c r="O146" s="36">
        <v>16.600000000000001</v>
      </c>
      <c r="P146" s="37">
        <f t="shared" si="61"/>
        <v>26.3</v>
      </c>
      <c r="Q146" s="38">
        <f t="shared" si="62"/>
        <v>0.83333333333333337</v>
      </c>
      <c r="R146" s="140" t="str">
        <f t="shared" si="63"/>
        <v>-</v>
      </c>
      <c r="S146" s="150">
        <f t="shared" si="64"/>
        <v>0.33333333333333331</v>
      </c>
      <c r="T146" s="140">
        <f t="shared" si="65"/>
        <v>28.5</v>
      </c>
      <c r="U146" s="9">
        <f t="shared" si="66"/>
        <v>1</v>
      </c>
      <c r="V146" s="141">
        <f t="shared" si="67"/>
        <v>26.3</v>
      </c>
      <c r="W146" s="142">
        <f t="shared" si="68"/>
        <v>0.83333333333333337</v>
      </c>
      <c r="X146" s="144">
        <f t="shared" si="56"/>
        <v>6.25</v>
      </c>
      <c r="Y146" s="144">
        <f t="shared" si="69"/>
        <v>18.625</v>
      </c>
      <c r="Z146" s="144">
        <f t="shared" si="57"/>
        <v>17.015000000000001</v>
      </c>
      <c r="AA146" s="10"/>
      <c r="AB146" s="357" t="str">
        <f>VLOOKUP($B146,'2007-2020 Metadata'!$A$4:$S$214,MATCH("Urban Area /Monitoring Zone",'2007-2020 Metadata'!$A$4:$S$4,0),FALSE)</f>
        <v>Invercargill</v>
      </c>
      <c r="AC146" s="87" t="str">
        <f>VLOOKUP(B146,'2007-2020 Metadata'!$A$6:$A$214,1,FALSE)</f>
        <v>DUN005</v>
      </c>
      <c r="AD146" s="230" t="str">
        <f>VLOOKUP($AC146,'2007-2020 Metadata'!$A$6:$S$214,9,FALSE)</f>
        <v>Invercargill</v>
      </c>
      <c r="AE146" s="248">
        <f>IF(ISBLANK(VLOOKUP($AC146,'2007-2020 Metadata'!$A$6:$S$214,19,FALSE)),"",VLOOKUP($AC146,'2007-2020 Metadata'!$A$6:$S$214,19,FALSE))</f>
        <v>3</v>
      </c>
      <c r="AF146" s="88" t="str">
        <f>VLOOKUP($B146,'2007-2020 Metadata'!$A$4:$S$214,MATCH("Site type",'2007-2020 Metadata'!$A$4:$S$4,0),FALSE)</f>
        <v>SH</v>
      </c>
      <c r="AG146" s="143">
        <f t="shared" si="71"/>
        <v>16.600000000000001</v>
      </c>
      <c r="AH146" s="143">
        <f t="shared" si="72"/>
        <v>39.700000000000003</v>
      </c>
      <c r="AI146" s="144">
        <f t="shared" si="70"/>
        <v>17.015000000000001</v>
      </c>
    </row>
    <row r="147" spans="1:35" ht="12" customHeight="1" x14ac:dyDescent="0.15">
      <c r="A147" s="31"/>
      <c r="B147" s="40" t="s">
        <v>155</v>
      </c>
      <c r="C147" s="104">
        <f>IF(VLOOKUP(B147,'Monthly Summary 2012'!$B$7:$Q$221,14,FALSE)=0,"",VLOOKUP(B147,'Monthly Summary 2012'!$B$7:$Q$221,14,FALSE))</f>
        <v>11.8</v>
      </c>
      <c r="D147" s="36">
        <v>15.7</v>
      </c>
      <c r="E147" s="36">
        <v>17.100000000000001</v>
      </c>
      <c r="F147" s="36">
        <v>26.3</v>
      </c>
      <c r="G147" s="36">
        <v>24.6</v>
      </c>
      <c r="H147" s="36">
        <v>28.5</v>
      </c>
      <c r="I147" s="36">
        <v>26.7</v>
      </c>
      <c r="J147" s="36">
        <v>14</v>
      </c>
      <c r="K147" s="36">
        <v>26.5</v>
      </c>
      <c r="L147" s="36">
        <v>17.7</v>
      </c>
      <c r="M147" s="36">
        <v>17.8</v>
      </c>
      <c r="N147" s="36">
        <v>18.600000000000001</v>
      </c>
      <c r="O147" s="36">
        <v>14.7</v>
      </c>
      <c r="P147" s="37">
        <f t="shared" si="61"/>
        <v>20.68333333333333</v>
      </c>
      <c r="Q147" s="38">
        <f t="shared" si="62"/>
        <v>1</v>
      </c>
      <c r="R147" s="140">
        <f t="shared" si="63"/>
        <v>19.7</v>
      </c>
      <c r="S147" s="150">
        <f t="shared" si="64"/>
        <v>1</v>
      </c>
      <c r="T147" s="140">
        <f t="shared" si="65"/>
        <v>19.400000000000002</v>
      </c>
      <c r="U147" s="9">
        <f t="shared" si="66"/>
        <v>1</v>
      </c>
      <c r="V147" s="141">
        <f t="shared" si="67"/>
        <v>20.68333333333333</v>
      </c>
      <c r="W147" s="142">
        <f t="shared" si="68"/>
        <v>1</v>
      </c>
      <c r="X147" s="144">
        <f t="shared" si="56"/>
        <v>17.538095238095234</v>
      </c>
      <c r="Y147" s="144">
        <f t="shared" si="69"/>
        <v>18.557142857142857</v>
      </c>
      <c r="Z147" s="144">
        <f t="shared" si="57"/>
        <v>17.748809523809523</v>
      </c>
      <c r="AA147" s="10"/>
      <c r="AB147" s="357" t="str">
        <f>VLOOKUP($B147,'2007-2020 Metadata'!$A$4:$S$214,MATCH("Urban Area /Monitoring Zone",'2007-2020 Metadata'!$A$4:$S$4,0),FALSE)</f>
        <v>Dunedin</v>
      </c>
      <c r="AC147" s="87" t="str">
        <f>VLOOKUP(B147,'2007-2020 Metadata'!$A$6:$A$214,1,FALSE)</f>
        <v>DUN006</v>
      </c>
      <c r="AD147" s="230" t="str">
        <f>VLOOKUP($AC147,'2007-2020 Metadata'!$A$6:$S$214,9,FALSE)</f>
        <v>Dunedin</v>
      </c>
      <c r="AE147" s="248">
        <f>IF(ISBLANK(VLOOKUP($AC147,'2007-2020 Metadata'!$A$6:$S$214,19,FALSE)),"",VLOOKUP($AC147,'2007-2020 Metadata'!$A$6:$S$214,19,FALSE))</f>
        <v>3</v>
      </c>
      <c r="AF147" s="88" t="str">
        <f>VLOOKUP($B147,'2007-2020 Metadata'!$A$4:$S$214,MATCH("Site type",'2007-2020 Metadata'!$A$4:$S$4,0),FALSE)</f>
        <v>SH</v>
      </c>
      <c r="AG147" s="143">
        <f t="shared" si="71"/>
        <v>14</v>
      </c>
      <c r="AH147" s="143">
        <f t="shared" si="72"/>
        <v>28.5</v>
      </c>
      <c r="AI147" s="144">
        <f t="shared" si="70"/>
        <v>17.748809523809523</v>
      </c>
    </row>
    <row r="148" spans="1:35" ht="12" customHeight="1" x14ac:dyDescent="0.15">
      <c r="A148" s="31"/>
      <c r="B148" s="40" t="s">
        <v>156</v>
      </c>
      <c r="C148" s="104">
        <f>IF(VLOOKUP(B148,'Monthly Summary 2012'!$B$7:$Q$221,14,FALSE)=0,"",VLOOKUP(B148,'Monthly Summary 2012'!$B$7:$Q$221,14,FALSE))</f>
        <v>6.6</v>
      </c>
      <c r="D148" s="36">
        <v>9.6999999999999993</v>
      </c>
      <c r="E148" s="36">
        <v>12.3</v>
      </c>
      <c r="F148" s="36">
        <v>13.5</v>
      </c>
      <c r="G148" s="36">
        <v>14.8</v>
      </c>
      <c r="H148" s="36">
        <v>14.1</v>
      </c>
      <c r="I148" s="36">
        <v>13.1</v>
      </c>
      <c r="J148" s="36">
        <v>18.8</v>
      </c>
      <c r="K148" s="36">
        <v>12</v>
      </c>
      <c r="L148" s="36">
        <v>9</v>
      </c>
      <c r="M148" s="36">
        <v>7.6</v>
      </c>
      <c r="N148" s="36">
        <v>8.1999999999999993</v>
      </c>
      <c r="O148" s="36">
        <v>5.9</v>
      </c>
      <c r="P148" s="37">
        <f t="shared" si="61"/>
        <v>11.58333333333333</v>
      </c>
      <c r="Q148" s="38">
        <f t="shared" si="62"/>
        <v>1</v>
      </c>
      <c r="R148" s="140">
        <f t="shared" si="63"/>
        <v>11.833333333333334</v>
      </c>
      <c r="S148" s="150">
        <f t="shared" si="64"/>
        <v>1</v>
      </c>
      <c r="T148" s="140">
        <f t="shared" si="65"/>
        <v>13.266666666666666</v>
      </c>
      <c r="U148" s="9">
        <f t="shared" si="66"/>
        <v>1</v>
      </c>
      <c r="V148" s="141">
        <f t="shared" si="67"/>
        <v>11.58333333333333</v>
      </c>
      <c r="W148" s="142">
        <f t="shared" si="68"/>
        <v>1</v>
      </c>
      <c r="X148" s="144">
        <f t="shared" si="56"/>
        <v>17.538095238095234</v>
      </c>
      <c r="Y148" s="144">
        <f t="shared" si="69"/>
        <v>18.557142857142857</v>
      </c>
      <c r="Z148" s="144">
        <f t="shared" si="57"/>
        <v>17.748809523809523</v>
      </c>
      <c r="AA148" s="10"/>
      <c r="AB148" s="357" t="str">
        <f>VLOOKUP($B148,'2007-2020 Metadata'!$A$4:$S$214,MATCH("Urban Area /Monitoring Zone",'2007-2020 Metadata'!$A$4:$S$4,0),FALSE)</f>
        <v>Dunedin</v>
      </c>
      <c r="AC148" s="87" t="str">
        <f>VLOOKUP(B148,'2007-2020 Metadata'!$A$6:$A$214,1,FALSE)</f>
        <v>DUN007</v>
      </c>
      <c r="AD148" s="230" t="str">
        <f>VLOOKUP($AC148,'2007-2020 Metadata'!$A$6:$S$214,9,FALSE)</f>
        <v>Dunedin</v>
      </c>
      <c r="AE148" s="248">
        <f>IF(ISBLANK(VLOOKUP($AC148,'2007-2020 Metadata'!$A$6:$S$214,19,FALSE)),"",VLOOKUP($AC148,'2007-2020 Metadata'!$A$6:$S$214,19,FALSE))</f>
        <v>3</v>
      </c>
      <c r="AF148" s="88" t="str">
        <f>VLOOKUP($B148,'2007-2020 Metadata'!$A$4:$S$214,MATCH("Site type",'2007-2020 Metadata'!$A$4:$S$4,0),FALSE)</f>
        <v>Background</v>
      </c>
      <c r="AG148" s="143">
        <f t="shared" si="71"/>
        <v>5.9</v>
      </c>
      <c r="AH148" s="143">
        <f t="shared" si="72"/>
        <v>18.8</v>
      </c>
      <c r="AI148" s="144">
        <f t="shared" si="70"/>
        <v>17.748809523809523</v>
      </c>
    </row>
    <row r="149" spans="1:35" ht="12" customHeight="1" x14ac:dyDescent="0.15">
      <c r="A149" s="31"/>
      <c r="B149" s="40" t="s">
        <v>157</v>
      </c>
      <c r="C149" s="104">
        <f>IF(VLOOKUP(B149,'Monthly Summary 2012'!$B$7:$Q$221,14,FALSE)=0,"",VLOOKUP(B149,'Monthly Summary 2012'!$B$7:$Q$221,14,FALSE))</f>
        <v>10.6</v>
      </c>
      <c r="D149" s="36">
        <v>16</v>
      </c>
      <c r="E149" s="36">
        <v>18.600000000000001</v>
      </c>
      <c r="F149" s="36">
        <v>18.899999999999999</v>
      </c>
      <c r="G149" s="36">
        <v>23.6</v>
      </c>
      <c r="H149" s="36">
        <v>18.399999999999999</v>
      </c>
      <c r="I149" s="36">
        <v>18.3</v>
      </c>
      <c r="J149" s="36">
        <v>30.5</v>
      </c>
      <c r="K149" s="36">
        <v>17.100000000000001</v>
      </c>
      <c r="L149" s="36">
        <v>13.8</v>
      </c>
      <c r="M149" s="36">
        <v>13.3</v>
      </c>
      <c r="N149" s="36">
        <v>12.5</v>
      </c>
      <c r="O149" s="36">
        <v>11.9</v>
      </c>
      <c r="P149" s="37">
        <f t="shared" si="61"/>
        <v>17.741666666666671</v>
      </c>
      <c r="Q149" s="38">
        <f t="shared" si="62"/>
        <v>1</v>
      </c>
      <c r="R149" s="140">
        <f t="shared" si="63"/>
        <v>17.833333333333332</v>
      </c>
      <c r="S149" s="150">
        <f t="shared" si="64"/>
        <v>1</v>
      </c>
      <c r="T149" s="140">
        <f t="shared" si="65"/>
        <v>20.466666666666669</v>
      </c>
      <c r="U149" s="9">
        <f t="shared" si="66"/>
        <v>1</v>
      </c>
      <c r="V149" s="141">
        <f t="shared" si="67"/>
        <v>17.741666666666671</v>
      </c>
      <c r="W149" s="142">
        <f t="shared" si="68"/>
        <v>1</v>
      </c>
      <c r="X149" s="144">
        <f t="shared" si="56"/>
        <v>17.538095238095234</v>
      </c>
      <c r="Y149" s="144">
        <f t="shared" si="69"/>
        <v>18.557142857142857</v>
      </c>
      <c r="Z149" s="144">
        <f t="shared" si="57"/>
        <v>17.748809523809523</v>
      </c>
      <c r="AA149" s="10"/>
      <c r="AB149" s="357" t="str">
        <f>VLOOKUP($B149,'2007-2020 Metadata'!$A$4:$S$214,MATCH("Urban Area /Monitoring Zone",'2007-2020 Metadata'!$A$4:$S$4,0),FALSE)</f>
        <v>Dunedin</v>
      </c>
      <c r="AC149" s="87" t="str">
        <f>VLOOKUP(B149,'2007-2020 Metadata'!$A$6:$A$214,1,FALSE)</f>
        <v>DUN008</v>
      </c>
      <c r="AD149" s="230" t="str">
        <f>VLOOKUP($AC149,'2007-2020 Metadata'!$A$6:$S$214,9,FALSE)</f>
        <v>Dunedin</v>
      </c>
      <c r="AE149" s="248">
        <f>IF(ISBLANK(VLOOKUP($AC149,'2007-2020 Metadata'!$A$6:$S$214,19,FALSE)),"",VLOOKUP($AC149,'2007-2020 Metadata'!$A$6:$S$214,19,FALSE))</f>
        <v>3</v>
      </c>
      <c r="AF149" s="88" t="str">
        <f>VLOOKUP($B149,'2007-2020 Metadata'!$A$4:$S$214,MATCH("Site type",'2007-2020 Metadata'!$A$4:$S$4,0),FALSE)</f>
        <v>Local</v>
      </c>
      <c r="AG149" s="143">
        <f t="shared" si="71"/>
        <v>11.9</v>
      </c>
      <c r="AH149" s="143">
        <f t="shared" si="72"/>
        <v>30.5</v>
      </c>
      <c r="AI149" s="144">
        <f t="shared" si="70"/>
        <v>17.748809523809523</v>
      </c>
    </row>
    <row r="150" spans="1:35" ht="12" customHeight="1" x14ac:dyDescent="0.15">
      <c r="A150" s="31"/>
      <c r="B150" s="40" t="s">
        <v>158</v>
      </c>
      <c r="C150" s="104">
        <f>IF(VLOOKUP(B150,'Monthly Summary 2012'!$B$7:$Q$221,14,FALSE)=0,"",VLOOKUP(B150,'Monthly Summary 2012'!$B$7:$Q$221,14,FALSE))</f>
        <v>11.1</v>
      </c>
      <c r="D150" s="36">
        <v>12.1</v>
      </c>
      <c r="E150" s="36">
        <v>18.8</v>
      </c>
      <c r="F150" s="36">
        <v>22</v>
      </c>
      <c r="G150" s="36">
        <v>19</v>
      </c>
      <c r="H150" s="36">
        <v>22.8</v>
      </c>
      <c r="I150" s="36">
        <v>26.3</v>
      </c>
      <c r="J150" s="36">
        <v>10.7</v>
      </c>
      <c r="K150" s="36">
        <v>24.9</v>
      </c>
      <c r="L150" s="36">
        <v>19.100000000000001</v>
      </c>
      <c r="M150" s="36">
        <v>17</v>
      </c>
      <c r="N150" s="36">
        <v>13</v>
      </c>
      <c r="O150" s="36">
        <v>11.3</v>
      </c>
      <c r="P150" s="37">
        <f t="shared" si="61"/>
        <v>18.083333333333332</v>
      </c>
      <c r="Q150" s="38">
        <f t="shared" si="62"/>
        <v>1</v>
      </c>
      <c r="R150" s="140">
        <f t="shared" si="63"/>
        <v>17.633333333333333</v>
      </c>
      <c r="S150" s="150">
        <f t="shared" si="64"/>
        <v>1</v>
      </c>
      <c r="T150" s="140">
        <f t="shared" si="65"/>
        <v>18.233333333333331</v>
      </c>
      <c r="U150" s="9">
        <f t="shared" si="66"/>
        <v>1</v>
      </c>
      <c r="V150" s="141">
        <f t="shared" si="67"/>
        <v>18.083333333333332</v>
      </c>
      <c r="W150" s="142">
        <f t="shared" si="68"/>
        <v>1</v>
      </c>
      <c r="X150" s="144">
        <f t="shared" si="56"/>
        <v>17.538095238095234</v>
      </c>
      <c r="Y150" s="144">
        <f t="shared" si="69"/>
        <v>18.557142857142857</v>
      </c>
      <c r="Z150" s="144">
        <f t="shared" si="57"/>
        <v>17.748809523809523</v>
      </c>
      <c r="AA150" s="10"/>
      <c r="AB150" s="357" t="str">
        <f>VLOOKUP($B150,'2007-2020 Metadata'!$A$4:$S$214,MATCH("Urban Area /Monitoring Zone",'2007-2020 Metadata'!$A$4:$S$4,0),FALSE)</f>
        <v>Dunedin</v>
      </c>
      <c r="AC150" s="87" t="str">
        <f>VLOOKUP(B150,'2007-2020 Metadata'!$A$6:$A$214,1,FALSE)</f>
        <v>DUN009</v>
      </c>
      <c r="AD150" s="230" t="str">
        <f>VLOOKUP($AC150,'2007-2020 Metadata'!$A$6:$S$214,9,FALSE)</f>
        <v>Dunedin</v>
      </c>
      <c r="AE150" s="248">
        <f>IF(ISBLANK(VLOOKUP($AC150,'2007-2020 Metadata'!$A$6:$S$214,19,FALSE)),"",VLOOKUP($AC150,'2007-2020 Metadata'!$A$6:$S$214,19,FALSE))</f>
        <v>3</v>
      </c>
      <c r="AF150" s="88" t="str">
        <f>VLOOKUP($B150,'2007-2020 Metadata'!$A$4:$S$214,MATCH("Site type",'2007-2020 Metadata'!$A$4:$S$4,0),FALSE)</f>
        <v>Local</v>
      </c>
      <c r="AG150" s="143">
        <f t="shared" si="71"/>
        <v>10.7</v>
      </c>
      <c r="AH150" s="143">
        <f t="shared" si="72"/>
        <v>26.3</v>
      </c>
      <c r="AI150" s="144">
        <f t="shared" si="70"/>
        <v>17.748809523809523</v>
      </c>
    </row>
    <row r="151" spans="1:35" ht="12" customHeight="1" x14ac:dyDescent="0.15">
      <c r="A151" s="31"/>
      <c r="B151" s="40" t="s">
        <v>31</v>
      </c>
      <c r="C151" s="104">
        <f>IF(VLOOKUP(B151,'Monthly Summary 2012'!$B$7:$Q$221,14,FALSE)=0,"",VLOOKUP(B151,'Monthly Summary 2012'!$B$7:$Q$221,14,FALSE))</f>
        <v>4.2</v>
      </c>
      <c r="D151" s="36"/>
      <c r="E151" s="36">
        <v>5.7</v>
      </c>
      <c r="F151" s="36">
        <v>6.8</v>
      </c>
      <c r="G151" s="36">
        <v>9.6999999999999993</v>
      </c>
      <c r="H151" s="36">
        <v>11.5</v>
      </c>
      <c r="I151" s="36">
        <v>12.4</v>
      </c>
      <c r="J151" s="36"/>
      <c r="K151" s="36">
        <v>12.1</v>
      </c>
      <c r="L151" s="36">
        <v>5.4</v>
      </c>
      <c r="M151" s="36">
        <v>5.5</v>
      </c>
      <c r="N151" s="36">
        <v>4.2</v>
      </c>
      <c r="O151" s="36">
        <v>4</v>
      </c>
      <c r="P151" s="37">
        <f t="shared" si="61"/>
        <v>7.7299999999999995</v>
      </c>
      <c r="Q151" s="38">
        <f t="shared" si="62"/>
        <v>0.83333333333333337</v>
      </c>
      <c r="R151" s="140">
        <f t="shared" si="63"/>
        <v>6.25</v>
      </c>
      <c r="S151" s="150">
        <f t="shared" si="64"/>
        <v>0.66666666666666663</v>
      </c>
      <c r="T151" s="140">
        <f t="shared" si="65"/>
        <v>8.75</v>
      </c>
      <c r="U151" s="9">
        <f t="shared" si="66"/>
        <v>0.66666666666666663</v>
      </c>
      <c r="V151" s="141">
        <f t="shared" si="67"/>
        <v>7.7299999999999995</v>
      </c>
      <c r="W151" s="142">
        <f t="shared" si="68"/>
        <v>0.83333333333333337</v>
      </c>
      <c r="X151" s="144">
        <f t="shared" si="56"/>
        <v>6.25</v>
      </c>
      <c r="Y151" s="144">
        <f t="shared" si="69"/>
        <v>18.625</v>
      </c>
      <c r="Z151" s="144">
        <f t="shared" si="57"/>
        <v>17.015000000000001</v>
      </c>
      <c r="AA151" s="10"/>
      <c r="AB151" s="357" t="str">
        <f>VLOOKUP($B151,'2007-2020 Metadata'!$A$4:$S$214,MATCH("Urban Area /Monitoring Zone",'2007-2020 Metadata'!$A$4:$S$4,0),FALSE)</f>
        <v>Invercargill</v>
      </c>
      <c r="AC151" s="87" t="str">
        <f>VLOOKUP(B151,'2007-2020 Metadata'!$A$6:$A$214,1,FALSE)</f>
        <v>DUN010</v>
      </c>
      <c r="AD151" s="230" t="str">
        <f>VLOOKUP($AC151,'2007-2020 Metadata'!$A$6:$S$214,9,FALSE)</f>
        <v>Invercargill</v>
      </c>
      <c r="AE151" s="248">
        <f>IF(ISBLANK(VLOOKUP($AC151,'2007-2020 Metadata'!$A$6:$S$214,19,FALSE)),"",VLOOKUP($AC151,'2007-2020 Metadata'!$A$6:$S$214,19,FALSE))</f>
        <v>3</v>
      </c>
      <c r="AF151" s="88" t="str">
        <f>VLOOKUP($B151,'2007-2020 Metadata'!$A$4:$S$214,MATCH("Site type",'2007-2020 Metadata'!$A$4:$S$4,0),FALSE)</f>
        <v>Background</v>
      </c>
      <c r="AG151" s="143">
        <f t="shared" si="71"/>
        <v>4</v>
      </c>
      <c r="AH151" s="143">
        <f t="shared" si="72"/>
        <v>12.4</v>
      </c>
      <c r="AI151" s="144">
        <f t="shared" si="70"/>
        <v>17.015000000000001</v>
      </c>
    </row>
    <row r="152" spans="1:35" ht="12" customHeight="1" x14ac:dyDescent="0.15">
      <c r="A152" s="31"/>
      <c r="B152" s="40" t="s">
        <v>468</v>
      </c>
      <c r="C152" s="104">
        <f>IF(VLOOKUP(B152,'Monthly Summary 2012'!$B$7:$Q$221,14,FALSE)=0,"",VLOOKUP(B152,'Monthly Summary 2012'!$B$7:$Q$221,14,FALSE))</f>
        <v>7.8</v>
      </c>
      <c r="D152" s="36">
        <v>12</v>
      </c>
      <c r="E152" s="36">
        <v>12.4</v>
      </c>
      <c r="F152" s="36">
        <v>15.6</v>
      </c>
      <c r="G152" s="36">
        <v>15.5</v>
      </c>
      <c r="H152" s="36">
        <v>13.6</v>
      </c>
      <c r="I152" s="36">
        <v>13.1</v>
      </c>
      <c r="J152" s="36">
        <v>30.1</v>
      </c>
      <c r="K152" s="36">
        <v>12.3</v>
      </c>
      <c r="L152" s="36">
        <v>10.5</v>
      </c>
      <c r="M152" s="36">
        <v>9.3000000000000007</v>
      </c>
      <c r="N152" s="36">
        <v>9.1</v>
      </c>
      <c r="O152" s="36">
        <v>8</v>
      </c>
      <c r="P152" s="37">
        <f t="shared" si="61"/>
        <v>13.45833333333333</v>
      </c>
      <c r="Q152" s="38">
        <f t="shared" si="62"/>
        <v>1</v>
      </c>
      <c r="R152" s="140">
        <f t="shared" si="63"/>
        <v>13.333333333333334</v>
      </c>
      <c r="S152" s="150">
        <f t="shared" si="64"/>
        <v>1</v>
      </c>
      <c r="T152" s="140">
        <f t="shared" si="65"/>
        <v>17.633333333333336</v>
      </c>
      <c r="U152" s="9">
        <f t="shared" si="66"/>
        <v>1</v>
      </c>
      <c r="V152" s="141">
        <f t="shared" si="67"/>
        <v>13.45833333333333</v>
      </c>
      <c r="W152" s="142">
        <f t="shared" si="68"/>
        <v>1</v>
      </c>
      <c r="X152" s="144">
        <f t="shared" si="56"/>
        <v>17.538095238095234</v>
      </c>
      <c r="Y152" s="144">
        <f t="shared" si="69"/>
        <v>18.557142857142857</v>
      </c>
      <c r="Z152" s="144">
        <f t="shared" si="57"/>
        <v>17.748809523809523</v>
      </c>
      <c r="AA152" s="10"/>
      <c r="AB152" s="357" t="str">
        <f>VLOOKUP($B152,'2007-2020 Metadata'!$A$4:$S$214,MATCH("Urban Area /Monitoring Zone",'2007-2020 Metadata'!$A$4:$S$4,0),FALSE)</f>
        <v>Dunedin</v>
      </c>
      <c r="AC152" s="87" t="str">
        <f>VLOOKUP(B152,'2007-2020 Metadata'!$A$6:$A$214,1,FALSE)</f>
        <v>DUN011</v>
      </c>
      <c r="AD152" s="230" t="str">
        <f>VLOOKUP($AC152,'2007-2020 Metadata'!$A$6:$S$214,9,FALSE)</f>
        <v>Dunedin</v>
      </c>
      <c r="AE152" s="248">
        <f>IF(ISBLANK(VLOOKUP($AC152,'2007-2020 Metadata'!$A$6:$S$214,19,FALSE)),"",VLOOKUP($AC152,'2007-2020 Metadata'!$A$6:$S$214,19,FALSE))</f>
        <v>3</v>
      </c>
      <c r="AF152" s="88" t="str">
        <f>VLOOKUP($B152,'2007-2020 Metadata'!$A$4:$S$214,MATCH("Site type",'2007-2020 Metadata'!$A$4:$S$4,0),FALSE)</f>
        <v>SH</v>
      </c>
      <c r="AG152" s="143">
        <f t="shared" si="71"/>
        <v>8</v>
      </c>
      <c r="AH152" s="143">
        <f t="shared" si="72"/>
        <v>30.1</v>
      </c>
      <c r="AI152" s="144">
        <f t="shared" si="70"/>
        <v>17.748809523809523</v>
      </c>
    </row>
    <row r="153" spans="1:35" ht="6" customHeight="1" thickBot="1" x14ac:dyDescent="0.2">
      <c r="B153" s="41"/>
      <c r="C153" s="53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3"/>
      <c r="Q153" s="44"/>
      <c r="R153" s="161"/>
      <c r="S153" s="42"/>
      <c r="T153" s="43"/>
      <c r="U153" s="108"/>
      <c r="V153" s="90"/>
      <c r="W153" s="108"/>
      <c r="X153" s="108"/>
      <c r="Y153" s="108"/>
      <c r="Z153" s="108"/>
      <c r="AA153" s="45"/>
      <c r="AB153" s="101"/>
      <c r="AC153" s="90"/>
      <c r="AD153" s="90"/>
      <c r="AE153" s="90"/>
      <c r="AF153" s="92"/>
      <c r="AG153" s="91"/>
      <c r="AH153" s="91"/>
      <c r="AI153" s="92"/>
    </row>
    <row r="154" spans="1:35" ht="11.25" thickTop="1" x14ac:dyDescent="0.15">
      <c r="B154" s="32"/>
      <c r="C154" s="32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AA154" s="45"/>
      <c r="AC154" s="45"/>
      <c r="AG154" s="86"/>
      <c r="AH154" s="86"/>
    </row>
    <row r="155" spans="1:35" x14ac:dyDescent="0.15">
      <c r="D155" s="46" t="s">
        <v>455</v>
      </c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AA155" s="45"/>
      <c r="AC155" s="45"/>
      <c r="AG155" s="86"/>
      <c r="AH155" s="86"/>
    </row>
    <row r="156" spans="1:35" x14ac:dyDescent="0.15">
      <c r="D156" s="321"/>
      <c r="E156" s="301" t="s">
        <v>456</v>
      </c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AA156" s="45"/>
      <c r="AC156" s="45"/>
      <c r="AG156" s="86"/>
      <c r="AH156" s="86"/>
    </row>
    <row r="157" spans="1:35" x14ac:dyDescent="0.15">
      <c r="D157" s="371"/>
      <c r="E157" s="301" t="s">
        <v>1085</v>
      </c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AA157" s="45"/>
      <c r="AC157" s="45"/>
      <c r="AG157" s="86"/>
      <c r="AH157" s="86"/>
    </row>
    <row r="158" spans="1:35" x14ac:dyDescent="0.15">
      <c r="D158" s="47"/>
      <c r="E158" s="31" t="s">
        <v>480</v>
      </c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AA158" s="45"/>
      <c r="AC158" s="45"/>
      <c r="AG158" s="86"/>
      <c r="AH158" s="86"/>
    </row>
    <row r="159" spans="1:35" x14ac:dyDescent="0.15">
      <c r="D159" s="48"/>
      <c r="E159" s="31" t="s">
        <v>457</v>
      </c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AA159" s="45"/>
      <c r="AC159" s="45"/>
      <c r="AG159" s="86"/>
      <c r="AH159" s="86"/>
    </row>
    <row r="160" spans="1:35" x14ac:dyDescent="0.15">
      <c r="D160" s="49"/>
      <c r="E160" s="31" t="s">
        <v>458</v>
      </c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AA160" s="45"/>
      <c r="AC160" s="45"/>
      <c r="AG160" s="86"/>
      <c r="AH160" s="86"/>
    </row>
    <row r="161" spans="2:34" x14ac:dyDescent="0.15">
      <c r="B161" s="32"/>
      <c r="C161" s="32"/>
      <c r="D161" s="176"/>
      <c r="E161" s="112" t="s">
        <v>510</v>
      </c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AA161" s="45"/>
      <c r="AC161" s="45"/>
      <c r="AG161" s="86"/>
      <c r="AH161" s="86"/>
    </row>
    <row r="162" spans="2:34" x14ac:dyDescent="0.15">
      <c r="B162" s="32"/>
      <c r="C162" s="32"/>
      <c r="D162" s="372"/>
      <c r="E162" s="10" t="s">
        <v>1086</v>
      </c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AA162" s="45"/>
      <c r="AC162" s="45"/>
      <c r="AG162" s="86"/>
      <c r="AH162" s="86"/>
    </row>
    <row r="163" spans="2:34" x14ac:dyDescent="0.15">
      <c r="B163" s="32"/>
      <c r="C163" s="32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AA163" s="45"/>
      <c r="AC163" s="45"/>
      <c r="AG163" s="86"/>
      <c r="AH163" s="86"/>
    </row>
    <row r="164" spans="2:34" x14ac:dyDescent="0.15">
      <c r="B164" s="32"/>
      <c r="C164" s="32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AA164" s="45"/>
      <c r="AC164" s="45"/>
      <c r="AG164" s="86"/>
      <c r="AH164" s="86"/>
    </row>
    <row r="165" spans="2:34" x14ac:dyDescent="0.15">
      <c r="B165" s="32"/>
      <c r="C165" s="32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AA165" s="45"/>
      <c r="AC165" s="45"/>
      <c r="AG165" s="86"/>
      <c r="AH165" s="86"/>
    </row>
    <row r="166" spans="2:34" x14ac:dyDescent="0.15">
      <c r="B166" s="32"/>
      <c r="C166" s="32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AA166" s="45"/>
      <c r="AC166" s="45"/>
      <c r="AG166" s="86"/>
      <c r="AH166" s="86"/>
    </row>
    <row r="167" spans="2:34" x14ac:dyDescent="0.15">
      <c r="B167" s="32"/>
      <c r="C167" s="32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AA167" s="45"/>
      <c r="AC167" s="45"/>
      <c r="AG167" s="86"/>
      <c r="AH167" s="86"/>
    </row>
    <row r="168" spans="2:34" x14ac:dyDescent="0.15">
      <c r="B168" s="32"/>
      <c r="C168" s="32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AA168" s="45"/>
      <c r="AC168" s="45"/>
      <c r="AG168" s="86"/>
      <c r="AH168" s="86"/>
    </row>
    <row r="169" spans="2:34" x14ac:dyDescent="0.15">
      <c r="B169" s="32"/>
      <c r="C169" s="32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AA169" s="45"/>
      <c r="AC169" s="45"/>
      <c r="AG169" s="86"/>
      <c r="AH169" s="86"/>
    </row>
    <row r="170" spans="2:34" x14ac:dyDescent="0.15">
      <c r="B170" s="32"/>
      <c r="C170" s="32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AA170" s="45"/>
      <c r="AC170" s="45"/>
      <c r="AG170" s="86"/>
      <c r="AH170" s="86"/>
    </row>
    <row r="171" spans="2:34" x14ac:dyDescent="0.15">
      <c r="B171" s="32"/>
      <c r="C171" s="32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AA171" s="45"/>
      <c r="AC171" s="45"/>
      <c r="AG171" s="86"/>
      <c r="AH171" s="86"/>
    </row>
    <row r="172" spans="2:34" x14ac:dyDescent="0.15">
      <c r="B172" s="32"/>
      <c r="C172" s="32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AA172" s="45"/>
      <c r="AC172" s="45"/>
      <c r="AG172" s="86"/>
      <c r="AH172" s="86"/>
    </row>
    <row r="173" spans="2:34" x14ac:dyDescent="0.15">
      <c r="B173" s="32"/>
      <c r="C173" s="32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AA173" s="45"/>
      <c r="AC173" s="45"/>
      <c r="AG173" s="86"/>
      <c r="AH173" s="86"/>
    </row>
    <row r="174" spans="2:34" x14ac:dyDescent="0.15">
      <c r="B174" s="32"/>
      <c r="C174" s="32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AA174" s="45"/>
      <c r="AC174" s="45"/>
      <c r="AG174" s="86"/>
      <c r="AH174" s="86"/>
    </row>
    <row r="175" spans="2:34" x14ac:dyDescent="0.15">
      <c r="B175" s="32"/>
      <c r="C175" s="32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AA175" s="45"/>
      <c r="AC175" s="45"/>
      <c r="AG175" s="86"/>
      <c r="AH175" s="86"/>
    </row>
    <row r="176" spans="2:34" x14ac:dyDescent="0.15">
      <c r="B176" s="32"/>
      <c r="C176" s="32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AA176" s="45"/>
      <c r="AC176" s="45"/>
      <c r="AG176" s="86"/>
      <c r="AH176" s="86"/>
    </row>
    <row r="177" spans="1:35" x14ac:dyDescent="0.15">
      <c r="B177" s="32"/>
      <c r="C177" s="32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AA177" s="45"/>
      <c r="AC177" s="45"/>
      <c r="AG177" s="86"/>
      <c r="AH177" s="86"/>
    </row>
    <row r="178" spans="1:35" x14ac:dyDescent="0.15">
      <c r="B178" s="32"/>
      <c r="C178" s="32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AA178" s="45"/>
      <c r="AC178" s="45"/>
      <c r="AG178" s="86"/>
      <c r="AH178" s="86"/>
    </row>
    <row r="179" spans="1:35" x14ac:dyDescent="0.15">
      <c r="B179" s="32"/>
      <c r="C179" s="32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45"/>
      <c r="Q179" s="45"/>
      <c r="R179" s="45"/>
      <c r="S179" s="45"/>
      <c r="T179" s="45"/>
      <c r="U179" s="45"/>
      <c r="AA179" s="45"/>
      <c r="AC179" s="45"/>
    </row>
    <row r="180" spans="1:35" x14ac:dyDescent="0.15">
      <c r="B180" s="32"/>
      <c r="C180" s="32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45"/>
      <c r="Q180" s="45"/>
      <c r="R180" s="45"/>
      <c r="S180" s="45"/>
      <c r="T180" s="45"/>
      <c r="U180" s="45"/>
      <c r="AA180" s="45"/>
      <c r="AC180" s="45"/>
    </row>
    <row r="181" spans="1:35" x14ac:dyDescent="0.15">
      <c r="B181" s="32"/>
      <c r="C181" s="32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45"/>
      <c r="Q181" s="45"/>
      <c r="R181" s="45"/>
      <c r="S181" s="45"/>
      <c r="T181" s="45"/>
      <c r="U181" s="45"/>
      <c r="AA181" s="45"/>
      <c r="AC181" s="45"/>
    </row>
    <row r="182" spans="1:35" x14ac:dyDescent="0.15">
      <c r="B182" s="32"/>
      <c r="C182" s="32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45"/>
      <c r="Q182" s="45"/>
      <c r="R182" s="25"/>
      <c r="S182" s="25"/>
    </row>
    <row r="183" spans="1:35" x14ac:dyDescent="0.15">
      <c r="B183" s="32"/>
      <c r="C183" s="32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45"/>
      <c r="Q183" s="45"/>
      <c r="R183" s="25"/>
      <c r="S183" s="25"/>
    </row>
    <row r="184" spans="1:35" x14ac:dyDescent="0.15">
      <c r="B184" s="32"/>
      <c r="C184" s="32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45"/>
      <c r="Q184" s="45"/>
      <c r="R184" s="25"/>
      <c r="S184" s="25"/>
    </row>
    <row r="185" spans="1:35" x14ac:dyDescent="0.15">
      <c r="B185" s="32"/>
      <c r="C185" s="32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45"/>
      <c r="Q185" s="45"/>
      <c r="R185" s="25"/>
      <c r="S185" s="25"/>
    </row>
    <row r="186" spans="1:35" x14ac:dyDescent="0.15">
      <c r="B186" s="32"/>
      <c r="C186" s="32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45"/>
      <c r="Q186" s="45"/>
      <c r="R186" s="25"/>
      <c r="S186" s="25"/>
    </row>
    <row r="187" spans="1:35" x14ac:dyDescent="0.15">
      <c r="B187" s="32"/>
      <c r="C187" s="32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45"/>
      <c r="Q187" s="45"/>
      <c r="R187" s="25"/>
      <c r="S187" s="25"/>
    </row>
    <row r="188" spans="1:35" x14ac:dyDescent="0.15">
      <c r="B188" s="32"/>
      <c r="C188" s="32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45"/>
      <c r="Q188" s="45"/>
      <c r="R188" s="25"/>
      <c r="S188" s="25"/>
    </row>
    <row r="189" spans="1:35" x14ac:dyDescent="0.15">
      <c r="B189" s="32"/>
      <c r="C189" s="32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45"/>
      <c r="Q189" s="45"/>
      <c r="R189" s="25"/>
      <c r="S189" s="25"/>
    </row>
    <row r="190" spans="1:35" s="10" customFormat="1" x14ac:dyDescent="0.15">
      <c r="A190" s="39"/>
      <c r="B190" s="32"/>
      <c r="C190" s="32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45"/>
      <c r="Q190" s="45"/>
      <c r="R190" s="25"/>
      <c r="S190" s="25"/>
      <c r="T190" s="21"/>
      <c r="Z190" s="39"/>
      <c r="AA190" s="39"/>
      <c r="AB190" s="39"/>
      <c r="AC190" s="39"/>
      <c r="AD190" s="230"/>
      <c r="AE190" s="230"/>
      <c r="AF190" s="39"/>
      <c r="AG190" s="39"/>
      <c r="AH190" s="39"/>
      <c r="AI190" s="39"/>
    </row>
    <row r="191" spans="1:35" s="10" customFormat="1" x14ac:dyDescent="0.15">
      <c r="A191" s="39"/>
      <c r="B191" s="32"/>
      <c r="C191" s="32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45"/>
      <c r="Q191" s="45"/>
      <c r="R191" s="25"/>
      <c r="S191" s="25"/>
      <c r="T191" s="21"/>
      <c r="Z191" s="39"/>
      <c r="AA191" s="39"/>
      <c r="AB191" s="39"/>
      <c r="AC191" s="39"/>
      <c r="AD191" s="230"/>
      <c r="AE191" s="230"/>
      <c r="AF191" s="39"/>
      <c r="AG191" s="39"/>
      <c r="AH191" s="39"/>
      <c r="AI191" s="39"/>
    </row>
    <row r="192" spans="1:35" s="10" customFormat="1" x14ac:dyDescent="0.15">
      <c r="A192" s="39"/>
      <c r="B192" s="32"/>
      <c r="C192" s="32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45"/>
      <c r="Q192" s="45"/>
      <c r="R192" s="25"/>
      <c r="S192" s="25"/>
      <c r="T192" s="21"/>
      <c r="Z192" s="39"/>
      <c r="AA192" s="39"/>
      <c r="AB192" s="39"/>
      <c r="AC192" s="39"/>
      <c r="AD192" s="230"/>
      <c r="AE192" s="230"/>
      <c r="AF192" s="39"/>
      <c r="AG192" s="39"/>
      <c r="AH192" s="39"/>
      <c r="AI192" s="39"/>
    </row>
    <row r="193" spans="1:35" s="10" customFormat="1" x14ac:dyDescent="0.15">
      <c r="A193" s="39"/>
      <c r="B193" s="32"/>
      <c r="C193" s="32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45"/>
      <c r="Q193" s="45"/>
      <c r="R193" s="25"/>
      <c r="S193" s="25"/>
      <c r="T193" s="21"/>
      <c r="Z193" s="39"/>
      <c r="AA193" s="39"/>
      <c r="AB193" s="39"/>
      <c r="AC193" s="39"/>
      <c r="AD193" s="230"/>
      <c r="AE193" s="230"/>
      <c r="AF193" s="39"/>
      <c r="AG193" s="39"/>
      <c r="AH193" s="39"/>
      <c r="AI193" s="39"/>
    </row>
    <row r="194" spans="1:35" s="10" customFormat="1" x14ac:dyDescent="0.15">
      <c r="A194" s="39"/>
      <c r="B194" s="32"/>
      <c r="C194" s="32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45"/>
      <c r="Q194" s="45"/>
      <c r="R194" s="25"/>
      <c r="S194" s="25"/>
      <c r="T194" s="21"/>
      <c r="Z194" s="39"/>
      <c r="AA194" s="39"/>
      <c r="AB194" s="39"/>
      <c r="AC194" s="39"/>
      <c r="AD194" s="230"/>
      <c r="AE194" s="230"/>
      <c r="AF194" s="39"/>
      <c r="AG194" s="39"/>
      <c r="AH194" s="39"/>
      <c r="AI194" s="39"/>
    </row>
    <row r="195" spans="1:35" s="10" customFormat="1" x14ac:dyDescent="0.15">
      <c r="A195" s="39"/>
      <c r="B195" s="32"/>
      <c r="C195" s="32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45"/>
      <c r="Q195" s="45"/>
      <c r="R195" s="25"/>
      <c r="S195" s="25"/>
      <c r="T195" s="21"/>
      <c r="Z195" s="39"/>
      <c r="AA195" s="39"/>
      <c r="AB195" s="39"/>
      <c r="AC195" s="39"/>
      <c r="AD195" s="230"/>
      <c r="AE195" s="230"/>
      <c r="AF195" s="39"/>
      <c r="AG195" s="39"/>
      <c r="AH195" s="39"/>
      <c r="AI195" s="39"/>
    </row>
    <row r="196" spans="1:35" s="10" customFormat="1" x14ac:dyDescent="0.15">
      <c r="A196" s="39"/>
      <c r="B196" s="32"/>
      <c r="C196" s="32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45"/>
      <c r="Q196" s="45"/>
      <c r="R196" s="25"/>
      <c r="S196" s="25"/>
      <c r="T196" s="21"/>
      <c r="Z196" s="39"/>
      <c r="AA196" s="39"/>
      <c r="AB196" s="39"/>
      <c r="AC196" s="39"/>
      <c r="AD196" s="230"/>
      <c r="AE196" s="230"/>
      <c r="AF196" s="39"/>
      <c r="AG196" s="39"/>
      <c r="AH196" s="39"/>
      <c r="AI196" s="39"/>
    </row>
    <row r="197" spans="1:35" s="10" customFormat="1" x14ac:dyDescent="0.15">
      <c r="A197" s="39"/>
      <c r="B197" s="32"/>
      <c r="C197" s="32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45"/>
      <c r="Q197" s="45"/>
      <c r="R197" s="25"/>
      <c r="S197" s="25"/>
      <c r="T197" s="21"/>
      <c r="Z197" s="39"/>
      <c r="AA197" s="39"/>
      <c r="AB197" s="39"/>
      <c r="AC197" s="39"/>
      <c r="AD197" s="230"/>
      <c r="AE197" s="230"/>
      <c r="AF197" s="39"/>
      <c r="AG197" s="39"/>
      <c r="AH197" s="39"/>
      <c r="AI197" s="39"/>
    </row>
    <row r="198" spans="1:35" s="10" customFormat="1" x14ac:dyDescent="0.15">
      <c r="A198" s="39"/>
      <c r="B198" s="32"/>
      <c r="C198" s="32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45"/>
      <c r="Q198" s="45"/>
      <c r="R198" s="25"/>
      <c r="S198" s="25"/>
      <c r="T198" s="21"/>
      <c r="Z198" s="39"/>
      <c r="AA198" s="39"/>
      <c r="AB198" s="39"/>
      <c r="AC198" s="39"/>
      <c r="AD198" s="230"/>
      <c r="AE198" s="230"/>
      <c r="AF198" s="39"/>
      <c r="AG198" s="39"/>
      <c r="AH198" s="39"/>
      <c r="AI198" s="39"/>
    </row>
    <row r="199" spans="1:35" s="10" customFormat="1" x14ac:dyDescent="0.15">
      <c r="A199" s="39"/>
      <c r="B199" s="32"/>
      <c r="C199" s="32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45"/>
      <c r="Q199" s="45"/>
      <c r="R199" s="25"/>
      <c r="S199" s="25"/>
      <c r="T199" s="21"/>
      <c r="Z199" s="39"/>
      <c r="AA199" s="39"/>
      <c r="AB199" s="39"/>
      <c r="AC199" s="39"/>
      <c r="AD199" s="230"/>
      <c r="AE199" s="230"/>
      <c r="AF199" s="39"/>
      <c r="AG199" s="39"/>
      <c r="AH199" s="39"/>
      <c r="AI199" s="39"/>
    </row>
    <row r="200" spans="1:35" s="10" customFormat="1" x14ac:dyDescent="0.15">
      <c r="A200" s="39"/>
      <c r="B200" s="32"/>
      <c r="C200" s="32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45"/>
      <c r="Q200" s="45"/>
      <c r="R200" s="25"/>
      <c r="S200" s="25"/>
      <c r="T200" s="21"/>
      <c r="Z200" s="39"/>
      <c r="AA200" s="39"/>
      <c r="AB200" s="39"/>
      <c r="AC200" s="39"/>
      <c r="AD200" s="230"/>
      <c r="AE200" s="230"/>
      <c r="AF200" s="39"/>
      <c r="AG200" s="39"/>
      <c r="AH200" s="39"/>
      <c r="AI200" s="39"/>
    </row>
    <row r="201" spans="1:35" s="10" customFormat="1" x14ac:dyDescent="0.15">
      <c r="A201" s="39"/>
      <c r="B201" s="32"/>
      <c r="C201" s="32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45"/>
      <c r="Q201" s="45"/>
      <c r="R201" s="25"/>
      <c r="S201" s="25"/>
      <c r="T201" s="21"/>
      <c r="Z201" s="39"/>
      <c r="AA201" s="39"/>
      <c r="AB201" s="39"/>
      <c r="AC201" s="39"/>
      <c r="AD201" s="230"/>
      <c r="AE201" s="230"/>
      <c r="AF201" s="39"/>
      <c r="AG201" s="39"/>
      <c r="AH201" s="39"/>
      <c r="AI201" s="39"/>
    </row>
    <row r="202" spans="1:35" s="10" customFormat="1" x14ac:dyDescent="0.15">
      <c r="A202" s="39"/>
      <c r="B202" s="32"/>
      <c r="C202" s="32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45"/>
      <c r="Q202" s="45"/>
      <c r="R202" s="25"/>
      <c r="S202" s="25"/>
      <c r="T202" s="21"/>
      <c r="Z202" s="39"/>
      <c r="AA202" s="39"/>
      <c r="AB202" s="39"/>
      <c r="AC202" s="39"/>
      <c r="AD202" s="230"/>
      <c r="AE202" s="230"/>
      <c r="AF202" s="39"/>
      <c r="AG202" s="39"/>
      <c r="AH202" s="39"/>
      <c r="AI202" s="39"/>
    </row>
    <row r="203" spans="1:35" s="10" customFormat="1" x14ac:dyDescent="0.15">
      <c r="A203" s="39"/>
      <c r="B203" s="32"/>
      <c r="C203" s="32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45"/>
      <c r="Q203" s="45"/>
      <c r="R203" s="25"/>
      <c r="S203" s="25"/>
      <c r="T203" s="21"/>
      <c r="Z203" s="39"/>
      <c r="AA203" s="39"/>
      <c r="AB203" s="39"/>
      <c r="AC203" s="39"/>
      <c r="AD203" s="230"/>
      <c r="AE203" s="230"/>
      <c r="AF203" s="39"/>
      <c r="AG203" s="39"/>
      <c r="AH203" s="39"/>
      <c r="AI203" s="39"/>
    </row>
    <row r="204" spans="1:35" s="10" customFormat="1" x14ac:dyDescent="0.15">
      <c r="A204" s="39"/>
      <c r="B204" s="32"/>
      <c r="C204" s="32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45"/>
      <c r="Q204" s="45"/>
      <c r="R204" s="25"/>
      <c r="S204" s="25"/>
      <c r="T204" s="21"/>
      <c r="Z204" s="39"/>
      <c r="AA204" s="39"/>
      <c r="AB204" s="39"/>
      <c r="AC204" s="39"/>
      <c r="AD204" s="230"/>
      <c r="AE204" s="230"/>
      <c r="AF204" s="39"/>
      <c r="AG204" s="39"/>
      <c r="AH204" s="39"/>
      <c r="AI204" s="39"/>
    </row>
    <row r="205" spans="1:35" s="10" customFormat="1" x14ac:dyDescent="0.15">
      <c r="A205" s="39"/>
      <c r="B205" s="32"/>
      <c r="C205" s="32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45"/>
      <c r="Q205" s="45"/>
      <c r="R205" s="25"/>
      <c r="S205" s="25"/>
      <c r="T205" s="21"/>
      <c r="Z205" s="39"/>
      <c r="AA205" s="39"/>
      <c r="AB205" s="39"/>
      <c r="AC205" s="39"/>
      <c r="AD205" s="230"/>
      <c r="AE205" s="230"/>
      <c r="AF205" s="39"/>
      <c r="AG205" s="39"/>
      <c r="AH205" s="39"/>
      <c r="AI205" s="39"/>
    </row>
    <row r="206" spans="1:35" s="10" customFormat="1" x14ac:dyDescent="0.15">
      <c r="A206" s="39"/>
      <c r="B206" s="32"/>
      <c r="C206" s="32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45"/>
      <c r="Q206" s="45"/>
      <c r="R206" s="25"/>
      <c r="S206" s="25"/>
      <c r="T206" s="21"/>
      <c r="Z206" s="39"/>
      <c r="AA206" s="39"/>
      <c r="AB206" s="39"/>
      <c r="AC206" s="39"/>
      <c r="AD206" s="230"/>
      <c r="AE206" s="230"/>
      <c r="AF206" s="39"/>
      <c r="AG206" s="39"/>
      <c r="AH206" s="39"/>
      <c r="AI206" s="39"/>
    </row>
    <row r="207" spans="1:35" s="10" customFormat="1" x14ac:dyDescent="0.15">
      <c r="A207" s="39"/>
      <c r="B207" s="32"/>
      <c r="C207" s="32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45"/>
      <c r="Q207" s="45"/>
      <c r="R207" s="25"/>
      <c r="S207" s="25"/>
      <c r="T207" s="21"/>
      <c r="Z207" s="39"/>
      <c r="AA207" s="39"/>
      <c r="AB207" s="39"/>
      <c r="AC207" s="39"/>
      <c r="AD207" s="230"/>
      <c r="AE207" s="230"/>
      <c r="AF207" s="39"/>
      <c r="AG207" s="39"/>
      <c r="AH207" s="39"/>
      <c r="AI207" s="39"/>
    </row>
    <row r="208" spans="1:35" s="10" customFormat="1" x14ac:dyDescent="0.15">
      <c r="A208" s="39"/>
      <c r="B208" s="32"/>
      <c r="C208" s="32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45"/>
      <c r="Q208" s="45"/>
      <c r="R208" s="25"/>
      <c r="S208" s="25"/>
      <c r="T208" s="21"/>
      <c r="Z208" s="39"/>
      <c r="AA208" s="39"/>
      <c r="AB208" s="39"/>
      <c r="AC208" s="39"/>
      <c r="AD208" s="230"/>
      <c r="AE208" s="230"/>
      <c r="AF208" s="39"/>
      <c r="AG208" s="39"/>
      <c r="AH208" s="39"/>
      <c r="AI208" s="39"/>
    </row>
    <row r="209" spans="1:35" s="10" customFormat="1" x14ac:dyDescent="0.15">
      <c r="A209" s="39"/>
      <c r="B209" s="32"/>
      <c r="C209" s="32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45"/>
      <c r="Q209" s="45"/>
      <c r="R209" s="25"/>
      <c r="S209" s="25"/>
      <c r="T209" s="21"/>
      <c r="Z209" s="39"/>
      <c r="AA209" s="39"/>
      <c r="AB209" s="39"/>
      <c r="AC209" s="39"/>
      <c r="AD209" s="230"/>
      <c r="AE209" s="230"/>
      <c r="AF209" s="39"/>
      <c r="AG209" s="39"/>
      <c r="AH209" s="39"/>
      <c r="AI209" s="39"/>
    </row>
    <row r="210" spans="1:35" s="10" customFormat="1" x14ac:dyDescent="0.15">
      <c r="A210" s="39"/>
      <c r="B210" s="32"/>
      <c r="C210" s="32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45"/>
      <c r="Q210" s="45"/>
      <c r="R210" s="25"/>
      <c r="S210" s="25"/>
      <c r="T210" s="21"/>
      <c r="Z210" s="39"/>
      <c r="AA210" s="39"/>
      <c r="AB210" s="39"/>
      <c r="AC210" s="39"/>
      <c r="AD210" s="230"/>
      <c r="AE210" s="230"/>
      <c r="AF210" s="39"/>
      <c r="AG210" s="39"/>
      <c r="AH210" s="39"/>
      <c r="AI210" s="39"/>
    </row>
    <row r="211" spans="1:35" s="10" customFormat="1" x14ac:dyDescent="0.15">
      <c r="A211" s="39"/>
      <c r="B211" s="32"/>
      <c r="C211" s="32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45"/>
      <c r="Q211" s="45"/>
      <c r="R211" s="25"/>
      <c r="S211" s="25"/>
      <c r="T211" s="21"/>
      <c r="Z211" s="39"/>
      <c r="AA211" s="39"/>
      <c r="AB211" s="39"/>
      <c r="AC211" s="39"/>
      <c r="AD211" s="230"/>
      <c r="AE211" s="230"/>
      <c r="AF211" s="39"/>
      <c r="AG211" s="39"/>
      <c r="AH211" s="39"/>
      <c r="AI211" s="39"/>
    </row>
    <row r="212" spans="1:35" s="10" customFormat="1" x14ac:dyDescent="0.15">
      <c r="A212" s="39"/>
      <c r="B212" s="32"/>
      <c r="C212" s="32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45"/>
      <c r="Q212" s="45"/>
      <c r="R212" s="25"/>
      <c r="S212" s="25"/>
      <c r="T212" s="21"/>
      <c r="Z212" s="39"/>
      <c r="AA212" s="39"/>
      <c r="AB212" s="39"/>
      <c r="AC212" s="39"/>
      <c r="AD212" s="230"/>
      <c r="AE212" s="230"/>
      <c r="AF212" s="39"/>
      <c r="AG212" s="39"/>
      <c r="AH212" s="39"/>
      <c r="AI212" s="39"/>
    </row>
    <row r="213" spans="1:35" s="10" customFormat="1" x14ac:dyDescent="0.15">
      <c r="A213" s="39"/>
      <c r="B213" s="32"/>
      <c r="C213" s="32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45"/>
      <c r="Q213" s="45"/>
      <c r="R213" s="25"/>
      <c r="S213" s="25"/>
      <c r="T213" s="21"/>
      <c r="Z213" s="39"/>
      <c r="AA213" s="39"/>
      <c r="AB213" s="39"/>
      <c r="AC213" s="39"/>
      <c r="AD213" s="230"/>
      <c r="AE213" s="230"/>
      <c r="AF213" s="39"/>
      <c r="AG213" s="39"/>
      <c r="AH213" s="39"/>
      <c r="AI213" s="39"/>
    </row>
    <row r="214" spans="1:35" s="10" customFormat="1" x14ac:dyDescent="0.15">
      <c r="A214" s="39"/>
      <c r="B214" s="32"/>
      <c r="C214" s="32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45"/>
      <c r="Q214" s="45"/>
      <c r="R214" s="25"/>
      <c r="S214" s="25"/>
      <c r="T214" s="21"/>
      <c r="Z214" s="39"/>
      <c r="AA214" s="39"/>
      <c r="AB214" s="39"/>
      <c r="AC214" s="39"/>
      <c r="AD214" s="230"/>
      <c r="AE214" s="230"/>
      <c r="AF214" s="39"/>
      <c r="AG214" s="39"/>
      <c r="AH214" s="39"/>
      <c r="AI214" s="39"/>
    </row>
    <row r="215" spans="1:35" s="10" customFormat="1" x14ac:dyDescent="0.15">
      <c r="A215" s="39"/>
      <c r="B215" s="32"/>
      <c r="C215" s="32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45"/>
      <c r="Q215" s="45"/>
      <c r="R215" s="25"/>
      <c r="S215" s="25"/>
      <c r="T215" s="21"/>
      <c r="Z215" s="39"/>
      <c r="AA215" s="39"/>
      <c r="AB215" s="39"/>
      <c r="AC215" s="39"/>
      <c r="AD215" s="230"/>
      <c r="AE215" s="230"/>
      <c r="AF215" s="39"/>
      <c r="AG215" s="39"/>
      <c r="AH215" s="39"/>
      <c r="AI215" s="39"/>
    </row>
    <row r="216" spans="1:35" s="10" customFormat="1" x14ac:dyDescent="0.15">
      <c r="A216" s="39"/>
      <c r="B216" s="32"/>
      <c r="C216" s="32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45"/>
      <c r="Q216" s="45"/>
      <c r="R216" s="25"/>
      <c r="S216" s="25"/>
      <c r="T216" s="21"/>
      <c r="Z216" s="39"/>
      <c r="AA216" s="39"/>
      <c r="AB216" s="39"/>
      <c r="AC216" s="39"/>
      <c r="AD216" s="230"/>
      <c r="AE216" s="230"/>
      <c r="AF216" s="39"/>
      <c r="AG216" s="39"/>
      <c r="AH216" s="39"/>
      <c r="AI216" s="39"/>
    </row>
    <row r="217" spans="1:35" s="10" customFormat="1" x14ac:dyDescent="0.15">
      <c r="A217" s="39"/>
      <c r="B217" s="32"/>
      <c r="C217" s="32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45"/>
      <c r="Q217" s="45"/>
      <c r="R217" s="25"/>
      <c r="S217" s="25"/>
      <c r="T217" s="21"/>
      <c r="Z217" s="39"/>
      <c r="AA217" s="39"/>
      <c r="AB217" s="39"/>
      <c r="AC217" s="39"/>
      <c r="AD217" s="230"/>
      <c r="AE217" s="230"/>
      <c r="AF217" s="39"/>
      <c r="AG217" s="39"/>
      <c r="AH217" s="39"/>
      <c r="AI217" s="39"/>
    </row>
    <row r="218" spans="1:35" s="10" customFormat="1" x14ac:dyDescent="0.15">
      <c r="A218" s="39"/>
      <c r="B218" s="32"/>
      <c r="C218" s="32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45"/>
      <c r="Q218" s="45"/>
      <c r="R218" s="25"/>
      <c r="S218" s="25"/>
      <c r="T218" s="21"/>
      <c r="Z218" s="39"/>
      <c r="AA218" s="39"/>
      <c r="AB218" s="39"/>
      <c r="AC218" s="39"/>
      <c r="AD218" s="230"/>
      <c r="AE218" s="230"/>
      <c r="AF218" s="39"/>
      <c r="AG218" s="39"/>
      <c r="AH218" s="39"/>
      <c r="AI218" s="39"/>
    </row>
    <row r="219" spans="1:35" s="10" customFormat="1" x14ac:dyDescent="0.15">
      <c r="A219" s="39"/>
      <c r="B219" s="32"/>
      <c r="C219" s="32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45"/>
      <c r="Q219" s="45"/>
      <c r="R219" s="25"/>
      <c r="S219" s="25"/>
      <c r="T219" s="21"/>
      <c r="Z219" s="39"/>
      <c r="AA219" s="39"/>
      <c r="AB219" s="39"/>
      <c r="AC219" s="39"/>
      <c r="AD219" s="230"/>
      <c r="AE219" s="230"/>
      <c r="AF219" s="39"/>
      <c r="AG219" s="39"/>
      <c r="AH219" s="39"/>
      <c r="AI219" s="39"/>
    </row>
    <row r="220" spans="1:35" s="10" customFormat="1" x14ac:dyDescent="0.15">
      <c r="A220" s="39"/>
      <c r="B220" s="32"/>
      <c r="C220" s="32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45"/>
      <c r="Q220" s="45"/>
      <c r="R220" s="25"/>
      <c r="S220" s="25"/>
      <c r="T220" s="21"/>
      <c r="Z220" s="39"/>
      <c r="AA220" s="39"/>
      <c r="AB220" s="39"/>
      <c r="AC220" s="39"/>
      <c r="AD220" s="230"/>
      <c r="AE220" s="230"/>
      <c r="AF220" s="39"/>
      <c r="AG220" s="39"/>
      <c r="AH220" s="39"/>
      <c r="AI220" s="39"/>
    </row>
    <row r="221" spans="1:35" s="10" customFormat="1" x14ac:dyDescent="0.15">
      <c r="A221" s="39"/>
      <c r="B221" s="32"/>
      <c r="C221" s="32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45"/>
      <c r="Q221" s="45"/>
      <c r="R221" s="25"/>
      <c r="S221" s="25"/>
      <c r="T221" s="21"/>
      <c r="Z221" s="39"/>
      <c r="AA221" s="39"/>
      <c r="AB221" s="39"/>
      <c r="AC221" s="39"/>
      <c r="AD221" s="230"/>
      <c r="AE221" s="230"/>
      <c r="AF221" s="39"/>
      <c r="AG221" s="39"/>
      <c r="AH221" s="39"/>
      <c r="AI221" s="39"/>
    </row>
    <row r="222" spans="1:35" s="10" customFormat="1" x14ac:dyDescent="0.15">
      <c r="A222" s="39"/>
      <c r="B222" s="32"/>
      <c r="C222" s="32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45"/>
      <c r="Q222" s="45"/>
      <c r="R222" s="25"/>
      <c r="S222" s="25"/>
      <c r="T222" s="21"/>
      <c r="Z222" s="39"/>
      <c r="AA222" s="39"/>
      <c r="AB222" s="39"/>
      <c r="AC222" s="39"/>
      <c r="AD222" s="230"/>
      <c r="AE222" s="230"/>
      <c r="AF222" s="39"/>
      <c r="AG222" s="39"/>
      <c r="AH222" s="39"/>
      <c r="AI222" s="39"/>
    </row>
    <row r="223" spans="1:35" s="10" customFormat="1" x14ac:dyDescent="0.15">
      <c r="A223" s="39"/>
      <c r="B223" s="32"/>
      <c r="C223" s="32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45"/>
      <c r="Q223" s="45"/>
      <c r="R223" s="25"/>
      <c r="S223" s="25"/>
      <c r="T223" s="21"/>
      <c r="Z223" s="39"/>
      <c r="AA223" s="39"/>
      <c r="AB223" s="39"/>
      <c r="AC223" s="39"/>
      <c r="AD223" s="230"/>
      <c r="AE223" s="230"/>
      <c r="AF223" s="39"/>
      <c r="AG223" s="39"/>
      <c r="AH223" s="39"/>
      <c r="AI223" s="39"/>
    </row>
    <row r="224" spans="1:35" s="10" customFormat="1" x14ac:dyDescent="0.15">
      <c r="A224" s="39"/>
      <c r="B224" s="32"/>
      <c r="C224" s="32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45"/>
      <c r="Q224" s="45"/>
      <c r="R224" s="25"/>
      <c r="S224" s="25"/>
      <c r="T224" s="21"/>
      <c r="Z224" s="39"/>
      <c r="AA224" s="39"/>
      <c r="AB224" s="39"/>
      <c r="AC224" s="39"/>
      <c r="AD224" s="230"/>
      <c r="AE224" s="230"/>
      <c r="AF224" s="39"/>
      <c r="AG224" s="39"/>
      <c r="AH224" s="39"/>
      <c r="AI224" s="39"/>
    </row>
    <row r="225" spans="1:35" s="10" customFormat="1" x14ac:dyDescent="0.15">
      <c r="A225" s="39"/>
      <c r="B225" s="32"/>
      <c r="C225" s="32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45"/>
      <c r="Q225" s="45"/>
      <c r="R225" s="25"/>
      <c r="S225" s="25"/>
      <c r="T225" s="21"/>
      <c r="Z225" s="39"/>
      <c r="AA225" s="39"/>
      <c r="AB225" s="39"/>
      <c r="AC225" s="39"/>
      <c r="AD225" s="230"/>
      <c r="AE225" s="230"/>
      <c r="AF225" s="39"/>
      <c r="AG225" s="39"/>
      <c r="AH225" s="39"/>
      <c r="AI225" s="39"/>
    </row>
    <row r="226" spans="1:35" s="10" customFormat="1" x14ac:dyDescent="0.15">
      <c r="A226" s="39"/>
      <c r="B226" s="32"/>
      <c r="C226" s="32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45"/>
      <c r="Q226" s="45"/>
      <c r="R226" s="25"/>
      <c r="S226" s="25"/>
      <c r="T226" s="21"/>
      <c r="Z226" s="39"/>
      <c r="AA226" s="39"/>
      <c r="AB226" s="39"/>
      <c r="AC226" s="39"/>
      <c r="AD226" s="230"/>
      <c r="AE226" s="230"/>
      <c r="AF226" s="39"/>
      <c r="AG226" s="39"/>
      <c r="AH226" s="39"/>
      <c r="AI226" s="39"/>
    </row>
    <row r="227" spans="1:35" s="10" customFormat="1" x14ac:dyDescent="0.15">
      <c r="A227" s="39"/>
      <c r="B227" s="32"/>
      <c r="C227" s="32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45"/>
      <c r="Q227" s="45"/>
      <c r="R227" s="25"/>
      <c r="S227" s="25"/>
      <c r="T227" s="21"/>
      <c r="Z227" s="39"/>
      <c r="AA227" s="39"/>
      <c r="AB227" s="39"/>
      <c r="AC227" s="39"/>
      <c r="AD227" s="230"/>
      <c r="AE227" s="230"/>
      <c r="AF227" s="39"/>
      <c r="AG227" s="39"/>
      <c r="AH227" s="39"/>
      <c r="AI227" s="39"/>
    </row>
    <row r="228" spans="1:35" s="10" customFormat="1" x14ac:dyDescent="0.15">
      <c r="A228" s="39"/>
      <c r="B228" s="32"/>
      <c r="C228" s="32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45"/>
      <c r="Q228" s="45"/>
      <c r="R228" s="25"/>
      <c r="S228" s="25"/>
      <c r="T228" s="21"/>
      <c r="Z228" s="39"/>
      <c r="AA228" s="39"/>
      <c r="AB228" s="39"/>
      <c r="AC228" s="39"/>
      <c r="AD228" s="230"/>
      <c r="AE228" s="230"/>
      <c r="AF228" s="39"/>
      <c r="AG228" s="39"/>
      <c r="AH228" s="39"/>
      <c r="AI228" s="39"/>
    </row>
    <row r="229" spans="1:35" s="10" customFormat="1" x14ac:dyDescent="0.15">
      <c r="A229" s="39"/>
      <c r="B229" s="32"/>
      <c r="C229" s="32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45"/>
      <c r="Q229" s="45"/>
      <c r="R229" s="25"/>
      <c r="S229" s="25"/>
      <c r="T229" s="21"/>
      <c r="Z229" s="39"/>
      <c r="AA229" s="39"/>
      <c r="AB229" s="39"/>
      <c r="AC229" s="39"/>
      <c r="AD229" s="230"/>
      <c r="AE229" s="230"/>
      <c r="AF229" s="39"/>
      <c r="AG229" s="39"/>
      <c r="AH229" s="39"/>
      <c r="AI229" s="39"/>
    </row>
    <row r="230" spans="1:35" s="10" customFormat="1" x14ac:dyDescent="0.15">
      <c r="A230" s="39"/>
      <c r="B230" s="32"/>
      <c r="C230" s="32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45"/>
      <c r="Q230" s="45"/>
      <c r="R230" s="25"/>
      <c r="S230" s="25"/>
      <c r="T230" s="21"/>
      <c r="Z230" s="39"/>
      <c r="AA230" s="39"/>
      <c r="AB230" s="39"/>
      <c r="AC230" s="39"/>
      <c r="AD230" s="230"/>
      <c r="AE230" s="230"/>
      <c r="AF230" s="39"/>
      <c r="AG230" s="39"/>
      <c r="AH230" s="39"/>
      <c r="AI230" s="39"/>
    </row>
    <row r="231" spans="1:35" s="10" customFormat="1" x14ac:dyDescent="0.15">
      <c r="A231" s="39"/>
      <c r="B231" s="32"/>
      <c r="C231" s="32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45"/>
      <c r="Q231" s="45"/>
      <c r="R231" s="25"/>
      <c r="S231" s="25"/>
      <c r="T231" s="21"/>
      <c r="Z231" s="39"/>
      <c r="AA231" s="39"/>
      <c r="AB231" s="39"/>
      <c r="AC231" s="39"/>
      <c r="AD231" s="230"/>
      <c r="AE231" s="230"/>
      <c r="AF231" s="39"/>
      <c r="AG231" s="39"/>
      <c r="AH231" s="39"/>
      <c r="AI231" s="39"/>
    </row>
    <row r="232" spans="1:35" s="10" customFormat="1" x14ac:dyDescent="0.15">
      <c r="A232" s="39"/>
      <c r="B232" s="32"/>
      <c r="C232" s="32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45"/>
      <c r="Q232" s="45"/>
      <c r="R232" s="25"/>
      <c r="S232" s="25"/>
      <c r="T232" s="21"/>
      <c r="Z232" s="39"/>
      <c r="AA232" s="39"/>
      <c r="AB232" s="39"/>
      <c r="AC232" s="39"/>
      <c r="AD232" s="230"/>
      <c r="AE232" s="230"/>
      <c r="AF232" s="39"/>
      <c r="AG232" s="39"/>
      <c r="AH232" s="39"/>
      <c r="AI232" s="39"/>
    </row>
    <row r="233" spans="1:35" s="10" customFormat="1" x14ac:dyDescent="0.15">
      <c r="A233" s="39"/>
      <c r="B233" s="32"/>
      <c r="C233" s="32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45"/>
      <c r="Q233" s="45"/>
      <c r="R233" s="25"/>
      <c r="S233" s="25"/>
      <c r="T233" s="21"/>
      <c r="Z233" s="39"/>
      <c r="AA233" s="39"/>
      <c r="AB233" s="39"/>
      <c r="AC233" s="39"/>
      <c r="AD233" s="230"/>
      <c r="AE233" s="230"/>
      <c r="AF233" s="39"/>
      <c r="AG233" s="39"/>
      <c r="AH233" s="39"/>
      <c r="AI233" s="39"/>
    </row>
    <row r="234" spans="1:35" s="10" customFormat="1" x14ac:dyDescent="0.15">
      <c r="A234" s="39"/>
      <c r="B234" s="32"/>
      <c r="C234" s="32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45"/>
      <c r="Q234" s="45"/>
      <c r="R234" s="25"/>
      <c r="S234" s="25"/>
      <c r="T234" s="21"/>
      <c r="Z234" s="39"/>
      <c r="AA234" s="39"/>
      <c r="AB234" s="39"/>
      <c r="AC234" s="39"/>
      <c r="AD234" s="230"/>
      <c r="AE234" s="230"/>
      <c r="AF234" s="39"/>
      <c r="AG234" s="39"/>
      <c r="AH234" s="39"/>
      <c r="AI234" s="39"/>
    </row>
    <row r="235" spans="1:35" s="10" customFormat="1" x14ac:dyDescent="0.15">
      <c r="A235" s="39"/>
      <c r="B235" s="32"/>
      <c r="C235" s="32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45"/>
      <c r="Q235" s="45"/>
      <c r="R235" s="25"/>
      <c r="S235" s="25"/>
      <c r="T235" s="21"/>
      <c r="Z235" s="39"/>
      <c r="AA235" s="39"/>
      <c r="AB235" s="39"/>
      <c r="AC235" s="39"/>
      <c r="AD235" s="230"/>
      <c r="AE235" s="230"/>
      <c r="AF235" s="39"/>
      <c r="AG235" s="39"/>
      <c r="AH235" s="39"/>
      <c r="AI235" s="39"/>
    </row>
    <row r="236" spans="1:35" s="10" customFormat="1" x14ac:dyDescent="0.15">
      <c r="A236" s="39"/>
      <c r="B236" s="32"/>
      <c r="C236" s="32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45"/>
      <c r="Q236" s="45"/>
      <c r="R236" s="25"/>
      <c r="S236" s="25"/>
      <c r="T236" s="21"/>
      <c r="Z236" s="39"/>
      <c r="AA236" s="39"/>
      <c r="AB236" s="39"/>
      <c r="AC236" s="39"/>
      <c r="AD236" s="230"/>
      <c r="AE236" s="230"/>
      <c r="AF236" s="39"/>
      <c r="AG236" s="39"/>
      <c r="AH236" s="39"/>
      <c r="AI236" s="39"/>
    </row>
    <row r="237" spans="1:35" s="10" customFormat="1" x14ac:dyDescent="0.15">
      <c r="A237" s="39"/>
      <c r="B237" s="32"/>
      <c r="C237" s="32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45"/>
      <c r="Q237" s="45"/>
      <c r="R237" s="25"/>
      <c r="S237" s="25"/>
      <c r="T237" s="21"/>
      <c r="Z237" s="39"/>
      <c r="AA237" s="39"/>
      <c r="AB237" s="39"/>
      <c r="AC237" s="39"/>
      <c r="AD237" s="230"/>
      <c r="AE237" s="230"/>
      <c r="AF237" s="39"/>
      <c r="AG237" s="39"/>
      <c r="AH237" s="39"/>
      <c r="AI237" s="39"/>
    </row>
    <row r="238" spans="1:35" s="10" customFormat="1" x14ac:dyDescent="0.15">
      <c r="A238" s="39"/>
      <c r="B238" s="32"/>
      <c r="C238" s="32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45"/>
      <c r="Q238" s="45"/>
      <c r="R238" s="25"/>
      <c r="S238" s="25"/>
      <c r="T238" s="21"/>
      <c r="Z238" s="39"/>
      <c r="AA238" s="39"/>
      <c r="AB238" s="39"/>
      <c r="AC238" s="39"/>
      <c r="AD238" s="230"/>
      <c r="AE238" s="230"/>
      <c r="AF238" s="39"/>
      <c r="AG238" s="39"/>
      <c r="AH238" s="39"/>
      <c r="AI238" s="39"/>
    </row>
    <row r="239" spans="1:35" s="10" customFormat="1" x14ac:dyDescent="0.15">
      <c r="A239" s="39"/>
      <c r="B239" s="32"/>
      <c r="C239" s="32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45"/>
      <c r="Q239" s="45"/>
      <c r="R239" s="25"/>
      <c r="S239" s="25"/>
      <c r="T239" s="21"/>
      <c r="Z239" s="39"/>
      <c r="AA239" s="39"/>
      <c r="AB239" s="39"/>
      <c r="AC239" s="39"/>
      <c r="AD239" s="230"/>
      <c r="AE239" s="230"/>
      <c r="AF239" s="39"/>
      <c r="AG239" s="39"/>
      <c r="AH239" s="39"/>
      <c r="AI239" s="39"/>
    </row>
    <row r="240" spans="1:35" s="10" customFormat="1" x14ac:dyDescent="0.15">
      <c r="A240" s="39"/>
      <c r="B240" s="32"/>
      <c r="C240" s="32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45"/>
      <c r="Q240" s="45"/>
      <c r="R240" s="25"/>
      <c r="S240" s="25"/>
      <c r="T240" s="21"/>
      <c r="Z240" s="39"/>
      <c r="AA240" s="39"/>
      <c r="AB240" s="39"/>
      <c r="AC240" s="39"/>
      <c r="AD240" s="230"/>
      <c r="AE240" s="230"/>
      <c r="AF240" s="39"/>
      <c r="AG240" s="39"/>
      <c r="AH240" s="39"/>
      <c r="AI240" s="39"/>
    </row>
    <row r="241" spans="1:35" s="10" customFormat="1" x14ac:dyDescent="0.15">
      <c r="A241" s="39"/>
      <c r="B241" s="32"/>
      <c r="C241" s="32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45"/>
      <c r="Q241" s="45"/>
      <c r="R241" s="25"/>
      <c r="S241" s="25"/>
      <c r="T241" s="21"/>
      <c r="Z241" s="39"/>
      <c r="AA241" s="39"/>
      <c r="AB241" s="39"/>
      <c r="AC241" s="39"/>
      <c r="AD241" s="230"/>
      <c r="AE241" s="230"/>
      <c r="AF241" s="39"/>
      <c r="AG241" s="39"/>
      <c r="AH241" s="39"/>
      <c r="AI241" s="39"/>
    </row>
    <row r="242" spans="1:35" s="10" customFormat="1" x14ac:dyDescent="0.15">
      <c r="A242" s="39"/>
      <c r="B242" s="32"/>
      <c r="C242" s="32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45"/>
      <c r="Q242" s="45"/>
      <c r="R242" s="25"/>
      <c r="S242" s="25"/>
      <c r="T242" s="21"/>
      <c r="Z242" s="39"/>
      <c r="AA242" s="39"/>
      <c r="AB242" s="39"/>
      <c r="AC242" s="39"/>
      <c r="AD242" s="230"/>
      <c r="AE242" s="230"/>
      <c r="AF242" s="39"/>
      <c r="AG242" s="39"/>
      <c r="AH242" s="39"/>
      <c r="AI242" s="39"/>
    </row>
    <row r="243" spans="1:35" s="10" customFormat="1" x14ac:dyDescent="0.15">
      <c r="A243" s="39"/>
      <c r="B243" s="32"/>
      <c r="C243" s="32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45"/>
      <c r="Q243" s="45"/>
      <c r="R243" s="25"/>
      <c r="S243" s="25"/>
      <c r="T243" s="21"/>
      <c r="Z243" s="39"/>
      <c r="AA243" s="39"/>
      <c r="AB243" s="39"/>
      <c r="AC243" s="39"/>
      <c r="AD243" s="230"/>
      <c r="AE243" s="230"/>
      <c r="AF243" s="39"/>
      <c r="AG243" s="39"/>
      <c r="AH243" s="39"/>
      <c r="AI243" s="39"/>
    </row>
    <row r="244" spans="1:35" s="10" customFormat="1" x14ac:dyDescent="0.15">
      <c r="A244" s="39"/>
      <c r="B244" s="32"/>
      <c r="C244" s="32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45"/>
      <c r="Q244" s="45"/>
      <c r="R244" s="25"/>
      <c r="S244" s="25"/>
      <c r="T244" s="21"/>
      <c r="Z244" s="39"/>
      <c r="AA244" s="39"/>
      <c r="AB244" s="39"/>
      <c r="AC244" s="39"/>
      <c r="AD244" s="230"/>
      <c r="AE244" s="230"/>
      <c r="AF244" s="39"/>
      <c r="AG244" s="39"/>
      <c r="AH244" s="39"/>
      <c r="AI244" s="39"/>
    </row>
    <row r="245" spans="1:35" s="10" customFormat="1" x14ac:dyDescent="0.15">
      <c r="A245" s="39"/>
      <c r="B245" s="32"/>
      <c r="C245" s="32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45"/>
      <c r="Q245" s="45"/>
      <c r="R245" s="25"/>
      <c r="S245" s="25"/>
      <c r="T245" s="21"/>
      <c r="Z245" s="39"/>
      <c r="AA245" s="39"/>
      <c r="AB245" s="39"/>
      <c r="AC245" s="39"/>
      <c r="AD245" s="230"/>
      <c r="AE245" s="230"/>
      <c r="AF245" s="39"/>
      <c r="AG245" s="39"/>
      <c r="AH245" s="39"/>
      <c r="AI245" s="39"/>
    </row>
    <row r="246" spans="1:35" s="10" customFormat="1" x14ac:dyDescent="0.15">
      <c r="A246" s="39"/>
      <c r="B246" s="32"/>
      <c r="C246" s="32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45"/>
      <c r="Q246" s="45"/>
      <c r="R246" s="25"/>
      <c r="S246" s="25"/>
      <c r="T246" s="21"/>
      <c r="Z246" s="39"/>
      <c r="AA246" s="39"/>
      <c r="AB246" s="39"/>
      <c r="AC246" s="39"/>
      <c r="AD246" s="230"/>
      <c r="AE246" s="230"/>
      <c r="AF246" s="39"/>
      <c r="AG246" s="39"/>
      <c r="AH246" s="39"/>
      <c r="AI246" s="39"/>
    </row>
    <row r="247" spans="1:35" s="10" customFormat="1" x14ac:dyDescent="0.15">
      <c r="A247" s="39"/>
      <c r="B247" s="32"/>
      <c r="C247" s="32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45"/>
      <c r="Q247" s="45"/>
      <c r="R247" s="25"/>
      <c r="S247" s="25"/>
      <c r="T247" s="21"/>
      <c r="Z247" s="39"/>
      <c r="AA247" s="39"/>
      <c r="AB247" s="39"/>
      <c r="AC247" s="39"/>
      <c r="AD247" s="230"/>
      <c r="AE247" s="230"/>
      <c r="AF247" s="39"/>
      <c r="AG247" s="39"/>
      <c r="AH247" s="39"/>
      <c r="AI247" s="39"/>
    </row>
    <row r="248" spans="1:35" s="10" customFormat="1" x14ac:dyDescent="0.15">
      <c r="A248" s="39"/>
      <c r="B248" s="32"/>
      <c r="C248" s="32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45"/>
      <c r="Q248" s="45"/>
      <c r="R248" s="25"/>
      <c r="S248" s="25"/>
      <c r="T248" s="21"/>
      <c r="Z248" s="39"/>
      <c r="AA248" s="39"/>
      <c r="AB248" s="39"/>
      <c r="AC248" s="39"/>
      <c r="AD248" s="230"/>
      <c r="AE248" s="230"/>
      <c r="AF248" s="39"/>
      <c r="AG248" s="39"/>
      <c r="AH248" s="39"/>
      <c r="AI248" s="39"/>
    </row>
    <row r="249" spans="1:35" s="10" customFormat="1" x14ac:dyDescent="0.15">
      <c r="A249" s="39"/>
      <c r="B249" s="32"/>
      <c r="C249" s="32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45"/>
      <c r="Q249" s="45"/>
      <c r="R249" s="25"/>
      <c r="S249" s="25"/>
      <c r="T249" s="21"/>
      <c r="Z249" s="39"/>
      <c r="AA249" s="39"/>
      <c r="AB249" s="39"/>
      <c r="AC249" s="39"/>
      <c r="AD249" s="230"/>
      <c r="AE249" s="230"/>
      <c r="AF249" s="39"/>
      <c r="AG249" s="39"/>
      <c r="AH249" s="39"/>
      <c r="AI249" s="39"/>
    </row>
    <row r="250" spans="1:35" s="10" customFormat="1" x14ac:dyDescent="0.15">
      <c r="A250" s="39"/>
      <c r="B250" s="32"/>
      <c r="C250" s="32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45"/>
      <c r="Q250" s="45"/>
      <c r="R250" s="25"/>
      <c r="S250" s="25"/>
      <c r="T250" s="21"/>
      <c r="Z250" s="39"/>
      <c r="AA250" s="39"/>
      <c r="AB250" s="39"/>
      <c r="AC250" s="39"/>
      <c r="AD250" s="230"/>
      <c r="AE250" s="230"/>
      <c r="AF250" s="39"/>
      <c r="AG250" s="39"/>
      <c r="AH250" s="39"/>
      <c r="AI250" s="39"/>
    </row>
    <row r="251" spans="1:35" s="10" customFormat="1" x14ac:dyDescent="0.15">
      <c r="A251" s="39"/>
      <c r="B251" s="32"/>
      <c r="C251" s="32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45"/>
      <c r="Q251" s="45"/>
      <c r="R251" s="25"/>
      <c r="S251" s="25"/>
      <c r="T251" s="21"/>
      <c r="Z251" s="39"/>
      <c r="AA251" s="39"/>
      <c r="AB251" s="39"/>
      <c r="AC251" s="39"/>
      <c r="AD251" s="230"/>
      <c r="AE251" s="230"/>
      <c r="AF251" s="39"/>
      <c r="AG251" s="39"/>
      <c r="AH251" s="39"/>
      <c r="AI251" s="39"/>
    </row>
    <row r="252" spans="1:35" s="10" customFormat="1" x14ac:dyDescent="0.15">
      <c r="A252" s="39"/>
      <c r="B252" s="32"/>
      <c r="C252" s="32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45"/>
      <c r="Q252" s="45"/>
      <c r="R252" s="25"/>
      <c r="S252" s="25"/>
      <c r="T252" s="21"/>
      <c r="Z252" s="39"/>
      <c r="AA252" s="39"/>
      <c r="AB252" s="39"/>
      <c r="AC252" s="39"/>
      <c r="AD252" s="230"/>
      <c r="AE252" s="230"/>
      <c r="AF252" s="39"/>
      <c r="AG252" s="39"/>
      <c r="AH252" s="39"/>
      <c r="AI252" s="39"/>
    </row>
    <row r="253" spans="1:35" s="10" customFormat="1" x14ac:dyDescent="0.15">
      <c r="A253" s="39"/>
      <c r="B253" s="32"/>
      <c r="C253" s="32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45"/>
      <c r="Q253" s="45"/>
      <c r="R253" s="25"/>
      <c r="S253" s="25"/>
      <c r="T253" s="21"/>
      <c r="Z253" s="39"/>
      <c r="AA253" s="39"/>
      <c r="AB253" s="39"/>
      <c r="AC253" s="39"/>
      <c r="AD253" s="230"/>
      <c r="AE253" s="230"/>
      <c r="AF253" s="39"/>
      <c r="AG253" s="39"/>
      <c r="AH253" s="39"/>
      <c r="AI253" s="39"/>
    </row>
    <row r="254" spans="1:35" s="10" customFormat="1" x14ac:dyDescent="0.15">
      <c r="A254" s="39"/>
      <c r="B254" s="32"/>
      <c r="C254" s="32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45"/>
      <c r="Q254" s="45"/>
      <c r="R254" s="25"/>
      <c r="S254" s="25"/>
      <c r="T254" s="21"/>
      <c r="Z254" s="39"/>
      <c r="AA254" s="39"/>
      <c r="AB254" s="39"/>
      <c r="AC254" s="39"/>
      <c r="AD254" s="230"/>
      <c r="AE254" s="230"/>
      <c r="AF254" s="39"/>
      <c r="AG254" s="39"/>
      <c r="AH254" s="39"/>
      <c r="AI254" s="39"/>
    </row>
    <row r="255" spans="1:35" s="10" customFormat="1" x14ac:dyDescent="0.15">
      <c r="A255" s="39"/>
      <c r="B255" s="32"/>
      <c r="C255" s="32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45"/>
      <c r="Q255" s="45"/>
      <c r="R255" s="25"/>
      <c r="S255" s="25"/>
      <c r="T255" s="21"/>
      <c r="Z255" s="39"/>
      <c r="AA255" s="39"/>
      <c r="AB255" s="39"/>
      <c r="AC255" s="39"/>
      <c r="AD255" s="230"/>
      <c r="AE255" s="230"/>
      <c r="AF255" s="39"/>
      <c r="AG255" s="39"/>
      <c r="AH255" s="39"/>
      <c r="AI255" s="39"/>
    </row>
    <row r="256" spans="1:35" s="10" customFormat="1" x14ac:dyDescent="0.15">
      <c r="A256" s="39"/>
      <c r="B256" s="32"/>
      <c r="C256" s="32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45"/>
      <c r="Q256" s="45"/>
      <c r="R256" s="25"/>
      <c r="S256" s="25"/>
      <c r="T256" s="21"/>
      <c r="Z256" s="39"/>
      <c r="AA256" s="39"/>
      <c r="AB256" s="39"/>
      <c r="AC256" s="39"/>
      <c r="AD256" s="230"/>
      <c r="AE256" s="230"/>
      <c r="AF256" s="39"/>
      <c r="AG256" s="39"/>
      <c r="AH256" s="39"/>
      <c r="AI256" s="39"/>
    </row>
    <row r="257" spans="1:35" s="10" customFormat="1" x14ac:dyDescent="0.15">
      <c r="A257" s="39"/>
      <c r="B257" s="32"/>
      <c r="C257" s="32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45"/>
      <c r="Q257" s="45"/>
      <c r="R257" s="25"/>
      <c r="S257" s="25"/>
      <c r="T257" s="21"/>
      <c r="Z257" s="39"/>
      <c r="AA257" s="39"/>
      <c r="AB257" s="39"/>
      <c r="AC257" s="39"/>
      <c r="AD257" s="230"/>
      <c r="AE257" s="230"/>
      <c r="AF257" s="39"/>
      <c r="AG257" s="39"/>
      <c r="AH257" s="39"/>
      <c r="AI257" s="39"/>
    </row>
    <row r="258" spans="1:35" s="10" customFormat="1" x14ac:dyDescent="0.15">
      <c r="A258" s="39"/>
      <c r="B258" s="32"/>
      <c r="C258" s="32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45"/>
      <c r="Q258" s="45"/>
      <c r="R258" s="25"/>
      <c r="S258" s="25"/>
      <c r="T258" s="21"/>
      <c r="Z258" s="39"/>
      <c r="AA258" s="39"/>
      <c r="AB258" s="39"/>
      <c r="AC258" s="39"/>
      <c r="AD258" s="230"/>
      <c r="AE258" s="230"/>
      <c r="AF258" s="39"/>
      <c r="AG258" s="39"/>
      <c r="AH258" s="39"/>
      <c r="AI258" s="39"/>
    </row>
    <row r="259" spans="1:35" s="10" customFormat="1" x14ac:dyDescent="0.15">
      <c r="A259" s="39"/>
      <c r="B259" s="32"/>
      <c r="C259" s="32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45"/>
      <c r="Q259" s="45"/>
      <c r="R259" s="25"/>
      <c r="S259" s="25"/>
      <c r="T259" s="21"/>
      <c r="Z259" s="39"/>
      <c r="AA259" s="39"/>
      <c r="AB259" s="39"/>
      <c r="AC259" s="39"/>
      <c r="AD259" s="230"/>
      <c r="AE259" s="230"/>
      <c r="AF259" s="39"/>
      <c r="AG259" s="39"/>
      <c r="AH259" s="39"/>
      <c r="AI259" s="39"/>
    </row>
    <row r="260" spans="1:35" s="10" customFormat="1" x14ac:dyDescent="0.15">
      <c r="A260" s="39"/>
      <c r="B260" s="32"/>
      <c r="C260" s="32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45"/>
      <c r="Q260" s="45"/>
      <c r="R260" s="25"/>
      <c r="S260" s="25"/>
      <c r="T260" s="21"/>
      <c r="Z260" s="39"/>
      <c r="AA260" s="39"/>
      <c r="AB260" s="39"/>
      <c r="AC260" s="39"/>
      <c r="AD260" s="230"/>
      <c r="AE260" s="230"/>
      <c r="AF260" s="39"/>
      <c r="AG260" s="39"/>
      <c r="AH260" s="39"/>
      <c r="AI260" s="39"/>
    </row>
    <row r="261" spans="1:35" s="10" customFormat="1" x14ac:dyDescent="0.15">
      <c r="A261" s="39"/>
      <c r="B261" s="32"/>
      <c r="C261" s="32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45"/>
      <c r="Q261" s="45"/>
      <c r="R261" s="25"/>
      <c r="S261" s="25"/>
      <c r="T261" s="21"/>
      <c r="Z261" s="39"/>
      <c r="AA261" s="39"/>
      <c r="AB261" s="39"/>
      <c r="AC261" s="39"/>
      <c r="AD261" s="230"/>
      <c r="AE261" s="230"/>
      <c r="AF261" s="39"/>
      <c r="AG261" s="39"/>
      <c r="AH261" s="39"/>
      <c r="AI261" s="39"/>
    </row>
    <row r="262" spans="1:35" s="10" customFormat="1" x14ac:dyDescent="0.15">
      <c r="A262" s="39"/>
      <c r="B262" s="32"/>
      <c r="C262" s="32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45"/>
      <c r="Q262" s="45"/>
      <c r="R262" s="25"/>
      <c r="S262" s="25"/>
      <c r="T262" s="21"/>
      <c r="Z262" s="39"/>
      <c r="AA262" s="39"/>
      <c r="AB262" s="39"/>
      <c r="AC262" s="39"/>
      <c r="AD262" s="230"/>
      <c r="AE262" s="230"/>
      <c r="AF262" s="39"/>
      <c r="AG262" s="39"/>
      <c r="AH262" s="39"/>
      <c r="AI262" s="39"/>
    </row>
    <row r="263" spans="1:35" s="10" customFormat="1" x14ac:dyDescent="0.15">
      <c r="A263" s="39"/>
      <c r="B263" s="32"/>
      <c r="C263" s="32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45"/>
      <c r="Q263" s="45"/>
      <c r="R263" s="25"/>
      <c r="S263" s="25"/>
      <c r="T263" s="21"/>
      <c r="Z263" s="39"/>
      <c r="AA263" s="39"/>
      <c r="AB263" s="39"/>
      <c r="AC263" s="39"/>
      <c r="AD263" s="230"/>
      <c r="AE263" s="230"/>
      <c r="AF263" s="39"/>
      <c r="AG263" s="39"/>
      <c r="AH263" s="39"/>
      <c r="AI263" s="39"/>
    </row>
    <row r="264" spans="1:35" s="10" customFormat="1" x14ac:dyDescent="0.15">
      <c r="A264" s="39"/>
      <c r="B264" s="32"/>
      <c r="C264" s="32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45"/>
      <c r="Q264" s="45"/>
      <c r="R264" s="25"/>
      <c r="S264" s="25"/>
      <c r="T264" s="21"/>
      <c r="Z264" s="39"/>
      <c r="AA264" s="39"/>
      <c r="AB264" s="39"/>
      <c r="AC264" s="39"/>
      <c r="AD264" s="230"/>
      <c r="AE264" s="230"/>
      <c r="AF264" s="39"/>
      <c r="AG264" s="39"/>
      <c r="AH264" s="39"/>
      <c r="AI264" s="39"/>
    </row>
    <row r="265" spans="1:35" s="10" customFormat="1" x14ac:dyDescent="0.15">
      <c r="A265" s="39"/>
      <c r="B265" s="32"/>
      <c r="C265" s="32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45"/>
      <c r="Q265" s="45"/>
      <c r="R265" s="25"/>
      <c r="S265" s="25"/>
      <c r="T265" s="21"/>
      <c r="Z265" s="39"/>
      <c r="AA265" s="39"/>
      <c r="AB265" s="39"/>
      <c r="AC265" s="39"/>
      <c r="AD265" s="230"/>
      <c r="AE265" s="230"/>
      <c r="AF265" s="39"/>
      <c r="AG265" s="39"/>
      <c r="AH265" s="39"/>
      <c r="AI265" s="39"/>
    </row>
    <row r="266" spans="1:35" s="10" customFormat="1" x14ac:dyDescent="0.15">
      <c r="A266" s="39"/>
      <c r="B266" s="32"/>
      <c r="C266" s="32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45"/>
      <c r="Q266" s="45"/>
      <c r="R266" s="25"/>
      <c r="S266" s="25"/>
      <c r="T266" s="21"/>
      <c r="Z266" s="39"/>
      <c r="AA266" s="39"/>
      <c r="AB266" s="39"/>
      <c r="AC266" s="39"/>
      <c r="AD266" s="230"/>
      <c r="AE266" s="230"/>
      <c r="AF266" s="39"/>
      <c r="AG266" s="39"/>
      <c r="AH266" s="39"/>
      <c r="AI266" s="39"/>
    </row>
    <row r="267" spans="1:35" s="10" customFormat="1" x14ac:dyDescent="0.15">
      <c r="A267" s="39"/>
      <c r="B267" s="32"/>
      <c r="C267" s="32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45"/>
      <c r="Q267" s="45"/>
      <c r="R267" s="25"/>
      <c r="S267" s="25"/>
      <c r="T267" s="21"/>
      <c r="Z267" s="39"/>
      <c r="AA267" s="39"/>
      <c r="AB267" s="39"/>
      <c r="AC267" s="39"/>
      <c r="AD267" s="230"/>
      <c r="AE267" s="230"/>
      <c r="AF267" s="39"/>
      <c r="AG267" s="39"/>
      <c r="AH267" s="39"/>
      <c r="AI267" s="39"/>
    </row>
    <row r="268" spans="1:35" s="10" customFormat="1" x14ac:dyDescent="0.15">
      <c r="A268" s="39"/>
      <c r="B268" s="32"/>
      <c r="C268" s="32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45"/>
      <c r="Q268" s="45"/>
      <c r="R268" s="25"/>
      <c r="S268" s="25"/>
      <c r="T268" s="21"/>
      <c r="Z268" s="39"/>
      <c r="AA268" s="39"/>
      <c r="AB268" s="39"/>
      <c r="AC268" s="39"/>
      <c r="AD268" s="230"/>
      <c r="AE268" s="230"/>
      <c r="AF268" s="39"/>
      <c r="AG268" s="39"/>
      <c r="AH268" s="39"/>
      <c r="AI268" s="39"/>
    </row>
    <row r="269" spans="1:35" s="10" customFormat="1" x14ac:dyDescent="0.15">
      <c r="A269" s="39"/>
      <c r="B269" s="32"/>
      <c r="C269" s="32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45"/>
      <c r="Q269" s="45"/>
      <c r="R269" s="25"/>
      <c r="S269" s="25"/>
      <c r="T269" s="21"/>
      <c r="Z269" s="39"/>
      <c r="AA269" s="39"/>
      <c r="AB269" s="39"/>
      <c r="AC269" s="39"/>
      <c r="AD269" s="230"/>
      <c r="AE269" s="230"/>
      <c r="AF269" s="39"/>
      <c r="AG269" s="39"/>
      <c r="AH269" s="39"/>
      <c r="AI269" s="39"/>
    </row>
    <row r="270" spans="1:35" s="10" customFormat="1" x14ac:dyDescent="0.15">
      <c r="A270" s="39"/>
      <c r="B270" s="32"/>
      <c r="C270" s="32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45"/>
      <c r="Q270" s="45"/>
      <c r="R270" s="25"/>
      <c r="S270" s="25"/>
      <c r="T270" s="21"/>
      <c r="Z270" s="39"/>
      <c r="AA270" s="39"/>
      <c r="AB270" s="39"/>
      <c r="AC270" s="39"/>
      <c r="AD270" s="230"/>
      <c r="AE270" s="230"/>
      <c r="AF270" s="39"/>
      <c r="AG270" s="39"/>
      <c r="AH270" s="39"/>
      <c r="AI270" s="39"/>
    </row>
    <row r="271" spans="1:35" s="10" customFormat="1" x14ac:dyDescent="0.15">
      <c r="A271" s="39"/>
      <c r="B271" s="32"/>
      <c r="C271" s="32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45"/>
      <c r="Q271" s="45"/>
      <c r="R271" s="25"/>
      <c r="S271" s="25"/>
      <c r="T271" s="21"/>
      <c r="Z271" s="39"/>
      <c r="AA271" s="39"/>
      <c r="AB271" s="39"/>
      <c r="AC271" s="39"/>
      <c r="AD271" s="230"/>
      <c r="AE271" s="230"/>
      <c r="AF271" s="39"/>
      <c r="AG271" s="39"/>
      <c r="AH271" s="39"/>
      <c r="AI271" s="39"/>
    </row>
    <row r="272" spans="1:35" s="10" customFormat="1" x14ac:dyDescent="0.15">
      <c r="A272" s="39"/>
      <c r="B272" s="32"/>
      <c r="C272" s="32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45"/>
      <c r="Q272" s="45"/>
      <c r="R272" s="25"/>
      <c r="S272" s="25"/>
      <c r="T272" s="21"/>
      <c r="Z272" s="39"/>
      <c r="AA272" s="39"/>
      <c r="AB272" s="39"/>
      <c r="AC272" s="39"/>
      <c r="AD272" s="230"/>
      <c r="AE272" s="230"/>
      <c r="AF272" s="39"/>
      <c r="AG272" s="39"/>
      <c r="AH272" s="39"/>
      <c r="AI272" s="39"/>
    </row>
    <row r="273" spans="1:35" s="10" customFormat="1" x14ac:dyDescent="0.15">
      <c r="A273" s="39"/>
      <c r="B273" s="32"/>
      <c r="C273" s="32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45"/>
      <c r="Q273" s="45"/>
      <c r="R273" s="25"/>
      <c r="S273" s="25"/>
      <c r="T273" s="21"/>
      <c r="Z273" s="39"/>
      <c r="AA273" s="39"/>
      <c r="AB273" s="39"/>
      <c r="AC273" s="39"/>
      <c r="AD273" s="230"/>
      <c r="AE273" s="230"/>
      <c r="AF273" s="39"/>
      <c r="AG273" s="39"/>
      <c r="AH273" s="39"/>
      <c r="AI273" s="39"/>
    </row>
    <row r="274" spans="1:35" s="10" customFormat="1" x14ac:dyDescent="0.15">
      <c r="A274" s="39"/>
      <c r="B274" s="32"/>
      <c r="C274" s="32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45"/>
      <c r="Q274" s="45"/>
      <c r="R274" s="25"/>
      <c r="S274" s="25"/>
      <c r="T274" s="21"/>
      <c r="Z274" s="39"/>
      <c r="AA274" s="39"/>
      <c r="AB274" s="39"/>
      <c r="AC274" s="39"/>
      <c r="AD274" s="230"/>
      <c r="AE274" s="230"/>
      <c r="AF274" s="39"/>
      <c r="AG274" s="39"/>
      <c r="AH274" s="39"/>
      <c r="AI274" s="39"/>
    </row>
    <row r="275" spans="1:35" s="10" customFormat="1" x14ac:dyDescent="0.15">
      <c r="A275" s="39"/>
      <c r="B275" s="32"/>
      <c r="C275" s="32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45"/>
      <c r="Q275" s="45"/>
      <c r="R275" s="25"/>
      <c r="S275" s="25"/>
      <c r="T275" s="21"/>
      <c r="Z275" s="39"/>
      <c r="AA275" s="39"/>
      <c r="AB275" s="39"/>
      <c r="AC275" s="39"/>
      <c r="AD275" s="230"/>
      <c r="AE275" s="230"/>
      <c r="AF275" s="39"/>
      <c r="AG275" s="39"/>
      <c r="AH275" s="39"/>
      <c r="AI275" s="39"/>
    </row>
    <row r="276" spans="1:35" s="10" customFormat="1" x14ac:dyDescent="0.15">
      <c r="A276" s="39"/>
      <c r="B276" s="32"/>
      <c r="C276" s="32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45"/>
      <c r="Q276" s="45"/>
      <c r="R276" s="25"/>
      <c r="S276" s="25"/>
      <c r="T276" s="21"/>
      <c r="Z276" s="39"/>
      <c r="AA276" s="39"/>
      <c r="AB276" s="39"/>
      <c r="AC276" s="39"/>
      <c r="AD276" s="230"/>
      <c r="AE276" s="230"/>
      <c r="AF276" s="39"/>
      <c r="AG276" s="39"/>
      <c r="AH276" s="39"/>
      <c r="AI276" s="39"/>
    </row>
    <row r="277" spans="1:35" s="10" customFormat="1" x14ac:dyDescent="0.15">
      <c r="A277" s="39"/>
      <c r="B277" s="32"/>
      <c r="C277" s="32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45"/>
      <c r="Q277" s="45"/>
      <c r="R277" s="25"/>
      <c r="S277" s="25"/>
      <c r="T277" s="21"/>
      <c r="Z277" s="39"/>
      <c r="AA277" s="39"/>
      <c r="AB277" s="39"/>
      <c r="AC277" s="39"/>
      <c r="AD277" s="230"/>
      <c r="AE277" s="230"/>
      <c r="AF277" s="39"/>
      <c r="AG277" s="39"/>
      <c r="AH277" s="39"/>
      <c r="AI277" s="39"/>
    </row>
    <row r="278" spans="1:35" s="10" customFormat="1" x14ac:dyDescent="0.15">
      <c r="A278" s="39"/>
      <c r="B278" s="32"/>
      <c r="C278" s="32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45"/>
      <c r="Q278" s="45"/>
      <c r="R278" s="25"/>
      <c r="S278" s="25"/>
      <c r="T278" s="21"/>
      <c r="Z278" s="39"/>
      <c r="AA278" s="39"/>
      <c r="AB278" s="39"/>
      <c r="AC278" s="39"/>
      <c r="AD278" s="230"/>
      <c r="AE278" s="230"/>
      <c r="AF278" s="39"/>
      <c r="AG278" s="39"/>
      <c r="AH278" s="39"/>
      <c r="AI278" s="39"/>
    </row>
    <row r="279" spans="1:35" s="10" customFormat="1" x14ac:dyDescent="0.15">
      <c r="A279" s="39"/>
      <c r="B279" s="32"/>
      <c r="C279" s="32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45"/>
      <c r="Q279" s="45"/>
      <c r="R279" s="25"/>
      <c r="S279" s="25"/>
      <c r="T279" s="21"/>
      <c r="Z279" s="39"/>
      <c r="AA279" s="39"/>
      <c r="AB279" s="39"/>
      <c r="AC279" s="39"/>
      <c r="AD279" s="230"/>
      <c r="AE279" s="230"/>
      <c r="AF279" s="39"/>
      <c r="AG279" s="39"/>
      <c r="AH279" s="39"/>
      <c r="AI279" s="39"/>
    </row>
    <row r="280" spans="1:35" s="10" customFormat="1" x14ac:dyDescent="0.15">
      <c r="A280" s="39"/>
      <c r="B280" s="32"/>
      <c r="C280" s="32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45"/>
      <c r="Q280" s="45"/>
      <c r="R280" s="25"/>
      <c r="S280" s="25"/>
      <c r="T280" s="21"/>
      <c r="Z280" s="39"/>
      <c r="AA280" s="39"/>
      <c r="AB280" s="39"/>
      <c r="AC280" s="39"/>
      <c r="AD280" s="230"/>
      <c r="AE280" s="230"/>
      <c r="AF280" s="39"/>
      <c r="AG280" s="39"/>
      <c r="AH280" s="39"/>
      <c r="AI280" s="39"/>
    </row>
    <row r="281" spans="1:35" s="10" customFormat="1" x14ac:dyDescent="0.15">
      <c r="A281" s="39"/>
      <c r="B281" s="32"/>
      <c r="C281" s="32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45"/>
      <c r="Q281" s="45"/>
      <c r="R281" s="25"/>
      <c r="S281" s="25"/>
      <c r="T281" s="21"/>
      <c r="Z281" s="39"/>
      <c r="AA281" s="39"/>
      <c r="AB281" s="39"/>
      <c r="AC281" s="39"/>
      <c r="AD281" s="230"/>
      <c r="AE281" s="230"/>
      <c r="AF281" s="39"/>
      <c r="AG281" s="39"/>
      <c r="AH281" s="39"/>
      <c r="AI281" s="39"/>
    </row>
    <row r="282" spans="1:35" s="10" customFormat="1" x14ac:dyDescent="0.15">
      <c r="A282" s="39"/>
      <c r="B282" s="32"/>
      <c r="C282" s="32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45"/>
      <c r="Q282" s="45"/>
      <c r="R282" s="25"/>
      <c r="S282" s="25"/>
      <c r="T282" s="21"/>
      <c r="Z282" s="39"/>
      <c r="AA282" s="39"/>
      <c r="AB282" s="39"/>
      <c r="AC282" s="39"/>
      <c r="AD282" s="230"/>
      <c r="AE282" s="230"/>
      <c r="AF282" s="39"/>
      <c r="AG282" s="39"/>
      <c r="AH282" s="39"/>
      <c r="AI282" s="39"/>
    </row>
    <row r="283" spans="1:35" s="10" customFormat="1" x14ac:dyDescent="0.15">
      <c r="A283" s="39"/>
      <c r="B283" s="32"/>
      <c r="C283" s="32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45"/>
      <c r="Q283" s="45"/>
      <c r="R283" s="25"/>
      <c r="S283" s="25"/>
      <c r="T283" s="21"/>
      <c r="Z283" s="39"/>
      <c r="AA283" s="39"/>
      <c r="AB283" s="39"/>
      <c r="AC283" s="39"/>
      <c r="AD283" s="230"/>
      <c r="AE283" s="230"/>
      <c r="AF283" s="39"/>
      <c r="AG283" s="39"/>
      <c r="AH283" s="39"/>
      <c r="AI283" s="39"/>
    </row>
    <row r="284" spans="1:35" s="10" customFormat="1" x14ac:dyDescent="0.15">
      <c r="A284" s="39"/>
      <c r="B284" s="32"/>
      <c r="C284" s="32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45"/>
      <c r="Q284" s="45"/>
      <c r="R284" s="25"/>
      <c r="S284" s="25"/>
      <c r="T284" s="21"/>
      <c r="Z284" s="39"/>
      <c r="AA284" s="39"/>
      <c r="AB284" s="39"/>
      <c r="AC284" s="39"/>
      <c r="AD284" s="230"/>
      <c r="AE284" s="230"/>
      <c r="AF284" s="39"/>
      <c r="AG284" s="39"/>
      <c r="AH284" s="39"/>
      <c r="AI284" s="39"/>
    </row>
    <row r="285" spans="1:35" s="10" customFormat="1" x14ac:dyDescent="0.15">
      <c r="A285" s="39"/>
      <c r="B285" s="32"/>
      <c r="C285" s="32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45"/>
      <c r="Q285" s="45"/>
      <c r="R285" s="25"/>
      <c r="S285" s="25"/>
      <c r="T285" s="21"/>
      <c r="Z285" s="39"/>
      <c r="AA285" s="39"/>
      <c r="AB285" s="39"/>
      <c r="AC285" s="39"/>
      <c r="AD285" s="230"/>
      <c r="AE285" s="230"/>
      <c r="AF285" s="39"/>
      <c r="AG285" s="39"/>
      <c r="AH285" s="39"/>
      <c r="AI285" s="39"/>
    </row>
    <row r="286" spans="1:35" x14ac:dyDescent="0.15">
      <c r="B286" s="32"/>
      <c r="C286" s="32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45"/>
      <c r="Q286" s="45"/>
      <c r="R286" s="25"/>
      <c r="S286" s="25"/>
    </row>
    <row r="287" spans="1:35" x14ac:dyDescent="0.15">
      <c r="B287" s="32"/>
      <c r="C287" s="32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45"/>
      <c r="Q287" s="45"/>
      <c r="R287" s="25"/>
      <c r="S287" s="25"/>
    </row>
    <row r="288" spans="1:35" x14ac:dyDescent="0.15">
      <c r="B288" s="32"/>
      <c r="C288" s="32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45"/>
      <c r="Q288" s="45"/>
      <c r="R288" s="25"/>
      <c r="S288" s="25"/>
    </row>
    <row r="289" spans="2:31" x14ac:dyDescent="0.15">
      <c r="B289" s="32"/>
      <c r="C289" s="32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45"/>
      <c r="Q289" s="45"/>
      <c r="R289" s="25"/>
      <c r="S289" s="25"/>
    </row>
    <row r="290" spans="2:31" x14ac:dyDescent="0.15">
      <c r="B290" s="32"/>
      <c r="C290" s="32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45"/>
      <c r="Q290" s="45"/>
      <c r="R290" s="25"/>
      <c r="S290" s="25"/>
    </row>
    <row r="291" spans="2:31" x14ac:dyDescent="0.15">
      <c r="B291" s="32"/>
      <c r="C291" s="32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45"/>
      <c r="Q291" s="45"/>
      <c r="R291" s="25"/>
      <c r="S291" s="25"/>
    </row>
    <row r="292" spans="2:31" x14ac:dyDescent="0.15">
      <c r="B292" s="32"/>
      <c r="C292" s="32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R292" s="25"/>
      <c r="S292" s="25"/>
    </row>
    <row r="293" spans="2:31" x14ac:dyDescent="0.15">
      <c r="B293" s="32"/>
      <c r="C293" s="32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R293" s="25"/>
      <c r="S293" s="25"/>
    </row>
    <row r="294" spans="2:31" x14ac:dyDescent="0.15">
      <c r="B294" s="32"/>
      <c r="C294" s="32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R294" s="25"/>
      <c r="S294" s="25"/>
    </row>
    <row r="295" spans="2:31" x14ac:dyDescent="0.15">
      <c r="B295" s="32"/>
      <c r="C295" s="32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R295" s="25"/>
      <c r="S295" s="25"/>
    </row>
    <row r="296" spans="2:31" x14ac:dyDescent="0.15">
      <c r="B296" s="32"/>
      <c r="C296" s="32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R296" s="25"/>
      <c r="S296" s="25"/>
    </row>
    <row r="297" spans="2:31" x14ac:dyDescent="0.15">
      <c r="B297" s="32"/>
      <c r="C297" s="32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R297" s="25"/>
      <c r="S297" s="25"/>
      <c r="Z297" s="50"/>
    </row>
    <row r="298" spans="2:31" x14ac:dyDescent="0.15">
      <c r="B298" s="32"/>
      <c r="C298" s="32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R298" s="25"/>
      <c r="S298" s="25"/>
      <c r="Z298" s="50"/>
    </row>
    <row r="299" spans="2:31" x14ac:dyDescent="0.15">
      <c r="B299" s="32"/>
      <c r="C299" s="32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R299" s="25"/>
      <c r="S299" s="25"/>
      <c r="Z299" s="50"/>
    </row>
    <row r="300" spans="2:31" x14ac:dyDescent="0.15">
      <c r="B300" s="32"/>
      <c r="C300" s="32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R300" s="25"/>
      <c r="S300" s="25"/>
      <c r="Z300" s="50"/>
    </row>
    <row r="301" spans="2:31" s="50" customFormat="1" x14ac:dyDescent="0.15">
      <c r="B301" s="32"/>
      <c r="C301" s="32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R301" s="25"/>
      <c r="S301" s="25"/>
      <c r="T301" s="21"/>
      <c r="U301" s="10"/>
      <c r="V301" s="10"/>
      <c r="W301" s="10"/>
      <c r="X301" s="10"/>
      <c r="Y301" s="10"/>
      <c r="AD301" s="230"/>
      <c r="AE301" s="230"/>
    </row>
    <row r="302" spans="2:31" s="50" customFormat="1" x14ac:dyDescent="0.15">
      <c r="B302" s="32"/>
      <c r="C302" s="32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R302" s="25"/>
      <c r="S302" s="25"/>
      <c r="T302" s="21"/>
      <c r="U302" s="10"/>
      <c r="V302" s="10"/>
      <c r="W302" s="10"/>
      <c r="X302" s="10"/>
      <c r="Y302" s="10"/>
      <c r="AD302" s="230"/>
      <c r="AE302" s="230"/>
    </row>
    <row r="303" spans="2:31" s="50" customFormat="1" x14ac:dyDescent="0.15">
      <c r="B303" s="32"/>
      <c r="C303" s="32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R303" s="25"/>
      <c r="S303" s="25"/>
      <c r="T303" s="21"/>
      <c r="U303" s="10"/>
      <c r="V303" s="10"/>
      <c r="W303" s="10"/>
      <c r="X303" s="10"/>
      <c r="Y303" s="10"/>
      <c r="AD303" s="230"/>
      <c r="AE303" s="230"/>
    </row>
    <row r="304" spans="2:31" s="50" customFormat="1" x14ac:dyDescent="0.15">
      <c r="B304" s="32"/>
      <c r="C304" s="32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R304" s="25"/>
      <c r="S304" s="25"/>
      <c r="T304" s="21"/>
      <c r="U304" s="10"/>
      <c r="V304" s="10"/>
      <c r="W304" s="10"/>
      <c r="X304" s="10"/>
      <c r="Y304" s="10"/>
      <c r="AD304" s="230"/>
      <c r="AE304" s="230"/>
    </row>
    <row r="305" spans="2:31" s="50" customFormat="1" x14ac:dyDescent="0.15">
      <c r="B305" s="32"/>
      <c r="C305" s="32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R305" s="25"/>
      <c r="S305" s="25"/>
      <c r="T305" s="21"/>
      <c r="U305" s="10"/>
      <c r="V305" s="10"/>
      <c r="W305" s="10"/>
      <c r="X305" s="10"/>
      <c r="Y305" s="10"/>
      <c r="AD305" s="247"/>
      <c r="AE305" s="247"/>
    </row>
    <row r="306" spans="2:31" s="50" customFormat="1" x14ac:dyDescent="0.15">
      <c r="B306" s="32"/>
      <c r="C306" s="32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R306" s="25"/>
      <c r="S306" s="25"/>
      <c r="T306" s="21"/>
      <c r="U306" s="10"/>
      <c r="V306" s="10"/>
      <c r="W306" s="10"/>
      <c r="X306" s="10"/>
      <c r="Y306" s="10"/>
      <c r="AD306" s="247"/>
      <c r="AE306" s="247"/>
    </row>
    <row r="307" spans="2:31" s="50" customFormat="1" x14ac:dyDescent="0.15">
      <c r="B307" s="32"/>
      <c r="C307" s="32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R307" s="25"/>
      <c r="S307" s="25"/>
      <c r="T307" s="21"/>
      <c r="U307" s="10"/>
      <c r="V307" s="10"/>
      <c r="W307" s="10"/>
      <c r="X307" s="10"/>
      <c r="Y307" s="10"/>
      <c r="AD307" s="247"/>
      <c r="AE307" s="247"/>
    </row>
    <row r="308" spans="2:31" s="50" customFormat="1" x14ac:dyDescent="0.15">
      <c r="B308" s="32"/>
      <c r="C308" s="32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R308" s="25"/>
      <c r="S308" s="25"/>
      <c r="T308" s="21"/>
      <c r="U308" s="10"/>
      <c r="V308" s="10"/>
      <c r="W308" s="10"/>
      <c r="X308" s="10"/>
      <c r="Y308" s="10"/>
      <c r="AD308" s="247"/>
      <c r="AE308" s="247"/>
    </row>
    <row r="309" spans="2:31" s="50" customFormat="1" x14ac:dyDescent="0.15">
      <c r="B309" s="32"/>
      <c r="C309" s="32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R309" s="25"/>
      <c r="S309" s="25"/>
      <c r="T309" s="21"/>
      <c r="U309" s="10"/>
      <c r="V309" s="10"/>
      <c r="W309" s="10"/>
      <c r="X309" s="10"/>
      <c r="Y309" s="10"/>
      <c r="AD309" s="247"/>
      <c r="AE309" s="247"/>
    </row>
    <row r="310" spans="2:31" s="50" customFormat="1" x14ac:dyDescent="0.15">
      <c r="B310" s="32"/>
      <c r="C310" s="32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R310" s="25"/>
      <c r="S310" s="25"/>
      <c r="T310" s="21"/>
      <c r="U310" s="10"/>
      <c r="V310" s="10"/>
      <c r="W310" s="10"/>
      <c r="X310" s="10"/>
      <c r="Y310" s="10"/>
      <c r="AD310" s="247"/>
      <c r="AE310" s="247"/>
    </row>
    <row r="311" spans="2:31" s="50" customFormat="1" x14ac:dyDescent="0.15">
      <c r="B311" s="32"/>
      <c r="C311" s="32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R311" s="25"/>
      <c r="S311" s="25"/>
      <c r="T311" s="21"/>
      <c r="U311" s="10"/>
      <c r="V311" s="10"/>
      <c r="W311" s="10"/>
      <c r="X311" s="10"/>
      <c r="Y311" s="10"/>
      <c r="AD311" s="247"/>
      <c r="AE311" s="247"/>
    </row>
    <row r="312" spans="2:31" s="50" customFormat="1" x14ac:dyDescent="0.15">
      <c r="B312" s="32"/>
      <c r="C312" s="32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R312" s="25"/>
      <c r="S312" s="25"/>
      <c r="T312" s="21"/>
      <c r="U312" s="10"/>
      <c r="V312" s="10"/>
      <c r="W312" s="10"/>
      <c r="X312" s="10"/>
      <c r="Y312" s="10"/>
      <c r="AD312" s="247"/>
      <c r="AE312" s="247"/>
    </row>
    <row r="313" spans="2:31" s="50" customFormat="1" x14ac:dyDescent="0.15">
      <c r="B313" s="32"/>
      <c r="C313" s="32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R313" s="25"/>
      <c r="S313" s="25"/>
      <c r="T313" s="21"/>
      <c r="U313" s="10"/>
      <c r="V313" s="10"/>
      <c r="W313" s="10"/>
      <c r="X313" s="10"/>
      <c r="Y313" s="10"/>
      <c r="AD313" s="247"/>
      <c r="AE313" s="247"/>
    </row>
    <row r="314" spans="2:31" s="50" customFormat="1" x14ac:dyDescent="0.15">
      <c r="B314" s="32"/>
      <c r="C314" s="32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R314" s="25"/>
      <c r="S314" s="25"/>
      <c r="T314" s="21"/>
      <c r="U314" s="10"/>
      <c r="V314" s="10"/>
      <c r="W314" s="10"/>
      <c r="X314" s="10"/>
      <c r="Y314" s="10"/>
      <c r="AD314" s="247"/>
      <c r="AE314" s="247"/>
    </row>
    <row r="315" spans="2:31" s="50" customFormat="1" x14ac:dyDescent="0.15">
      <c r="B315" s="32"/>
      <c r="C315" s="32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R315" s="25"/>
      <c r="S315" s="25"/>
      <c r="T315" s="21"/>
      <c r="U315" s="10"/>
      <c r="V315" s="10"/>
      <c r="W315" s="10"/>
      <c r="X315" s="10"/>
      <c r="Y315" s="10"/>
      <c r="AD315" s="247"/>
      <c r="AE315" s="247"/>
    </row>
    <row r="316" spans="2:31" s="50" customFormat="1" x14ac:dyDescent="0.15">
      <c r="B316" s="32"/>
      <c r="C316" s="32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R316" s="25"/>
      <c r="S316" s="25"/>
      <c r="T316" s="21"/>
      <c r="U316" s="10"/>
      <c r="V316" s="10"/>
      <c r="W316" s="10"/>
      <c r="X316" s="10"/>
      <c r="Y316" s="10"/>
      <c r="AD316" s="247"/>
      <c r="AE316" s="247"/>
    </row>
    <row r="317" spans="2:31" s="50" customFormat="1" x14ac:dyDescent="0.15">
      <c r="B317" s="32"/>
      <c r="C317" s="32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R317" s="25"/>
      <c r="S317" s="25"/>
      <c r="T317" s="21"/>
      <c r="U317" s="10"/>
      <c r="V317" s="10"/>
      <c r="W317" s="10"/>
      <c r="X317" s="10"/>
      <c r="Y317" s="10"/>
      <c r="AD317" s="247"/>
      <c r="AE317" s="247"/>
    </row>
    <row r="318" spans="2:31" s="50" customFormat="1" x14ac:dyDescent="0.15">
      <c r="B318" s="32"/>
      <c r="C318" s="32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R318" s="25"/>
      <c r="S318" s="25"/>
      <c r="T318" s="21"/>
      <c r="U318" s="10"/>
      <c r="V318" s="10"/>
      <c r="W318" s="10"/>
      <c r="X318" s="10"/>
      <c r="Y318" s="10"/>
      <c r="AD318" s="247"/>
      <c r="AE318" s="247"/>
    </row>
    <row r="319" spans="2:31" s="50" customFormat="1" x14ac:dyDescent="0.15">
      <c r="B319" s="32"/>
      <c r="C319" s="32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R319" s="25"/>
      <c r="S319" s="25"/>
      <c r="T319" s="21"/>
      <c r="U319" s="10"/>
      <c r="V319" s="10"/>
      <c r="W319" s="10"/>
      <c r="X319" s="10"/>
      <c r="Y319" s="10"/>
      <c r="AD319" s="247"/>
      <c r="AE319" s="247"/>
    </row>
    <row r="320" spans="2:31" s="50" customFormat="1" x14ac:dyDescent="0.15">
      <c r="B320" s="32"/>
      <c r="C320" s="32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R320" s="26"/>
      <c r="S320" s="26"/>
      <c r="T320" s="21"/>
      <c r="U320" s="10"/>
      <c r="V320" s="10"/>
      <c r="W320" s="10"/>
      <c r="X320" s="10"/>
      <c r="Y320" s="10"/>
      <c r="AD320" s="247"/>
      <c r="AE320" s="247"/>
    </row>
    <row r="321" spans="2:31" s="50" customFormat="1" x14ac:dyDescent="0.15">
      <c r="B321" s="32"/>
      <c r="C321" s="32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R321" s="26"/>
      <c r="S321" s="26"/>
      <c r="T321" s="21"/>
      <c r="U321" s="10"/>
      <c r="V321" s="10"/>
      <c r="W321" s="10"/>
      <c r="X321" s="10"/>
      <c r="Y321" s="10"/>
      <c r="AD321" s="247"/>
      <c r="AE321" s="247"/>
    </row>
    <row r="322" spans="2:31" s="50" customFormat="1" x14ac:dyDescent="0.15">
      <c r="B322" s="32"/>
      <c r="C322" s="32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R322" s="26"/>
      <c r="S322" s="26"/>
      <c r="T322" s="21"/>
      <c r="U322" s="10"/>
      <c r="V322" s="10"/>
      <c r="W322" s="10"/>
      <c r="X322" s="10"/>
      <c r="Y322" s="10"/>
      <c r="AD322" s="247"/>
      <c r="AE322" s="247"/>
    </row>
    <row r="323" spans="2:31" s="50" customFormat="1" x14ac:dyDescent="0.15">
      <c r="B323" s="32"/>
      <c r="C323" s="32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R323" s="26"/>
      <c r="S323" s="26"/>
      <c r="T323" s="21"/>
      <c r="U323" s="10"/>
      <c r="V323" s="10"/>
      <c r="W323" s="10"/>
      <c r="X323" s="10"/>
      <c r="Y323" s="10"/>
      <c r="AD323" s="247"/>
      <c r="AE323" s="247"/>
    </row>
    <row r="324" spans="2:31" s="50" customFormat="1" x14ac:dyDescent="0.15">
      <c r="B324" s="32"/>
      <c r="C324" s="32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R324" s="26"/>
      <c r="S324" s="26"/>
      <c r="T324" s="21"/>
      <c r="U324" s="10"/>
      <c r="V324" s="10"/>
      <c r="W324" s="10"/>
      <c r="X324" s="10"/>
      <c r="Y324" s="10"/>
      <c r="AD324" s="247"/>
      <c r="AE324" s="247"/>
    </row>
    <row r="325" spans="2:31" s="50" customFormat="1" x14ac:dyDescent="0.15">
      <c r="B325" s="32"/>
      <c r="C325" s="32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R325" s="26"/>
      <c r="S325" s="26"/>
      <c r="T325" s="21"/>
      <c r="U325" s="10"/>
      <c r="V325" s="10"/>
      <c r="W325" s="10"/>
      <c r="X325" s="10"/>
      <c r="Y325" s="10"/>
      <c r="AD325" s="247"/>
      <c r="AE325" s="247"/>
    </row>
    <row r="326" spans="2:31" s="50" customFormat="1" x14ac:dyDescent="0.15">
      <c r="B326" s="32"/>
      <c r="C326" s="32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R326" s="26"/>
      <c r="S326" s="26"/>
      <c r="T326" s="21"/>
      <c r="U326" s="10"/>
      <c r="V326" s="20"/>
      <c r="W326" s="20"/>
      <c r="X326" s="20"/>
      <c r="Y326" s="20"/>
      <c r="AD326" s="247"/>
      <c r="AE326" s="247"/>
    </row>
    <row r="327" spans="2:31" s="50" customFormat="1" x14ac:dyDescent="0.15">
      <c r="B327" s="32"/>
      <c r="C327" s="32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R327" s="26"/>
      <c r="S327" s="26"/>
      <c r="T327" s="21"/>
      <c r="U327" s="10"/>
      <c r="V327" s="20"/>
      <c r="W327" s="20"/>
      <c r="X327" s="20"/>
      <c r="Y327" s="20"/>
      <c r="AD327" s="247"/>
      <c r="AE327" s="247"/>
    </row>
    <row r="328" spans="2:31" s="50" customFormat="1" x14ac:dyDescent="0.15">
      <c r="B328" s="32"/>
      <c r="C328" s="32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R328" s="26"/>
      <c r="S328" s="26"/>
      <c r="T328" s="21"/>
      <c r="U328" s="10"/>
      <c r="V328" s="20"/>
      <c r="W328" s="20"/>
      <c r="X328" s="20"/>
      <c r="Y328" s="20"/>
      <c r="AD328" s="247"/>
      <c r="AE328" s="247"/>
    </row>
    <row r="329" spans="2:31" s="50" customFormat="1" x14ac:dyDescent="0.15">
      <c r="B329" s="32"/>
      <c r="C329" s="32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R329" s="26"/>
      <c r="S329" s="26"/>
      <c r="T329" s="21"/>
      <c r="U329" s="20"/>
      <c r="V329" s="20"/>
      <c r="W329" s="20"/>
      <c r="X329" s="20"/>
      <c r="Y329" s="20"/>
      <c r="AD329" s="247"/>
      <c r="AE329" s="247"/>
    </row>
    <row r="330" spans="2:31" s="50" customFormat="1" x14ac:dyDescent="0.15">
      <c r="B330" s="32"/>
      <c r="C330" s="32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R330" s="26"/>
      <c r="S330" s="26"/>
      <c r="T330" s="21"/>
      <c r="U330" s="20"/>
      <c r="V330" s="20"/>
      <c r="W330" s="20"/>
      <c r="X330" s="20"/>
      <c r="Y330" s="20"/>
      <c r="AD330" s="247"/>
      <c r="AE330" s="247"/>
    </row>
    <row r="331" spans="2:31" s="50" customFormat="1" x14ac:dyDescent="0.15">
      <c r="B331" s="32"/>
      <c r="C331" s="32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R331" s="26"/>
      <c r="S331" s="26"/>
      <c r="T331" s="21"/>
      <c r="U331" s="20"/>
      <c r="V331" s="20"/>
      <c r="W331" s="20"/>
      <c r="X331" s="20"/>
      <c r="Y331" s="20"/>
      <c r="AD331" s="247"/>
      <c r="AE331" s="247"/>
    </row>
    <row r="332" spans="2:31" s="50" customFormat="1" x14ac:dyDescent="0.15">
      <c r="B332" s="32"/>
      <c r="C332" s="32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R332" s="26"/>
      <c r="S332" s="26"/>
      <c r="T332" s="21"/>
      <c r="U332" s="20"/>
      <c r="V332" s="20"/>
      <c r="W332" s="20"/>
      <c r="X332" s="20"/>
      <c r="Y332" s="20"/>
      <c r="AD332" s="247"/>
      <c r="AE332" s="247"/>
    </row>
    <row r="333" spans="2:31" s="50" customFormat="1" x14ac:dyDescent="0.15">
      <c r="B333" s="32"/>
      <c r="C333" s="32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R333" s="26"/>
      <c r="S333" s="26"/>
      <c r="T333" s="21"/>
      <c r="U333" s="20"/>
      <c r="V333" s="20"/>
      <c r="W333" s="20"/>
      <c r="X333" s="20"/>
      <c r="Y333" s="20"/>
      <c r="AD333" s="247"/>
      <c r="AE333" s="247"/>
    </row>
    <row r="334" spans="2:31" s="50" customFormat="1" x14ac:dyDescent="0.15">
      <c r="B334" s="32"/>
      <c r="C334" s="32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R334" s="26"/>
      <c r="S334" s="26"/>
      <c r="T334" s="21"/>
      <c r="U334" s="20"/>
      <c r="V334" s="20"/>
      <c r="W334" s="20"/>
      <c r="X334" s="20"/>
      <c r="Y334" s="20"/>
      <c r="AD334" s="247"/>
      <c r="AE334" s="247"/>
    </row>
    <row r="335" spans="2:31" s="50" customFormat="1" x14ac:dyDescent="0.15">
      <c r="B335" s="32"/>
      <c r="C335" s="32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R335" s="26"/>
      <c r="S335" s="26"/>
      <c r="T335" s="21"/>
      <c r="U335" s="20"/>
      <c r="V335" s="20"/>
      <c r="W335" s="20"/>
      <c r="X335" s="20"/>
      <c r="Y335" s="20"/>
      <c r="AD335" s="247"/>
      <c r="AE335" s="247"/>
    </row>
    <row r="336" spans="2:31" s="50" customFormat="1" x14ac:dyDescent="0.15">
      <c r="B336" s="32"/>
      <c r="C336" s="32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R336" s="26"/>
      <c r="S336" s="26"/>
      <c r="T336" s="21"/>
      <c r="U336" s="20"/>
      <c r="V336" s="20"/>
      <c r="W336" s="20"/>
      <c r="X336" s="20"/>
      <c r="Y336" s="20"/>
      <c r="AD336" s="247"/>
      <c r="AE336" s="247"/>
    </row>
    <row r="337" spans="2:31" s="50" customFormat="1" x14ac:dyDescent="0.15">
      <c r="B337" s="32"/>
      <c r="C337" s="32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R337" s="26"/>
      <c r="S337" s="26"/>
      <c r="T337" s="21"/>
      <c r="U337" s="20"/>
      <c r="V337" s="20"/>
      <c r="W337" s="20"/>
      <c r="X337" s="20"/>
      <c r="Y337" s="20"/>
      <c r="AD337" s="247"/>
      <c r="AE337" s="247"/>
    </row>
    <row r="338" spans="2:31" s="50" customFormat="1" x14ac:dyDescent="0.15">
      <c r="B338" s="32"/>
      <c r="C338" s="32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R338" s="26"/>
      <c r="S338" s="26"/>
      <c r="T338" s="21"/>
      <c r="U338" s="20"/>
      <c r="V338" s="20"/>
      <c r="W338" s="20"/>
      <c r="X338" s="20"/>
      <c r="Y338" s="20"/>
      <c r="AD338" s="247"/>
      <c r="AE338" s="247"/>
    </row>
    <row r="339" spans="2:31" s="50" customFormat="1" x14ac:dyDescent="0.15">
      <c r="B339" s="32"/>
      <c r="C339" s="32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R339" s="26"/>
      <c r="S339" s="26"/>
      <c r="T339" s="21"/>
      <c r="U339" s="20"/>
      <c r="V339" s="20"/>
      <c r="W339" s="20"/>
      <c r="X339" s="20"/>
      <c r="Y339" s="20"/>
      <c r="AD339" s="247"/>
      <c r="AE339" s="247"/>
    </row>
    <row r="340" spans="2:31" s="50" customFormat="1" x14ac:dyDescent="0.15">
      <c r="B340" s="32"/>
      <c r="C340" s="32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R340" s="26"/>
      <c r="S340" s="26"/>
      <c r="T340" s="21"/>
      <c r="U340" s="20"/>
      <c r="V340" s="20"/>
      <c r="W340" s="20"/>
      <c r="X340" s="20"/>
      <c r="Y340" s="20"/>
      <c r="AD340" s="247"/>
      <c r="AE340" s="247"/>
    </row>
    <row r="341" spans="2:31" s="50" customFormat="1" x14ac:dyDescent="0.15">
      <c r="B341" s="32"/>
      <c r="C341" s="32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R341" s="26"/>
      <c r="S341" s="26"/>
      <c r="T341" s="21"/>
      <c r="U341" s="20"/>
      <c r="V341" s="20"/>
      <c r="W341" s="20"/>
      <c r="X341" s="20"/>
      <c r="Y341" s="20"/>
      <c r="AD341" s="247"/>
      <c r="AE341" s="247"/>
    </row>
    <row r="342" spans="2:31" s="50" customFormat="1" x14ac:dyDescent="0.15">
      <c r="B342" s="32"/>
      <c r="C342" s="32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R342" s="26"/>
      <c r="S342" s="26"/>
      <c r="T342" s="21"/>
      <c r="U342" s="20"/>
      <c r="V342" s="20"/>
      <c r="W342" s="20"/>
      <c r="X342" s="20"/>
      <c r="Y342" s="20"/>
      <c r="AD342" s="247"/>
      <c r="AE342" s="247"/>
    </row>
    <row r="343" spans="2:31" s="50" customFormat="1" x14ac:dyDescent="0.15">
      <c r="B343" s="32"/>
      <c r="C343" s="32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R343" s="26"/>
      <c r="S343" s="26"/>
      <c r="T343" s="21"/>
      <c r="U343" s="20"/>
      <c r="V343" s="20"/>
      <c r="W343" s="20"/>
      <c r="X343" s="20"/>
      <c r="Y343" s="20"/>
      <c r="AD343" s="247"/>
      <c r="AE343" s="247"/>
    </row>
    <row r="344" spans="2:31" s="50" customFormat="1" x14ac:dyDescent="0.15">
      <c r="B344" s="32"/>
      <c r="C344" s="32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R344" s="26"/>
      <c r="S344" s="26"/>
      <c r="T344" s="21"/>
      <c r="U344" s="20"/>
      <c r="V344" s="20"/>
      <c r="W344" s="20"/>
      <c r="X344" s="20"/>
      <c r="Y344" s="20"/>
      <c r="AD344" s="247"/>
      <c r="AE344" s="247"/>
    </row>
    <row r="345" spans="2:31" s="50" customFormat="1" x14ac:dyDescent="0.15">
      <c r="B345" s="32"/>
      <c r="C345" s="32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R345" s="26"/>
      <c r="S345" s="26"/>
      <c r="T345" s="21"/>
      <c r="U345" s="20"/>
      <c r="V345" s="20"/>
      <c r="W345" s="20"/>
      <c r="X345" s="20"/>
      <c r="Y345" s="20"/>
      <c r="AD345" s="247"/>
      <c r="AE345" s="247"/>
    </row>
    <row r="346" spans="2:31" s="50" customFormat="1" x14ac:dyDescent="0.15">
      <c r="B346" s="32"/>
      <c r="C346" s="32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R346" s="26"/>
      <c r="S346" s="26"/>
      <c r="T346" s="21"/>
      <c r="U346" s="20"/>
      <c r="V346" s="20"/>
      <c r="W346" s="20"/>
      <c r="X346" s="20"/>
      <c r="Y346" s="20"/>
      <c r="AD346" s="247"/>
      <c r="AE346" s="247"/>
    </row>
    <row r="347" spans="2:31" s="50" customFormat="1" x14ac:dyDescent="0.15">
      <c r="B347" s="32"/>
      <c r="C347" s="32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R347" s="26"/>
      <c r="S347" s="26"/>
      <c r="T347" s="21"/>
      <c r="U347" s="20"/>
      <c r="V347" s="20"/>
      <c r="W347" s="20"/>
      <c r="X347" s="20"/>
      <c r="Y347" s="20"/>
      <c r="AD347" s="247"/>
      <c r="AE347" s="247"/>
    </row>
    <row r="348" spans="2:31" s="50" customFormat="1" x14ac:dyDescent="0.15">
      <c r="B348" s="32"/>
      <c r="C348" s="32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R348" s="26"/>
      <c r="S348" s="26"/>
      <c r="T348" s="21"/>
      <c r="U348" s="20"/>
      <c r="V348" s="20"/>
      <c r="W348" s="20"/>
      <c r="X348" s="20"/>
      <c r="Y348" s="20"/>
      <c r="AD348" s="247"/>
      <c r="AE348" s="247"/>
    </row>
    <row r="349" spans="2:31" s="50" customFormat="1" x14ac:dyDescent="0.15">
      <c r="B349" s="32"/>
      <c r="C349" s="32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R349" s="26"/>
      <c r="S349" s="26"/>
      <c r="T349" s="21"/>
      <c r="U349" s="20"/>
      <c r="V349" s="20"/>
      <c r="W349" s="20"/>
      <c r="X349" s="20"/>
      <c r="Y349" s="20"/>
      <c r="AD349" s="247"/>
      <c r="AE349" s="247"/>
    </row>
    <row r="350" spans="2:31" s="50" customFormat="1" x14ac:dyDescent="0.15">
      <c r="B350" s="32"/>
      <c r="C350" s="32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R350" s="26"/>
      <c r="S350" s="26"/>
      <c r="T350" s="21"/>
      <c r="U350" s="20"/>
      <c r="V350" s="20"/>
      <c r="W350" s="20"/>
      <c r="X350" s="20"/>
      <c r="Y350" s="20"/>
      <c r="AD350" s="247"/>
      <c r="AE350" s="247"/>
    </row>
    <row r="351" spans="2:31" s="50" customFormat="1" x14ac:dyDescent="0.15">
      <c r="B351" s="32"/>
      <c r="C351" s="32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R351" s="26"/>
      <c r="S351" s="26"/>
      <c r="T351" s="21"/>
      <c r="U351" s="20"/>
      <c r="V351" s="20"/>
      <c r="W351" s="20"/>
      <c r="X351" s="20"/>
      <c r="Y351" s="20"/>
      <c r="AD351" s="247"/>
      <c r="AE351" s="247"/>
    </row>
    <row r="352" spans="2:31" s="50" customFormat="1" x14ac:dyDescent="0.15">
      <c r="B352" s="32"/>
      <c r="C352" s="32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R352" s="26"/>
      <c r="S352" s="26"/>
      <c r="T352" s="21"/>
      <c r="U352" s="20"/>
      <c r="V352" s="20"/>
      <c r="W352" s="20"/>
      <c r="X352" s="20"/>
      <c r="Y352" s="20"/>
      <c r="AD352" s="247"/>
      <c r="AE352" s="247"/>
    </row>
    <row r="353" spans="2:31" s="50" customFormat="1" x14ac:dyDescent="0.15">
      <c r="B353" s="32"/>
      <c r="C353" s="32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R353" s="26"/>
      <c r="S353" s="26"/>
      <c r="T353" s="21"/>
      <c r="U353" s="20"/>
      <c r="V353" s="20"/>
      <c r="W353" s="20"/>
      <c r="X353" s="20"/>
      <c r="Y353" s="20"/>
      <c r="AD353" s="247"/>
      <c r="AE353" s="247"/>
    </row>
    <row r="354" spans="2:31" s="50" customFormat="1" x14ac:dyDescent="0.15">
      <c r="B354" s="32"/>
      <c r="C354" s="32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R354" s="26"/>
      <c r="S354" s="26"/>
      <c r="T354" s="21"/>
      <c r="U354" s="20"/>
      <c r="V354" s="20"/>
      <c r="W354" s="20"/>
      <c r="X354" s="20"/>
      <c r="Y354" s="20"/>
      <c r="AD354" s="247"/>
      <c r="AE354" s="247"/>
    </row>
    <row r="355" spans="2:31" s="50" customFormat="1" x14ac:dyDescent="0.15">
      <c r="B355" s="32"/>
      <c r="C355" s="32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R355" s="26"/>
      <c r="S355" s="26"/>
      <c r="T355" s="21"/>
      <c r="U355" s="20"/>
      <c r="V355" s="20"/>
      <c r="W355" s="20"/>
      <c r="X355" s="20"/>
      <c r="Y355" s="20"/>
      <c r="AD355" s="247"/>
      <c r="AE355" s="247"/>
    </row>
    <row r="356" spans="2:31" s="50" customFormat="1" x14ac:dyDescent="0.15">
      <c r="B356" s="32"/>
      <c r="C356" s="32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R356" s="26"/>
      <c r="S356" s="26"/>
      <c r="T356" s="21"/>
      <c r="U356" s="20"/>
      <c r="V356" s="20"/>
      <c r="W356" s="20"/>
      <c r="X356" s="20"/>
      <c r="Y356" s="20"/>
      <c r="AD356" s="247"/>
      <c r="AE356" s="247"/>
    </row>
    <row r="357" spans="2:31" s="50" customFormat="1" x14ac:dyDescent="0.15">
      <c r="B357" s="32"/>
      <c r="C357" s="32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R357" s="26"/>
      <c r="S357" s="26"/>
      <c r="T357" s="21"/>
      <c r="U357" s="20"/>
      <c r="V357" s="20"/>
      <c r="W357" s="20"/>
      <c r="X357" s="20"/>
      <c r="Y357" s="20"/>
      <c r="AD357" s="247"/>
      <c r="AE357" s="247"/>
    </row>
    <row r="358" spans="2:31" s="50" customFormat="1" x14ac:dyDescent="0.15">
      <c r="B358" s="32"/>
      <c r="C358" s="32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R358" s="26"/>
      <c r="S358" s="26"/>
      <c r="T358" s="21"/>
      <c r="U358" s="20"/>
      <c r="V358" s="20"/>
      <c r="W358" s="20"/>
      <c r="X358" s="20"/>
      <c r="Y358" s="20"/>
      <c r="AD358" s="247"/>
      <c r="AE358" s="247"/>
    </row>
    <row r="359" spans="2:31" s="50" customFormat="1" x14ac:dyDescent="0.15">
      <c r="B359" s="32"/>
      <c r="C359" s="32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R359" s="26"/>
      <c r="S359" s="26"/>
      <c r="T359" s="21"/>
      <c r="U359" s="20"/>
      <c r="V359" s="20"/>
      <c r="W359" s="20"/>
      <c r="X359" s="20"/>
      <c r="Y359" s="20"/>
      <c r="AD359" s="247"/>
      <c r="AE359" s="247"/>
    </row>
    <row r="360" spans="2:31" s="50" customFormat="1" x14ac:dyDescent="0.15">
      <c r="B360" s="32"/>
      <c r="C360" s="32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R360" s="26"/>
      <c r="S360" s="26"/>
      <c r="T360" s="21"/>
      <c r="U360" s="20"/>
      <c r="V360" s="20"/>
      <c r="W360" s="20"/>
      <c r="X360" s="20"/>
      <c r="Y360" s="20"/>
      <c r="AD360" s="247"/>
      <c r="AE360" s="247"/>
    </row>
    <row r="361" spans="2:31" s="50" customFormat="1" x14ac:dyDescent="0.15">
      <c r="B361" s="32"/>
      <c r="C361" s="32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R361" s="26"/>
      <c r="S361" s="26"/>
      <c r="T361" s="21"/>
      <c r="U361" s="20"/>
      <c r="V361" s="20"/>
      <c r="W361" s="20"/>
      <c r="X361" s="20"/>
      <c r="Y361" s="20"/>
      <c r="AD361" s="247"/>
      <c r="AE361" s="247"/>
    </row>
    <row r="362" spans="2:31" s="50" customFormat="1" x14ac:dyDescent="0.15">
      <c r="B362" s="32"/>
      <c r="C362" s="32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R362" s="26"/>
      <c r="S362" s="26"/>
      <c r="T362" s="21"/>
      <c r="U362" s="20"/>
      <c r="V362" s="20"/>
      <c r="W362" s="20"/>
      <c r="X362" s="20"/>
      <c r="Y362" s="20"/>
      <c r="AD362" s="247"/>
      <c r="AE362" s="247"/>
    </row>
    <row r="363" spans="2:31" s="50" customFormat="1" x14ac:dyDescent="0.15">
      <c r="B363" s="32"/>
      <c r="C363" s="32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R363" s="26"/>
      <c r="S363" s="26"/>
      <c r="T363" s="21"/>
      <c r="U363" s="20"/>
      <c r="V363" s="20"/>
      <c r="W363" s="20"/>
      <c r="X363" s="20"/>
      <c r="Y363" s="20"/>
      <c r="AD363" s="247"/>
      <c r="AE363" s="247"/>
    </row>
    <row r="364" spans="2:31" s="50" customFormat="1" x14ac:dyDescent="0.15">
      <c r="B364" s="32"/>
      <c r="C364" s="32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R364" s="26"/>
      <c r="S364" s="26"/>
      <c r="T364" s="21"/>
      <c r="U364" s="20"/>
      <c r="V364" s="20"/>
      <c r="W364" s="20"/>
      <c r="X364" s="20"/>
      <c r="Y364" s="20"/>
      <c r="AD364" s="247"/>
      <c r="AE364" s="247"/>
    </row>
    <row r="365" spans="2:31" s="50" customFormat="1" x14ac:dyDescent="0.15">
      <c r="B365" s="32"/>
      <c r="C365" s="32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R365" s="26"/>
      <c r="S365" s="26"/>
      <c r="T365" s="21"/>
      <c r="U365" s="20"/>
      <c r="V365" s="20"/>
      <c r="W365" s="20"/>
      <c r="X365" s="20"/>
      <c r="Y365" s="20"/>
      <c r="AD365" s="247"/>
      <c r="AE365" s="247"/>
    </row>
    <row r="366" spans="2:31" s="50" customFormat="1" x14ac:dyDescent="0.15">
      <c r="B366" s="32"/>
      <c r="C366" s="32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R366" s="26"/>
      <c r="S366" s="26"/>
      <c r="T366" s="21"/>
      <c r="U366" s="20"/>
      <c r="V366" s="20"/>
      <c r="W366" s="20"/>
      <c r="X366" s="20"/>
      <c r="Y366" s="20"/>
      <c r="AD366" s="247"/>
      <c r="AE366" s="247"/>
    </row>
    <row r="367" spans="2:31" s="50" customFormat="1" x14ac:dyDescent="0.15">
      <c r="B367" s="32"/>
      <c r="C367" s="32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R367" s="26"/>
      <c r="S367" s="26"/>
      <c r="T367" s="21"/>
      <c r="U367" s="20"/>
      <c r="V367" s="20"/>
      <c r="W367" s="20"/>
      <c r="X367" s="20"/>
      <c r="Y367" s="20"/>
      <c r="AD367" s="247"/>
      <c r="AE367" s="247"/>
    </row>
    <row r="368" spans="2:31" s="50" customFormat="1" x14ac:dyDescent="0.15">
      <c r="B368" s="32"/>
      <c r="C368" s="32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R368" s="26"/>
      <c r="S368" s="26"/>
      <c r="T368" s="21"/>
      <c r="U368" s="20"/>
      <c r="V368" s="20"/>
      <c r="W368" s="20"/>
      <c r="X368" s="20"/>
      <c r="Y368" s="20"/>
      <c r="AD368" s="247"/>
      <c r="AE368" s="247"/>
    </row>
    <row r="369" spans="2:31" s="50" customFormat="1" x14ac:dyDescent="0.15">
      <c r="B369" s="32"/>
      <c r="C369" s="32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R369" s="26"/>
      <c r="S369" s="26"/>
      <c r="T369" s="21"/>
      <c r="U369" s="20"/>
      <c r="V369" s="20"/>
      <c r="W369" s="20"/>
      <c r="X369" s="20"/>
      <c r="Y369" s="20"/>
      <c r="AD369" s="247"/>
      <c r="AE369" s="247"/>
    </row>
    <row r="370" spans="2:31" s="50" customFormat="1" x14ac:dyDescent="0.15">
      <c r="B370" s="32"/>
      <c r="C370" s="32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R370" s="26"/>
      <c r="S370" s="26"/>
      <c r="T370" s="21"/>
      <c r="U370" s="20"/>
      <c r="V370" s="20"/>
      <c r="W370" s="20"/>
      <c r="X370" s="20"/>
      <c r="Y370" s="20"/>
      <c r="AD370" s="247"/>
      <c r="AE370" s="247"/>
    </row>
    <row r="371" spans="2:31" s="50" customFormat="1" x14ac:dyDescent="0.15">
      <c r="B371" s="32"/>
      <c r="C371" s="32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R371" s="26"/>
      <c r="S371" s="26"/>
      <c r="T371" s="21"/>
      <c r="U371" s="20"/>
      <c r="V371" s="20"/>
      <c r="W371" s="20"/>
      <c r="X371" s="20"/>
      <c r="Y371" s="20"/>
      <c r="AD371" s="247"/>
      <c r="AE371" s="247"/>
    </row>
    <row r="372" spans="2:31" s="50" customFormat="1" x14ac:dyDescent="0.15">
      <c r="B372" s="32"/>
      <c r="C372" s="32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R372" s="26"/>
      <c r="S372" s="26"/>
      <c r="T372" s="21"/>
      <c r="U372" s="20"/>
      <c r="V372" s="20"/>
      <c r="W372" s="20"/>
      <c r="X372" s="20"/>
      <c r="Y372" s="20"/>
      <c r="AD372" s="247"/>
      <c r="AE372" s="247"/>
    </row>
    <row r="373" spans="2:31" s="50" customFormat="1" x14ac:dyDescent="0.15">
      <c r="B373" s="32"/>
      <c r="C373" s="32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R373" s="26"/>
      <c r="S373" s="26"/>
      <c r="T373" s="21"/>
      <c r="U373" s="20"/>
      <c r="V373" s="20"/>
      <c r="W373" s="20"/>
      <c r="X373" s="20"/>
      <c r="Y373" s="20"/>
      <c r="AD373" s="247"/>
      <c r="AE373" s="247"/>
    </row>
    <row r="374" spans="2:31" s="50" customFormat="1" x14ac:dyDescent="0.15">
      <c r="B374" s="32"/>
      <c r="C374" s="32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R374" s="26"/>
      <c r="S374" s="26"/>
      <c r="T374" s="21"/>
      <c r="U374" s="20"/>
      <c r="V374" s="20"/>
      <c r="W374" s="20"/>
      <c r="X374" s="20"/>
      <c r="Y374" s="20"/>
      <c r="AD374" s="247"/>
      <c r="AE374" s="247"/>
    </row>
    <row r="375" spans="2:31" s="50" customFormat="1" x14ac:dyDescent="0.15">
      <c r="B375" s="32"/>
      <c r="C375" s="32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R375" s="26"/>
      <c r="S375" s="26"/>
      <c r="T375" s="21"/>
      <c r="U375" s="20"/>
      <c r="V375" s="20"/>
      <c r="W375" s="20"/>
      <c r="X375" s="20"/>
      <c r="Y375" s="20"/>
      <c r="AD375" s="247"/>
      <c r="AE375" s="247"/>
    </row>
    <row r="376" spans="2:31" s="50" customFormat="1" x14ac:dyDescent="0.15">
      <c r="B376" s="32"/>
      <c r="C376" s="32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R376" s="26"/>
      <c r="S376" s="26"/>
      <c r="T376" s="21"/>
      <c r="U376" s="20"/>
      <c r="V376" s="20"/>
      <c r="W376" s="20"/>
      <c r="X376" s="20"/>
      <c r="Y376" s="20"/>
      <c r="AD376" s="247"/>
      <c r="AE376" s="247"/>
    </row>
    <row r="377" spans="2:31" s="50" customFormat="1" x14ac:dyDescent="0.15">
      <c r="B377" s="32"/>
      <c r="C377" s="32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R377" s="26"/>
      <c r="S377" s="26"/>
      <c r="T377" s="21"/>
      <c r="U377" s="20"/>
      <c r="V377" s="20"/>
      <c r="W377" s="20"/>
      <c r="X377" s="20"/>
      <c r="Y377" s="20"/>
      <c r="AD377" s="247"/>
      <c r="AE377" s="247"/>
    </row>
    <row r="378" spans="2:31" s="50" customFormat="1" x14ac:dyDescent="0.15">
      <c r="B378" s="32"/>
      <c r="C378" s="32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R378" s="26"/>
      <c r="S378" s="26"/>
      <c r="T378" s="21"/>
      <c r="U378" s="20"/>
      <c r="V378" s="20"/>
      <c r="W378" s="20"/>
      <c r="X378" s="20"/>
      <c r="Y378" s="20"/>
      <c r="AD378" s="247"/>
      <c r="AE378" s="247"/>
    </row>
    <row r="379" spans="2:31" s="50" customFormat="1" x14ac:dyDescent="0.15">
      <c r="B379" s="32"/>
      <c r="C379" s="32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R379" s="26"/>
      <c r="S379" s="26"/>
      <c r="T379" s="21"/>
      <c r="U379" s="20"/>
      <c r="V379" s="20"/>
      <c r="W379" s="20"/>
      <c r="X379" s="20"/>
      <c r="Y379" s="20"/>
      <c r="AD379" s="247"/>
      <c r="AE379" s="247"/>
    </row>
    <row r="380" spans="2:31" s="50" customFormat="1" x14ac:dyDescent="0.15">
      <c r="B380" s="32"/>
      <c r="C380" s="32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R380" s="26"/>
      <c r="S380" s="26"/>
      <c r="T380" s="21"/>
      <c r="U380" s="20"/>
      <c r="V380" s="20"/>
      <c r="W380" s="20"/>
      <c r="X380" s="20"/>
      <c r="Y380" s="20"/>
      <c r="AD380" s="247"/>
      <c r="AE380" s="247"/>
    </row>
    <row r="381" spans="2:31" s="50" customFormat="1" x14ac:dyDescent="0.15">
      <c r="B381" s="32"/>
      <c r="C381" s="32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R381" s="26"/>
      <c r="S381" s="26"/>
      <c r="T381" s="21"/>
      <c r="U381" s="20"/>
      <c r="V381" s="20"/>
      <c r="W381" s="20"/>
      <c r="X381" s="20"/>
      <c r="Y381" s="20"/>
      <c r="AD381" s="247"/>
      <c r="AE381" s="247"/>
    </row>
    <row r="382" spans="2:31" s="50" customFormat="1" x14ac:dyDescent="0.15">
      <c r="B382" s="32"/>
      <c r="C382" s="32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R382" s="26"/>
      <c r="S382" s="26"/>
      <c r="T382" s="21"/>
      <c r="U382" s="20"/>
      <c r="V382" s="20"/>
      <c r="W382" s="20"/>
      <c r="X382" s="20"/>
      <c r="Y382" s="20"/>
      <c r="AD382" s="247"/>
      <c r="AE382" s="247"/>
    </row>
    <row r="383" spans="2:31" s="50" customFormat="1" x14ac:dyDescent="0.15">
      <c r="B383" s="32"/>
      <c r="C383" s="32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R383" s="26"/>
      <c r="S383" s="26"/>
      <c r="T383" s="21"/>
      <c r="U383" s="20"/>
      <c r="V383" s="20"/>
      <c r="W383" s="20"/>
      <c r="X383" s="20"/>
      <c r="Y383" s="20"/>
      <c r="AD383" s="247"/>
      <c r="AE383" s="247"/>
    </row>
    <row r="384" spans="2:31" s="50" customFormat="1" x14ac:dyDescent="0.15">
      <c r="B384" s="32"/>
      <c r="C384" s="32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R384" s="26"/>
      <c r="S384" s="26"/>
      <c r="T384" s="21"/>
      <c r="U384" s="20"/>
      <c r="V384" s="20"/>
      <c r="W384" s="20"/>
      <c r="X384" s="20"/>
      <c r="Y384" s="20"/>
      <c r="AD384" s="247"/>
      <c r="AE384" s="247"/>
    </row>
    <row r="385" spans="2:31" s="50" customFormat="1" x14ac:dyDescent="0.15">
      <c r="B385" s="32"/>
      <c r="C385" s="32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R385" s="26"/>
      <c r="S385" s="26"/>
      <c r="T385" s="21"/>
      <c r="U385" s="20"/>
      <c r="V385" s="20"/>
      <c r="W385" s="20"/>
      <c r="X385" s="20"/>
      <c r="Y385" s="20"/>
      <c r="AD385" s="247"/>
      <c r="AE385" s="247"/>
    </row>
    <row r="386" spans="2:31" s="50" customFormat="1" x14ac:dyDescent="0.15">
      <c r="B386" s="32"/>
      <c r="C386" s="32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R386" s="26"/>
      <c r="S386" s="26"/>
      <c r="T386" s="21"/>
      <c r="U386" s="20"/>
      <c r="V386" s="20"/>
      <c r="W386" s="20"/>
      <c r="X386" s="20"/>
      <c r="Y386" s="20"/>
      <c r="AD386" s="247"/>
      <c r="AE386" s="247"/>
    </row>
    <row r="387" spans="2:31" s="50" customFormat="1" x14ac:dyDescent="0.15">
      <c r="B387" s="32"/>
      <c r="C387" s="32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R387" s="26"/>
      <c r="S387" s="26"/>
      <c r="T387" s="21"/>
      <c r="U387" s="20"/>
      <c r="V387" s="20"/>
      <c r="W387" s="20"/>
      <c r="X387" s="20"/>
      <c r="Y387" s="20"/>
      <c r="AD387" s="247"/>
      <c r="AE387" s="247"/>
    </row>
    <row r="388" spans="2:31" s="50" customFormat="1" x14ac:dyDescent="0.15">
      <c r="B388" s="32"/>
      <c r="C388" s="32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R388" s="26"/>
      <c r="S388" s="26"/>
      <c r="T388" s="21"/>
      <c r="U388" s="20"/>
      <c r="V388" s="20"/>
      <c r="W388" s="20"/>
      <c r="X388" s="20"/>
      <c r="Y388" s="20"/>
      <c r="AD388" s="247"/>
      <c r="AE388" s="247"/>
    </row>
    <row r="389" spans="2:31" s="50" customFormat="1" x14ac:dyDescent="0.15">
      <c r="B389" s="32"/>
      <c r="C389" s="32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R389" s="26"/>
      <c r="S389" s="26"/>
      <c r="T389" s="21"/>
      <c r="U389" s="20"/>
      <c r="V389" s="20"/>
      <c r="W389" s="20"/>
      <c r="X389" s="20"/>
      <c r="Y389" s="20"/>
      <c r="AD389" s="247"/>
      <c r="AE389" s="247"/>
    </row>
    <row r="390" spans="2:31" s="50" customFormat="1" x14ac:dyDescent="0.15">
      <c r="B390" s="32"/>
      <c r="C390" s="32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R390" s="26"/>
      <c r="S390" s="26"/>
      <c r="T390" s="21"/>
      <c r="U390" s="20"/>
      <c r="V390" s="20"/>
      <c r="W390" s="20"/>
      <c r="X390" s="20"/>
      <c r="Y390" s="20"/>
      <c r="AD390" s="247"/>
      <c r="AE390" s="247"/>
    </row>
    <row r="391" spans="2:31" s="50" customFormat="1" x14ac:dyDescent="0.15">
      <c r="B391" s="32"/>
      <c r="C391" s="32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R391" s="26"/>
      <c r="S391" s="26"/>
      <c r="T391" s="21"/>
      <c r="U391" s="20"/>
      <c r="V391" s="20"/>
      <c r="W391" s="20"/>
      <c r="X391" s="20"/>
      <c r="Y391" s="20"/>
      <c r="AD391" s="247"/>
      <c r="AE391" s="247"/>
    </row>
    <row r="392" spans="2:31" s="50" customFormat="1" x14ac:dyDescent="0.15">
      <c r="B392" s="32"/>
      <c r="C392" s="32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R392" s="26"/>
      <c r="S392" s="26"/>
      <c r="T392" s="21"/>
      <c r="U392" s="20"/>
      <c r="V392" s="20"/>
      <c r="W392" s="20"/>
      <c r="X392" s="20"/>
      <c r="Y392" s="20"/>
      <c r="AD392" s="247"/>
      <c r="AE392" s="247"/>
    </row>
    <row r="393" spans="2:31" s="50" customFormat="1" x14ac:dyDescent="0.15">
      <c r="B393" s="32"/>
      <c r="C393" s="32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R393" s="26"/>
      <c r="S393" s="26"/>
      <c r="T393" s="21"/>
      <c r="U393" s="20"/>
      <c r="V393" s="20"/>
      <c r="W393" s="20"/>
      <c r="X393" s="20"/>
      <c r="Y393" s="20"/>
      <c r="AD393" s="247"/>
      <c r="AE393" s="247"/>
    </row>
    <row r="394" spans="2:31" s="50" customFormat="1" x14ac:dyDescent="0.15">
      <c r="B394" s="32"/>
      <c r="C394" s="32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R394" s="26"/>
      <c r="S394" s="26"/>
      <c r="T394" s="21"/>
      <c r="U394" s="20"/>
      <c r="V394" s="20"/>
      <c r="W394" s="20"/>
      <c r="X394" s="20"/>
      <c r="Y394" s="20"/>
      <c r="AD394" s="247"/>
      <c r="AE394" s="247"/>
    </row>
    <row r="395" spans="2:31" s="50" customFormat="1" x14ac:dyDescent="0.15">
      <c r="B395" s="32"/>
      <c r="C395" s="32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R395" s="26"/>
      <c r="S395" s="26"/>
      <c r="T395" s="21"/>
      <c r="U395" s="20"/>
      <c r="V395" s="20"/>
      <c r="W395" s="20"/>
      <c r="X395" s="20"/>
      <c r="Y395" s="20"/>
      <c r="AD395" s="247"/>
      <c r="AE395" s="247"/>
    </row>
    <row r="396" spans="2:31" s="50" customFormat="1" x14ac:dyDescent="0.15">
      <c r="B396" s="32"/>
      <c r="C396" s="32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R396" s="26"/>
      <c r="S396" s="26"/>
      <c r="T396" s="21"/>
      <c r="U396" s="20"/>
      <c r="V396" s="20"/>
      <c r="W396" s="20"/>
      <c r="X396" s="20"/>
      <c r="Y396" s="20"/>
      <c r="AD396" s="247"/>
      <c r="AE396" s="247"/>
    </row>
    <row r="397" spans="2:31" s="50" customFormat="1" x14ac:dyDescent="0.15">
      <c r="B397" s="32"/>
      <c r="C397" s="32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R397" s="26"/>
      <c r="S397" s="26"/>
      <c r="T397" s="21"/>
      <c r="U397" s="20"/>
      <c r="V397" s="20"/>
      <c r="W397" s="20"/>
      <c r="X397" s="20"/>
      <c r="Y397" s="20"/>
      <c r="AD397" s="247"/>
      <c r="AE397" s="247"/>
    </row>
    <row r="398" spans="2:31" s="50" customFormat="1" x14ac:dyDescent="0.15">
      <c r="B398" s="32"/>
      <c r="C398" s="32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R398" s="26"/>
      <c r="S398" s="26"/>
      <c r="T398" s="21"/>
      <c r="U398" s="20"/>
      <c r="V398" s="20"/>
      <c r="W398" s="20"/>
      <c r="X398" s="20"/>
      <c r="Y398" s="20"/>
      <c r="AD398" s="247"/>
      <c r="AE398" s="247"/>
    </row>
    <row r="399" spans="2:31" s="50" customFormat="1" x14ac:dyDescent="0.15">
      <c r="B399" s="32"/>
      <c r="C399" s="32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R399" s="26"/>
      <c r="S399" s="26"/>
      <c r="T399" s="21"/>
      <c r="U399" s="20"/>
      <c r="V399" s="20"/>
      <c r="W399" s="20"/>
      <c r="X399" s="20"/>
      <c r="Y399" s="20"/>
      <c r="AD399" s="247"/>
      <c r="AE399" s="247"/>
    </row>
    <row r="400" spans="2:31" s="50" customFormat="1" x14ac:dyDescent="0.15">
      <c r="B400" s="32"/>
      <c r="C400" s="32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R400" s="26"/>
      <c r="S400" s="26"/>
      <c r="T400" s="21"/>
      <c r="U400" s="20"/>
      <c r="V400" s="20"/>
      <c r="W400" s="20"/>
      <c r="X400" s="20"/>
      <c r="Y400" s="20"/>
      <c r="AD400" s="247"/>
      <c r="AE400" s="247"/>
    </row>
    <row r="401" spans="2:31" s="50" customFormat="1" x14ac:dyDescent="0.15">
      <c r="B401" s="32"/>
      <c r="C401" s="32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R401" s="26"/>
      <c r="S401" s="26"/>
      <c r="T401" s="21"/>
      <c r="U401" s="20"/>
      <c r="V401" s="20"/>
      <c r="W401" s="20"/>
      <c r="X401" s="20"/>
      <c r="Y401" s="20"/>
      <c r="AD401" s="247"/>
      <c r="AE401" s="247"/>
    </row>
    <row r="402" spans="2:31" s="50" customFormat="1" x14ac:dyDescent="0.15">
      <c r="B402" s="32"/>
      <c r="C402" s="32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R402" s="26"/>
      <c r="S402" s="26"/>
      <c r="T402" s="21"/>
      <c r="U402" s="20"/>
      <c r="V402" s="20"/>
      <c r="W402" s="20"/>
      <c r="X402" s="20"/>
      <c r="Y402" s="20"/>
      <c r="AD402" s="247"/>
      <c r="AE402" s="247"/>
    </row>
    <row r="403" spans="2:31" s="50" customFormat="1" x14ac:dyDescent="0.15">
      <c r="B403" s="32"/>
      <c r="C403" s="32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R403" s="26"/>
      <c r="S403" s="26"/>
      <c r="T403" s="21"/>
      <c r="U403" s="20"/>
      <c r="V403" s="20"/>
      <c r="W403" s="20"/>
      <c r="X403" s="20"/>
      <c r="Y403" s="20"/>
      <c r="AD403" s="247"/>
      <c r="AE403" s="247"/>
    </row>
    <row r="404" spans="2:31" s="50" customFormat="1" x14ac:dyDescent="0.15">
      <c r="B404" s="32"/>
      <c r="C404" s="32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R404" s="26"/>
      <c r="S404" s="26"/>
      <c r="T404" s="21"/>
      <c r="U404" s="20"/>
      <c r="V404" s="20"/>
      <c r="W404" s="20"/>
      <c r="X404" s="20"/>
      <c r="Y404" s="20"/>
      <c r="AD404" s="247"/>
      <c r="AE404" s="247"/>
    </row>
    <row r="405" spans="2:31" s="50" customFormat="1" x14ac:dyDescent="0.15">
      <c r="B405" s="32"/>
      <c r="C405" s="32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R405" s="26"/>
      <c r="S405" s="26"/>
      <c r="T405" s="21"/>
      <c r="U405" s="20"/>
      <c r="V405" s="20"/>
      <c r="W405" s="20"/>
      <c r="X405" s="20"/>
      <c r="Y405" s="20"/>
      <c r="AD405" s="247"/>
      <c r="AE405" s="247"/>
    </row>
    <row r="406" spans="2:31" s="50" customFormat="1" x14ac:dyDescent="0.15">
      <c r="B406" s="32"/>
      <c r="C406" s="32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R406" s="26"/>
      <c r="S406" s="26"/>
      <c r="T406" s="21"/>
      <c r="U406" s="20"/>
      <c r="V406" s="20"/>
      <c r="W406" s="20"/>
      <c r="X406" s="20"/>
      <c r="Y406" s="20"/>
      <c r="AD406" s="247"/>
      <c r="AE406" s="247"/>
    </row>
    <row r="407" spans="2:31" s="50" customFormat="1" x14ac:dyDescent="0.15">
      <c r="B407" s="32"/>
      <c r="C407" s="32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R407" s="26"/>
      <c r="S407" s="26"/>
      <c r="T407" s="21"/>
      <c r="U407" s="20"/>
      <c r="V407" s="20"/>
      <c r="W407" s="20"/>
      <c r="X407" s="20"/>
      <c r="Y407" s="20"/>
      <c r="Z407" s="39"/>
      <c r="AD407" s="247"/>
      <c r="AE407" s="247"/>
    </row>
    <row r="408" spans="2:31" s="50" customFormat="1" x14ac:dyDescent="0.15">
      <c r="B408" s="32"/>
      <c r="C408" s="32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R408" s="26"/>
      <c r="S408" s="26"/>
      <c r="T408" s="21"/>
      <c r="U408" s="20"/>
      <c r="V408" s="20"/>
      <c r="W408" s="20"/>
      <c r="X408" s="20"/>
      <c r="Y408" s="20"/>
      <c r="Z408" s="39"/>
      <c r="AD408" s="247"/>
      <c r="AE408" s="247"/>
    </row>
    <row r="409" spans="2:31" s="50" customFormat="1" x14ac:dyDescent="0.15">
      <c r="B409" s="32"/>
      <c r="C409" s="32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R409" s="26"/>
      <c r="S409" s="26"/>
      <c r="T409" s="21"/>
      <c r="U409" s="20"/>
      <c r="V409" s="20"/>
      <c r="W409" s="20"/>
      <c r="X409" s="20"/>
      <c r="Y409" s="20"/>
      <c r="Z409" s="39"/>
      <c r="AD409" s="247"/>
      <c r="AE409" s="247"/>
    </row>
    <row r="410" spans="2:31" s="50" customFormat="1" x14ac:dyDescent="0.15">
      <c r="B410" s="32"/>
      <c r="C410" s="32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R410" s="26"/>
      <c r="S410" s="26"/>
      <c r="T410" s="21"/>
      <c r="U410" s="20"/>
      <c r="V410" s="20"/>
      <c r="W410" s="20"/>
      <c r="X410" s="20"/>
      <c r="Y410" s="20"/>
      <c r="Z410" s="39"/>
      <c r="AD410" s="247"/>
      <c r="AE410" s="247"/>
    </row>
    <row r="411" spans="2:31" x14ac:dyDescent="0.15">
      <c r="U411" s="20"/>
      <c r="V411" s="20"/>
      <c r="W411" s="20"/>
      <c r="X411" s="20"/>
      <c r="Y411" s="20"/>
      <c r="AD411" s="247"/>
      <c r="AE411" s="247"/>
    </row>
    <row r="412" spans="2:31" x14ac:dyDescent="0.15">
      <c r="U412" s="20"/>
      <c r="V412" s="20"/>
      <c r="W412" s="20"/>
      <c r="X412" s="20"/>
      <c r="Y412" s="20"/>
      <c r="AD412" s="247"/>
      <c r="AE412" s="247"/>
    </row>
    <row r="413" spans="2:31" x14ac:dyDescent="0.15">
      <c r="U413" s="20"/>
      <c r="V413" s="20"/>
      <c r="W413" s="20"/>
      <c r="X413" s="20"/>
      <c r="Y413" s="20"/>
      <c r="AD413" s="247"/>
      <c r="AE413" s="247"/>
    </row>
    <row r="414" spans="2:31" x14ac:dyDescent="0.15">
      <c r="U414" s="20"/>
      <c r="V414" s="20"/>
      <c r="W414" s="20"/>
      <c r="X414" s="20"/>
      <c r="Y414" s="20"/>
      <c r="AD414" s="247"/>
      <c r="AE414" s="247"/>
    </row>
    <row r="415" spans="2:31" x14ac:dyDescent="0.15">
      <c r="U415" s="20"/>
      <c r="V415" s="20"/>
      <c r="W415" s="20"/>
      <c r="X415" s="20"/>
      <c r="Y415" s="20"/>
    </row>
    <row r="416" spans="2:31" x14ac:dyDescent="0.15">
      <c r="U416" s="20"/>
      <c r="V416" s="20"/>
      <c r="W416" s="20"/>
      <c r="X416" s="20"/>
      <c r="Y416" s="20"/>
    </row>
    <row r="417" spans="21:25" x14ac:dyDescent="0.15">
      <c r="U417" s="20"/>
      <c r="V417" s="20"/>
      <c r="W417" s="20"/>
      <c r="X417" s="20"/>
      <c r="Y417" s="20"/>
    </row>
    <row r="418" spans="21:25" x14ac:dyDescent="0.15">
      <c r="U418" s="20"/>
      <c r="V418" s="20"/>
      <c r="W418" s="20"/>
      <c r="X418" s="20"/>
      <c r="Y418" s="20"/>
    </row>
    <row r="419" spans="21:25" x14ac:dyDescent="0.15">
      <c r="U419" s="20"/>
      <c r="V419" s="20"/>
      <c r="W419" s="20"/>
      <c r="X419" s="20"/>
      <c r="Y419" s="20"/>
    </row>
    <row r="420" spans="21:25" x14ac:dyDescent="0.15">
      <c r="U420" s="20"/>
      <c r="V420" s="20"/>
      <c r="W420" s="20"/>
      <c r="X420" s="20"/>
      <c r="Y420" s="20"/>
    </row>
    <row r="421" spans="21:25" x14ac:dyDescent="0.15">
      <c r="U421" s="20"/>
      <c r="V421" s="20"/>
      <c r="W421" s="20"/>
      <c r="X421" s="20"/>
      <c r="Y421" s="20"/>
    </row>
    <row r="422" spans="21:25" x14ac:dyDescent="0.15">
      <c r="U422" s="20"/>
      <c r="V422" s="20"/>
      <c r="W422" s="20"/>
      <c r="X422" s="20"/>
      <c r="Y422" s="20"/>
    </row>
    <row r="423" spans="21:25" x14ac:dyDescent="0.15">
      <c r="U423" s="20"/>
      <c r="V423" s="20"/>
      <c r="W423" s="20"/>
      <c r="X423" s="20"/>
      <c r="Y423" s="20"/>
    </row>
    <row r="424" spans="21:25" x14ac:dyDescent="0.15">
      <c r="U424" s="20"/>
      <c r="V424" s="20"/>
      <c r="W424" s="20"/>
      <c r="X424" s="20"/>
      <c r="Y424" s="20"/>
    </row>
    <row r="425" spans="21:25" x14ac:dyDescent="0.15">
      <c r="U425" s="20"/>
      <c r="V425" s="20"/>
      <c r="W425" s="20"/>
      <c r="X425" s="20"/>
      <c r="Y425" s="20"/>
    </row>
    <row r="426" spans="21:25" x14ac:dyDescent="0.15">
      <c r="U426" s="20"/>
      <c r="V426" s="20"/>
      <c r="W426" s="20"/>
      <c r="X426" s="20"/>
      <c r="Y426" s="20"/>
    </row>
    <row r="427" spans="21:25" x14ac:dyDescent="0.15">
      <c r="U427" s="20"/>
      <c r="V427" s="20"/>
      <c r="W427" s="20"/>
      <c r="X427" s="20"/>
      <c r="Y427" s="20"/>
    </row>
    <row r="428" spans="21:25" x14ac:dyDescent="0.15">
      <c r="U428" s="20"/>
      <c r="V428" s="20"/>
      <c r="W428" s="20"/>
      <c r="X428" s="20"/>
      <c r="Y428" s="20"/>
    </row>
    <row r="429" spans="21:25" x14ac:dyDescent="0.15">
      <c r="U429" s="20"/>
      <c r="V429" s="20"/>
      <c r="W429" s="20"/>
      <c r="X429" s="20"/>
      <c r="Y429" s="20"/>
    </row>
    <row r="430" spans="21:25" x14ac:dyDescent="0.15">
      <c r="U430" s="20"/>
      <c r="V430" s="20"/>
      <c r="W430" s="20"/>
      <c r="X430" s="20"/>
      <c r="Y430" s="20"/>
    </row>
    <row r="431" spans="21:25" x14ac:dyDescent="0.15">
      <c r="U431" s="20"/>
      <c r="V431" s="20"/>
      <c r="W431" s="20"/>
      <c r="X431" s="20"/>
      <c r="Y431" s="20"/>
    </row>
    <row r="432" spans="21:25" x14ac:dyDescent="0.15">
      <c r="U432" s="20"/>
      <c r="V432" s="20"/>
      <c r="W432" s="20"/>
      <c r="X432" s="20"/>
      <c r="Y432" s="20"/>
    </row>
    <row r="433" spans="21:25" x14ac:dyDescent="0.15">
      <c r="U433" s="20"/>
      <c r="V433" s="20"/>
      <c r="W433" s="20"/>
      <c r="X433" s="20"/>
      <c r="Y433" s="20"/>
    </row>
    <row r="434" spans="21:25" x14ac:dyDescent="0.15">
      <c r="U434" s="20"/>
      <c r="V434" s="20"/>
      <c r="W434" s="20"/>
      <c r="X434" s="20"/>
      <c r="Y434" s="20"/>
    </row>
    <row r="435" spans="21:25" x14ac:dyDescent="0.15">
      <c r="U435" s="20"/>
      <c r="V435" s="20"/>
      <c r="W435" s="20"/>
      <c r="X435" s="20"/>
      <c r="Y435" s="20"/>
    </row>
    <row r="436" spans="21:25" x14ac:dyDescent="0.15">
      <c r="U436" s="20"/>
    </row>
    <row r="437" spans="21:25" x14ac:dyDescent="0.15">
      <c r="U437" s="20"/>
    </row>
    <row r="438" spans="21:25" x14ac:dyDescent="0.15">
      <c r="U438" s="20"/>
    </row>
  </sheetData>
  <sheetProtection formatCells="0" formatColumns="0" formatRows="0" insertColumns="0" insertRows="0" insertHyperlinks="0" deleteColumns="0" deleteRows="0" sort="0" autoFilter="0" pivotTables="0"/>
  <dataConsolidate function="average">
    <dataRefs count="1">
      <dataRef ref="A6:B221" sheet="Monthly Summary Jan-Mar" r:id="rId1"/>
    </dataRefs>
  </dataConsolidate>
  <mergeCells count="10">
    <mergeCell ref="Z5:Z6"/>
    <mergeCell ref="W5:W6"/>
    <mergeCell ref="U5:U6"/>
    <mergeCell ref="B1:Q1"/>
    <mergeCell ref="B2:Q2"/>
    <mergeCell ref="B3:Q3"/>
    <mergeCell ref="D5:P5"/>
    <mergeCell ref="Q5:Q6"/>
    <mergeCell ref="S5:S6"/>
    <mergeCell ref="X4:Z4"/>
  </mergeCells>
  <conditionalFormatting sqref="P7 P10:P152">
    <cfRule type="cellIs" dxfId="55" priority="31" stopIfTrue="1" operator="greaterThan">
      <formula>30</formula>
    </cfRule>
    <cfRule type="cellIs" dxfId="54" priority="32" stopIfTrue="1" operator="between">
      <formula>0.1</formula>
      <formula>10</formula>
    </cfRule>
    <cfRule type="cellIs" dxfId="53" priority="33" stopIfTrue="1" operator="lessThan">
      <formula>0.1</formula>
    </cfRule>
  </conditionalFormatting>
  <conditionalFormatting sqref="D7:O7 D10:O152">
    <cfRule type="cellIs" dxfId="52" priority="28" stopIfTrue="1" operator="greaterThan">
      <formula>30</formula>
    </cfRule>
    <cfRule type="cellIs" dxfId="51" priority="29" stopIfTrue="1" operator="between">
      <formula>0.1</formula>
      <formula>10</formula>
    </cfRule>
    <cfRule type="cellIs" dxfId="50" priority="30" stopIfTrue="1" operator="lessThan">
      <formula>0.1</formula>
    </cfRule>
  </conditionalFormatting>
  <conditionalFormatting sqref="S7:S152 U7:U152 Q7:Q152 W7:W152">
    <cfRule type="cellIs" dxfId="49" priority="26" stopIfTrue="1" operator="lessThan">
      <formula>0.5</formula>
    </cfRule>
    <cfRule type="cellIs" dxfId="48" priority="27" stopIfTrue="1" operator="lessThan">
      <formula>0.75</formula>
    </cfRule>
  </conditionalFormatting>
  <conditionalFormatting sqref="P8:P9">
    <cfRule type="cellIs" dxfId="47" priority="23" stopIfTrue="1" operator="greaterThan">
      <formula>30</formula>
    </cfRule>
    <cfRule type="cellIs" dxfId="46" priority="24" stopIfTrue="1" operator="between">
      <formula>0.1</formula>
      <formula>10</formula>
    </cfRule>
    <cfRule type="cellIs" dxfId="45" priority="25" stopIfTrue="1" operator="lessThan">
      <formula>0.1</formula>
    </cfRule>
  </conditionalFormatting>
  <conditionalFormatting sqref="D9:N9">
    <cfRule type="cellIs" dxfId="44" priority="20" stopIfTrue="1" operator="greaterThan">
      <formula>30</formula>
    </cfRule>
    <cfRule type="cellIs" dxfId="43" priority="21" stopIfTrue="1" operator="between">
      <formula>0.1</formula>
      <formula>10</formula>
    </cfRule>
    <cfRule type="cellIs" dxfId="42" priority="22" stopIfTrue="1" operator="lessThan">
      <formula>0.1</formula>
    </cfRule>
  </conditionalFormatting>
  <conditionalFormatting sqref="D9:N9">
    <cfRule type="cellIs" dxfId="41" priority="15" stopIfTrue="1" operator="greaterThan">
      <formula>30</formula>
    </cfRule>
    <cfRule type="cellIs" dxfId="40" priority="16" stopIfTrue="1" operator="between">
      <formula>0.1</formula>
      <formula>10</formula>
    </cfRule>
    <cfRule type="cellIs" dxfId="39" priority="17" stopIfTrue="1" operator="lessThan">
      <formula>0.1</formula>
    </cfRule>
  </conditionalFormatting>
  <conditionalFormatting sqref="D8:O8">
    <cfRule type="cellIs" dxfId="38" priority="12" stopIfTrue="1" operator="greaterThan">
      <formula>30</formula>
    </cfRule>
    <cfRule type="cellIs" dxfId="37" priority="13" stopIfTrue="1" operator="between">
      <formula>0.1</formula>
      <formula>10</formula>
    </cfRule>
    <cfRule type="cellIs" dxfId="36" priority="14" stopIfTrue="1" operator="lessThan">
      <formula>0.1</formula>
    </cfRule>
  </conditionalFormatting>
  <conditionalFormatting sqref="O9">
    <cfRule type="cellIs" dxfId="35" priority="4" stopIfTrue="1" operator="greaterThan">
      <formula>30</formula>
    </cfRule>
    <cfRule type="cellIs" dxfId="34" priority="5" stopIfTrue="1" operator="between">
      <formula>0.1</formula>
      <formula>10</formula>
    </cfRule>
    <cfRule type="cellIs" dxfId="33" priority="6" stopIfTrue="1" operator="lessThan">
      <formula>0.1</formula>
    </cfRule>
  </conditionalFormatting>
  <conditionalFormatting sqref="O9">
    <cfRule type="cellIs" dxfId="32" priority="1" stopIfTrue="1" operator="greaterThan">
      <formula>30</formula>
    </cfRule>
    <cfRule type="cellIs" dxfId="31" priority="2" stopIfTrue="1" operator="between">
      <formula>0.1</formula>
      <formula>10</formula>
    </cfRule>
    <cfRule type="cellIs" dxfId="30" priority="3" stopIfTrue="1" operator="lessThan">
      <formula>0.1</formula>
    </cfRule>
  </conditionalFormatting>
  <printOptions horizontalCentered="1"/>
  <pageMargins left="0.74803149606299213" right="0.74803149606299213" top="0.98425196850393704" bottom="0.98425196850393704" header="0.51181102362204722" footer="0.51181102362204722"/>
  <pageSetup paperSize="8" scale="47" orientation="portrait" r:id="rId2"/>
  <headerFooter alignWithMargins="0"/>
  <rowBreaks count="1" manualBreakCount="1">
    <brk id="78" max="7" man="1"/>
  </rowBreaks>
  <ignoredErrors>
    <ignoredError sqref="U7 U8:U152 S8:S152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20</vt:i4>
      </vt:variant>
    </vt:vector>
  </HeadingPairs>
  <TitlesOfParts>
    <vt:vector size="35" baseType="lpstr">
      <vt:lpstr>2007-2020 Metadata</vt:lpstr>
      <vt:lpstr>Monthly Summary 2020</vt:lpstr>
      <vt:lpstr>Monthly Summary 2019</vt:lpstr>
      <vt:lpstr>Monthly Summary 2018</vt:lpstr>
      <vt:lpstr>Monthly Summary 2017</vt:lpstr>
      <vt:lpstr>Monthly Summary 2016</vt:lpstr>
      <vt:lpstr>Monthly Summary 2015</vt:lpstr>
      <vt:lpstr>Monthly Summary 2014</vt:lpstr>
      <vt:lpstr>Monthly Summary 2013</vt:lpstr>
      <vt:lpstr>Monthly Summary 2012</vt:lpstr>
      <vt:lpstr>Monthly Summary 2011</vt:lpstr>
      <vt:lpstr>Monthly Summary 2010</vt:lpstr>
      <vt:lpstr>Monthly Summary 2009</vt:lpstr>
      <vt:lpstr>Monthly Summary 2008</vt:lpstr>
      <vt:lpstr>Monthly Summary 2007</vt:lpstr>
      <vt:lpstr>'Monthly Summary 2009'!Print_Area</vt:lpstr>
      <vt:lpstr>'Monthly Summary 2010'!Print_Area</vt:lpstr>
      <vt:lpstr>'Monthly Summary 2011'!Print_Area</vt:lpstr>
      <vt:lpstr>'Monthly Summary 2012'!Print_Area</vt:lpstr>
      <vt:lpstr>'Monthly Summary 2013'!Print_Area</vt:lpstr>
      <vt:lpstr>'Monthly Summary 2015'!Print_Area</vt:lpstr>
      <vt:lpstr>'Monthly Summary 2016'!Print_Area</vt:lpstr>
      <vt:lpstr>'Monthly Summary 2017'!Print_Area</vt:lpstr>
      <vt:lpstr>'Monthly Summary 2019'!Print_Area</vt:lpstr>
      <vt:lpstr>'Monthly Summary 2020'!Print_Area</vt:lpstr>
      <vt:lpstr>'Monthly Summary 2009'!Print_Titles</vt:lpstr>
      <vt:lpstr>'Monthly Summary 2010'!Print_Titles</vt:lpstr>
      <vt:lpstr>'Monthly Summary 2011'!Print_Titles</vt:lpstr>
      <vt:lpstr>'Monthly Summary 2012'!Print_Titles</vt:lpstr>
      <vt:lpstr>'Monthly Summary 2013'!Print_Titles</vt:lpstr>
      <vt:lpstr>'Monthly Summary 2015'!Print_Titles</vt:lpstr>
      <vt:lpstr>'Monthly Summary 2016'!Print_Titles</vt:lpstr>
      <vt:lpstr>'Monthly Summary 2017'!Print_Titles</vt:lpstr>
      <vt:lpstr>'Monthly Summary 2019'!Print_Titles</vt:lpstr>
      <vt:lpstr>'Monthly Summary 2020'!Print_Titles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2021-08-18T03:06:13Z</dcterms:created>
  <dcterms:modified xsi:type="dcterms:W3CDTF">2021-08-18T03:07:01Z</dcterms:modified>
</cp:coreProperties>
</file>